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docProps/app.xml" ContentType="application/vnd.openxmlformats-officedocument.extended-properties+xml"/>
  <Override PartName="/xl/charts/colors59.xml" ContentType="application/vnd.ms-office.chartcolorstyle+xml"/>
  <Override PartName="/xl/charts/colors58.xml" ContentType="application/vnd.ms-office.chartcolorstyle+xml"/>
  <Override PartName="/xl/charts/colors52.xml" ContentType="application/vnd.ms-office.chartcolorstyle+xml"/>
  <Override PartName="/xl/charts/colors51.xml" ContentType="application/vnd.ms-office.chartcolorstyle+xml"/>
  <Override PartName="/xl/charts/colors50.xml" ContentType="application/vnd.ms-office.chartcolorstyle+xml"/>
  <Override PartName="/xl/charts/colors56.xml" ContentType="application/vnd.ms-office.chartcolorstyle+xml"/>
  <Override PartName="/xl/charts/colors55.xml" ContentType="application/vnd.ms-office.chartcolorstyle+xml"/>
  <Override PartName="/xl/charts/colors54.xml" ContentType="application/vnd.ms-office.chartcolorstyle+xml"/>
  <Override PartName="/xl/charts/colors53.xml" ContentType="application/vnd.ms-office.chartcolorstyle+xml"/>
  <Override PartName="/xl/charts/colors57.xml" ContentType="application/vnd.ms-office.chartcolorstyle+xml"/>
  <Override PartName="/docProps/core.xml" ContentType="application/vnd.openxmlformats-package.core-properties+xml"/>
  <Override PartName="/xl/worksheets/sheet14.xml" ContentType="application/vnd.openxmlformats-officedocument.spreadsheetml.worksheet+xml"/>
  <Override PartName="/xl/charts/colors19.xml" ContentType="application/vnd.ms-office.chartcolorstyle+xml"/>
  <Override PartName="/xl/charts/colors18.xml" ContentType="application/vnd.ms-office.chartcolorstyle+xml"/>
  <Override PartName="/xl/charts/colors12.xml" ContentType="application/vnd.ms-office.chartcolorstyle+xml"/>
  <Override PartName="/xl/charts/colors11.xml" ContentType="application/vnd.ms-office.chartcolorstyle+xml"/>
  <Override PartName="/xl/charts/colors10.xml" ContentType="application/vnd.ms-office.chartcolorstyle+xml"/>
  <Override PartName="/xl/charts/colors16.xml" ContentType="application/vnd.ms-office.chartcolorstyle+xml"/>
  <Override PartName="/xl/charts/colors15.xml" ContentType="application/vnd.ms-office.chartcolorstyle+xml"/>
  <Override PartName="/xl/charts/colors14.xml" ContentType="application/vnd.ms-office.chartcolorstyle+xml"/>
  <Override PartName="/xl/charts/colors13.xml" ContentType="application/vnd.ms-office.chartcolorstyle+xml"/>
  <Override PartName="/xl/charts/colors17.xml" ContentType="application/vnd.ms-office.chartcolorstyle+xml"/>
  <Override PartName="/xl/worksheets/sheet15.xml" ContentType="application/vnd.openxmlformats-officedocument.spreadsheetml.worksheet+xml"/>
  <Override PartName="/xl/charts/colors79.xml" ContentType="application/vnd.ms-office.chartcolorstyle+xml"/>
  <Override PartName="/xl/charts/colors78.xml" ContentType="application/vnd.ms-office.chartcolorstyle+xml"/>
  <Override PartName="/xl/charts/colors72.xml" ContentType="application/vnd.ms-office.chartcolorstyle+xml"/>
  <Override PartName="/xl/charts/colors71.xml" ContentType="application/vnd.ms-office.chartcolorstyle+xml"/>
  <Override PartName="/xl/charts/colors70.xml" ContentType="application/vnd.ms-office.chartcolorstyle+xml"/>
  <Override PartName="/xl/charts/colors76.xml" ContentType="application/vnd.ms-office.chartcolorstyle+xml"/>
  <Override PartName="/xl/charts/colors75.xml" ContentType="application/vnd.ms-office.chartcolorstyle+xml"/>
  <Override PartName="/xl/charts/colors74.xml" ContentType="application/vnd.ms-office.chartcolorstyle+xml"/>
  <Override PartName="/xl/charts/colors73.xml" ContentType="application/vnd.ms-office.chartcolorstyle+xml"/>
  <Override PartName="/xl/charts/colors77.xml" ContentType="application/vnd.ms-office.chartcolorstyle+xml"/>
  <Override PartName="/xl/charts/chart19.xml" ContentType="application/vnd.openxmlformats-officedocument.drawingml.chart+xml"/>
  <Override PartName="/xl/charts/chart39.xml" ContentType="application/vnd.openxmlformats-officedocument.drawingml.chart+xml"/>
  <Override PartName="/xl/charts/chart59.xml" ContentType="application/vnd.openxmlformats-officedocument.drawingml.chart+xml"/>
  <Override PartName="/xl/charts/chart29.xml" ContentType="application/vnd.openxmlformats-officedocument.drawingml.chart+xml"/>
  <Override PartName="/xl/charts/chart79.xml" ContentType="application/vnd.openxmlformats-officedocument.drawingml.chart+xml"/>
  <Override PartName="/xl/charts/chart49.xml" ContentType="application/vnd.openxmlformats-officedocument.drawingml.chart+xml"/>
  <Override PartName="/xl/charts/chart99.xml" ContentType="application/vnd.openxmlformats-officedocument.drawingml.chart+xml"/>
  <Override PartName="/xl/charts/chart69.xml" ContentType="application/vnd.openxmlformats-officedocument.drawingml.chart+xml"/>
  <Override PartName="/xl/charts/chart89.xml" ContentType="application/vnd.openxmlformats-officedocument.drawingml.chart+xml"/>
  <Override PartName="/xl/charts/colors39.xml" ContentType="application/vnd.ms-office.chartcolorstyle+xml"/>
  <Override PartName="/xl/charts/colors38.xml" ContentType="application/vnd.ms-office.chartcolorstyle+xml"/>
  <Override PartName="/xl/charts/colors32.xml" ContentType="application/vnd.ms-office.chartcolorstyle+xml"/>
  <Override PartName="/xl/charts/colors31.xml" ContentType="application/vnd.ms-office.chartcolorstyle+xml"/>
  <Override PartName="/xl/charts/colors30.xml" ContentType="application/vnd.ms-office.chartcolorstyle+xml"/>
  <Override PartName="/xl/charts/colors36.xml" ContentType="application/vnd.ms-office.chartcolorstyle+xml"/>
  <Override PartName="/xl/charts/colors35.xml" ContentType="application/vnd.ms-office.chartcolorstyle+xml"/>
  <Override PartName="/xl/charts/colors34.xml" ContentType="application/vnd.ms-office.chartcolorstyle+xml"/>
  <Override PartName="/xl/charts/colors33.xml" ContentType="application/vnd.ms-office.chartcolorstyle+xml"/>
  <Override PartName="/xl/charts/colors37.xml" ContentType="application/vnd.ms-office.chartcolorstyle+xml"/>
  <Override PartName="/xl/threadedComments/threadedComment1.xml" ContentType="application/vnd.ms-excel.threadedcomments+xml"/>
  <Override PartName="/xl/charts/chart11.xml" ContentType="application/vnd.openxmlformats-officedocument.drawingml.chart+xml"/>
  <Override PartName="/xl/charts/chart31.xml" ContentType="application/vnd.openxmlformats-officedocument.drawingml.chart+xml"/>
  <Override PartName="/xl/charts/chart51.xml" ContentType="application/vnd.openxmlformats-officedocument.drawingml.chart+xml"/>
  <Override PartName="/xl/charts/chart21.xml" ContentType="application/vnd.openxmlformats-officedocument.drawingml.chart+xml"/>
  <Override PartName="/xl/charts/chart71.xml" ContentType="application/vnd.openxmlformats-officedocument.drawingml.chart+xml"/>
  <Override PartName="/xl/charts/chart41.xml" ContentType="application/vnd.openxmlformats-officedocument.drawingml.chart+xml"/>
  <Override PartName="/xl/charts/chart91.xml" ContentType="application/vnd.openxmlformats-officedocument.drawingml.chart+xml"/>
  <Override PartName="/xl/charts/chart61.xml" ContentType="application/vnd.openxmlformats-officedocument.drawingml.chart+xml"/>
  <Override PartName="/xl/charts/chart81.xml" ContentType="application/vnd.openxmlformats-officedocument.drawingml.chart+xml"/>
  <Override PartName="/xl/charts/chart18.xml" ContentType="application/vnd.openxmlformats-officedocument.drawingml.chart+xml"/>
  <Override PartName="/xl/charts/chart38.xml" ContentType="application/vnd.openxmlformats-officedocument.drawingml.chart+xml"/>
  <Override PartName="/xl/charts/chart58.xml" ContentType="application/vnd.openxmlformats-officedocument.drawingml.chart+xml"/>
  <Override PartName="/xl/charts/chart28.xml" ContentType="application/vnd.openxmlformats-officedocument.drawingml.chart+xml"/>
  <Override PartName="/xl/charts/chart78.xml" ContentType="application/vnd.openxmlformats-officedocument.drawingml.chart+xml"/>
  <Override PartName="/xl/charts/chart48.xml" ContentType="application/vnd.openxmlformats-officedocument.drawingml.chart+xml"/>
  <Override PartName="/xl/charts/chart98.xml" ContentType="application/vnd.openxmlformats-officedocument.drawingml.chart+xml"/>
  <Override PartName="/xl/charts/chart68.xml" ContentType="application/vnd.openxmlformats-officedocument.drawingml.chart+xml"/>
  <Override PartName="/xl/charts/chart88.xml" ContentType="application/vnd.openxmlformats-officedocument.drawingml.chart+xml"/>
  <Override PartName="/xl/drawings/drawing9.xml" ContentType="application/vnd.openxmlformats-officedocument.drawing+xml"/>
  <Override PartName="/xl/drawings/drawing5.xml" ContentType="application/vnd.openxmlformats-officedocument.drawing+xml"/>
  <Override PartName="/xl/drawings/drawing8.xml" ContentType="application/vnd.openxmlformats-officedocument.drawing+xml"/>
  <Override PartName="/xl/drawings/drawing1.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0.xml" ContentType="application/vnd.openxmlformats-officedocument.drawingml.chart+xml"/>
  <Override PartName="/xl/charts/chart30.xml" ContentType="application/vnd.openxmlformats-officedocument.drawingml.chart+xml"/>
  <Override PartName="/xl/charts/chart50.xml" ContentType="application/vnd.openxmlformats-officedocument.drawingml.chart+xml"/>
  <Override PartName="/xl/charts/chart20.xml" ContentType="application/vnd.openxmlformats-officedocument.drawingml.chart+xml"/>
  <Override PartName="/xl/charts/chart70.xml" ContentType="application/vnd.openxmlformats-officedocument.drawingml.chart+xml"/>
  <Override PartName="/xl/charts/chart40.xml" ContentType="application/vnd.openxmlformats-officedocument.drawingml.chart+xml"/>
  <Override PartName="/xl/charts/chart90.xml" ContentType="application/vnd.openxmlformats-officedocument.drawingml.chart+xml"/>
  <Override PartName="/xl/charts/chart60.xml" ContentType="application/vnd.openxmlformats-officedocument.drawingml.chart+xml"/>
  <Override PartName="/xl/charts/chart80.xml" ContentType="application/vnd.openxmlformats-officedocument.drawingml.chart+xml"/>
  <Override PartName="/xl/charts/chart13.xml" ContentType="application/vnd.openxmlformats-officedocument.drawingml.chart+xml"/>
  <Override PartName="/xl/charts/chart33.xml" ContentType="application/vnd.openxmlformats-officedocument.drawingml.chart+xml"/>
  <Override PartName="/xl/charts/chart53.xml" ContentType="application/vnd.openxmlformats-officedocument.drawingml.chart+xml"/>
  <Override PartName="/xl/charts/chart23.xml" ContentType="application/vnd.openxmlformats-officedocument.drawingml.chart+xml"/>
  <Override PartName="/xl/charts/chart73.xml" ContentType="application/vnd.openxmlformats-officedocument.drawingml.chart+xml"/>
  <Override PartName="/xl/charts/chart43.xml" ContentType="application/vnd.openxmlformats-officedocument.drawingml.chart+xml"/>
  <Override PartName="/xl/charts/chart93.xml" ContentType="application/vnd.openxmlformats-officedocument.drawingml.chart+xml"/>
  <Override PartName="/xl/charts/chart63.xml" ContentType="application/vnd.openxmlformats-officedocument.drawingml.chart+xml"/>
  <Override PartName="/xl/charts/chart83.xml" ContentType="application/vnd.openxmlformats-officedocument.drawingml.chart+xml"/>
  <Override PartName="/xl/charts/chart12.xml" ContentType="application/vnd.openxmlformats-officedocument.drawingml.chart+xml"/>
  <Override PartName="/xl/charts/chart32.xml" ContentType="application/vnd.openxmlformats-officedocument.drawingml.chart+xml"/>
  <Override PartName="/xl/charts/chart52.xml" ContentType="application/vnd.openxmlformats-officedocument.drawingml.chart+xml"/>
  <Override PartName="/xl/charts/chart22.xml" ContentType="application/vnd.openxmlformats-officedocument.drawingml.chart+xml"/>
  <Override PartName="/xl/charts/chart72.xml" ContentType="application/vnd.openxmlformats-officedocument.drawingml.chart+xml"/>
  <Override PartName="/xl/charts/chart42.xml" ContentType="application/vnd.openxmlformats-officedocument.drawingml.chart+xml"/>
  <Override PartName="/xl/charts/chart92.xml" ContentType="application/vnd.openxmlformats-officedocument.drawingml.chart+xml"/>
  <Override PartName="/xl/charts/chart62.xml" ContentType="application/vnd.openxmlformats-officedocument.drawingml.chart+xml"/>
  <Override PartName="/xl/charts/chart82.xml" ContentType="application/vnd.openxmlformats-officedocument.drawingml.chart+xml"/>
  <Override PartName="/xl/charts/style30.xml" ContentType="application/vnd.ms-office.chartstyle+xml"/>
  <Override PartName="/xl/charts/style10.xml" ContentType="application/vnd.ms-office.chartstyle+xml"/>
  <Override PartName="/xl/charts/style20.xml" ContentType="application/vnd.ms-office.chartstyle+xml"/>
  <Override PartName="/xl/charts/style70.xml" ContentType="application/vnd.ms-office.chartstyle+xml"/>
  <Override PartName="/xl/charts/style50.xml" ContentType="application/vnd.ms-office.chartstyle+xml"/>
  <Override PartName="/xl/charts/style60.xml" ContentType="application/vnd.ms-office.chartstyle+xml"/>
  <Override PartName="/xl/charts/style40.xml" ContentType="application/vnd.ms-office.chartstyle+xml"/>
  <Override PartName="/xl/charts/style80.xml" ContentType="application/vnd.ms-office.chartstyle+xml"/>
  <Override PartName="/xl/charts/style38.xml" ContentType="application/vnd.ms-office.chartstyle+xml"/>
  <Override PartName="/xl/charts/style18.xml" ContentType="application/vnd.ms-office.chartstyle+xml"/>
  <Override PartName="/xl/charts/style28.xml" ContentType="application/vnd.ms-office.chartstyle+xml"/>
  <Override PartName="/xl/charts/style78.xml" ContentType="application/vnd.ms-office.chartstyle+xml"/>
  <Override PartName="/xl/charts/style58.xml" ContentType="application/vnd.ms-office.chartstyle+xml"/>
  <Override PartName="/xl/charts/style68.xml" ContentType="application/vnd.ms-office.chartstyle+xml"/>
  <Override PartName="/xl/charts/style48.xml" ContentType="application/vnd.ms-office.chartstyle+xml"/>
  <Override PartName="/xl/charts/style31.xml" ContentType="application/vnd.ms-office.chartstyle+xml"/>
  <Override PartName="/xl/charts/style11.xml" ContentType="application/vnd.ms-office.chartstyle+xml"/>
  <Override PartName="/xl/charts/style21.xml" ContentType="application/vnd.ms-office.chartstyle+xml"/>
  <Override PartName="/xl/charts/style71.xml" ContentType="application/vnd.ms-office.chartstyle+xml"/>
  <Override PartName="/xl/charts/style51.xml" ContentType="application/vnd.ms-office.chartstyle+xml"/>
  <Override PartName="/xl/charts/style61.xml" ContentType="application/vnd.ms-office.chartstyle+xml"/>
  <Override PartName="/xl/charts/style41.xml" ContentType="application/vnd.ms-office.chartstyle+xml"/>
  <Override PartName="/xl/charts/style81.xml" ContentType="application/vnd.ms-office.chartstyle+xml"/>
  <Override PartName="/xl/charts/style39.xml" ContentType="application/vnd.ms-office.chartstyle+xml"/>
  <Override PartName="/xl/charts/style19.xml" ContentType="application/vnd.ms-office.chartstyle+xml"/>
  <Override PartName="/xl/charts/style29.xml" ContentType="application/vnd.ms-office.chartstyle+xml"/>
  <Override PartName="/xl/charts/style79.xml" ContentType="application/vnd.ms-office.chartstyle+xml"/>
  <Override PartName="/xl/charts/style59.xml" ContentType="application/vnd.ms-office.chartstyle+xml"/>
  <Override PartName="/xl/charts/style69.xml" ContentType="application/vnd.ms-office.chartstyle+xml"/>
  <Override PartName="/xl/charts/style49.xml" ContentType="application/vnd.ms-office.chartstyle+xml"/>
  <Override PartName="/xl/charts/style32.xml" ContentType="application/vnd.ms-office.chartstyle+xml"/>
  <Override PartName="/xl/charts/style12.xml" ContentType="application/vnd.ms-office.chartstyle+xml"/>
  <Override PartName="/xl/charts/style22.xml" ContentType="application/vnd.ms-office.chartstyle+xml"/>
  <Override PartName="/xl/charts/style72.xml" ContentType="application/vnd.ms-office.chartstyle+xml"/>
  <Override PartName="/xl/charts/style52.xml" ContentType="application/vnd.ms-office.chartstyle+xml"/>
  <Override PartName="/xl/charts/style62.xml" ContentType="application/vnd.ms-office.chartstyle+xml"/>
  <Override PartName="/xl/charts/style42.xml" ContentType="application/vnd.ms-office.chartstyle+xml"/>
  <Override PartName="/xl/charts/style82.xml" ContentType="application/vnd.ms-office.chartstyle+xml"/>
  <Override PartName="/xl/charts/style37.xml" ContentType="application/vnd.ms-office.chartstyle+xml"/>
  <Override PartName="/xl/charts/style17.xml" ContentType="application/vnd.ms-office.chartstyle+xml"/>
  <Override PartName="/xl/charts/style27.xml" ContentType="application/vnd.ms-office.chartstyle+xml"/>
  <Override PartName="/xl/charts/style77.xml" ContentType="application/vnd.ms-office.chartstyle+xml"/>
  <Override PartName="/xl/charts/style57.xml" ContentType="application/vnd.ms-office.chartstyle+xml"/>
  <Override PartName="/xl/charts/style67.xml" ContentType="application/vnd.ms-office.chartstyle+xml"/>
  <Override PartName="/xl/charts/style47.xml" ContentType="application/vnd.ms-office.chartstyle+xml"/>
  <Override PartName="/xl/worksheets/sheet6.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colors49.xml" ContentType="application/vnd.ms-office.chartcolorstyle+xml"/>
  <Override PartName="/xl/charts/colors48.xml" ContentType="application/vnd.ms-office.chartcolorstyle+xml"/>
  <Override PartName="/xl/charts/colors42.xml" ContentType="application/vnd.ms-office.chartcolorstyle+xml"/>
  <Override PartName="/xl/charts/colors41.xml" ContentType="application/vnd.ms-office.chartcolorstyle+xml"/>
  <Override PartName="/xl/charts/colors40.xml" ContentType="application/vnd.ms-office.chartcolorstyle+xml"/>
  <Override PartName="/xl/charts/colors46.xml" ContentType="application/vnd.ms-office.chartcolorstyle+xml"/>
  <Override PartName="/xl/charts/colors45.xml" ContentType="application/vnd.ms-office.chartcolorstyle+xml"/>
  <Override PartName="/xl/charts/colors44.xml" ContentType="application/vnd.ms-office.chartcolorstyle+xml"/>
  <Override PartName="/xl/charts/colors43.xml" ContentType="application/vnd.ms-office.chartcolorstyle+xml"/>
  <Override PartName="/xl/charts/colors47.xml" ContentType="application/vnd.ms-office.chartcolorstyle+xml"/>
  <Override PartName="/xl/theme/theme1.xml" ContentType="application/vnd.openxmlformats-officedocument.theme+xml"/>
  <Override PartName="/xl/externalLinks/externalLink1.xml" ContentType="application/vnd.openxmlformats-officedocument.spreadsheetml.externalLink+xml"/>
  <Override PartName="/xl/drawings/drawing11.xml" ContentType="application/vnd.openxmlformats-officedocument.drawing+xml"/>
  <Override PartName="/xl/charts/colors82.xml" ContentType="application/vnd.ms-office.chartcolorstyle+xml"/>
  <Override PartName="/xl/charts/colors81.xml" ContentType="application/vnd.ms-office.chartcolorstyle+xml"/>
  <Override PartName="/xl/charts/colors80.xml" ContentType="application/vnd.ms-office.chartcolorstyle+xml"/>
  <Override PartName="/xl/drawings/drawing19.xml" ContentType="application/vnd.openxmlformats-officedocument.drawing+xml"/>
  <Override PartName="/xl/charts/style1.xml" ContentType="application/vnd.ms-office.chartstyle+xml"/>
  <Override PartName="/xl/charts/style2.xml" ContentType="application/vnd.ms-office.chartstyle+xml"/>
  <Override PartName="/xl/charts/style3.xml" ContentType="application/vnd.ms-office.chartstyle+xml"/>
  <Override PartName="/xl/charts/style5.xml" ContentType="application/vnd.ms-office.chartstyle+xml"/>
  <Override PartName="/xl/charts/style6.xml" ContentType="application/vnd.ms-office.chartstyle+xml"/>
  <Override PartName="/xl/charts/style7.xml" ContentType="application/vnd.ms-office.chartstyle+xml"/>
  <Override PartName="/xl/charts/style9.xml" ContentType="application/vnd.ms-office.chartstyle+xml"/>
  <Override PartName="/xl/charts/style4.xml" ContentType="application/vnd.ms-office.chartstyle+xml"/>
  <Override PartName="/xl/charts/style8.xml" ContentType="application/vnd.ms-office.chartstyle+xml"/>
  <Override PartName="/xl/charts/colors69.xml" ContentType="application/vnd.ms-office.chartcolorstyle+xml"/>
  <Override PartName="/xl/charts/colors68.xml" ContentType="application/vnd.ms-office.chartcolorstyle+xml"/>
  <Override PartName="/xl/charts/colors62.xml" ContentType="application/vnd.ms-office.chartcolorstyle+xml"/>
  <Override PartName="/xl/charts/colors61.xml" ContentType="application/vnd.ms-office.chartcolorstyle+xml"/>
  <Override PartName="/xl/charts/colors60.xml" ContentType="application/vnd.ms-office.chartcolorstyle+xml"/>
  <Override PartName="/xl/charts/colors66.xml" ContentType="application/vnd.ms-office.chartcolorstyle+xml"/>
  <Override PartName="/xl/charts/colors65.xml" ContentType="application/vnd.ms-office.chartcolorstyle+xml"/>
  <Override PartName="/xl/charts/colors64.xml" ContentType="application/vnd.ms-office.chartcolorstyle+xml"/>
  <Override PartName="/xl/charts/colors63.xml" ContentType="application/vnd.ms-office.chartcolorstyle+xml"/>
  <Override PartName="/xl/charts/colors67.xml" ContentType="application/vnd.ms-office.chartcolorstyle+xml"/>
  <Override PartName="/xl/charts/colors29.xml" ContentType="application/vnd.ms-office.chartcolorstyle+xml"/>
  <Override PartName="/xl/charts/colors28.xml" ContentType="application/vnd.ms-office.chartcolorstyle+xml"/>
  <Override PartName="/xl/charts/colors22.xml" ContentType="application/vnd.ms-office.chartcolorstyle+xml"/>
  <Override PartName="/xl/charts/colors21.xml" ContentType="application/vnd.ms-office.chartcolorstyle+xml"/>
  <Override PartName="/xl/charts/colors20.xml" ContentType="application/vnd.ms-office.chartcolorstyle+xml"/>
  <Override PartName="/xl/charts/colors26.xml" ContentType="application/vnd.ms-office.chartcolorstyle+xml"/>
  <Override PartName="/xl/charts/colors25.xml" ContentType="application/vnd.ms-office.chartcolorstyle+xml"/>
  <Override PartName="/xl/charts/colors24.xml" ContentType="application/vnd.ms-office.chartcolorstyle+xml"/>
  <Override PartName="/xl/charts/colors23.xml" ContentType="application/vnd.ms-office.chartcolorstyle+xml"/>
  <Override PartName="/xl/charts/colors27.xml" ContentType="application/vnd.ms-office.chartcolorstyle+xml"/>
  <Override PartName="/xl/charts/colors6.xml" ContentType="application/vnd.ms-office.chartcolorstyle+xml"/>
  <Override PartName="/xl/charts/colors7.xml" ContentType="application/vnd.ms-office.chartcolorstyle+xml"/>
  <Override PartName="/xl/charts/chart121.xml" ContentType="application/vnd.openxmlformats-officedocument.drawingml.chart+xml"/>
  <Override PartName="/xl/charts/chart120.xml" ContentType="application/vnd.openxmlformats-officedocument.drawingml.chart+xml"/>
  <Override PartName="/xl/charts/chart125.xml" ContentType="application/vnd.openxmlformats-officedocument.drawingml.chart+xml"/>
  <Override PartName="/xl/charts/chart124.xml" ContentType="application/vnd.openxmlformats-officedocument.drawingml.chart+xml"/>
  <Override PartName="/xl/charts/chart123.xml" ContentType="application/vnd.openxmlformats-officedocument.drawingml.chart+xml"/>
  <Override PartName="/xl/charts/chart122.xml" ContentType="application/vnd.openxmlformats-officedocument.drawingml.chart+xml"/>
  <Override PartName="/xl/charts/chart129.xml" ContentType="application/vnd.openxmlformats-officedocument.drawingml.chart+xml"/>
  <Override PartName="/xl/charts/chart128.xml" ContentType="application/vnd.openxmlformats-officedocument.drawingml.chart+xml"/>
  <Override PartName="/xl/charts/chart127.xml" ContentType="application/vnd.openxmlformats-officedocument.drawingml.chart+xml"/>
  <Override PartName="/xl/charts/chart126.xml" ContentType="application/vnd.openxmlformats-officedocument.drawingml.chart+xml"/>
  <Override PartName="/xl/worksheets/sheet16.xml" ContentType="application/vnd.openxmlformats-officedocument.spreadsheetml.worksheet+xml"/>
  <Override PartName="/xl/charts/chart1.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9.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4.xml" ContentType="application/vnd.openxmlformats-officedocument.drawingml.chart+xml"/>
  <Override PartName="/xl/charts/chart8.xml" ContentType="application/vnd.openxmlformats-officedocument.drawingml.chart+xml"/>
  <Override PartName="/xl/charts/chart101.xml" ContentType="application/vnd.openxmlformats-officedocument.drawingml.chart+xml"/>
  <Override PartName="/xl/charts/chart100.xml" ContentType="application/vnd.openxmlformats-officedocument.drawingml.chart+xml"/>
  <Override PartName="/xl/charts/chart105.xml" ContentType="application/vnd.openxmlformats-officedocument.drawingml.chart+xml"/>
  <Override PartName="/xl/charts/chart104.xml" ContentType="application/vnd.openxmlformats-officedocument.drawingml.chart+xml"/>
  <Override PartName="/xl/charts/chart103.xml" ContentType="application/vnd.openxmlformats-officedocument.drawingml.chart+xml"/>
  <Override PartName="/xl/charts/chart102.xml" ContentType="application/vnd.openxmlformats-officedocument.drawingml.chart+xml"/>
  <Override PartName="/xl/charts/chart109.xml" ContentType="application/vnd.openxmlformats-officedocument.drawingml.chart+xml"/>
  <Override PartName="/xl/charts/chart108.xml" ContentType="application/vnd.openxmlformats-officedocument.drawingml.chart+xml"/>
  <Override PartName="/xl/charts/chart107.xml" ContentType="application/vnd.openxmlformats-officedocument.drawingml.chart+xml"/>
  <Override PartName="/xl/charts/chart106.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1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drawings/drawing14.xml" ContentType="application/vnd.openxmlformats-officedocument.drawing+xml"/>
  <Override PartName="/xl/drawings/drawing17.xml" ContentType="application/vnd.openxmlformats-officedocument.drawing+xml"/>
  <Override PartName="/xl/charts/chart15.xml" ContentType="application/vnd.openxmlformats-officedocument.drawingml.chart+xml"/>
  <Override PartName="/xl/charts/chart35.xml" ContentType="application/vnd.openxmlformats-officedocument.drawingml.chart+xml"/>
  <Override PartName="/xl/charts/chart55.xml" ContentType="application/vnd.openxmlformats-officedocument.drawingml.chart+xml"/>
  <Override PartName="/xl/charts/chart25.xml" ContentType="application/vnd.openxmlformats-officedocument.drawingml.chart+xml"/>
  <Override PartName="/xl/charts/chart75.xml" ContentType="application/vnd.openxmlformats-officedocument.drawingml.chart+xml"/>
  <Override PartName="/xl/charts/chart45.xml" ContentType="application/vnd.openxmlformats-officedocument.drawingml.chart+xml"/>
  <Override PartName="/xl/charts/chart95.xml" ContentType="application/vnd.openxmlformats-officedocument.drawingml.chart+xml"/>
  <Override PartName="/xl/charts/chart65.xml" ContentType="application/vnd.openxmlformats-officedocument.drawingml.chart+xml"/>
  <Override PartName="/xl/charts/chart85.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charts/chart34.xml" ContentType="application/vnd.openxmlformats-officedocument.drawingml.chart+xml"/>
  <Override PartName="/xl/charts/chart54.xml" ContentType="application/vnd.openxmlformats-officedocument.drawingml.chart+xml"/>
  <Override PartName="/xl/charts/chart24.xml" ContentType="application/vnd.openxmlformats-officedocument.drawingml.chart+xml"/>
  <Override PartName="/xl/charts/chart74.xml" ContentType="application/vnd.openxmlformats-officedocument.drawingml.chart+xml"/>
  <Override PartName="/xl/charts/chart44.xml" ContentType="application/vnd.openxmlformats-officedocument.drawingml.chart+xml"/>
  <Override PartName="/xl/charts/chart94.xml" ContentType="application/vnd.openxmlformats-officedocument.drawingml.chart+xml"/>
  <Override PartName="/xl/charts/chart64.xml" ContentType="application/vnd.openxmlformats-officedocument.drawingml.chart+xml"/>
  <Override PartName="/xl/charts/chart84.xml" ContentType="application/vnd.openxmlformats-officedocument.drawingml.chart+xml"/>
  <Override PartName="/xl/sharedStrings.xml" ContentType="application/vnd.openxmlformats-officedocument.spreadsheetml.sharedStrings+xml"/>
  <Override PartName="/xl/charts/chart17.xml" ContentType="application/vnd.openxmlformats-officedocument.drawingml.chart+xml"/>
  <Override PartName="/xl/charts/chart37.xml" ContentType="application/vnd.openxmlformats-officedocument.drawingml.chart+xml"/>
  <Override PartName="/xl/charts/chart57.xml" ContentType="application/vnd.openxmlformats-officedocument.drawingml.chart+xml"/>
  <Override PartName="/xl/charts/chart27.xml" ContentType="application/vnd.openxmlformats-officedocument.drawingml.chart+xml"/>
  <Override PartName="/xl/charts/chart77.xml" ContentType="application/vnd.openxmlformats-officedocument.drawingml.chart+xml"/>
  <Override PartName="/xl/charts/chart47.xml" ContentType="application/vnd.openxmlformats-officedocument.drawingml.chart+xml"/>
  <Override PartName="/xl/charts/chart97.xml" ContentType="application/vnd.openxmlformats-officedocument.drawingml.chart+xml"/>
  <Override PartName="/xl/charts/chart67.xml" ContentType="application/vnd.openxmlformats-officedocument.drawingml.chart+xml"/>
  <Override PartName="/xl/charts/chart87.xml" ContentType="application/vnd.openxmlformats-officedocument.drawingml.chart+xml"/>
  <Override PartName="/xl/charts/chart16.xml" ContentType="application/vnd.openxmlformats-officedocument.drawingml.chart+xml"/>
  <Override PartName="/xl/charts/chart36.xml" ContentType="application/vnd.openxmlformats-officedocument.drawingml.chart+xml"/>
  <Override PartName="/xl/charts/chart56.xml" ContentType="application/vnd.openxmlformats-officedocument.drawingml.chart+xml"/>
  <Override PartName="/xl/charts/chart26.xml" ContentType="application/vnd.openxmlformats-officedocument.drawingml.chart+xml"/>
  <Override PartName="/xl/charts/chart76.xml" ContentType="application/vnd.openxmlformats-officedocument.drawingml.chart+xml"/>
  <Override PartName="/xl/charts/chart46.xml" ContentType="application/vnd.openxmlformats-officedocument.drawingml.chart+xml"/>
  <Override PartName="/xl/charts/chart96.xml" ContentType="application/vnd.openxmlformats-officedocument.drawingml.chart+xml"/>
  <Override PartName="/xl/charts/chart66.xml" ContentType="application/vnd.openxmlformats-officedocument.drawingml.chart+xml"/>
  <Override PartName="/xl/charts/chart86.xml" ContentType="application/vnd.openxmlformats-officedocument.drawingml.char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harts/colors8.xml" ContentType="application/vnd.ms-office.chartcolorstyle+xml"/>
  <Override PartName="/xl/charts/colors1.xml" ContentType="application/vnd.ms-office.chartcolorstyle+xml"/>
  <Override PartName="/xl/charts/colors9.xml" ContentType="application/vnd.ms-office.chartcolorstyle+xml"/>
  <Override PartName="/xl/charts/style34.xml" ContentType="application/vnd.ms-office.chartstyle+xml"/>
  <Override PartName="/xl/charts/style14.xml" ContentType="application/vnd.ms-office.chartstyle+xml"/>
  <Override PartName="/xl/charts/style24.xml" ContentType="application/vnd.ms-office.chartstyle+xml"/>
  <Override PartName="/xl/charts/style74.xml" ContentType="application/vnd.ms-office.chartstyle+xml"/>
  <Override PartName="/xl/charts/style54.xml" ContentType="application/vnd.ms-office.chartstyle+xml"/>
  <Override PartName="/xl/charts/style64.xml" ContentType="application/vnd.ms-office.chartstyle+xml"/>
  <Override PartName="/xl/charts/style44.xml" ContentType="application/vnd.ms-office.chartstyle+xml"/>
  <Override PartName="/xl/charts/style35.xml" ContentType="application/vnd.ms-office.chartstyle+xml"/>
  <Override PartName="/xl/charts/style15.xml" ContentType="application/vnd.ms-office.chartstyle+xml"/>
  <Override PartName="/xl/charts/style25.xml" ContentType="application/vnd.ms-office.chartstyle+xml"/>
  <Override PartName="/xl/charts/style75.xml" ContentType="application/vnd.ms-office.chartstyle+xml"/>
  <Override PartName="/xl/charts/style55.xml" ContentType="application/vnd.ms-office.chartstyle+xml"/>
  <Override PartName="/xl/charts/style65.xml" ContentType="application/vnd.ms-office.chartstyle+xml"/>
  <Override PartName="/xl/charts/style45.xml" ContentType="application/vnd.ms-office.chartstyle+xml"/>
  <Override PartName="/xl/charts/chart130.xml" ContentType="application/vnd.openxmlformats-officedocument.drawingml.chart+xml"/>
  <Override PartName="/xl/charts/style36.xml" ContentType="application/vnd.ms-office.chartstyle+xml"/>
  <Override PartName="/xl/charts/style16.xml" ContentType="application/vnd.ms-office.chartstyle+xml"/>
  <Override PartName="/xl/charts/style26.xml" ContentType="application/vnd.ms-office.chartstyle+xml"/>
  <Override PartName="/xl/charts/style76.xml" ContentType="application/vnd.ms-office.chartstyle+xml"/>
  <Override PartName="/xl/charts/style56.xml" ContentType="application/vnd.ms-office.chartstyle+xml"/>
  <Override PartName="/xl/charts/style66.xml" ContentType="application/vnd.ms-office.chartstyle+xml"/>
  <Override PartName="/xl/charts/style46.xml" ContentType="application/vnd.ms-office.chartstyle+xml"/>
  <Override PartName="/xl/calcChain.xml" ContentType="application/vnd.openxmlformats-officedocument.spreadsheetml.calcChain+xml"/>
  <Override PartName="/xl/charts/chart111.xml" ContentType="application/vnd.openxmlformats-officedocument.drawingml.chart+xml"/>
  <Override PartName="/xl/charts/chart110.xml" ContentType="application/vnd.openxmlformats-officedocument.drawingml.chart+xml"/>
  <Override PartName="/xl/charts/chart115.xml" ContentType="application/vnd.openxmlformats-officedocument.drawingml.chart+xml"/>
  <Override PartName="/xl/charts/chart114.xml" ContentType="application/vnd.openxmlformats-officedocument.drawingml.chart+xml"/>
  <Override PartName="/xl/charts/chart113.xml" ContentType="application/vnd.openxmlformats-officedocument.drawingml.chart+xml"/>
  <Override PartName="/xl/charts/chart112.xml" ContentType="application/vnd.openxmlformats-officedocument.drawingml.chart+xml"/>
  <Override PartName="/xl/charts/chart119.xml" ContentType="application/vnd.openxmlformats-officedocument.drawingml.chart+xml"/>
  <Override PartName="/xl/charts/chart118.xml" ContentType="application/vnd.openxmlformats-officedocument.drawingml.chart+xml"/>
  <Override PartName="/xl/charts/chart117.xml" ContentType="application/vnd.openxmlformats-officedocument.drawingml.chart+xml"/>
  <Override PartName="/xl/charts/chart116.xml" ContentType="application/vnd.openxmlformats-officedocument.drawingml.chart+xml"/>
  <Override PartName="/xl/styles.xml" ContentType="application/vnd.openxmlformats-officedocument.spreadsheetml.styles+xml"/>
  <Override PartName="/xl/metadata.xml" ContentType="application/vnd.openxmlformats-officedocument.spreadsheetml.sheetMetadata+xml"/>
  <Override PartName="/xl/charts/style33.xml" ContentType="application/vnd.ms-office.chartstyle+xml"/>
  <Override PartName="/xl/charts/style13.xml" ContentType="application/vnd.ms-office.chartstyle+xml"/>
  <Override PartName="/xl/charts/style23.xml" ContentType="application/vnd.ms-office.chartstyle+xml"/>
  <Override PartName="/xl/charts/style73.xml" ContentType="application/vnd.ms-office.chartstyle+xml"/>
  <Override PartName="/xl/charts/style53.xml" ContentType="application/vnd.ms-office.chartstyle+xml"/>
  <Override PartName="/xl/charts/style63.xml" ContentType="application/vnd.ms-office.chartstyle+xml"/>
  <Override PartName="/xl/charts/style43.xml" ContentType="application/vnd.ms-office.chartstyle+xml"/>
  <Override PartName="/xl/worksheets/sheet22.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15.xml" ContentType="application/vnd.openxmlformats-officedocument.drawing+xml"/>
  <Override PartName="/xl/persons/person.xml" ContentType="application/vnd.ms-excel.person+xml"/>
  <Override PartName="/xl/drawings/drawing10.xml" ContentType="application/vnd.openxmlformats-officedocument.drawing+xml"/>
  <Override PartName="/xl/drawings/drawing20.xml" ContentType="application/vnd.openxmlformats-officedocument.drawing+xml"/>
  <Override PartName="/xl/drawings/drawing18.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charts/colors2.xml" ContentType="application/vnd.ms-office.chartcolorstyle+xml"/>
  <Override PartName="/xl/charts/colors3.xml" ContentType="application/vnd.ms-office.chartcolorstyle+xml"/>
  <Override PartName="/xl/charts/colors4.xml" ContentType="application/vnd.ms-office.chartcolorstyle+xml"/>
  <Override PartName="/xl/charts/colors5.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ttps://idom-my.sharepoint.com/personal/elena_gomez_idom_com/Documents/P103310_GVA_Herramienta CC/03_ELABORADO/03. Herramienta/"/>
    </mc:Choice>
  </mc:AlternateContent>
  <xr:revisionPtr revIDLastSave="425" documentId="8_{3F5A23D3-8FC0-49D7-9500-22CA5EA67D80}" xr6:coauthVersionLast="47" xr6:coauthVersionMax="47" xr10:uidLastSave="{F98F3B8C-6CE1-44E1-960F-7621268E8EFE}"/>
  <bookViews>
    <workbookView xWindow="-108" yWindow="-108" windowWidth="23256" windowHeight="12576" tabRatio="925" xr2:uid="{0B691674-BD9B-4487-B869-9D124ABF8BA1}"/>
  </bookViews>
  <sheets>
    <sheet name="Instrucciones" sheetId="53" r:id="rId1"/>
    <sheet name="M_Datos" sheetId="55" r:id="rId2"/>
    <sheet name="M_A0" sheetId="59" r:id="rId3"/>
    <sheet name="M_A1" sheetId="95" r:id="rId4"/>
    <sheet name="M_A2" sheetId="96" r:id="rId5"/>
    <sheet name="M_A3" sheetId="97" r:id="rId6"/>
    <sheet name="M_A4" sheetId="98" r:id="rId7"/>
    <sheet name="M_Cálculos" sheetId="93" state="hidden" r:id="rId8"/>
    <sheet name="M_Cálculos_ND" sheetId="94" state="hidden" r:id="rId9"/>
    <sheet name="M_Resultados" sheetId="68" r:id="rId10"/>
    <sheet name="M_Cálculos propios" sheetId="74" state="hidden" r:id="rId11"/>
    <sheet name="M_FactoresComplement" sheetId="92" state="hidden" r:id="rId12"/>
    <sheet name="M_Nuevos Desarrollos" sheetId="91" r:id="rId13"/>
    <sheet name="M_Lista" sheetId="77" state="hidden" r:id="rId14"/>
    <sheet name="M_Factores" sheetId="67" r:id="rId15"/>
    <sheet name="B_Alcance" sheetId="70" r:id="rId16"/>
    <sheet name="B_Checklist" sheetId="47" r:id="rId17"/>
    <sheet name="B_Cálculos" sheetId="49" r:id="rId18"/>
    <sheet name="B_Resultados" sheetId="51" r:id="rId19"/>
    <sheet name="Resultados_generales" sheetId="71" r:id="rId20"/>
    <sheet name="B_Desplegable" sheetId="90" state="hidden" r:id="rId21"/>
    <sheet name="Medidas_Propuestas" sheetId="72" r:id="rId22"/>
  </sheets>
  <externalReferences>
    <externalReference r:id="rId23"/>
  </externalReferences>
  <definedNames>
    <definedName name="_xlnm._FilterDatabase" localSheetId="11" hidden="1">M_FactoresComplement!$C$445:$I$781</definedName>
    <definedName name="Alicante">M_Lista!$B$404:$B$544</definedName>
    <definedName name="Castellano">Instrucciones!$B$29</definedName>
    <definedName name="Castellón">M_Lista!$B$3:$B$137</definedName>
    <definedName name="General">M_Lista!$M$14</definedName>
    <definedName name="Herbáceos">M_Lista!$M$3:$M$5</definedName>
    <definedName name="Idioma">Instrucciones!$Q$24</definedName>
    <definedName name="Leñosos">M_Lista!$M$6:$M$12</definedName>
    <definedName name="Prados">M_Lista!$M$13</definedName>
    <definedName name="Valencia">M_Lista!$B$138:$B$403</definedName>
    <definedName name="Valencià">Instrucciones!$B$30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53" l="1"/>
  <c r="Q30" i="91" l="1"/>
  <c r="S13" i="91"/>
  <c r="Q84" i="68"/>
  <c r="D107" i="94"/>
  <c r="D106" i="94"/>
  <c r="D97" i="94"/>
  <c r="D96" i="94"/>
  <c r="D87" i="94"/>
  <c r="D86" i="94"/>
  <c r="D77" i="94"/>
  <c r="D76" i="94"/>
  <c r="D60" i="94"/>
  <c r="D59" i="94"/>
  <c r="D50" i="94"/>
  <c r="D49" i="94"/>
  <c r="D40" i="94"/>
  <c r="D39" i="94"/>
  <c r="D30" i="94"/>
  <c r="D29" i="94"/>
  <c r="D107" i="93"/>
  <c r="D106" i="93"/>
  <c r="D97" i="93"/>
  <c r="D96" i="93"/>
  <c r="D87" i="93"/>
  <c r="D86" i="93"/>
  <c r="D76" i="93"/>
  <c r="D77" i="93"/>
  <c r="D79" i="97"/>
  <c r="E79" i="97"/>
  <c r="F79" i="97"/>
  <c r="G79" i="97"/>
  <c r="H79" i="97"/>
  <c r="I79" i="97"/>
  <c r="J79" i="97"/>
  <c r="D80" i="97"/>
  <c r="E80" i="97"/>
  <c r="F80" i="97"/>
  <c r="G80" i="97"/>
  <c r="H80" i="97"/>
  <c r="I80" i="97"/>
  <c r="J80" i="97"/>
  <c r="D81" i="97"/>
  <c r="E81" i="97"/>
  <c r="F81" i="97"/>
  <c r="G81" i="97"/>
  <c r="H81" i="97"/>
  <c r="I81" i="97"/>
  <c r="J81" i="97"/>
  <c r="D82" i="97"/>
  <c r="E82" i="97"/>
  <c r="F82" i="97"/>
  <c r="G82" i="97"/>
  <c r="H82" i="97"/>
  <c r="I82" i="97"/>
  <c r="J82" i="97"/>
  <c r="D83" i="97"/>
  <c r="E83" i="97"/>
  <c r="F83" i="97"/>
  <c r="G83" i="97"/>
  <c r="H83" i="97"/>
  <c r="I83" i="97"/>
  <c r="J83" i="97"/>
  <c r="K83" i="97"/>
  <c r="D79" i="96"/>
  <c r="E79" i="96"/>
  <c r="F79" i="96"/>
  <c r="G79" i="96"/>
  <c r="H79" i="96"/>
  <c r="I79" i="96"/>
  <c r="J79" i="96"/>
  <c r="D80" i="96"/>
  <c r="K80" i="96" s="1"/>
  <c r="E80" i="96"/>
  <c r="F80" i="96"/>
  <c r="G80" i="96"/>
  <c r="H80" i="96"/>
  <c r="I80" i="96"/>
  <c r="J80" i="96"/>
  <c r="D81" i="96"/>
  <c r="E81" i="96"/>
  <c r="F81" i="96"/>
  <c r="K81" i="96" s="1"/>
  <c r="G81" i="96"/>
  <c r="H81" i="96"/>
  <c r="I81" i="96"/>
  <c r="J81" i="96"/>
  <c r="D82" i="96"/>
  <c r="E82" i="96"/>
  <c r="F82" i="96"/>
  <c r="G82" i="96"/>
  <c r="H82" i="96"/>
  <c r="I82" i="96"/>
  <c r="J82" i="96"/>
  <c r="D83" i="96"/>
  <c r="K83" i="96" s="1"/>
  <c r="E83" i="96"/>
  <c r="F83" i="96"/>
  <c r="G83" i="96"/>
  <c r="H83" i="96"/>
  <c r="I83" i="96"/>
  <c r="J83" i="96"/>
  <c r="D79" i="95"/>
  <c r="E79" i="95"/>
  <c r="F79" i="95"/>
  <c r="G79" i="95"/>
  <c r="H79" i="95"/>
  <c r="I79" i="95"/>
  <c r="J79" i="95"/>
  <c r="D80" i="95"/>
  <c r="E80" i="95"/>
  <c r="F80" i="95"/>
  <c r="G80" i="95"/>
  <c r="H80" i="95"/>
  <c r="I80" i="95"/>
  <c r="J80" i="95"/>
  <c r="D81" i="95"/>
  <c r="E81" i="95"/>
  <c r="F81" i="95"/>
  <c r="K81" i="95" s="1"/>
  <c r="G81" i="95"/>
  <c r="H81" i="95"/>
  <c r="I81" i="95"/>
  <c r="J81" i="95"/>
  <c r="D82" i="95"/>
  <c r="E82" i="95"/>
  <c r="F82" i="95"/>
  <c r="G82" i="95"/>
  <c r="H82" i="95"/>
  <c r="I82" i="95"/>
  <c r="J82" i="95"/>
  <c r="D83" i="95"/>
  <c r="K83" i="95" s="1"/>
  <c r="E83" i="95"/>
  <c r="F83" i="95"/>
  <c r="G83" i="95"/>
  <c r="H83" i="95"/>
  <c r="I83" i="95"/>
  <c r="J83" i="95"/>
  <c r="D79" i="59"/>
  <c r="E79" i="59"/>
  <c r="G79" i="59"/>
  <c r="H79" i="59"/>
  <c r="I79" i="59"/>
  <c r="J79" i="59"/>
  <c r="D80" i="59"/>
  <c r="E80" i="59"/>
  <c r="G80" i="59"/>
  <c r="H80" i="59"/>
  <c r="I80" i="59"/>
  <c r="J80" i="59"/>
  <c r="D81" i="59"/>
  <c r="E81" i="59"/>
  <c r="G81" i="59"/>
  <c r="H81" i="59"/>
  <c r="I81" i="59"/>
  <c r="J81" i="59"/>
  <c r="D82" i="59"/>
  <c r="E82" i="59"/>
  <c r="G82" i="59"/>
  <c r="H82" i="59"/>
  <c r="I82" i="59"/>
  <c r="J82" i="59"/>
  <c r="D83" i="59"/>
  <c r="E83" i="59"/>
  <c r="G83" i="59"/>
  <c r="H83" i="59"/>
  <c r="I83" i="59"/>
  <c r="J83" i="59"/>
  <c r="K82" i="95" l="1"/>
  <c r="K82" i="96"/>
  <c r="K82" i="97"/>
  <c r="K81" i="97"/>
  <c r="K80" i="95"/>
  <c r="K79" i="95"/>
  <c r="K79" i="96"/>
  <c r="K80" i="97"/>
  <c r="K79" i="97"/>
  <c r="F129" i="47"/>
  <c r="F127" i="47"/>
  <c r="F116" i="47"/>
  <c r="F73" i="47"/>
  <c r="F69" i="47"/>
  <c r="N22" i="68" l="1"/>
  <c r="N23" i="68"/>
  <c r="N24" i="68"/>
  <c r="L22" i="68"/>
  <c r="L23" i="68"/>
  <c r="L24" i="68"/>
  <c r="F32" i="47"/>
  <c r="F17" i="47"/>
  <c r="S90" i="98"/>
  <c r="S90" i="97"/>
  <c r="M23" i="68" l="1"/>
  <c r="K23" i="68"/>
  <c r="S97" i="98"/>
  <c r="S98" i="98"/>
  <c r="S99" i="98"/>
  <c r="S100" i="98"/>
  <c r="S101" i="98"/>
  <c r="T96" i="98" a="1"/>
  <c r="T96" i="98"/>
  <c r="S96" i="98"/>
  <c r="R97" i="98"/>
  <c r="R98" i="98"/>
  <c r="R99" i="98"/>
  <c r="R100" i="98"/>
  <c r="R101" i="98"/>
  <c r="R96" i="98"/>
  <c r="T96" i="97" a="1"/>
  <c r="T96" i="97" s="1"/>
  <c r="S97" i="97"/>
  <c r="S98" i="97"/>
  <c r="S99" i="97"/>
  <c r="S100" i="97"/>
  <c r="S101" i="97"/>
  <c r="S96" i="97"/>
  <c r="R97" i="97"/>
  <c r="R98" i="97"/>
  <c r="R99" i="97"/>
  <c r="R100" i="97"/>
  <c r="R101" i="97"/>
  <c r="R96" i="97"/>
  <c r="D8" i="70"/>
  <c r="H251" i="74"/>
  <c r="D103" i="55"/>
  <c r="D115" i="55"/>
  <c r="O29" i="55"/>
  <c r="D101" i="55"/>
  <c r="E11" i="70"/>
  <c r="Q29" i="55"/>
  <c r="P29" i="55"/>
  <c r="N29" i="55"/>
  <c r="O28" i="55"/>
  <c r="O27" i="55"/>
  <c r="O26" i="55"/>
  <c r="F16" i="47"/>
  <c r="F63" i="47" l="1"/>
  <c r="Q33" i="55"/>
  <c r="F105" i="47"/>
  <c r="F61" i="47"/>
  <c r="F14" i="47"/>
  <c r="C12" i="92"/>
  <c r="I14" i="92"/>
  <c r="H14" i="92"/>
  <c r="G14" i="92"/>
  <c r="E13" i="92"/>
  <c r="D13" i="92"/>
  <c r="C13" i="92"/>
  <c r="I445" i="92"/>
  <c r="H445" i="92"/>
  <c r="G445" i="92"/>
  <c r="C443" i="92"/>
  <c r="C444" i="92"/>
  <c r="E444" i="92"/>
  <c r="D444" i="92"/>
  <c r="G788" i="92"/>
  <c r="E788" i="92"/>
  <c r="D788" i="92"/>
  <c r="C788" i="92"/>
  <c r="C785" i="92"/>
  <c r="C439" i="92"/>
  <c r="C441" i="92"/>
  <c r="C4" i="92"/>
  <c r="C8" i="92"/>
  <c r="C6" i="92"/>
  <c r="C37" i="72"/>
  <c r="C36" i="72"/>
  <c r="C35" i="72"/>
  <c r="C34" i="72"/>
  <c r="C33" i="72"/>
  <c r="C32" i="72"/>
  <c r="C31" i="72"/>
  <c r="C30" i="72"/>
  <c r="C29" i="72"/>
  <c r="C28" i="72"/>
  <c r="C27" i="72"/>
  <c r="C26" i="72"/>
  <c r="C25" i="72"/>
  <c r="C24" i="72"/>
  <c r="C23" i="72"/>
  <c r="C22" i="72"/>
  <c r="C21" i="72"/>
  <c r="C20" i="72"/>
  <c r="C19" i="72"/>
  <c r="C17" i="72"/>
  <c r="C18" i="72"/>
  <c r="C16" i="72"/>
  <c r="C15" i="72"/>
  <c r="C14" i="72"/>
  <c r="C13" i="72"/>
  <c r="C12" i="72"/>
  <c r="C11" i="72"/>
  <c r="I32" i="72"/>
  <c r="I29" i="72"/>
  <c r="I13" i="72"/>
  <c r="I37" i="72"/>
  <c r="I36" i="72"/>
  <c r="I35" i="72"/>
  <c r="I34" i="72"/>
  <c r="I33" i="72"/>
  <c r="I31" i="72"/>
  <c r="I28" i="72"/>
  <c r="I27" i="72"/>
  <c r="I22" i="72"/>
  <c r="I21" i="72"/>
  <c r="I20" i="72"/>
  <c r="I19" i="72"/>
  <c r="I18" i="72"/>
  <c r="I17" i="72"/>
  <c r="I16" i="72"/>
  <c r="I15" i="72"/>
  <c r="I11" i="72"/>
  <c r="I10" i="72"/>
  <c r="I30" i="72"/>
  <c r="I26" i="72"/>
  <c r="I25" i="72"/>
  <c r="I24" i="72"/>
  <c r="I23" i="72"/>
  <c r="I14" i="72"/>
  <c r="I12" i="72"/>
  <c r="I9" i="72"/>
  <c r="C10" i="72"/>
  <c r="C9" i="72"/>
  <c r="E8" i="70"/>
  <c r="E7" i="70"/>
  <c r="I8" i="72"/>
  <c r="E8" i="72"/>
  <c r="F8" i="72"/>
  <c r="G8" i="72"/>
  <c r="H8" i="72"/>
  <c r="J46" i="72"/>
  <c r="J64" i="72"/>
  <c r="J63" i="72"/>
  <c r="J52" i="72"/>
  <c r="J59" i="72"/>
  <c r="J55" i="72"/>
  <c r="J58" i="72"/>
  <c r="J56" i="72"/>
  <c r="J65" i="72"/>
  <c r="J62" i="72"/>
  <c r="J61" i="72"/>
  <c r="J60" i="72"/>
  <c r="J51" i="72"/>
  <c r="J49" i="72"/>
  <c r="J44" i="72"/>
  <c r="J57" i="72"/>
  <c r="J54" i="72"/>
  <c r="J53" i="72"/>
  <c r="J47" i="72"/>
  <c r="J45" i="72"/>
  <c r="J48" i="72"/>
  <c r="J43" i="72"/>
  <c r="C44" i="72"/>
  <c r="C240" i="67"/>
  <c r="C238" i="67"/>
  <c r="C302" i="67"/>
  <c r="C292" i="67"/>
  <c r="C265" i="67"/>
  <c r="C259" i="67"/>
  <c r="C246" i="67"/>
  <c r="C241" i="67"/>
  <c r="D265" i="67"/>
  <c r="D259" i="67"/>
  <c r="E246" i="67"/>
  <c r="D241" i="67"/>
  <c r="E314" i="67"/>
  <c r="E302" i="67"/>
  <c r="E292" i="67"/>
  <c r="E271" i="67"/>
  <c r="E265" i="67"/>
  <c r="E259" i="67"/>
  <c r="G246" i="67"/>
  <c r="E241" i="67"/>
  <c r="I228" i="67"/>
  <c r="H228" i="67"/>
  <c r="G228" i="67"/>
  <c r="E228" i="67"/>
  <c r="D228" i="67"/>
  <c r="C228" i="67"/>
  <c r="C227" i="67"/>
  <c r="E218" i="67"/>
  <c r="D218" i="67"/>
  <c r="C218" i="67"/>
  <c r="C217" i="67"/>
  <c r="C215" i="67"/>
  <c r="E211" i="67"/>
  <c r="D211" i="67"/>
  <c r="C211" i="67"/>
  <c r="C210" i="67"/>
  <c r="G314" i="67"/>
  <c r="G302" i="67"/>
  <c r="G292" i="67"/>
  <c r="G271" i="67"/>
  <c r="G265" i="67"/>
  <c r="G259" i="67"/>
  <c r="H246" i="67"/>
  <c r="G241" i="67"/>
  <c r="J228" i="67"/>
  <c r="G218" i="67"/>
  <c r="G211" i="67"/>
  <c r="N8" i="67"/>
  <c r="G8" i="67"/>
  <c r="P9" i="67"/>
  <c r="O9" i="67"/>
  <c r="N9" i="67"/>
  <c r="L8" i="67"/>
  <c r="K8" i="67"/>
  <c r="K7" i="67"/>
  <c r="I9" i="67"/>
  <c r="H9" i="67"/>
  <c r="G9" i="67"/>
  <c r="E8" i="67"/>
  <c r="D8" i="67"/>
  <c r="C8" i="67"/>
  <c r="C7" i="67"/>
  <c r="Y66" i="71"/>
  <c r="T66" i="71"/>
  <c r="O66" i="71"/>
  <c r="J66" i="71"/>
  <c r="D66" i="71"/>
  <c r="Y40" i="71"/>
  <c r="T40" i="71"/>
  <c r="O40" i="71"/>
  <c r="J40" i="71"/>
  <c r="D40" i="71"/>
  <c r="Y15" i="71"/>
  <c r="T15" i="71"/>
  <c r="N15" i="71"/>
  <c r="J15" i="71"/>
  <c r="D15" i="71"/>
  <c r="C7" i="71"/>
  <c r="C235" i="67"/>
  <c r="C233" i="67"/>
  <c r="C230" i="67"/>
  <c r="N12" i="53"/>
  <c r="H12" i="53"/>
  <c r="C2" i="93"/>
  <c r="C789" i="92"/>
  <c r="C781" i="92"/>
  <c r="C780" i="92"/>
  <c r="C779" i="92"/>
  <c r="C778" i="92"/>
  <c r="C777" i="92"/>
  <c r="C776" i="92"/>
  <c r="C775" i="92"/>
  <c r="C753" i="92"/>
  <c r="C752" i="92"/>
  <c r="C751" i="92"/>
  <c r="C750" i="92"/>
  <c r="C749" i="92"/>
  <c r="C748" i="92"/>
  <c r="C747" i="92"/>
  <c r="C725" i="92"/>
  <c r="C724" i="92"/>
  <c r="C723" i="92"/>
  <c r="C722" i="92"/>
  <c r="C721" i="92"/>
  <c r="C720" i="92"/>
  <c r="C719" i="92"/>
  <c r="C697" i="92"/>
  <c r="C696" i="92"/>
  <c r="C695" i="92"/>
  <c r="C694" i="92"/>
  <c r="C693" i="92"/>
  <c r="C692" i="92"/>
  <c r="C691" i="92"/>
  <c r="C669" i="92"/>
  <c r="C668" i="92"/>
  <c r="C667" i="92"/>
  <c r="C666" i="92"/>
  <c r="C665" i="92"/>
  <c r="C664" i="92"/>
  <c r="C663" i="92"/>
  <c r="C641" i="92"/>
  <c r="C640" i="92"/>
  <c r="C639" i="92"/>
  <c r="C638" i="92"/>
  <c r="C637" i="92"/>
  <c r="C636" i="92"/>
  <c r="C635" i="92"/>
  <c r="C613" i="92"/>
  <c r="C612" i="92"/>
  <c r="C611" i="92"/>
  <c r="C610" i="92"/>
  <c r="C609" i="92"/>
  <c r="C608" i="92"/>
  <c r="C607" i="92"/>
  <c r="C585" i="92"/>
  <c r="C584" i="92"/>
  <c r="C583" i="92"/>
  <c r="C582" i="92"/>
  <c r="C581" i="92"/>
  <c r="C580" i="92"/>
  <c r="C579" i="92"/>
  <c r="C557" i="92"/>
  <c r="C556" i="92"/>
  <c r="C555" i="92"/>
  <c r="C554" i="92"/>
  <c r="C553" i="92"/>
  <c r="C552" i="92"/>
  <c r="C551" i="92"/>
  <c r="C529" i="92"/>
  <c r="C528" i="92"/>
  <c r="C527" i="92"/>
  <c r="C526" i="92"/>
  <c r="C525" i="92"/>
  <c r="C524" i="92"/>
  <c r="C523" i="92"/>
  <c r="C501" i="92"/>
  <c r="C500" i="92"/>
  <c r="C499" i="92"/>
  <c r="C498" i="92"/>
  <c r="C497" i="92"/>
  <c r="C496" i="92"/>
  <c r="C495" i="92"/>
  <c r="C468" i="92"/>
  <c r="C469" i="92"/>
  <c r="C470" i="92"/>
  <c r="C471" i="92"/>
  <c r="C472" i="92"/>
  <c r="C473" i="92"/>
  <c r="C467" i="92"/>
  <c r="C774" i="92"/>
  <c r="C773" i="92"/>
  <c r="C772" i="92"/>
  <c r="C771" i="92"/>
  <c r="C770" i="92"/>
  <c r="C769" i="92"/>
  <c r="C768" i="92"/>
  <c r="C746" i="92"/>
  <c r="C745" i="92"/>
  <c r="C744" i="92"/>
  <c r="C743" i="92"/>
  <c r="C742" i="92"/>
  <c r="C741" i="92"/>
  <c r="C740" i="92"/>
  <c r="C718" i="92"/>
  <c r="C717" i="92"/>
  <c r="C716" i="92"/>
  <c r="C715" i="92"/>
  <c r="C714" i="92"/>
  <c r="C713" i="92"/>
  <c r="C712" i="92"/>
  <c r="C690" i="92"/>
  <c r="C689" i="92"/>
  <c r="C688" i="92"/>
  <c r="C687" i="92"/>
  <c r="C686" i="92"/>
  <c r="C685" i="92"/>
  <c r="C684" i="92"/>
  <c r="C662" i="92"/>
  <c r="C661" i="92"/>
  <c r="C660" i="92"/>
  <c r="C659" i="92"/>
  <c r="C658" i="92"/>
  <c r="C657" i="92"/>
  <c r="C656" i="92"/>
  <c r="C634" i="92"/>
  <c r="C633" i="92"/>
  <c r="C632" i="92"/>
  <c r="C631" i="92"/>
  <c r="C630" i="92"/>
  <c r="C629" i="92"/>
  <c r="C628" i="92"/>
  <c r="C606" i="92"/>
  <c r="C605" i="92"/>
  <c r="C604" i="92"/>
  <c r="C603" i="92"/>
  <c r="C602" i="92"/>
  <c r="C601" i="92"/>
  <c r="C600" i="92"/>
  <c r="C578" i="92"/>
  <c r="C577" i="92"/>
  <c r="C576" i="92"/>
  <c r="C575" i="92"/>
  <c r="C574" i="92"/>
  <c r="C573" i="92"/>
  <c r="C572" i="92"/>
  <c r="C550" i="92"/>
  <c r="C549" i="92"/>
  <c r="C548" i="92"/>
  <c r="C547" i="92"/>
  <c r="C546" i="92"/>
  <c r="C545" i="92"/>
  <c r="C544" i="92"/>
  <c r="C522" i="92"/>
  <c r="C521" i="92"/>
  <c r="C520" i="92"/>
  <c r="C519" i="92"/>
  <c r="C518" i="92"/>
  <c r="C517" i="92"/>
  <c r="C516" i="92"/>
  <c r="C494" i="92"/>
  <c r="C493" i="92"/>
  <c r="C492" i="92"/>
  <c r="C491" i="92"/>
  <c r="C490" i="92"/>
  <c r="C489" i="92"/>
  <c r="C488" i="92"/>
  <c r="C461" i="92"/>
  <c r="C462" i="92"/>
  <c r="C463" i="92"/>
  <c r="C464" i="92"/>
  <c r="C465" i="92"/>
  <c r="C466" i="92"/>
  <c r="C460" i="92"/>
  <c r="C767" i="92"/>
  <c r="C766" i="92"/>
  <c r="C765" i="92"/>
  <c r="C764" i="92"/>
  <c r="C763" i="92"/>
  <c r="C762" i="92"/>
  <c r="C761" i="92"/>
  <c r="C739" i="92"/>
  <c r="C738" i="92"/>
  <c r="C737" i="92"/>
  <c r="C736" i="92"/>
  <c r="C735" i="92"/>
  <c r="C734" i="92"/>
  <c r="C733" i="92"/>
  <c r="C711" i="92"/>
  <c r="C710" i="92"/>
  <c r="C709" i="92"/>
  <c r="C708" i="92"/>
  <c r="C707" i="92"/>
  <c r="C706" i="92"/>
  <c r="C705" i="92"/>
  <c r="C683" i="92"/>
  <c r="C682" i="92"/>
  <c r="C681" i="92"/>
  <c r="C680" i="92"/>
  <c r="C679" i="92"/>
  <c r="C678" i="92"/>
  <c r="C677" i="92"/>
  <c r="C655" i="92"/>
  <c r="C654" i="92"/>
  <c r="C653" i="92"/>
  <c r="C652" i="92"/>
  <c r="C651" i="92"/>
  <c r="C650" i="92"/>
  <c r="C649" i="92"/>
  <c r="C627" i="92"/>
  <c r="C626" i="92"/>
  <c r="C625" i="92"/>
  <c r="C624" i="92"/>
  <c r="C623" i="92"/>
  <c r="C622" i="92"/>
  <c r="C621" i="92"/>
  <c r="C599" i="92"/>
  <c r="C598" i="92"/>
  <c r="C597" i="92"/>
  <c r="C596" i="92"/>
  <c r="C595" i="92"/>
  <c r="C594" i="92"/>
  <c r="C593" i="92"/>
  <c r="C571" i="92"/>
  <c r="C570" i="92"/>
  <c r="C569" i="92"/>
  <c r="C568" i="92"/>
  <c r="C567" i="92"/>
  <c r="C566" i="92"/>
  <c r="C565" i="92"/>
  <c r="C543" i="92"/>
  <c r="C542" i="92"/>
  <c r="C541" i="92"/>
  <c r="C540" i="92"/>
  <c r="C539" i="92"/>
  <c r="C538" i="92"/>
  <c r="C537" i="92"/>
  <c r="C515" i="92"/>
  <c r="C514" i="92"/>
  <c r="C513" i="92"/>
  <c r="C512" i="92"/>
  <c r="C511" i="92"/>
  <c r="C510" i="92"/>
  <c r="C509" i="92"/>
  <c r="C487" i="92"/>
  <c r="C486" i="92"/>
  <c r="C485" i="92"/>
  <c r="C484" i="92"/>
  <c r="C483" i="92"/>
  <c r="C482" i="92"/>
  <c r="C481" i="92"/>
  <c r="C454" i="92"/>
  <c r="C455" i="92"/>
  <c r="C456" i="92"/>
  <c r="C457" i="92"/>
  <c r="C458" i="92"/>
  <c r="C459" i="92"/>
  <c r="C453" i="92"/>
  <c r="C760" i="92"/>
  <c r="C759" i="92"/>
  <c r="C758" i="92"/>
  <c r="C757" i="92"/>
  <c r="C756" i="92"/>
  <c r="C755" i="92"/>
  <c r="C754" i="92"/>
  <c r="C732" i="92"/>
  <c r="C731" i="92"/>
  <c r="C730" i="92"/>
  <c r="C729" i="92"/>
  <c r="C728" i="92"/>
  <c r="C727" i="92"/>
  <c r="C726" i="92"/>
  <c r="C704" i="92"/>
  <c r="C703" i="92"/>
  <c r="C702" i="92"/>
  <c r="C701" i="92"/>
  <c r="C700" i="92"/>
  <c r="C699" i="92"/>
  <c r="C698" i="92"/>
  <c r="C676" i="92"/>
  <c r="C675" i="92"/>
  <c r="C674" i="92"/>
  <c r="C673" i="92"/>
  <c r="C672" i="92"/>
  <c r="C671" i="92"/>
  <c r="C670" i="92"/>
  <c r="C648" i="92"/>
  <c r="C647" i="92"/>
  <c r="C646" i="92"/>
  <c r="C645" i="92"/>
  <c r="C644" i="92"/>
  <c r="C643" i="92"/>
  <c r="C642" i="92"/>
  <c r="C620" i="92"/>
  <c r="C619" i="92"/>
  <c r="C618" i="92"/>
  <c r="C617" i="92"/>
  <c r="C616" i="92"/>
  <c r="C615" i="92"/>
  <c r="C614" i="92"/>
  <c r="C592" i="92"/>
  <c r="C591" i="92"/>
  <c r="C590" i="92"/>
  <c r="C589" i="92"/>
  <c r="C588" i="92"/>
  <c r="C587" i="92"/>
  <c r="C586" i="92"/>
  <c r="C564" i="92"/>
  <c r="C563" i="92"/>
  <c r="C562" i="92"/>
  <c r="C561" i="92"/>
  <c r="C560" i="92"/>
  <c r="C559" i="92"/>
  <c r="C558" i="92"/>
  <c r="C536" i="92"/>
  <c r="C535" i="92"/>
  <c r="C534" i="92"/>
  <c r="C533" i="92"/>
  <c r="C532" i="92"/>
  <c r="C531" i="92"/>
  <c r="C530" i="92"/>
  <c r="C508" i="92"/>
  <c r="C507" i="92"/>
  <c r="C506" i="92"/>
  <c r="C505" i="92"/>
  <c r="C504" i="92"/>
  <c r="C503" i="92"/>
  <c r="C502" i="92"/>
  <c r="C480" i="92"/>
  <c r="C479" i="92"/>
  <c r="C478" i="92"/>
  <c r="C477" i="92"/>
  <c r="C476" i="92"/>
  <c r="C475" i="92"/>
  <c r="C474" i="92"/>
  <c r="C447" i="92"/>
  <c r="C448" i="92"/>
  <c r="C449" i="92"/>
  <c r="C450" i="92"/>
  <c r="C451" i="92"/>
  <c r="C452" i="92"/>
  <c r="C446" i="92"/>
  <c r="L41" i="55"/>
  <c r="C53" i="97" s="1"/>
  <c r="E781" i="92"/>
  <c r="E775" i="92"/>
  <c r="E774" i="92"/>
  <c r="E768" i="92"/>
  <c r="E767" i="92"/>
  <c r="E761" i="92"/>
  <c r="E760" i="92"/>
  <c r="E754" i="92"/>
  <c r="E753" i="92"/>
  <c r="E747" i="92"/>
  <c r="E746" i="92"/>
  <c r="E740" i="92"/>
  <c r="E739" i="92"/>
  <c r="E733" i="92"/>
  <c r="E732" i="92"/>
  <c r="E726" i="92"/>
  <c r="E725" i="92"/>
  <c r="E719" i="92"/>
  <c r="E718" i="92"/>
  <c r="E712" i="92"/>
  <c r="E711" i="92"/>
  <c r="E705" i="92"/>
  <c r="E704" i="92"/>
  <c r="E698" i="92"/>
  <c r="E697" i="92"/>
  <c r="E691" i="92"/>
  <c r="E690" i="92"/>
  <c r="E684" i="92"/>
  <c r="E683" i="92"/>
  <c r="E677" i="92"/>
  <c r="E676" i="92"/>
  <c r="E670" i="92"/>
  <c r="E669" i="92"/>
  <c r="E663" i="92"/>
  <c r="E662" i="92"/>
  <c r="E656" i="92"/>
  <c r="E655" i="92"/>
  <c r="E649" i="92"/>
  <c r="E648" i="92"/>
  <c r="E642" i="92"/>
  <c r="E641" i="92"/>
  <c r="E635" i="92"/>
  <c r="E634" i="92"/>
  <c r="E628" i="92"/>
  <c r="E627" i="92"/>
  <c r="E621" i="92"/>
  <c r="E620" i="92"/>
  <c r="E614" i="92"/>
  <c r="E613" i="92"/>
  <c r="E607" i="92"/>
  <c r="E606" i="92"/>
  <c r="E600" i="92"/>
  <c r="E599" i="92"/>
  <c r="E593" i="92"/>
  <c r="E592" i="92"/>
  <c r="E586" i="92"/>
  <c r="E585" i="92"/>
  <c r="E579" i="92"/>
  <c r="E578" i="92"/>
  <c r="E572" i="92"/>
  <c r="E571" i="92"/>
  <c r="E565" i="92"/>
  <c r="E564" i="92"/>
  <c r="E558" i="92"/>
  <c r="E557" i="92"/>
  <c r="E551" i="92"/>
  <c r="E550" i="92"/>
  <c r="E544" i="92"/>
  <c r="E543" i="92"/>
  <c r="E537" i="92"/>
  <c r="E536" i="92"/>
  <c r="E530" i="92"/>
  <c r="E529" i="92"/>
  <c r="E523" i="92"/>
  <c r="E522" i="92"/>
  <c r="E516" i="92"/>
  <c r="E515" i="92"/>
  <c r="E509" i="92"/>
  <c r="E508" i="92"/>
  <c r="E502" i="92"/>
  <c r="E501" i="92"/>
  <c r="E495" i="92"/>
  <c r="E494" i="92"/>
  <c r="E488" i="92"/>
  <c r="E487" i="92"/>
  <c r="E481" i="92"/>
  <c r="E480" i="92"/>
  <c r="E474" i="92"/>
  <c r="E473" i="92"/>
  <c r="E467" i="92"/>
  <c r="E466" i="92"/>
  <c r="E460" i="92"/>
  <c r="E459" i="92"/>
  <c r="E453" i="92"/>
  <c r="E452" i="92"/>
  <c r="E446" i="92"/>
  <c r="E434" i="92"/>
  <c r="E428" i="92"/>
  <c r="E427" i="92"/>
  <c r="E421" i="92"/>
  <c r="E420" i="92"/>
  <c r="E414" i="92"/>
  <c r="E413" i="92"/>
  <c r="E407" i="92"/>
  <c r="E406" i="92"/>
  <c r="E400" i="92"/>
  <c r="E399" i="92"/>
  <c r="E393" i="92"/>
  <c r="E392" i="92"/>
  <c r="E386" i="92"/>
  <c r="E385" i="92"/>
  <c r="E379" i="92"/>
  <c r="E378" i="92"/>
  <c r="E372" i="92"/>
  <c r="E371" i="92"/>
  <c r="E365" i="92"/>
  <c r="E364" i="92"/>
  <c r="E358" i="92"/>
  <c r="E357" i="92"/>
  <c r="E351" i="92"/>
  <c r="E350" i="92"/>
  <c r="E344" i="92"/>
  <c r="E343" i="92"/>
  <c r="E337" i="92"/>
  <c r="E336" i="92"/>
  <c r="E330" i="92"/>
  <c r="E329" i="92"/>
  <c r="E323" i="92"/>
  <c r="E322" i="92"/>
  <c r="E316" i="92"/>
  <c r="E315" i="92"/>
  <c r="E309" i="92"/>
  <c r="E308" i="92"/>
  <c r="E302" i="92"/>
  <c r="E301" i="92"/>
  <c r="E295" i="92"/>
  <c r="E294" i="92"/>
  <c r="E288" i="92"/>
  <c r="E287" i="92"/>
  <c r="E281" i="92"/>
  <c r="E280" i="92"/>
  <c r="E274" i="92"/>
  <c r="E273" i="92"/>
  <c r="E267" i="92"/>
  <c r="E266" i="92"/>
  <c r="E260" i="92"/>
  <c r="E259" i="92"/>
  <c r="E253" i="92"/>
  <c r="E252" i="92"/>
  <c r="E246" i="92"/>
  <c r="E245" i="92"/>
  <c r="E239" i="92"/>
  <c r="E238" i="92"/>
  <c r="E232" i="92"/>
  <c r="E231" i="92"/>
  <c r="E225" i="92"/>
  <c r="E224" i="92"/>
  <c r="E218" i="92"/>
  <c r="E217" i="92"/>
  <c r="E211" i="92"/>
  <c r="E210" i="92"/>
  <c r="E204" i="92"/>
  <c r="E203" i="92"/>
  <c r="E197" i="92"/>
  <c r="E196" i="92"/>
  <c r="E190" i="92"/>
  <c r="E189" i="92"/>
  <c r="E183" i="92"/>
  <c r="E182" i="92"/>
  <c r="E176" i="92"/>
  <c r="E175" i="92"/>
  <c r="E169" i="92"/>
  <c r="E168" i="92"/>
  <c r="E162" i="92"/>
  <c r="E161" i="92"/>
  <c r="E155" i="92"/>
  <c r="E154" i="92"/>
  <c r="E148" i="92"/>
  <c r="E147" i="92"/>
  <c r="E141" i="92"/>
  <c r="E140" i="92"/>
  <c r="E134" i="92"/>
  <c r="E133" i="92"/>
  <c r="E127" i="92"/>
  <c r="E126" i="92"/>
  <c r="E120" i="92"/>
  <c r="E119" i="92"/>
  <c r="E113" i="92"/>
  <c r="E112" i="92"/>
  <c r="E106" i="92"/>
  <c r="E105" i="92"/>
  <c r="E99" i="92"/>
  <c r="E98" i="92"/>
  <c r="E92" i="92"/>
  <c r="E91" i="92"/>
  <c r="E85" i="92"/>
  <c r="E84" i="92"/>
  <c r="E78" i="92"/>
  <c r="E77" i="92"/>
  <c r="E71" i="92"/>
  <c r="E70" i="92"/>
  <c r="E64" i="92"/>
  <c r="E63" i="92"/>
  <c r="E57" i="92"/>
  <c r="E56" i="92"/>
  <c r="E50" i="92"/>
  <c r="E49" i="92"/>
  <c r="E43" i="92"/>
  <c r="E42" i="92"/>
  <c r="E36" i="92"/>
  <c r="E35" i="92"/>
  <c r="E29" i="92"/>
  <c r="E28" i="92"/>
  <c r="E22" i="92"/>
  <c r="E21" i="92"/>
  <c r="E15" i="92"/>
  <c r="C434" i="92"/>
  <c r="C433" i="92"/>
  <c r="C432" i="92"/>
  <c r="C431" i="92"/>
  <c r="C430" i="92"/>
  <c r="C429" i="92"/>
  <c r="C428" i="92"/>
  <c r="C399" i="92"/>
  <c r="C398" i="92"/>
  <c r="C397" i="92"/>
  <c r="C396" i="92"/>
  <c r="C395" i="92"/>
  <c r="C394" i="92"/>
  <c r="C393" i="92"/>
  <c r="C364" i="92"/>
  <c r="C363" i="92"/>
  <c r="C362" i="92"/>
  <c r="C361" i="92"/>
  <c r="C360" i="92"/>
  <c r="C359" i="92"/>
  <c r="C358" i="92"/>
  <c r="C329" i="92"/>
  <c r="C328" i="92"/>
  <c r="C327" i="92"/>
  <c r="C326" i="92"/>
  <c r="C325" i="92"/>
  <c r="C324" i="92"/>
  <c r="C323" i="92"/>
  <c r="C294" i="92"/>
  <c r="C293" i="92"/>
  <c r="C292" i="92"/>
  <c r="C291" i="92"/>
  <c r="C290" i="92"/>
  <c r="C289" i="92"/>
  <c r="C288" i="92"/>
  <c r="C259" i="92"/>
  <c r="C258" i="92"/>
  <c r="C257" i="92"/>
  <c r="C256" i="92"/>
  <c r="C255" i="92"/>
  <c r="C254" i="92"/>
  <c r="C253" i="92"/>
  <c r="C224" i="92"/>
  <c r="C223" i="92"/>
  <c r="C222" i="92"/>
  <c r="C221" i="92"/>
  <c r="C220" i="92"/>
  <c r="C219" i="92"/>
  <c r="C218" i="92"/>
  <c r="C189" i="92"/>
  <c r="C188" i="92"/>
  <c r="C187" i="92"/>
  <c r="C186" i="92"/>
  <c r="C185" i="92"/>
  <c r="C184" i="92"/>
  <c r="C183" i="92"/>
  <c r="C190" i="92"/>
  <c r="C154" i="92"/>
  <c r="C153" i="92"/>
  <c r="C152" i="92"/>
  <c r="C151" i="92"/>
  <c r="C150" i="92"/>
  <c r="C149" i="92"/>
  <c r="C148" i="92"/>
  <c r="C119" i="92"/>
  <c r="C118" i="92"/>
  <c r="C117" i="92"/>
  <c r="C116" i="92"/>
  <c r="C115" i="92"/>
  <c r="C114" i="92"/>
  <c r="C113" i="92"/>
  <c r="C84" i="92"/>
  <c r="C83" i="92"/>
  <c r="C82" i="92"/>
  <c r="C81" i="92"/>
  <c r="C80" i="92"/>
  <c r="C79" i="92"/>
  <c r="C78" i="92"/>
  <c r="C44" i="92"/>
  <c r="C45" i="92"/>
  <c r="C46" i="92"/>
  <c r="C47" i="92"/>
  <c r="C48" i="92"/>
  <c r="C49" i="92"/>
  <c r="C43" i="92"/>
  <c r="C427" i="92"/>
  <c r="C426" i="92"/>
  <c r="C425" i="92"/>
  <c r="C424" i="92"/>
  <c r="C423" i="92"/>
  <c r="C422" i="92"/>
  <c r="C421" i="92"/>
  <c r="C392" i="92"/>
  <c r="C391" i="92"/>
  <c r="C390" i="92"/>
  <c r="C389" i="92"/>
  <c r="C388" i="92"/>
  <c r="C387" i="92"/>
  <c r="C386" i="92"/>
  <c r="C357" i="92"/>
  <c r="C356" i="92"/>
  <c r="C355" i="92"/>
  <c r="C354" i="92"/>
  <c r="C353" i="92"/>
  <c r="C352" i="92"/>
  <c r="C351" i="92"/>
  <c r="C322" i="92"/>
  <c r="C321" i="92"/>
  <c r="C320" i="92"/>
  <c r="C319" i="92"/>
  <c r="C318" i="92"/>
  <c r="C317" i="92"/>
  <c r="C316" i="92"/>
  <c r="C287" i="92"/>
  <c r="C286" i="92"/>
  <c r="C285" i="92"/>
  <c r="C284" i="92"/>
  <c r="C283" i="92"/>
  <c r="C282" i="92"/>
  <c r="C281" i="92"/>
  <c r="C252" i="92"/>
  <c r="C251" i="92"/>
  <c r="C250" i="92"/>
  <c r="C249" i="92"/>
  <c r="C248" i="92"/>
  <c r="C247" i="92"/>
  <c r="C246" i="92"/>
  <c r="C217" i="92"/>
  <c r="C216" i="92"/>
  <c r="C215" i="92"/>
  <c r="C214" i="92"/>
  <c r="C213" i="92"/>
  <c r="C212" i="92"/>
  <c r="C211" i="92"/>
  <c r="C182" i="92"/>
  <c r="C181" i="92"/>
  <c r="C180" i="92"/>
  <c r="C179" i="92"/>
  <c r="C178" i="92"/>
  <c r="C177" i="92"/>
  <c r="C176" i="92"/>
  <c r="C147" i="92"/>
  <c r="C146" i="92"/>
  <c r="C145" i="92"/>
  <c r="C144" i="92"/>
  <c r="C143" i="92"/>
  <c r="C142" i="92"/>
  <c r="C141" i="92"/>
  <c r="C112" i="92"/>
  <c r="C111" i="92"/>
  <c r="C110" i="92"/>
  <c r="C109" i="92"/>
  <c r="C108" i="92"/>
  <c r="C107" i="92"/>
  <c r="C106" i="92"/>
  <c r="C77" i="92"/>
  <c r="C76" i="92"/>
  <c r="C75" i="92"/>
  <c r="C74" i="92"/>
  <c r="C73" i="92"/>
  <c r="C72" i="92"/>
  <c r="C71" i="92"/>
  <c r="C37" i="92"/>
  <c r="C38" i="92"/>
  <c r="C39" i="92"/>
  <c r="C40" i="92"/>
  <c r="C41" i="92"/>
  <c r="C42" i="92"/>
  <c r="C36" i="92"/>
  <c r="C413" i="92"/>
  <c r="C412" i="92"/>
  <c r="C411" i="92"/>
  <c r="C410" i="92"/>
  <c r="C409" i="92"/>
  <c r="C408" i="92"/>
  <c r="C407" i="92"/>
  <c r="C378" i="92"/>
  <c r="C377" i="92"/>
  <c r="C376" i="92"/>
  <c r="C375" i="92"/>
  <c r="C374" i="92"/>
  <c r="C373" i="92"/>
  <c r="C372" i="92"/>
  <c r="C343" i="92"/>
  <c r="C342" i="92"/>
  <c r="C341" i="92"/>
  <c r="C340" i="92"/>
  <c r="C339" i="92"/>
  <c r="C338" i="92"/>
  <c r="C337" i="92"/>
  <c r="C308" i="92"/>
  <c r="C307" i="92"/>
  <c r="C306" i="92"/>
  <c r="C305" i="92"/>
  <c r="C304" i="92"/>
  <c r="C303" i="92"/>
  <c r="C302" i="92"/>
  <c r="C273" i="92"/>
  <c r="C272" i="92"/>
  <c r="C271" i="92"/>
  <c r="C270" i="92"/>
  <c r="C269" i="92"/>
  <c r="C268" i="92"/>
  <c r="C267" i="92"/>
  <c r="C238" i="92"/>
  <c r="C237" i="92"/>
  <c r="C236" i="92"/>
  <c r="C235" i="92"/>
  <c r="C234" i="92"/>
  <c r="C233" i="92"/>
  <c r="C232" i="92"/>
  <c r="C203" i="92"/>
  <c r="C202" i="92"/>
  <c r="C201" i="92"/>
  <c r="C200" i="92"/>
  <c r="C199" i="92"/>
  <c r="C198" i="92"/>
  <c r="C197" i="92"/>
  <c r="C168" i="92"/>
  <c r="C167" i="92"/>
  <c r="C166" i="92"/>
  <c r="C165" i="92"/>
  <c r="C164" i="92"/>
  <c r="C163" i="92"/>
  <c r="C162" i="92"/>
  <c r="C133" i="92"/>
  <c r="C132" i="92"/>
  <c r="C131" i="92"/>
  <c r="C130" i="92"/>
  <c r="C129" i="92"/>
  <c r="C128" i="92"/>
  <c r="C127" i="92"/>
  <c r="C98" i="92"/>
  <c r="C97" i="92"/>
  <c r="C96" i="92"/>
  <c r="C95" i="92"/>
  <c r="C94" i="92"/>
  <c r="C93" i="92"/>
  <c r="C92" i="92"/>
  <c r="C63" i="92"/>
  <c r="C62" i="92"/>
  <c r="C61" i="92"/>
  <c r="C60" i="92"/>
  <c r="C59" i="92"/>
  <c r="C58" i="92"/>
  <c r="C57" i="92"/>
  <c r="C23" i="92"/>
  <c r="C24" i="92"/>
  <c r="C25" i="92"/>
  <c r="C26" i="92"/>
  <c r="C27" i="92"/>
  <c r="C28" i="92"/>
  <c r="C22" i="92"/>
  <c r="C406" i="92"/>
  <c r="C405" i="92"/>
  <c r="C404" i="92"/>
  <c r="C403" i="92"/>
  <c r="C402" i="92"/>
  <c r="C401" i="92"/>
  <c r="C400" i="92"/>
  <c r="C371" i="92"/>
  <c r="C370" i="92"/>
  <c r="C369" i="92"/>
  <c r="C368" i="92"/>
  <c r="C367" i="92"/>
  <c r="C366" i="92"/>
  <c r="C365" i="92"/>
  <c r="C336" i="92"/>
  <c r="C335" i="92"/>
  <c r="C334" i="92"/>
  <c r="C333" i="92"/>
  <c r="C332" i="92"/>
  <c r="C331" i="92"/>
  <c r="C330" i="92"/>
  <c r="C301" i="92"/>
  <c r="C300" i="92"/>
  <c r="C299" i="92"/>
  <c r="C298" i="92"/>
  <c r="C297" i="92"/>
  <c r="C296" i="92"/>
  <c r="C295" i="92"/>
  <c r="C266" i="92"/>
  <c r="C265" i="92"/>
  <c r="C264" i="92"/>
  <c r="C263" i="92"/>
  <c r="C262" i="92"/>
  <c r="C261" i="92"/>
  <c r="C260" i="92"/>
  <c r="C231" i="92"/>
  <c r="C230" i="92"/>
  <c r="C229" i="92"/>
  <c r="C228" i="92"/>
  <c r="C227" i="92"/>
  <c r="C226" i="92"/>
  <c r="C225" i="92"/>
  <c r="C196" i="92"/>
  <c r="C195" i="92"/>
  <c r="C194" i="92"/>
  <c r="C193" i="92"/>
  <c r="C192" i="92"/>
  <c r="C191" i="92"/>
  <c r="C161" i="92"/>
  <c r="C160" i="92"/>
  <c r="C159" i="92"/>
  <c r="C158" i="92"/>
  <c r="C157" i="92"/>
  <c r="C156" i="92"/>
  <c r="C155" i="92"/>
  <c r="C126" i="92"/>
  <c r="C125" i="92"/>
  <c r="C124" i="92"/>
  <c r="C123" i="92"/>
  <c r="C122" i="92"/>
  <c r="C121" i="92"/>
  <c r="C120" i="92"/>
  <c r="C91" i="92"/>
  <c r="C90" i="92"/>
  <c r="C89" i="92"/>
  <c r="C88" i="92"/>
  <c r="C87" i="92"/>
  <c r="C86" i="92"/>
  <c r="C85" i="92"/>
  <c r="C56" i="92"/>
  <c r="C55" i="92"/>
  <c r="C54" i="92"/>
  <c r="C53" i="92"/>
  <c r="C52" i="92"/>
  <c r="C51" i="92"/>
  <c r="C50" i="92"/>
  <c r="C16" i="92"/>
  <c r="C17" i="92"/>
  <c r="C18" i="92"/>
  <c r="C19" i="92"/>
  <c r="C20" i="92"/>
  <c r="C21" i="92"/>
  <c r="C15" i="92"/>
  <c r="AB94" i="98"/>
  <c r="AB95" i="97"/>
  <c r="J96" i="98"/>
  <c r="D96" i="98"/>
  <c r="J96" i="97"/>
  <c r="D96" i="97"/>
  <c r="Y69" i="98"/>
  <c r="R69" i="98"/>
  <c r="Y69" i="97"/>
  <c r="R69" i="97"/>
  <c r="AI47" i="98"/>
  <c r="AB47" i="98"/>
  <c r="U47" i="98"/>
  <c r="O47" i="98"/>
  <c r="AI47" i="97"/>
  <c r="AB47" i="97"/>
  <c r="U47" i="97"/>
  <c r="O47" i="97"/>
  <c r="AG31" i="98"/>
  <c r="Z31" i="98"/>
  <c r="T31" i="98"/>
  <c r="N31" i="98"/>
  <c r="AG31" i="97"/>
  <c r="Z31" i="97"/>
  <c r="T31" i="97"/>
  <c r="N31" i="97"/>
  <c r="AF10" i="98"/>
  <c r="Z10" i="98"/>
  <c r="R10" i="98"/>
  <c r="N10" i="98"/>
  <c r="Z8" i="98"/>
  <c r="O8" i="98"/>
  <c r="AG10" i="97"/>
  <c r="AA10" i="97"/>
  <c r="S10" i="97"/>
  <c r="O10" i="97"/>
  <c r="AA8" i="97"/>
  <c r="P8" i="97"/>
  <c r="S95" i="98"/>
  <c r="R95" i="98"/>
  <c r="S95" i="97"/>
  <c r="R95" i="97"/>
  <c r="V101" i="97"/>
  <c r="T90" i="97"/>
  <c r="V101" i="98"/>
  <c r="T90" i="98"/>
  <c r="L91" i="98"/>
  <c r="L91" i="97"/>
  <c r="I90" i="98"/>
  <c r="I90" i="97"/>
  <c r="G93" i="98"/>
  <c r="G91" i="98"/>
  <c r="G90" i="98"/>
  <c r="G89" i="98"/>
  <c r="G93" i="97"/>
  <c r="G91" i="97"/>
  <c r="G90" i="97"/>
  <c r="G89" i="97"/>
  <c r="C77" i="98"/>
  <c r="C77" i="97"/>
  <c r="O77" i="98"/>
  <c r="N77" i="98"/>
  <c r="M77" i="98"/>
  <c r="L77" i="98"/>
  <c r="O77" i="97"/>
  <c r="N77" i="97"/>
  <c r="M77" i="97"/>
  <c r="L77" i="97"/>
  <c r="D68" i="98"/>
  <c r="D68" i="97"/>
  <c r="C33" i="97"/>
  <c r="C32" i="97"/>
  <c r="C31" i="97"/>
  <c r="C28" i="97"/>
  <c r="C41" i="97"/>
  <c r="J12" i="59"/>
  <c r="J12" i="96" s="1"/>
  <c r="J12" i="95"/>
  <c r="J12" i="97"/>
  <c r="J12" i="98"/>
  <c r="J96" i="96"/>
  <c r="D96" i="96"/>
  <c r="AB94" i="96"/>
  <c r="Y69" i="96"/>
  <c r="R69" i="96"/>
  <c r="AI47" i="96"/>
  <c r="AB47" i="96"/>
  <c r="U47" i="96"/>
  <c r="O47" i="96"/>
  <c r="AG31" i="96"/>
  <c r="Z31" i="96"/>
  <c r="T31" i="96"/>
  <c r="N31" i="96"/>
  <c r="AG10" i="96"/>
  <c r="AA10" i="96"/>
  <c r="S10" i="96"/>
  <c r="O10" i="96"/>
  <c r="AA8" i="96"/>
  <c r="P8" i="96"/>
  <c r="T90" i="96"/>
  <c r="V101" i="96"/>
  <c r="S95" i="96"/>
  <c r="R95" i="96"/>
  <c r="L91" i="96"/>
  <c r="I90" i="96"/>
  <c r="G93" i="96"/>
  <c r="G91" i="96"/>
  <c r="G90" i="96"/>
  <c r="G89" i="96"/>
  <c r="O77" i="96"/>
  <c r="N77" i="96"/>
  <c r="M77" i="96"/>
  <c r="L77" i="96"/>
  <c r="C77" i="96"/>
  <c r="D68" i="96"/>
  <c r="C41" i="96"/>
  <c r="C33" i="96"/>
  <c r="C32" i="96"/>
  <c r="C31" i="96"/>
  <c r="C28" i="96"/>
  <c r="C21" i="96"/>
  <c r="C20" i="96"/>
  <c r="C13" i="96"/>
  <c r="AA93" i="95"/>
  <c r="S95" i="95"/>
  <c r="R95" i="95"/>
  <c r="G93" i="59"/>
  <c r="G91" i="59"/>
  <c r="G90" i="59"/>
  <c r="G89" i="59"/>
  <c r="L92" i="59"/>
  <c r="W101" i="59"/>
  <c r="S95" i="59"/>
  <c r="R95" i="59"/>
  <c r="Y69" i="95"/>
  <c r="R69" i="95"/>
  <c r="AI47" i="95"/>
  <c r="AB47" i="95"/>
  <c r="O47" i="95"/>
  <c r="U47" i="95"/>
  <c r="AG31" i="95"/>
  <c r="Z31" i="95"/>
  <c r="T31" i="95"/>
  <c r="N31" i="95"/>
  <c r="S10" i="95"/>
  <c r="O10" i="95"/>
  <c r="AG10" i="95"/>
  <c r="AA10" i="95"/>
  <c r="AA8" i="95"/>
  <c r="P8" i="95"/>
  <c r="Z8" i="59"/>
  <c r="V101" i="95"/>
  <c r="T90" i="95"/>
  <c r="J96" i="95"/>
  <c r="L91" i="95"/>
  <c r="G93" i="95"/>
  <c r="G90" i="95"/>
  <c r="G91" i="95"/>
  <c r="G89" i="95"/>
  <c r="I90" i="95"/>
  <c r="D96" i="95"/>
  <c r="O77" i="95"/>
  <c r="N77" i="95"/>
  <c r="M77" i="95"/>
  <c r="L77" i="95"/>
  <c r="D68" i="95"/>
  <c r="K12" i="95"/>
  <c r="C53" i="96" l="1"/>
  <c r="C53" i="98"/>
  <c r="C77" i="95" l="1"/>
  <c r="C77" i="59"/>
  <c r="C33" i="95"/>
  <c r="C32" i="95"/>
  <c r="C31" i="95"/>
  <c r="C28" i="95"/>
  <c r="C96" i="91"/>
  <c r="C82" i="91"/>
  <c r="C72" i="91"/>
  <c r="P99" i="68"/>
  <c r="P119" i="68"/>
  <c r="P51" i="68"/>
  <c r="P30" i="68"/>
  <c r="R13" i="68"/>
  <c r="AI48" i="59"/>
  <c r="AB48" i="59"/>
  <c r="Z31" i="59"/>
  <c r="AG31" i="59"/>
  <c r="AF10" i="59"/>
  <c r="Z10" i="59"/>
  <c r="S11" i="59"/>
  <c r="N11" i="59"/>
  <c r="T31" i="59"/>
  <c r="U47" i="59"/>
  <c r="N31" i="59"/>
  <c r="O48" i="59"/>
  <c r="Y69" i="59"/>
  <c r="D100" i="94"/>
  <c r="D90" i="94"/>
  <c r="D80" i="94"/>
  <c r="D70" i="94"/>
  <c r="D43" i="94"/>
  <c r="D33" i="94"/>
  <c r="D23" i="94"/>
  <c r="D20" i="94"/>
  <c r="D19" i="94"/>
  <c r="D13" i="94"/>
  <c r="R69" i="59"/>
  <c r="Z94" i="59"/>
  <c r="I91" i="59"/>
  <c r="C242" i="67" s="1"/>
  <c r="J96" i="59"/>
  <c r="C51" i="59"/>
  <c r="C37" i="59"/>
  <c r="C28" i="59"/>
  <c r="L75" i="55"/>
  <c r="O17" i="53"/>
  <c r="I18" i="53"/>
  <c r="D100" i="93"/>
  <c r="D90" i="93"/>
  <c r="D80" i="93"/>
  <c r="D70" i="93"/>
  <c r="F70" i="93" s="1"/>
  <c r="D60" i="93"/>
  <c r="D59" i="93"/>
  <c r="D53" i="93"/>
  <c r="D50" i="93"/>
  <c r="D49" i="93"/>
  <c r="D43" i="93"/>
  <c r="D40" i="93"/>
  <c r="D39" i="93"/>
  <c r="D33" i="93"/>
  <c r="D30" i="93"/>
  <c r="D29" i="93"/>
  <c r="D23" i="93"/>
  <c r="D20" i="93"/>
  <c r="D19" i="93"/>
  <c r="D13" i="93"/>
  <c r="I251" i="74"/>
  <c r="F150" i="74"/>
  <c r="E178" i="74"/>
  <c r="E177" i="74"/>
  <c r="E176" i="74"/>
  <c r="D177" i="74"/>
  <c r="D178" i="74"/>
  <c r="D179" i="74"/>
  <c r="D176" i="74"/>
  <c r="I176" i="74" s="1"/>
  <c r="J176" i="74" s="1"/>
  <c r="K176" i="74" s="1"/>
  <c r="F178" i="74" l="1"/>
  <c r="G178" i="74" s="1"/>
  <c r="H178" i="74" s="1"/>
  <c r="I179" i="74"/>
  <c r="J179" i="74" s="1"/>
  <c r="K179" i="74" s="1"/>
  <c r="I178" i="74"/>
  <c r="J178" i="74" s="1"/>
  <c r="K178" i="74" s="1"/>
  <c r="F177" i="74"/>
  <c r="G177" i="74" s="1"/>
  <c r="H177" i="74" s="1"/>
  <c r="F176" i="74"/>
  <c r="G176" i="74" s="1"/>
  <c r="H176" i="74" s="1"/>
  <c r="I177" i="74"/>
  <c r="J177" i="74" s="1"/>
  <c r="K177" i="74" s="1"/>
  <c r="K180" i="74" s="1"/>
  <c r="D242" i="67" s="1"/>
  <c r="F179" i="74"/>
  <c r="G179" i="74" s="1"/>
  <c r="H179" i="74" s="1"/>
  <c r="H180" i="74" l="1"/>
  <c r="D243" i="67" s="1"/>
  <c r="D273" i="67" l="1"/>
  <c r="D274" i="67"/>
  <c r="D275" i="67"/>
  <c r="D276" i="67"/>
  <c r="D277" i="67"/>
  <c r="D278" i="67"/>
  <c r="D279" i="67"/>
  <c r="D280" i="67"/>
  <c r="D281" i="67"/>
  <c r="D282" i="67"/>
  <c r="D283" i="67"/>
  <c r="D284" i="67"/>
  <c r="D285" i="67"/>
  <c r="D272" i="67"/>
  <c r="L108" i="67"/>
  <c r="L107" i="67"/>
  <c r="L100" i="67"/>
  <c r="L99" i="67"/>
  <c r="L98" i="67"/>
  <c r="L91" i="67"/>
  <c r="L90" i="67"/>
  <c r="L89" i="67"/>
  <c r="L82" i="67"/>
  <c r="L81" i="67"/>
  <c r="L80" i="67"/>
  <c r="L73" i="67"/>
  <c r="L72" i="67"/>
  <c r="L71" i="67"/>
  <c r="L64" i="67"/>
  <c r="L63" i="67"/>
  <c r="L62" i="67"/>
  <c r="L55" i="67"/>
  <c r="L54" i="67"/>
  <c r="L53" i="67"/>
  <c r="L46" i="67"/>
  <c r="L45" i="67"/>
  <c r="L44" i="67"/>
  <c r="L37" i="67"/>
  <c r="L36" i="67"/>
  <c r="L35" i="67"/>
  <c r="L28" i="67"/>
  <c r="L27" i="67"/>
  <c r="L26" i="67"/>
  <c r="L19" i="67"/>
  <c r="L18" i="67"/>
  <c r="L17" i="67"/>
  <c r="L10" i="67"/>
  <c r="C93" i="68"/>
  <c r="C91" i="68"/>
  <c r="C92" i="68"/>
  <c r="C84" i="68"/>
  <c r="C81" i="68"/>
  <c r="C26" i="68"/>
  <c r="C25" i="68"/>
  <c r="C24" i="68"/>
  <c r="C23" i="68"/>
  <c r="C22" i="68"/>
  <c r="C21" i="68"/>
  <c r="C20" i="68"/>
  <c r="C15" i="68"/>
  <c r="C11" i="68"/>
  <c r="C97" i="68"/>
  <c r="C28" i="68"/>
  <c r="C8" i="68"/>
  <c r="C8" i="71" s="1"/>
  <c r="C6" i="68"/>
  <c r="C6" i="71" s="1"/>
  <c r="C21" i="98"/>
  <c r="C20" i="98"/>
  <c r="C13" i="98"/>
  <c r="C21" i="97"/>
  <c r="C20" i="97"/>
  <c r="C13" i="97"/>
  <c r="C21" i="95"/>
  <c r="C20" i="95"/>
  <c r="C13" i="95"/>
  <c r="J3" i="77"/>
  <c r="J65" i="91" s="1"/>
  <c r="J4" i="77"/>
  <c r="G24" i="77"/>
  <c r="G23" i="77"/>
  <c r="G17" i="77"/>
  <c r="G3" i="77"/>
  <c r="D13" i="98" s="1"/>
  <c r="G11" i="77"/>
  <c r="G21" i="98" s="1"/>
  <c r="G10" i="77"/>
  <c r="D20" i="97" s="1"/>
  <c r="E207" i="67"/>
  <c r="E206" i="67"/>
  <c r="E199" i="67"/>
  <c r="E198" i="67"/>
  <c r="E197" i="67"/>
  <c r="E190" i="67"/>
  <c r="E189" i="67"/>
  <c r="E188" i="67"/>
  <c r="E181" i="67"/>
  <c r="E180" i="67"/>
  <c r="E179" i="67"/>
  <c r="E172" i="67"/>
  <c r="E171" i="67"/>
  <c r="E170" i="67"/>
  <c r="E163" i="67"/>
  <c r="E162" i="67"/>
  <c r="E161" i="67"/>
  <c r="E154" i="67"/>
  <c r="E153" i="67"/>
  <c r="E152" i="67"/>
  <c r="E145" i="67"/>
  <c r="E144" i="67"/>
  <c r="E143" i="67"/>
  <c r="E136" i="67"/>
  <c r="E135" i="67"/>
  <c r="E134" i="67"/>
  <c r="E127" i="67"/>
  <c r="E126" i="67"/>
  <c r="E125" i="67"/>
  <c r="E118" i="67"/>
  <c r="E117" i="67"/>
  <c r="E116" i="67"/>
  <c r="E109" i="67"/>
  <c r="E108" i="67"/>
  <c r="E107" i="67"/>
  <c r="E100" i="67"/>
  <c r="E99" i="67"/>
  <c r="E98" i="67"/>
  <c r="E91" i="67"/>
  <c r="E90" i="67"/>
  <c r="E89" i="67"/>
  <c r="E82" i="67"/>
  <c r="E81" i="67"/>
  <c r="E80" i="67"/>
  <c r="E73" i="67"/>
  <c r="E72" i="67"/>
  <c r="E71" i="67"/>
  <c r="E64" i="67"/>
  <c r="E63" i="67"/>
  <c r="E62" i="67"/>
  <c r="E55" i="67"/>
  <c r="E54" i="67"/>
  <c r="E53" i="67"/>
  <c r="E46" i="67"/>
  <c r="E45" i="67"/>
  <c r="E44" i="67"/>
  <c r="E37" i="67"/>
  <c r="E36" i="67"/>
  <c r="E35" i="67"/>
  <c r="E28" i="67"/>
  <c r="E27" i="67"/>
  <c r="E26" i="67"/>
  <c r="E19" i="67"/>
  <c r="E18" i="67"/>
  <c r="E17" i="67"/>
  <c r="E10" i="67"/>
  <c r="C24" i="91"/>
  <c r="C57" i="91"/>
  <c r="C28" i="91"/>
  <c r="C70" i="91"/>
  <c r="C15" i="91"/>
  <c r="C11" i="91"/>
  <c r="C2" i="91"/>
  <c r="D96" i="59"/>
  <c r="O77" i="59"/>
  <c r="N77" i="59"/>
  <c r="M77" i="59"/>
  <c r="L77" i="59"/>
  <c r="D68" i="59"/>
  <c r="F59" i="59"/>
  <c r="E59" i="59"/>
  <c r="F88" i="59"/>
  <c r="E89" i="59"/>
  <c r="G12" i="59"/>
  <c r="D12" i="59"/>
  <c r="C21" i="59"/>
  <c r="C20" i="59"/>
  <c r="C13" i="59"/>
  <c r="J77" i="98"/>
  <c r="I77" i="98"/>
  <c r="H77" i="98"/>
  <c r="G77" i="98"/>
  <c r="F77" i="98"/>
  <c r="E77" i="98"/>
  <c r="D77" i="98"/>
  <c r="D50" i="98"/>
  <c r="D36" i="95"/>
  <c r="D36" i="96"/>
  <c r="D36" i="97"/>
  <c r="D36" i="98"/>
  <c r="K12" i="98"/>
  <c r="F51" i="98"/>
  <c r="F37" i="98"/>
  <c r="F28" i="98"/>
  <c r="I12" i="98"/>
  <c r="F12" i="98"/>
  <c r="J77" i="97"/>
  <c r="I77" i="97"/>
  <c r="H77" i="97"/>
  <c r="G77" i="97"/>
  <c r="F77" i="97"/>
  <c r="E77" i="97"/>
  <c r="D77" i="97"/>
  <c r="F59" i="97"/>
  <c r="E59" i="97"/>
  <c r="D50" i="97"/>
  <c r="F51" i="97"/>
  <c r="F12" i="96"/>
  <c r="I12" i="96"/>
  <c r="F37" i="97"/>
  <c r="F28" i="97"/>
  <c r="F12" i="97"/>
  <c r="I12" i="97"/>
  <c r="K12" i="97"/>
  <c r="P92" i="96"/>
  <c r="P88" i="96"/>
  <c r="J77" i="96"/>
  <c r="I77" i="96"/>
  <c r="H77" i="96"/>
  <c r="G77" i="96"/>
  <c r="F77" i="96"/>
  <c r="E77" i="96"/>
  <c r="D77" i="96"/>
  <c r="F59" i="96"/>
  <c r="E59" i="96"/>
  <c r="D50" i="96"/>
  <c r="F51" i="96"/>
  <c r="F37" i="96"/>
  <c r="C24" i="96"/>
  <c r="F28" i="96"/>
  <c r="K12" i="96"/>
  <c r="K12" i="59"/>
  <c r="J77" i="59"/>
  <c r="I77" i="59"/>
  <c r="H77" i="59"/>
  <c r="G77" i="59"/>
  <c r="F77" i="59"/>
  <c r="E77" i="59"/>
  <c r="D77" i="59"/>
  <c r="J77" i="95"/>
  <c r="I77" i="95"/>
  <c r="H77" i="95"/>
  <c r="G77" i="95"/>
  <c r="F77" i="95"/>
  <c r="E77" i="95"/>
  <c r="D77" i="95"/>
  <c r="E59" i="95"/>
  <c r="D50" i="95"/>
  <c r="F59" i="95"/>
  <c r="F37" i="95"/>
  <c r="F51" i="95"/>
  <c r="F28" i="95"/>
  <c r="I12" i="95"/>
  <c r="F12" i="95"/>
  <c r="I12" i="59"/>
  <c r="F12" i="59"/>
  <c r="Q101" i="98"/>
  <c r="Q100" i="98"/>
  <c r="Q99" i="98"/>
  <c r="Q98" i="98"/>
  <c r="Q97" i="98"/>
  <c r="Q96" i="98"/>
  <c r="P92" i="98"/>
  <c r="Q89" i="98"/>
  <c r="P88" i="98"/>
  <c r="O86" i="98"/>
  <c r="C90" i="98"/>
  <c r="I86" i="98"/>
  <c r="B86" i="98"/>
  <c r="C82" i="98"/>
  <c r="C80" i="98"/>
  <c r="C78" i="98"/>
  <c r="B66" i="98"/>
  <c r="C75" i="98"/>
  <c r="C74" i="98"/>
  <c r="C73" i="98"/>
  <c r="C72" i="98"/>
  <c r="C71" i="98"/>
  <c r="C70" i="98"/>
  <c r="C69" i="98"/>
  <c r="C46" i="98"/>
  <c r="C24" i="98"/>
  <c r="B6" i="98"/>
  <c r="C10" i="98"/>
  <c r="Q101" i="97"/>
  <c r="Q100" i="97"/>
  <c r="Q99" i="97"/>
  <c r="Q98" i="97"/>
  <c r="Q97" i="97"/>
  <c r="Q96" i="97"/>
  <c r="P92" i="97"/>
  <c r="Q89" i="97"/>
  <c r="P88" i="97"/>
  <c r="O86" i="97"/>
  <c r="I86" i="97"/>
  <c r="B86" i="97"/>
  <c r="C90" i="97"/>
  <c r="C82" i="97"/>
  <c r="C80" i="97"/>
  <c r="C78" i="97"/>
  <c r="C75" i="97"/>
  <c r="C74" i="97"/>
  <c r="C73" i="97"/>
  <c r="C72" i="97"/>
  <c r="C71" i="97"/>
  <c r="C70" i="97"/>
  <c r="C69" i="97"/>
  <c r="B66" i="97"/>
  <c r="C46" i="97"/>
  <c r="C24" i="97"/>
  <c r="C10" i="97"/>
  <c r="B6" i="97"/>
  <c r="Q101" i="96"/>
  <c r="Q100" i="96"/>
  <c r="Q99" i="96"/>
  <c r="Q98" i="96"/>
  <c r="Q97" i="96"/>
  <c r="Q96" i="96"/>
  <c r="Q89" i="96"/>
  <c r="O86" i="96"/>
  <c r="I86" i="96"/>
  <c r="C90" i="96"/>
  <c r="B86" i="96"/>
  <c r="C82" i="96"/>
  <c r="C80" i="96"/>
  <c r="C78" i="96"/>
  <c r="C75" i="96"/>
  <c r="C74" i="96"/>
  <c r="C73" i="96"/>
  <c r="C72" i="96"/>
  <c r="C71" i="96"/>
  <c r="C70" i="96"/>
  <c r="C69" i="96"/>
  <c r="B66" i="96"/>
  <c r="C46" i="96"/>
  <c r="B6" i="96"/>
  <c r="C10" i="96"/>
  <c r="Q101" i="95"/>
  <c r="Q100" i="95"/>
  <c r="Q99" i="95"/>
  <c r="Q98" i="95"/>
  <c r="Q97" i="95"/>
  <c r="Q96" i="95"/>
  <c r="Q89" i="95"/>
  <c r="Q89" i="59"/>
  <c r="P92" i="95"/>
  <c r="P88" i="95"/>
  <c r="P92" i="59"/>
  <c r="P88" i="59"/>
  <c r="O86" i="95"/>
  <c r="I86" i="95"/>
  <c r="B86" i="95"/>
  <c r="B66" i="95"/>
  <c r="C90" i="95"/>
  <c r="C90" i="59"/>
  <c r="C82" i="95"/>
  <c r="C80" i="95"/>
  <c r="C78" i="95"/>
  <c r="C75" i="95"/>
  <c r="C74" i="95"/>
  <c r="C73" i="95"/>
  <c r="C72" i="95"/>
  <c r="C71" i="95"/>
  <c r="C70" i="95"/>
  <c r="C69" i="95"/>
  <c r="C46" i="95"/>
  <c r="C24" i="95"/>
  <c r="B6" i="59"/>
  <c r="B6" i="95"/>
  <c r="C10" i="95"/>
  <c r="C8" i="91"/>
  <c r="C6" i="91"/>
  <c r="Q101" i="59"/>
  <c r="C308" i="67" s="1"/>
  <c r="C298" i="67" s="1"/>
  <c r="Q100" i="59"/>
  <c r="C307" i="67" s="1"/>
  <c r="C297" i="67" s="1"/>
  <c r="Q99" i="59"/>
  <c r="C306" i="67" s="1"/>
  <c r="C296" i="67" s="1"/>
  <c r="Q98" i="59"/>
  <c r="C305" i="67" s="1"/>
  <c r="C295" i="67" s="1"/>
  <c r="Q97" i="59"/>
  <c r="C304" i="67" s="1"/>
  <c r="C294" i="67" s="1"/>
  <c r="Q96" i="59"/>
  <c r="C303" i="67" s="1"/>
  <c r="C293" i="67" s="1"/>
  <c r="C75" i="59"/>
  <c r="C225" i="67" s="1"/>
  <c r="C74" i="59"/>
  <c r="C224" i="67" s="1"/>
  <c r="C73" i="59"/>
  <c r="C223" i="67" s="1"/>
  <c r="C72" i="59"/>
  <c r="C222" i="67" s="1"/>
  <c r="C71" i="59"/>
  <c r="C221" i="67" s="1"/>
  <c r="C70" i="59"/>
  <c r="C220" i="67" s="1"/>
  <c r="C82" i="59"/>
  <c r="C234" i="67" s="1"/>
  <c r="C80" i="59"/>
  <c r="C231" i="67" s="1"/>
  <c r="C78" i="59"/>
  <c r="C229" i="67" s="1"/>
  <c r="F28" i="59"/>
  <c r="F37" i="59"/>
  <c r="F51" i="59"/>
  <c r="D50" i="59"/>
  <c r="F23" i="55"/>
  <c r="M37" i="55"/>
  <c r="M55" i="55"/>
  <c r="M77" i="55"/>
  <c r="L81" i="55"/>
  <c r="L123" i="55"/>
  <c r="L122" i="55"/>
  <c r="L121" i="55"/>
  <c r="L120" i="55"/>
  <c r="L119" i="55"/>
  <c r="L118" i="55"/>
  <c r="O86" i="59"/>
  <c r="I86" i="59"/>
  <c r="B66" i="59"/>
  <c r="B86" i="59"/>
  <c r="C24" i="59"/>
  <c r="C68" i="91" s="1"/>
  <c r="C10" i="59"/>
  <c r="C61" i="91" s="1"/>
  <c r="O8" i="59"/>
  <c r="D36" i="59"/>
  <c r="C80" i="91" s="1"/>
  <c r="C46" i="59"/>
  <c r="C91" i="91" s="1"/>
  <c r="D8" i="71"/>
  <c r="D7" i="71"/>
  <c r="D6" i="71"/>
  <c r="R90" i="98"/>
  <c r="R89" i="98"/>
  <c r="D89" i="98"/>
  <c r="D75" i="98"/>
  <c r="D74" i="98"/>
  <c r="D70" i="98"/>
  <c r="D69" i="98"/>
  <c r="G14" i="98"/>
  <c r="G15" i="98"/>
  <c r="G16" i="98"/>
  <c r="G17" i="98"/>
  <c r="G18" i="98"/>
  <c r="G19" i="98"/>
  <c r="G13" i="98"/>
  <c r="D14" i="98"/>
  <c r="D15" i="98"/>
  <c r="D16" i="98"/>
  <c r="D17" i="98"/>
  <c r="D18" i="98"/>
  <c r="D19" i="98"/>
  <c r="C41" i="98"/>
  <c r="C33" i="98"/>
  <c r="C32" i="98"/>
  <c r="C31" i="98"/>
  <c r="A23" i="98"/>
  <c r="A22" i="98"/>
  <c r="A21" i="98"/>
  <c r="A19" i="98"/>
  <c r="A18" i="98"/>
  <c r="A17" i="98"/>
  <c r="A16" i="98"/>
  <c r="G11" i="98"/>
  <c r="D11" i="98"/>
  <c r="A10" i="98"/>
  <c r="A9" i="98"/>
  <c r="A8" i="98"/>
  <c r="A7" i="98"/>
  <c r="A6" i="98"/>
  <c r="C2" i="98"/>
  <c r="R90" i="97"/>
  <c r="R89" i="97"/>
  <c r="D89" i="97"/>
  <c r="D75" i="97"/>
  <c r="D74" i="97"/>
  <c r="D70" i="97"/>
  <c r="D69" i="97"/>
  <c r="G14" i="97"/>
  <c r="G15" i="97"/>
  <c r="G16" i="97"/>
  <c r="G17" i="97"/>
  <c r="G18" i="97"/>
  <c r="G19" i="97"/>
  <c r="G21" i="97"/>
  <c r="D14" i="97"/>
  <c r="D15" i="97"/>
  <c r="D16" i="97"/>
  <c r="D17" i="97"/>
  <c r="D18" i="97"/>
  <c r="D19" i="97"/>
  <c r="A23" i="97"/>
  <c r="A22" i="97"/>
  <c r="A21" i="97"/>
  <c r="A19" i="97"/>
  <c r="A18" i="97"/>
  <c r="A17" i="97"/>
  <c r="A16" i="97"/>
  <c r="G11" i="97"/>
  <c r="D11" i="97"/>
  <c r="A10" i="97"/>
  <c r="A9" i="97"/>
  <c r="A8" i="97"/>
  <c r="A7" i="97"/>
  <c r="A6" i="97"/>
  <c r="C2" i="97"/>
  <c r="D21" i="98" l="1"/>
  <c r="C30" i="97"/>
  <c r="C30" i="96"/>
  <c r="C30" i="98"/>
  <c r="C30" i="95"/>
  <c r="G20" i="97"/>
  <c r="G20" i="98"/>
  <c r="G22" i="98" s="1"/>
  <c r="D21" i="97"/>
  <c r="D13" i="97"/>
  <c r="G13" i="97"/>
  <c r="H64" i="91"/>
  <c r="H65" i="91"/>
  <c r="J64" i="91"/>
  <c r="D20" i="98"/>
  <c r="R90" i="96"/>
  <c r="S90" i="96" s="1"/>
  <c r="R89" i="96"/>
  <c r="R90" i="95"/>
  <c r="S90" i="95" s="1"/>
  <c r="R89" i="95"/>
  <c r="G14" i="96"/>
  <c r="G15" i="96"/>
  <c r="G16" i="96"/>
  <c r="G17" i="96"/>
  <c r="G18" i="96"/>
  <c r="G19" i="96"/>
  <c r="G20" i="96"/>
  <c r="G21" i="96"/>
  <c r="G13" i="96"/>
  <c r="D89" i="96"/>
  <c r="D75" i="96"/>
  <c r="D74" i="96"/>
  <c r="D70" i="96"/>
  <c r="D70" i="95"/>
  <c r="D14" i="96"/>
  <c r="D15" i="96"/>
  <c r="D16" i="96"/>
  <c r="D17" i="96"/>
  <c r="D18" i="96"/>
  <c r="D19" i="96"/>
  <c r="D20" i="96"/>
  <c r="D21" i="96"/>
  <c r="D13" i="96"/>
  <c r="A23" i="96"/>
  <c r="A22" i="96"/>
  <c r="A21" i="96"/>
  <c r="A19" i="96"/>
  <c r="A18" i="96"/>
  <c r="A17" i="96"/>
  <c r="A16" i="96"/>
  <c r="G11" i="96"/>
  <c r="D11" i="96"/>
  <c r="A10" i="96"/>
  <c r="A9" i="96"/>
  <c r="A8" i="96"/>
  <c r="A7" i="96"/>
  <c r="A6" i="96"/>
  <c r="C2" i="96"/>
  <c r="G92" i="74"/>
  <c r="R97" i="59"/>
  <c r="R98" i="59"/>
  <c r="R99" i="59"/>
  <c r="R100" i="59"/>
  <c r="R101" i="59"/>
  <c r="R96" i="59"/>
  <c r="D22" i="98" l="1"/>
  <c r="G22" i="97"/>
  <c r="D22" i="97"/>
  <c r="N13" i="96"/>
  <c r="D22" i="96"/>
  <c r="O13" i="96"/>
  <c r="G22" i="96"/>
  <c r="D107" i="55" l="1"/>
  <c r="D89" i="95"/>
  <c r="D75" i="95"/>
  <c r="D74" i="95"/>
  <c r="G14" i="95"/>
  <c r="G15" i="95"/>
  <c r="G16" i="95"/>
  <c r="G17" i="95"/>
  <c r="G18" i="95"/>
  <c r="G19" i="95"/>
  <c r="G20" i="95"/>
  <c r="G21" i="95"/>
  <c r="G13" i="95"/>
  <c r="D14" i="95"/>
  <c r="D15" i="95"/>
  <c r="D16" i="95"/>
  <c r="D17" i="95"/>
  <c r="D18" i="95"/>
  <c r="D19" i="95"/>
  <c r="D20" i="95"/>
  <c r="D21" i="95"/>
  <c r="D13" i="95"/>
  <c r="D13" i="59"/>
  <c r="D14" i="59"/>
  <c r="D15" i="59"/>
  <c r="D16" i="59"/>
  <c r="D17" i="59"/>
  <c r="D18" i="59"/>
  <c r="D19" i="59"/>
  <c r="D20" i="59"/>
  <c r="D21" i="59"/>
  <c r="C41" i="95"/>
  <c r="A23" i="95"/>
  <c r="A22" i="95"/>
  <c r="A21" i="95"/>
  <c r="A19" i="95"/>
  <c r="A18" i="95"/>
  <c r="A17" i="95"/>
  <c r="A16" i="95"/>
  <c r="G11" i="95"/>
  <c r="D11" i="95"/>
  <c r="A10" i="95"/>
  <c r="A9" i="95"/>
  <c r="A8" i="95"/>
  <c r="A7" i="95"/>
  <c r="A6" i="95"/>
  <c r="C2" i="95"/>
  <c r="D22" i="95" l="1"/>
  <c r="G22" i="95"/>
  <c r="D207" i="74"/>
  <c r="D206" i="74"/>
  <c r="D205" i="74"/>
  <c r="D69" i="96"/>
  <c r="M26" i="55"/>
  <c r="N26" i="55"/>
  <c r="D69" i="95" s="1"/>
  <c r="P118" i="74"/>
  <c r="M118" i="74"/>
  <c r="J118" i="74"/>
  <c r="H119" i="74"/>
  <c r="K119" i="74" s="1"/>
  <c r="H120" i="74"/>
  <c r="K120" i="74" s="1"/>
  <c r="H121" i="74"/>
  <c r="K121" i="74" s="1"/>
  <c r="H122" i="74"/>
  <c r="K122" i="74" s="1"/>
  <c r="H123" i="74"/>
  <c r="K123" i="74" s="1"/>
  <c r="H118" i="74"/>
  <c r="K118" i="74" s="1"/>
  <c r="N118" i="74" s="1"/>
  <c r="Q118" i="74" s="1"/>
  <c r="G119" i="74"/>
  <c r="G120" i="74"/>
  <c r="G121" i="74"/>
  <c r="G122" i="74"/>
  <c r="G123" i="74"/>
  <c r="G118" i="74"/>
  <c r="D119" i="74"/>
  <c r="D120" i="74"/>
  <c r="D121" i="74"/>
  <c r="D122" i="74"/>
  <c r="D123" i="74"/>
  <c r="D118" i="74"/>
  <c r="E124" i="74"/>
  <c r="N123" i="74" l="1"/>
  <c r="N122" i="74"/>
  <c r="N119" i="74"/>
  <c r="N120" i="74"/>
  <c r="N121" i="74"/>
  <c r="D73" i="91"/>
  <c r="H118" i="94" s="1"/>
  <c r="E118" i="94"/>
  <c r="E119" i="94"/>
  <c r="F119" i="94" s="1"/>
  <c r="E120" i="94"/>
  <c r="E121" i="94"/>
  <c r="E122" i="94"/>
  <c r="F122" i="94" s="1"/>
  <c r="D74" i="91"/>
  <c r="H119" i="94" s="1"/>
  <c r="D75" i="91"/>
  <c r="H120" i="94" s="1"/>
  <c r="D76" i="91"/>
  <c r="H121" i="94" s="1"/>
  <c r="D77" i="91"/>
  <c r="H122" i="94" s="1"/>
  <c r="J122" i="94" s="1"/>
  <c r="F73" i="91"/>
  <c r="K118" i="94" s="1"/>
  <c r="F74" i="91"/>
  <c r="K119" i="94" s="1"/>
  <c r="F75" i="91"/>
  <c r="K120" i="94" s="1"/>
  <c r="M120" i="94" s="1"/>
  <c r="F76" i="91"/>
  <c r="K121" i="94" s="1"/>
  <c r="F77" i="91"/>
  <c r="K122" i="94" s="1"/>
  <c r="H73" i="91"/>
  <c r="N118" i="94" s="1"/>
  <c r="H74" i="91"/>
  <c r="N119" i="94" s="1"/>
  <c r="H75" i="91"/>
  <c r="N120" i="94" s="1"/>
  <c r="H76" i="91"/>
  <c r="N121" i="94" s="1"/>
  <c r="H77" i="91"/>
  <c r="N122" i="94" s="1"/>
  <c r="J73" i="91"/>
  <c r="Q118" i="94" s="1"/>
  <c r="J74" i="91"/>
  <c r="Q119" i="94" s="1"/>
  <c r="J75" i="91"/>
  <c r="Q120" i="94" s="1"/>
  <c r="S120" i="94" s="1"/>
  <c r="J76" i="91"/>
  <c r="Q121" i="94" s="1"/>
  <c r="J77" i="91"/>
  <c r="Q122" i="94" s="1"/>
  <c r="Q101" i="94"/>
  <c r="Q102" i="94"/>
  <c r="Q103" i="94"/>
  <c r="Q104" i="94"/>
  <c r="Q105" i="94"/>
  <c r="Q106" i="94"/>
  <c r="Q107" i="94"/>
  <c r="N101" i="94"/>
  <c r="N102" i="94"/>
  <c r="N103" i="94"/>
  <c r="N104" i="94"/>
  <c r="N105" i="94"/>
  <c r="N106" i="94"/>
  <c r="N107" i="94"/>
  <c r="K101" i="94"/>
  <c r="K102" i="94"/>
  <c r="K103" i="94"/>
  <c r="K104" i="94"/>
  <c r="K105" i="94"/>
  <c r="K106" i="94"/>
  <c r="K107" i="94"/>
  <c r="H101" i="94"/>
  <c r="H102" i="94"/>
  <c r="H103" i="94"/>
  <c r="H104" i="94"/>
  <c r="H105" i="94"/>
  <c r="H106" i="94"/>
  <c r="H107" i="94"/>
  <c r="E101" i="94"/>
  <c r="E102" i="94"/>
  <c r="E103" i="94"/>
  <c r="E104" i="94"/>
  <c r="E105" i="94"/>
  <c r="E106" i="94"/>
  <c r="E107" i="94"/>
  <c r="Q100" i="94"/>
  <c r="N100" i="94"/>
  <c r="K100" i="94"/>
  <c r="H100" i="94"/>
  <c r="E100" i="94"/>
  <c r="Q91" i="94"/>
  <c r="Q92" i="94"/>
  <c r="Q93" i="94"/>
  <c r="Q94" i="94"/>
  <c r="Q95" i="94"/>
  <c r="Q96" i="94"/>
  <c r="Q97" i="94"/>
  <c r="N91" i="94"/>
  <c r="N92" i="94"/>
  <c r="N93" i="94"/>
  <c r="N94" i="94"/>
  <c r="N95" i="94"/>
  <c r="N96" i="94"/>
  <c r="N97" i="94"/>
  <c r="K91" i="94"/>
  <c r="K92" i="94"/>
  <c r="K93" i="94"/>
  <c r="K94" i="94"/>
  <c r="K95" i="94"/>
  <c r="K96" i="94"/>
  <c r="K97" i="94"/>
  <c r="H91" i="94"/>
  <c r="H92" i="94"/>
  <c r="H93" i="94"/>
  <c r="H94" i="94"/>
  <c r="H95" i="94"/>
  <c r="H96" i="94"/>
  <c r="H97" i="94"/>
  <c r="E91" i="94"/>
  <c r="E92" i="94"/>
  <c r="E93" i="94"/>
  <c r="E94" i="94"/>
  <c r="E95" i="94"/>
  <c r="E96" i="94"/>
  <c r="E97" i="94"/>
  <c r="Q90" i="94"/>
  <c r="N90" i="94"/>
  <c r="K90" i="94"/>
  <c r="H90" i="94"/>
  <c r="E90" i="94"/>
  <c r="Q81" i="94"/>
  <c r="Q82" i="94"/>
  <c r="Q83" i="94"/>
  <c r="Q84" i="94"/>
  <c r="Q85" i="94"/>
  <c r="Q86" i="94"/>
  <c r="Q87" i="94"/>
  <c r="N81" i="94"/>
  <c r="N82" i="94"/>
  <c r="N83" i="94"/>
  <c r="N84" i="94"/>
  <c r="N85" i="94"/>
  <c r="N86" i="94"/>
  <c r="N87" i="94"/>
  <c r="K81" i="94"/>
  <c r="K82" i="94"/>
  <c r="K83" i="94"/>
  <c r="K84" i="94"/>
  <c r="K85" i="94"/>
  <c r="K86" i="94"/>
  <c r="K87" i="94"/>
  <c r="H81" i="94"/>
  <c r="H82" i="94"/>
  <c r="H83" i="94"/>
  <c r="H84" i="94"/>
  <c r="H85" i="94"/>
  <c r="H86" i="94"/>
  <c r="H87" i="94"/>
  <c r="E81" i="94"/>
  <c r="E82" i="94"/>
  <c r="E83" i="94"/>
  <c r="E84" i="94"/>
  <c r="E85" i="94"/>
  <c r="E86" i="94"/>
  <c r="E87" i="94"/>
  <c r="Q80" i="94"/>
  <c r="N80" i="94"/>
  <c r="K80" i="94"/>
  <c r="H80" i="94"/>
  <c r="E80" i="94"/>
  <c r="Q71" i="94"/>
  <c r="Q72" i="94"/>
  <c r="Q73" i="94"/>
  <c r="Q74" i="94"/>
  <c r="Q75" i="94"/>
  <c r="Q76" i="94"/>
  <c r="Q77" i="94"/>
  <c r="N71" i="94"/>
  <c r="N72" i="94"/>
  <c r="N73" i="94"/>
  <c r="N74" i="94"/>
  <c r="N75" i="94"/>
  <c r="N76" i="94"/>
  <c r="N77" i="94"/>
  <c r="K71" i="94"/>
  <c r="K72" i="94"/>
  <c r="K73" i="94"/>
  <c r="K74" i="94"/>
  <c r="K75" i="94"/>
  <c r="K76" i="94"/>
  <c r="K77" i="94"/>
  <c r="H71" i="94"/>
  <c r="H72" i="94"/>
  <c r="H73" i="94"/>
  <c r="H74" i="94"/>
  <c r="H75" i="94"/>
  <c r="H76" i="94"/>
  <c r="H77" i="94"/>
  <c r="E71" i="94"/>
  <c r="E72" i="94"/>
  <c r="E73" i="94"/>
  <c r="E74" i="94"/>
  <c r="E75" i="94"/>
  <c r="E76" i="94"/>
  <c r="E77" i="94"/>
  <c r="Q70" i="94"/>
  <c r="N70" i="94"/>
  <c r="K70" i="94"/>
  <c r="H70" i="94"/>
  <c r="E70" i="94"/>
  <c r="Q54" i="94"/>
  <c r="Q55" i="94"/>
  <c r="Q56" i="94"/>
  <c r="Q57" i="94"/>
  <c r="Q58" i="94"/>
  <c r="Q59" i="94"/>
  <c r="Q60" i="94"/>
  <c r="N54" i="94"/>
  <c r="N55" i="94"/>
  <c r="N56" i="94"/>
  <c r="N57" i="94"/>
  <c r="N58" i="94"/>
  <c r="N59" i="94"/>
  <c r="N60" i="94"/>
  <c r="K54" i="94"/>
  <c r="K55" i="94"/>
  <c r="K56" i="94"/>
  <c r="K57" i="94"/>
  <c r="K58" i="94"/>
  <c r="K59" i="94"/>
  <c r="K60" i="94"/>
  <c r="H54" i="94"/>
  <c r="H55" i="94"/>
  <c r="H56" i="94"/>
  <c r="H57" i="94"/>
  <c r="H58" i="94"/>
  <c r="H59" i="94"/>
  <c r="H60" i="94"/>
  <c r="E54" i="94"/>
  <c r="E55" i="94"/>
  <c r="E56" i="94"/>
  <c r="E57" i="94"/>
  <c r="E58" i="94"/>
  <c r="E59" i="94"/>
  <c r="E60" i="94"/>
  <c r="Q53" i="94"/>
  <c r="N53" i="94"/>
  <c r="K53" i="94"/>
  <c r="H53" i="94"/>
  <c r="E53" i="94"/>
  <c r="Q44" i="94"/>
  <c r="Q45" i="94"/>
  <c r="Q46" i="94"/>
  <c r="Q47" i="94"/>
  <c r="Q48" i="94"/>
  <c r="Q49" i="94"/>
  <c r="Q50" i="94"/>
  <c r="N44" i="94"/>
  <c r="N45" i="94"/>
  <c r="N46" i="94"/>
  <c r="N47" i="94"/>
  <c r="N48" i="94"/>
  <c r="N49" i="94"/>
  <c r="N50" i="94"/>
  <c r="K44" i="94"/>
  <c r="K45" i="94"/>
  <c r="K46" i="94"/>
  <c r="K47" i="94"/>
  <c r="K48" i="94"/>
  <c r="K49" i="94"/>
  <c r="K50" i="94"/>
  <c r="H44" i="94"/>
  <c r="H45" i="94"/>
  <c r="H46" i="94"/>
  <c r="H47" i="94"/>
  <c r="H48" i="94"/>
  <c r="H49" i="94"/>
  <c r="H50" i="94"/>
  <c r="E44" i="94"/>
  <c r="E45" i="94"/>
  <c r="E46" i="94"/>
  <c r="E47" i="94"/>
  <c r="E48" i="94"/>
  <c r="E49" i="94"/>
  <c r="E50" i="94"/>
  <c r="Q43" i="94"/>
  <c r="N43" i="94"/>
  <c r="K43" i="94"/>
  <c r="H43" i="94"/>
  <c r="E43" i="94"/>
  <c r="Q34" i="94"/>
  <c r="Q35" i="94"/>
  <c r="Q36" i="94"/>
  <c r="Q37" i="94"/>
  <c r="Q38" i="94"/>
  <c r="Q39" i="94"/>
  <c r="Q40" i="94"/>
  <c r="Q33" i="94"/>
  <c r="N34" i="94"/>
  <c r="N35" i="94"/>
  <c r="N36" i="94"/>
  <c r="N37" i="94"/>
  <c r="N38" i="94"/>
  <c r="N39" i="94"/>
  <c r="N40" i="94"/>
  <c r="K40" i="94"/>
  <c r="K34" i="94"/>
  <c r="K35" i="94"/>
  <c r="K36" i="94"/>
  <c r="K37" i="94"/>
  <c r="K38" i="94"/>
  <c r="K39" i="94"/>
  <c r="H34" i="94"/>
  <c r="H35" i="94"/>
  <c r="H36" i="94"/>
  <c r="H37" i="94"/>
  <c r="H38" i="94"/>
  <c r="H39" i="94"/>
  <c r="H40" i="94"/>
  <c r="E34" i="94"/>
  <c r="E35" i="94"/>
  <c r="E36" i="94"/>
  <c r="E37" i="94"/>
  <c r="E38" i="94"/>
  <c r="E39" i="94"/>
  <c r="E40" i="94"/>
  <c r="N33" i="94"/>
  <c r="K33" i="94"/>
  <c r="H33" i="94"/>
  <c r="E33" i="94"/>
  <c r="Q24" i="94"/>
  <c r="Q25" i="94"/>
  <c r="Q26" i="94"/>
  <c r="Q27" i="94"/>
  <c r="Q28" i="94"/>
  <c r="Q29" i="94"/>
  <c r="Q30" i="94"/>
  <c r="Q23" i="94"/>
  <c r="N24" i="94"/>
  <c r="N25" i="94"/>
  <c r="N26" i="94"/>
  <c r="N27" i="94"/>
  <c r="N28" i="94"/>
  <c r="N29" i="94"/>
  <c r="N30" i="94"/>
  <c r="N23" i="94"/>
  <c r="K24" i="94"/>
  <c r="K25" i="94"/>
  <c r="K26" i="94"/>
  <c r="K27" i="94"/>
  <c r="K28" i="94"/>
  <c r="K29" i="94"/>
  <c r="K30" i="94"/>
  <c r="K23" i="94"/>
  <c r="H24" i="94"/>
  <c r="H25" i="94"/>
  <c r="H26" i="94"/>
  <c r="H27" i="94"/>
  <c r="H28" i="94"/>
  <c r="H29" i="94"/>
  <c r="H30" i="94"/>
  <c r="H23" i="94"/>
  <c r="E24" i="94"/>
  <c r="E25" i="94"/>
  <c r="E26" i="94"/>
  <c r="E27" i="94"/>
  <c r="E28" i="94"/>
  <c r="E29" i="94"/>
  <c r="E30" i="94"/>
  <c r="E23" i="94"/>
  <c r="Q14" i="94"/>
  <c r="Q15" i="94"/>
  <c r="Q16" i="94"/>
  <c r="Q17" i="94"/>
  <c r="Q18" i="94"/>
  <c r="Q19" i="94"/>
  <c r="Q20" i="94"/>
  <c r="N14" i="94"/>
  <c r="N15" i="94"/>
  <c r="N16" i="94"/>
  <c r="N17" i="94"/>
  <c r="N18" i="94"/>
  <c r="N19" i="94"/>
  <c r="N20" i="94"/>
  <c r="K14" i="94"/>
  <c r="K15" i="94"/>
  <c r="K16" i="94"/>
  <c r="K17" i="94"/>
  <c r="K18" i="94"/>
  <c r="K19" i="94"/>
  <c r="K20" i="94"/>
  <c r="H14" i="94"/>
  <c r="H15" i="94"/>
  <c r="H16" i="94"/>
  <c r="H17" i="94"/>
  <c r="H18" i="94"/>
  <c r="H19" i="94"/>
  <c r="H20" i="94"/>
  <c r="E14" i="94"/>
  <c r="E15" i="94"/>
  <c r="E16" i="94"/>
  <c r="E17" i="94"/>
  <c r="E18" i="94"/>
  <c r="E19" i="94"/>
  <c r="E20" i="94"/>
  <c r="Q13" i="94"/>
  <c r="N13" i="94"/>
  <c r="K13" i="94"/>
  <c r="H13" i="94"/>
  <c r="E13" i="94"/>
  <c r="C123" i="94"/>
  <c r="G121" i="94"/>
  <c r="F121" i="94"/>
  <c r="G120" i="94"/>
  <c r="G119" i="94"/>
  <c r="C42" i="94"/>
  <c r="N31" i="94"/>
  <c r="H84" i="91" s="1"/>
  <c r="A22" i="94"/>
  <c r="A21" i="94"/>
  <c r="A18" i="94"/>
  <c r="A17" i="94"/>
  <c r="A16" i="94"/>
  <c r="A10" i="94"/>
  <c r="A9" i="94"/>
  <c r="A8" i="94"/>
  <c r="A7" i="94"/>
  <c r="A6" i="94"/>
  <c r="C2" i="94"/>
  <c r="N108" i="67"/>
  <c r="N100" i="67"/>
  <c r="O99" i="67"/>
  <c r="N99" i="67"/>
  <c r="O91" i="67"/>
  <c r="N91" i="67"/>
  <c r="O90" i="67"/>
  <c r="N90" i="67"/>
  <c r="O82" i="67"/>
  <c r="N82" i="67"/>
  <c r="N81" i="67"/>
  <c r="N73" i="67"/>
  <c r="O72" i="67"/>
  <c r="N72" i="67"/>
  <c r="O64" i="67"/>
  <c r="N64" i="67"/>
  <c r="O63" i="67"/>
  <c r="N63" i="67"/>
  <c r="O55" i="67"/>
  <c r="N55" i="67"/>
  <c r="O54" i="67"/>
  <c r="N54" i="67"/>
  <c r="O46" i="67"/>
  <c r="N46" i="67"/>
  <c r="O45" i="67"/>
  <c r="N45" i="67"/>
  <c r="O37" i="67"/>
  <c r="N37" i="67"/>
  <c r="O36" i="67"/>
  <c r="N36" i="67"/>
  <c r="O28" i="67"/>
  <c r="N28" i="67"/>
  <c r="O27" i="67"/>
  <c r="N27" i="67"/>
  <c r="O19" i="67"/>
  <c r="N19" i="67"/>
  <c r="O18" i="67"/>
  <c r="N18" i="67"/>
  <c r="O10" i="67"/>
  <c r="N10" i="67"/>
  <c r="G89" i="74"/>
  <c r="G90" i="74"/>
  <c r="G91" i="74"/>
  <c r="G88" i="74"/>
  <c r="G78" i="74"/>
  <c r="E89" i="74" s="1"/>
  <c r="G79" i="74"/>
  <c r="F89" i="74" s="1"/>
  <c r="G77" i="74"/>
  <c r="D92" i="74" s="1"/>
  <c r="Q121" i="74" l="1"/>
  <c r="O121" i="74"/>
  <c r="Q119" i="74"/>
  <c r="O119" i="74"/>
  <c r="Q120" i="74"/>
  <c r="O120" i="74"/>
  <c r="Q122" i="74"/>
  <c r="O122" i="74"/>
  <c r="Q123" i="74"/>
  <c r="O123" i="74"/>
  <c r="L119" i="94"/>
  <c r="G74" i="91" s="1"/>
  <c r="M119" i="94"/>
  <c r="P121" i="94"/>
  <c r="O121" i="94"/>
  <c r="I76" i="91" s="1"/>
  <c r="E98" i="94"/>
  <c r="K98" i="94"/>
  <c r="F99" i="91" s="1"/>
  <c r="H31" i="94"/>
  <c r="N88" i="94"/>
  <c r="H98" i="91" s="1"/>
  <c r="L121" i="94"/>
  <c r="G76" i="91" s="1"/>
  <c r="M121" i="94"/>
  <c r="R122" i="94"/>
  <c r="K77" i="91" s="1"/>
  <c r="S122" i="94"/>
  <c r="J119" i="94"/>
  <c r="I119" i="94"/>
  <c r="E74" i="91" s="1"/>
  <c r="S121" i="94"/>
  <c r="R121" i="94"/>
  <c r="K76" i="91" s="1"/>
  <c r="O119" i="94"/>
  <c r="I74" i="91" s="1"/>
  <c r="P119" i="94"/>
  <c r="P122" i="94"/>
  <c r="O122" i="94"/>
  <c r="I77" i="91" s="1"/>
  <c r="R119" i="94"/>
  <c r="K74" i="91" s="1"/>
  <c r="S119" i="94"/>
  <c r="M122" i="94"/>
  <c r="L122" i="94"/>
  <c r="G77" i="91" s="1"/>
  <c r="I121" i="94"/>
  <c r="E76" i="91" s="1"/>
  <c r="J121" i="94"/>
  <c r="Q31" i="94"/>
  <c r="J84" i="91" s="1"/>
  <c r="E88" i="94"/>
  <c r="K88" i="94"/>
  <c r="F98" i="91" s="1"/>
  <c r="Q88" i="94"/>
  <c r="J98" i="91" s="1"/>
  <c r="H98" i="94"/>
  <c r="D99" i="91" s="1"/>
  <c r="E78" i="94"/>
  <c r="H88" i="94"/>
  <c r="D98" i="91" s="1"/>
  <c r="H108" i="94"/>
  <c r="D100" i="91" s="1"/>
  <c r="Q98" i="94"/>
  <c r="J99" i="91" s="1"/>
  <c r="E108" i="94"/>
  <c r="K108" i="94"/>
  <c r="F100" i="91" s="1"/>
  <c r="H41" i="94"/>
  <c r="H78" i="94"/>
  <c r="D97" i="91" s="1"/>
  <c r="K31" i="94"/>
  <c r="F84" i="91" s="1"/>
  <c r="N78" i="94"/>
  <c r="H97" i="91" s="1"/>
  <c r="I122" i="94"/>
  <c r="E77" i="91" s="1"/>
  <c r="G122" i="94"/>
  <c r="Q108" i="94"/>
  <c r="J100" i="91" s="1"/>
  <c r="N108" i="94"/>
  <c r="H100" i="91" s="1"/>
  <c r="N98" i="94"/>
  <c r="H99" i="91" s="1"/>
  <c r="N41" i="94"/>
  <c r="H85" i="91" s="1"/>
  <c r="E31" i="94"/>
  <c r="D84" i="91" s="1"/>
  <c r="K21" i="94"/>
  <c r="F83" i="91" s="1"/>
  <c r="H21" i="94"/>
  <c r="D83" i="91" s="1"/>
  <c r="E21" i="94"/>
  <c r="N21" i="94"/>
  <c r="H83" i="91" s="1"/>
  <c r="K51" i="94"/>
  <c r="F86" i="91" s="1"/>
  <c r="K61" i="94"/>
  <c r="F87" i="91" s="1"/>
  <c r="H51" i="94"/>
  <c r="E51" i="94"/>
  <c r="D86" i="91" s="1"/>
  <c r="E41" i="94"/>
  <c r="D85" i="91" s="1"/>
  <c r="K41" i="94"/>
  <c r="F85" i="91" s="1"/>
  <c r="Q41" i="94"/>
  <c r="J85" i="91" s="1"/>
  <c r="E61" i="94"/>
  <c r="D87" i="91" s="1"/>
  <c r="N61" i="94"/>
  <c r="H87" i="91" s="1"/>
  <c r="Q21" i="94"/>
  <c r="J83" i="91" s="1"/>
  <c r="Q51" i="94"/>
  <c r="J86" i="91" s="1"/>
  <c r="N51" i="94"/>
  <c r="H86" i="91" s="1"/>
  <c r="H61" i="94"/>
  <c r="Q61" i="94"/>
  <c r="J87" i="91" s="1"/>
  <c r="K78" i="94"/>
  <c r="Q78" i="94"/>
  <c r="J120" i="94"/>
  <c r="I120" i="94"/>
  <c r="E75" i="91" s="1"/>
  <c r="P120" i="94"/>
  <c r="O120" i="94"/>
  <c r="I75" i="91" s="1"/>
  <c r="H123" i="94"/>
  <c r="N123" i="94"/>
  <c r="E123" i="94"/>
  <c r="K123" i="94"/>
  <c r="Q123" i="94"/>
  <c r="F120" i="94"/>
  <c r="L120" i="94"/>
  <c r="G75" i="91" s="1"/>
  <c r="R120" i="94"/>
  <c r="K75" i="91" s="1"/>
  <c r="D90" i="74"/>
  <c r="F88" i="74"/>
  <c r="F92" i="74"/>
  <c r="E88" i="74"/>
  <c r="D89" i="74"/>
  <c r="I89" i="74" s="1"/>
  <c r="E212" i="67" s="1"/>
  <c r="F91" i="74"/>
  <c r="E92" i="74"/>
  <c r="F90" i="74"/>
  <c r="D88" i="74"/>
  <c r="E91" i="74"/>
  <c r="D91" i="74"/>
  <c r="E90" i="74"/>
  <c r="G118" i="94" l="1"/>
  <c r="G123" i="94" s="1"/>
  <c r="E110" i="94"/>
  <c r="H110" i="94"/>
  <c r="Q110" i="94"/>
  <c r="J97" i="91"/>
  <c r="K110" i="94"/>
  <c r="F97" i="91"/>
  <c r="N110" i="94"/>
  <c r="J118" i="94"/>
  <c r="J123" i="94" s="1"/>
  <c r="E63" i="94"/>
  <c r="N63" i="94"/>
  <c r="K63" i="94"/>
  <c r="H63" i="94"/>
  <c r="Q63" i="94"/>
  <c r="I92" i="74"/>
  <c r="I88" i="74"/>
  <c r="I90" i="74"/>
  <c r="E213" i="67" s="1"/>
  <c r="I91" i="74"/>
  <c r="S44" i="94" l="1"/>
  <c r="M37" i="94"/>
  <c r="G36" i="94"/>
  <c r="J35" i="94"/>
  <c r="G34" i="94"/>
  <c r="M28" i="94"/>
  <c r="G27" i="94"/>
  <c r="J25" i="94"/>
  <c r="M17" i="94"/>
  <c r="M39" i="94"/>
  <c r="S26" i="94"/>
  <c r="J48" i="94"/>
  <c r="P43" i="94"/>
  <c r="G35" i="94"/>
  <c r="G24" i="94"/>
  <c r="P44" i="94"/>
  <c r="S38" i="94"/>
  <c r="J38" i="94"/>
  <c r="G37" i="94"/>
  <c r="S34" i="94"/>
  <c r="S29" i="94"/>
  <c r="G28" i="94"/>
  <c r="M26" i="94"/>
  <c r="P24" i="94"/>
  <c r="G16" i="94"/>
  <c r="G14" i="94"/>
  <c r="S24" i="94"/>
  <c r="G25" i="94"/>
  <c r="J49" i="94"/>
  <c r="G47" i="94"/>
  <c r="S35" i="94"/>
  <c r="P34" i="94"/>
  <c r="J29" i="94"/>
  <c r="S27" i="94"/>
  <c r="S25" i="94"/>
  <c r="M24" i="94"/>
  <c r="J16" i="94"/>
  <c r="P23" i="94"/>
  <c r="P46" i="94"/>
  <c r="S39" i="94"/>
  <c r="P38" i="94"/>
  <c r="S37" i="94"/>
  <c r="P36" i="94"/>
  <c r="M34" i="94"/>
  <c r="S28" i="94"/>
  <c r="P27" i="94"/>
  <c r="P25" i="94"/>
  <c r="J24" i="94"/>
  <c r="J13" i="94"/>
  <c r="G18" i="94"/>
  <c r="P48" i="94"/>
  <c r="M48" i="94"/>
  <c r="S45" i="94"/>
  <c r="J44" i="94"/>
  <c r="M38" i="94"/>
  <c r="P37" i="94"/>
  <c r="J36" i="94"/>
  <c r="M35" i="94"/>
  <c r="J34" i="94"/>
  <c r="P28" i="94"/>
  <c r="M27" i="94"/>
  <c r="M25" i="94"/>
  <c r="M16" i="94"/>
  <c r="M14" i="94"/>
  <c r="J37" i="94"/>
  <c r="J28" i="94"/>
  <c r="G26" i="94"/>
  <c r="M49" i="94"/>
  <c r="S47" i="94"/>
  <c r="J47" i="94"/>
  <c r="J19" i="94"/>
  <c r="M43" i="94"/>
  <c r="G44" i="94"/>
  <c r="P47" i="94"/>
  <c r="S23" i="94"/>
  <c r="J46" i="94"/>
  <c r="S48" i="94"/>
  <c r="G45" i="94"/>
  <c r="P26" i="94"/>
  <c r="J26" i="94"/>
  <c r="P49" i="94"/>
  <c r="J23" i="94"/>
  <c r="S36" i="94"/>
  <c r="G33" i="94"/>
  <c r="M44" i="94"/>
  <c r="G48" i="94"/>
  <c r="J17" i="94"/>
  <c r="G13" i="94"/>
  <c r="J27" i="94"/>
  <c r="G39" i="94"/>
  <c r="J33" i="94"/>
  <c r="J45" i="94"/>
  <c r="M18" i="94"/>
  <c r="M47" i="94"/>
  <c r="G49" i="94"/>
  <c r="M29" i="94"/>
  <c r="M13" i="94"/>
  <c r="S49" i="94"/>
  <c r="J15" i="94"/>
  <c r="P35" i="94"/>
  <c r="P33" i="94"/>
  <c r="G38" i="94"/>
  <c r="S33" i="94"/>
  <c r="P45" i="94"/>
  <c r="M33" i="94"/>
  <c r="G29" i="94"/>
  <c r="M15" i="94"/>
  <c r="G17" i="94"/>
  <c r="J18" i="94"/>
  <c r="G15" i="94"/>
  <c r="M46" i="94"/>
  <c r="G23" i="94"/>
  <c r="M36" i="94"/>
  <c r="P29" i="94"/>
  <c r="P39" i="94"/>
  <c r="M19" i="94"/>
  <c r="G46" i="94"/>
  <c r="M45" i="94"/>
  <c r="J14" i="94"/>
  <c r="G43" i="94"/>
  <c r="J39" i="94"/>
  <c r="M23" i="94"/>
  <c r="J43" i="94"/>
  <c r="S46" i="94"/>
  <c r="G19" i="94"/>
  <c r="S43" i="94"/>
  <c r="Q101" i="93"/>
  <c r="Q102" i="93"/>
  <c r="Q103" i="93"/>
  <c r="Q104" i="93"/>
  <c r="Q105" i="93"/>
  <c r="Q106" i="93"/>
  <c r="Q107" i="93"/>
  <c r="N101" i="93"/>
  <c r="N102" i="93"/>
  <c r="N103" i="93"/>
  <c r="N104" i="93"/>
  <c r="N105" i="93"/>
  <c r="N106" i="93"/>
  <c r="N107" i="93"/>
  <c r="K101" i="93"/>
  <c r="K102" i="93"/>
  <c r="K103" i="93"/>
  <c r="K104" i="93"/>
  <c r="K105" i="93"/>
  <c r="K106" i="93"/>
  <c r="K107" i="93"/>
  <c r="H101" i="93"/>
  <c r="H102" i="93"/>
  <c r="H103" i="93"/>
  <c r="H104" i="93"/>
  <c r="H105" i="93"/>
  <c r="H106" i="93"/>
  <c r="H107" i="93"/>
  <c r="Q100" i="93"/>
  <c r="N100" i="93"/>
  <c r="K100" i="93"/>
  <c r="H100" i="93"/>
  <c r="E101" i="93"/>
  <c r="E102" i="93"/>
  <c r="E103" i="93"/>
  <c r="E104" i="93"/>
  <c r="E105" i="93"/>
  <c r="E106" i="93"/>
  <c r="E107" i="93"/>
  <c r="E100" i="93"/>
  <c r="Q91" i="93"/>
  <c r="Q92" i="93"/>
  <c r="Q93" i="93"/>
  <c r="Q94" i="93"/>
  <c r="Q95" i="93"/>
  <c r="Q96" i="93"/>
  <c r="Q97" i="93"/>
  <c r="N91" i="93"/>
  <c r="N92" i="93"/>
  <c r="N93" i="93"/>
  <c r="N94" i="93"/>
  <c r="N95" i="93"/>
  <c r="N96" i="93"/>
  <c r="N97" i="93"/>
  <c r="K97" i="93"/>
  <c r="K91" i="93"/>
  <c r="K92" i="93"/>
  <c r="K93" i="93"/>
  <c r="K94" i="93"/>
  <c r="K95" i="93"/>
  <c r="K96" i="93"/>
  <c r="H91" i="93"/>
  <c r="H92" i="93"/>
  <c r="H93" i="93"/>
  <c r="H94" i="93"/>
  <c r="H95" i="93"/>
  <c r="H96" i="93"/>
  <c r="H97" i="93"/>
  <c r="Q90" i="93"/>
  <c r="N90" i="93"/>
  <c r="K90" i="93"/>
  <c r="H90" i="93"/>
  <c r="E91" i="93"/>
  <c r="E92" i="93"/>
  <c r="E93" i="93"/>
  <c r="E94" i="93"/>
  <c r="E95" i="93"/>
  <c r="E96" i="93"/>
  <c r="E97" i="93"/>
  <c r="E90" i="93"/>
  <c r="Q81" i="93"/>
  <c r="Q82" i="93"/>
  <c r="Q83" i="93"/>
  <c r="Q84" i="93"/>
  <c r="Q85" i="93"/>
  <c r="Q86" i="93"/>
  <c r="Q87" i="93"/>
  <c r="Q80" i="93"/>
  <c r="N81" i="93"/>
  <c r="N82" i="93"/>
  <c r="N83" i="93"/>
  <c r="N84" i="93"/>
  <c r="N85" i="93"/>
  <c r="N86" i="93"/>
  <c r="N87" i="93"/>
  <c r="N80" i="93"/>
  <c r="K81" i="93"/>
  <c r="K82" i="93"/>
  <c r="K83" i="93"/>
  <c r="K84" i="93"/>
  <c r="K85" i="93"/>
  <c r="K86" i="93"/>
  <c r="K87" i="93"/>
  <c r="K80" i="93"/>
  <c r="H81" i="93"/>
  <c r="H82" i="93"/>
  <c r="H83" i="93"/>
  <c r="H84" i="93"/>
  <c r="H85" i="93"/>
  <c r="H86" i="93"/>
  <c r="H87" i="93"/>
  <c r="H80" i="93"/>
  <c r="E81" i="93"/>
  <c r="E82" i="93"/>
  <c r="E83" i="93"/>
  <c r="E84" i="93"/>
  <c r="E85" i="93"/>
  <c r="E86" i="93"/>
  <c r="E87" i="93"/>
  <c r="E80" i="93"/>
  <c r="F669" i="92"/>
  <c r="F668" i="92"/>
  <c r="F667" i="92"/>
  <c r="F666" i="92"/>
  <c r="F665" i="92"/>
  <c r="F664" i="92"/>
  <c r="F663" i="92"/>
  <c r="F662" i="92"/>
  <c r="F661" i="92"/>
  <c r="F660" i="92"/>
  <c r="F659" i="92"/>
  <c r="F658" i="92"/>
  <c r="F657" i="92"/>
  <c r="F656" i="92"/>
  <c r="F655" i="92"/>
  <c r="F654" i="92"/>
  <c r="F653" i="92"/>
  <c r="F652" i="92"/>
  <c r="F651" i="92"/>
  <c r="F650" i="92"/>
  <c r="F649" i="92"/>
  <c r="F648" i="92"/>
  <c r="F647" i="92"/>
  <c r="F646" i="92"/>
  <c r="F645" i="92"/>
  <c r="F644" i="92"/>
  <c r="F643" i="92"/>
  <c r="F642" i="92"/>
  <c r="M11" i="67"/>
  <c r="M12" i="67"/>
  <c r="M13" i="67"/>
  <c r="M14" i="67"/>
  <c r="M15" i="67"/>
  <c r="M16" i="67"/>
  <c r="M17" i="67"/>
  <c r="M18" i="67"/>
  <c r="M19" i="67"/>
  <c r="M20" i="67"/>
  <c r="M21" i="67"/>
  <c r="M22" i="67"/>
  <c r="M23" i="67"/>
  <c r="M24" i="67"/>
  <c r="M25" i="67"/>
  <c r="M26" i="67"/>
  <c r="M27" i="67"/>
  <c r="M28" i="67"/>
  <c r="M29" i="67"/>
  <c r="M30" i="67"/>
  <c r="M31" i="67"/>
  <c r="M32" i="67"/>
  <c r="M33" i="67"/>
  <c r="M34" i="67"/>
  <c r="M35" i="67"/>
  <c r="M36" i="67"/>
  <c r="M37" i="67"/>
  <c r="M38" i="67"/>
  <c r="M39" i="67"/>
  <c r="M40" i="67"/>
  <c r="M41" i="67"/>
  <c r="M42" i="67"/>
  <c r="M43" i="67"/>
  <c r="M44" i="67"/>
  <c r="M45" i="67"/>
  <c r="M46" i="67"/>
  <c r="M47" i="67"/>
  <c r="M48" i="67"/>
  <c r="M49" i="67"/>
  <c r="M50" i="67"/>
  <c r="M51" i="67"/>
  <c r="M52" i="67"/>
  <c r="M53" i="67"/>
  <c r="M54" i="67"/>
  <c r="M55" i="67"/>
  <c r="M56" i="67"/>
  <c r="M57" i="67"/>
  <c r="M58" i="67"/>
  <c r="M59" i="67"/>
  <c r="M60" i="67"/>
  <c r="M61" i="67"/>
  <c r="M62" i="67"/>
  <c r="M63" i="67"/>
  <c r="M64" i="67"/>
  <c r="M65" i="67"/>
  <c r="M66" i="67"/>
  <c r="M67" i="67"/>
  <c r="M68" i="67"/>
  <c r="M69" i="67"/>
  <c r="M70" i="67"/>
  <c r="M71" i="67"/>
  <c r="M72" i="67"/>
  <c r="M73" i="67"/>
  <c r="M74" i="67"/>
  <c r="M75" i="67"/>
  <c r="M76" i="67"/>
  <c r="M77" i="67"/>
  <c r="M78" i="67"/>
  <c r="M79" i="67"/>
  <c r="M80" i="67"/>
  <c r="M81" i="67"/>
  <c r="M82" i="67"/>
  <c r="M83" i="67"/>
  <c r="M84" i="67"/>
  <c r="M85" i="67"/>
  <c r="M86" i="67"/>
  <c r="M87" i="67"/>
  <c r="M88" i="67"/>
  <c r="M89" i="67"/>
  <c r="M90" i="67"/>
  <c r="M91" i="67"/>
  <c r="M92" i="67"/>
  <c r="M93" i="67"/>
  <c r="M94" i="67"/>
  <c r="M95" i="67"/>
  <c r="M96" i="67"/>
  <c r="M97" i="67"/>
  <c r="M98" i="67"/>
  <c r="M99" i="67"/>
  <c r="M100" i="67"/>
  <c r="M101" i="67"/>
  <c r="M102" i="67"/>
  <c r="M103" i="67"/>
  <c r="M104" i="67"/>
  <c r="M105" i="67"/>
  <c r="M106" i="67"/>
  <c r="M107" i="67"/>
  <c r="M108" i="67"/>
  <c r="M10" i="67"/>
  <c r="Q71" i="93"/>
  <c r="Q72" i="93"/>
  <c r="Q73" i="93"/>
  <c r="Q74" i="93"/>
  <c r="Q75" i="93"/>
  <c r="Q76" i="93"/>
  <c r="Q77" i="93"/>
  <c r="Q70" i="93"/>
  <c r="N71" i="93"/>
  <c r="N72" i="93"/>
  <c r="N73" i="93"/>
  <c r="N74" i="93"/>
  <c r="N75" i="93"/>
  <c r="N76" i="93"/>
  <c r="N77" i="93"/>
  <c r="N70" i="93"/>
  <c r="K71" i="93"/>
  <c r="K72" i="93"/>
  <c r="K73" i="93"/>
  <c r="K74" i="93"/>
  <c r="K75" i="93"/>
  <c r="K76" i="93"/>
  <c r="K77" i="93"/>
  <c r="K70" i="93"/>
  <c r="H71" i="93"/>
  <c r="H72" i="93"/>
  <c r="H73" i="93"/>
  <c r="H74" i="93"/>
  <c r="H75" i="93"/>
  <c r="H76" i="93"/>
  <c r="H77" i="93"/>
  <c r="H70" i="93"/>
  <c r="E71" i="93"/>
  <c r="E72" i="93"/>
  <c r="E73" i="93"/>
  <c r="E74" i="93"/>
  <c r="E75" i="93"/>
  <c r="E76" i="93"/>
  <c r="F76" i="93" s="1"/>
  <c r="E77" i="93"/>
  <c r="E70" i="93"/>
  <c r="Q54" i="93"/>
  <c r="Q55" i="93"/>
  <c r="Q56" i="93"/>
  <c r="Q57" i="93"/>
  <c r="Q58" i="93"/>
  <c r="Q59" i="93"/>
  <c r="Q60" i="93"/>
  <c r="Q53" i="93"/>
  <c r="N54" i="93"/>
  <c r="N55" i="93"/>
  <c r="N56" i="93"/>
  <c r="N57" i="93"/>
  <c r="N58" i="93"/>
  <c r="N59" i="93"/>
  <c r="N60" i="93"/>
  <c r="N53" i="93"/>
  <c r="K54" i="93"/>
  <c r="K55" i="93"/>
  <c r="K56" i="93"/>
  <c r="K57" i="93"/>
  <c r="K58" i="93"/>
  <c r="K59" i="93"/>
  <c r="K60" i="93"/>
  <c r="K53" i="93"/>
  <c r="H54" i="93"/>
  <c r="H55" i="93"/>
  <c r="H56" i="93"/>
  <c r="H57" i="93"/>
  <c r="H58" i="93"/>
  <c r="H59" i="93"/>
  <c r="H60" i="93"/>
  <c r="H53" i="93"/>
  <c r="E54" i="93"/>
  <c r="E55" i="93"/>
  <c r="E56" i="93"/>
  <c r="E57" i="93"/>
  <c r="E58" i="93"/>
  <c r="E59" i="93"/>
  <c r="E60" i="93"/>
  <c r="E53" i="93"/>
  <c r="Q44" i="93"/>
  <c r="Q45" i="93"/>
  <c r="Q46" i="93"/>
  <c r="Q47" i="93"/>
  <c r="Q48" i="93"/>
  <c r="Q49" i="93"/>
  <c r="Q50" i="93"/>
  <c r="Q43" i="93"/>
  <c r="N44" i="93"/>
  <c r="N45" i="93"/>
  <c r="N46" i="93"/>
  <c r="N47" i="93"/>
  <c r="N48" i="93"/>
  <c r="N49" i="93"/>
  <c r="N50" i="93"/>
  <c r="N43" i="93"/>
  <c r="K44" i="93"/>
  <c r="K45" i="93"/>
  <c r="K46" i="93"/>
  <c r="K47" i="93"/>
  <c r="K48" i="93"/>
  <c r="K49" i="93"/>
  <c r="K50" i="93"/>
  <c r="K43" i="93"/>
  <c r="H44" i="93"/>
  <c r="H45" i="93"/>
  <c r="H46" i="93"/>
  <c r="H47" i="93"/>
  <c r="H48" i="93"/>
  <c r="H49" i="93"/>
  <c r="H50" i="93"/>
  <c r="H43" i="93"/>
  <c r="E44" i="93"/>
  <c r="E45" i="93"/>
  <c r="E46" i="93"/>
  <c r="E47" i="93"/>
  <c r="E48" i="93"/>
  <c r="E49" i="93"/>
  <c r="E50" i="93"/>
  <c r="E43" i="93"/>
  <c r="Q34" i="93"/>
  <c r="Q35" i="93"/>
  <c r="Q36" i="93"/>
  <c r="Q37" i="93"/>
  <c r="Q38" i="93"/>
  <c r="Q39" i="93"/>
  <c r="Q40" i="93"/>
  <c r="Q33" i="93"/>
  <c r="N34" i="93"/>
  <c r="N35" i="93"/>
  <c r="N36" i="93"/>
  <c r="N37" i="93"/>
  <c r="N38" i="93"/>
  <c r="N39" i="93"/>
  <c r="N40" i="93"/>
  <c r="N33" i="93"/>
  <c r="K34" i="93"/>
  <c r="K35" i="93"/>
  <c r="K36" i="93"/>
  <c r="K37" i="93"/>
  <c r="K38" i="93"/>
  <c r="K39" i="93"/>
  <c r="K40" i="93"/>
  <c r="K33" i="93"/>
  <c r="H34" i="93"/>
  <c r="H35" i="93"/>
  <c r="H36" i="93"/>
  <c r="H37" i="93"/>
  <c r="H38" i="93"/>
  <c r="H39" i="93"/>
  <c r="H40" i="93"/>
  <c r="H33" i="93"/>
  <c r="E34" i="93"/>
  <c r="E35" i="93"/>
  <c r="E36" i="93"/>
  <c r="E37" i="93"/>
  <c r="E38" i="93"/>
  <c r="E39" i="93"/>
  <c r="E40" i="93"/>
  <c r="E33" i="93"/>
  <c r="Q24" i="93"/>
  <c r="Q25" i="93"/>
  <c r="Q26" i="93"/>
  <c r="Q27" i="93"/>
  <c r="Q28" i="93"/>
  <c r="Q29" i="93"/>
  <c r="Q30" i="93"/>
  <c r="Q23" i="93"/>
  <c r="N24" i="93"/>
  <c r="N25" i="93"/>
  <c r="N26" i="93"/>
  <c r="N27" i="93"/>
  <c r="N28" i="93"/>
  <c r="N29" i="93"/>
  <c r="N30" i="93"/>
  <c r="N31" i="93"/>
  <c r="D39" i="97" s="1"/>
  <c r="D71" i="97" s="1"/>
  <c r="N23" i="93"/>
  <c r="K25" i="93"/>
  <c r="K26" i="93"/>
  <c r="K27" i="93"/>
  <c r="K28" i="93"/>
  <c r="K29" i="93"/>
  <c r="K30" i="93"/>
  <c r="K23" i="93"/>
  <c r="K24" i="93"/>
  <c r="H24" i="93"/>
  <c r="H25" i="93"/>
  <c r="H26" i="93"/>
  <c r="H27" i="93"/>
  <c r="H28" i="93"/>
  <c r="H29" i="93"/>
  <c r="H30" i="93"/>
  <c r="H23" i="93"/>
  <c r="Q14" i="93"/>
  <c r="Q15" i="93"/>
  <c r="Q16" i="93"/>
  <c r="Q17" i="93"/>
  <c r="Q18" i="93"/>
  <c r="Q19" i="93"/>
  <c r="Q20" i="93"/>
  <c r="N14" i="93"/>
  <c r="N15" i="93"/>
  <c r="N16" i="93"/>
  <c r="N17" i="93"/>
  <c r="N18" i="93"/>
  <c r="N19" i="93"/>
  <c r="N20" i="93"/>
  <c r="K14" i="93"/>
  <c r="K15" i="93"/>
  <c r="K16" i="93"/>
  <c r="K17" i="93"/>
  <c r="K18" i="93"/>
  <c r="K19" i="93"/>
  <c r="K20" i="93"/>
  <c r="H19" i="93"/>
  <c r="E14" i="93"/>
  <c r="G14" i="93" s="1"/>
  <c r="E15" i="93"/>
  <c r="G15" i="93" s="1"/>
  <c r="E16" i="93"/>
  <c r="G16" i="93" s="1"/>
  <c r="E17" i="93"/>
  <c r="G17" i="93" s="1"/>
  <c r="E18" i="93"/>
  <c r="G18" i="93" s="1"/>
  <c r="E19" i="93"/>
  <c r="G19" i="93" s="1"/>
  <c r="E20" i="93"/>
  <c r="E24" i="93"/>
  <c r="E25" i="93"/>
  <c r="E26" i="93"/>
  <c r="E27" i="93"/>
  <c r="E28" i="93"/>
  <c r="E29" i="93"/>
  <c r="E30" i="93"/>
  <c r="E23" i="93"/>
  <c r="Q13" i="93"/>
  <c r="N13" i="93"/>
  <c r="K13" i="93"/>
  <c r="H14" i="93"/>
  <c r="H15" i="93"/>
  <c r="H16" i="93"/>
  <c r="H17" i="93"/>
  <c r="H18" i="93"/>
  <c r="H20" i="93"/>
  <c r="H13" i="93"/>
  <c r="E13" i="93"/>
  <c r="G13" i="93" s="1"/>
  <c r="F294" i="92"/>
  <c r="F293" i="92"/>
  <c r="F292" i="92"/>
  <c r="F291" i="92"/>
  <c r="F290" i="92"/>
  <c r="F289" i="92"/>
  <c r="F288" i="92"/>
  <c r="F287" i="92"/>
  <c r="F286" i="92"/>
  <c r="F285" i="92"/>
  <c r="F284" i="92"/>
  <c r="F283" i="92"/>
  <c r="F282" i="92"/>
  <c r="F281" i="92"/>
  <c r="F280" i="92"/>
  <c r="F279" i="92"/>
  <c r="F278" i="92"/>
  <c r="F277" i="92"/>
  <c r="F276" i="92"/>
  <c r="F275" i="92"/>
  <c r="F274" i="92"/>
  <c r="F273" i="92"/>
  <c r="F272" i="92"/>
  <c r="F271" i="92"/>
  <c r="F270" i="92"/>
  <c r="F269" i="92"/>
  <c r="F268" i="92"/>
  <c r="F267" i="92"/>
  <c r="F266" i="92"/>
  <c r="F265" i="92"/>
  <c r="F264" i="92"/>
  <c r="F263" i="92"/>
  <c r="F262" i="92"/>
  <c r="F261" i="92"/>
  <c r="F260" i="92"/>
  <c r="Q122" i="93"/>
  <c r="D33" i="98" s="1"/>
  <c r="Q121" i="93"/>
  <c r="D32" i="98" s="1"/>
  <c r="Q120" i="93"/>
  <c r="D31" i="98" s="1"/>
  <c r="Q119" i="93"/>
  <c r="D30" i="98" s="1"/>
  <c r="Q118" i="93"/>
  <c r="D29" i="98" s="1"/>
  <c r="N122" i="93"/>
  <c r="D33" i="97" s="1"/>
  <c r="N121" i="93"/>
  <c r="D32" i="97" s="1"/>
  <c r="N120" i="93"/>
  <c r="D31" i="97" s="1"/>
  <c r="N119" i="93"/>
  <c r="D30" i="97" s="1"/>
  <c r="N118" i="93"/>
  <c r="D29" i="97" s="1"/>
  <c r="K122" i="93"/>
  <c r="K121" i="93"/>
  <c r="K120" i="93"/>
  <c r="K119" i="93"/>
  <c r="K118" i="93"/>
  <c r="H122" i="93"/>
  <c r="J122" i="93" s="1"/>
  <c r="H121" i="93"/>
  <c r="J121" i="93" s="1"/>
  <c r="H120" i="93"/>
  <c r="J120" i="93" s="1"/>
  <c r="H119" i="93"/>
  <c r="J119" i="93" s="1"/>
  <c r="H118" i="93"/>
  <c r="E122" i="93"/>
  <c r="G122" i="93" s="1"/>
  <c r="E121" i="93"/>
  <c r="G121" i="93" s="1"/>
  <c r="E120" i="93"/>
  <c r="G120" i="93" s="1"/>
  <c r="E119" i="93"/>
  <c r="E118" i="93"/>
  <c r="F588" i="92"/>
  <c r="F589" i="92"/>
  <c r="F590" i="92"/>
  <c r="F591" i="92"/>
  <c r="F592" i="92"/>
  <c r="F593" i="92"/>
  <c r="F594" i="92"/>
  <c r="F595" i="92"/>
  <c r="F596" i="92"/>
  <c r="F597" i="92"/>
  <c r="F598" i="92"/>
  <c r="F599" i="92"/>
  <c r="F600" i="92"/>
  <c r="F601" i="92"/>
  <c r="F602" i="92"/>
  <c r="F603" i="92"/>
  <c r="F604" i="92"/>
  <c r="F605" i="92"/>
  <c r="F606" i="92"/>
  <c r="F607" i="92"/>
  <c r="F608" i="92"/>
  <c r="F609" i="92"/>
  <c r="F610" i="92"/>
  <c r="F611" i="92"/>
  <c r="F612" i="92"/>
  <c r="F613" i="92"/>
  <c r="F614" i="92"/>
  <c r="F615" i="92"/>
  <c r="F616" i="92"/>
  <c r="F617" i="92"/>
  <c r="F618" i="92"/>
  <c r="F619" i="92"/>
  <c r="F620" i="92"/>
  <c r="F621" i="92"/>
  <c r="F622" i="92"/>
  <c r="F623" i="92"/>
  <c r="F624" i="92"/>
  <c r="F625" i="92"/>
  <c r="F626" i="92"/>
  <c r="F627" i="92"/>
  <c r="F628" i="92"/>
  <c r="F629" i="92"/>
  <c r="F630" i="92"/>
  <c r="F631" i="92"/>
  <c r="F632" i="92"/>
  <c r="F633" i="92"/>
  <c r="F634" i="92"/>
  <c r="F635" i="92"/>
  <c r="F636" i="92"/>
  <c r="F637" i="92"/>
  <c r="F638" i="92"/>
  <c r="F639" i="92"/>
  <c r="F640" i="92"/>
  <c r="F641" i="92"/>
  <c r="F670" i="92"/>
  <c r="F671" i="92"/>
  <c r="F672" i="92"/>
  <c r="F673" i="92"/>
  <c r="F674" i="92"/>
  <c r="F675" i="92"/>
  <c r="F676" i="92"/>
  <c r="F677" i="92"/>
  <c r="F678" i="92"/>
  <c r="F679" i="92"/>
  <c r="F680" i="92"/>
  <c r="F681" i="92"/>
  <c r="F682" i="92"/>
  <c r="F683" i="92"/>
  <c r="F684" i="92"/>
  <c r="F685" i="92"/>
  <c r="F686" i="92"/>
  <c r="F687" i="92"/>
  <c r="F688" i="92"/>
  <c r="F689" i="92"/>
  <c r="F690" i="92"/>
  <c r="F691" i="92"/>
  <c r="F692" i="92"/>
  <c r="F693" i="92"/>
  <c r="F694" i="92"/>
  <c r="F695" i="92"/>
  <c r="F696" i="92"/>
  <c r="F697" i="92"/>
  <c r="F698" i="92"/>
  <c r="F699" i="92"/>
  <c r="F700" i="92"/>
  <c r="F701" i="92"/>
  <c r="F702" i="92"/>
  <c r="F703" i="92"/>
  <c r="F704" i="92"/>
  <c r="F705" i="92"/>
  <c r="F706" i="92"/>
  <c r="F707" i="92"/>
  <c r="F708" i="92"/>
  <c r="F709" i="92"/>
  <c r="F710" i="92"/>
  <c r="F711" i="92"/>
  <c r="F712" i="92"/>
  <c r="F713" i="92"/>
  <c r="F714" i="92"/>
  <c r="F715" i="92"/>
  <c r="F716" i="92"/>
  <c r="F717" i="92"/>
  <c r="F718" i="92"/>
  <c r="F719" i="92"/>
  <c r="F720" i="92"/>
  <c r="F721" i="92"/>
  <c r="F722" i="92"/>
  <c r="F723" i="92"/>
  <c r="F724" i="92"/>
  <c r="F725" i="92"/>
  <c r="F726" i="92"/>
  <c r="F727" i="92"/>
  <c r="F728" i="92"/>
  <c r="F729" i="92"/>
  <c r="F730" i="92"/>
  <c r="F731" i="92"/>
  <c r="F732" i="92"/>
  <c r="F733" i="92"/>
  <c r="F734" i="92"/>
  <c r="F735" i="92"/>
  <c r="F736" i="92"/>
  <c r="F737" i="92"/>
  <c r="F738" i="92"/>
  <c r="F739" i="92"/>
  <c r="F740" i="92"/>
  <c r="F741" i="92"/>
  <c r="F742" i="92"/>
  <c r="F743" i="92"/>
  <c r="F744" i="92"/>
  <c r="F745" i="92"/>
  <c r="F746" i="92"/>
  <c r="F747" i="92"/>
  <c r="F748" i="92"/>
  <c r="F749" i="92"/>
  <c r="F750" i="92"/>
  <c r="F751" i="92"/>
  <c r="F752" i="92"/>
  <c r="F753" i="92"/>
  <c r="F754" i="92"/>
  <c r="F755" i="92"/>
  <c r="F756" i="92"/>
  <c r="F757" i="92"/>
  <c r="F758" i="92"/>
  <c r="F759" i="92"/>
  <c r="F760" i="92"/>
  <c r="F761" i="92"/>
  <c r="F762" i="92"/>
  <c r="F763" i="92"/>
  <c r="F764" i="92"/>
  <c r="F765" i="92"/>
  <c r="F766" i="92"/>
  <c r="F767" i="92"/>
  <c r="F768" i="92"/>
  <c r="F769" i="92"/>
  <c r="F770" i="92"/>
  <c r="F771" i="92"/>
  <c r="F772" i="92"/>
  <c r="F773" i="92"/>
  <c r="F774" i="92"/>
  <c r="F775" i="92"/>
  <c r="F776" i="92"/>
  <c r="F777" i="92"/>
  <c r="F778" i="92"/>
  <c r="F779" i="92"/>
  <c r="F780" i="92"/>
  <c r="F781" i="92"/>
  <c r="F120" i="92"/>
  <c r="F121" i="92"/>
  <c r="F122" i="92"/>
  <c r="F123" i="92"/>
  <c r="F124" i="92"/>
  <c r="F125" i="92"/>
  <c r="F126" i="92"/>
  <c r="F127" i="92"/>
  <c r="F128" i="92"/>
  <c r="F129" i="92"/>
  <c r="F130" i="92"/>
  <c r="F131" i="92"/>
  <c r="F132" i="92"/>
  <c r="F133" i="92"/>
  <c r="F134" i="92"/>
  <c r="F135" i="92"/>
  <c r="F136" i="92"/>
  <c r="F137" i="92"/>
  <c r="F138" i="92"/>
  <c r="F139" i="92"/>
  <c r="F140" i="92"/>
  <c r="F141" i="92"/>
  <c r="F142" i="92"/>
  <c r="F143" i="92"/>
  <c r="F144" i="92"/>
  <c r="F145" i="92"/>
  <c r="F146" i="92"/>
  <c r="F147" i="92"/>
  <c r="F148" i="92"/>
  <c r="F149" i="92"/>
  <c r="F150" i="92"/>
  <c r="F151" i="92"/>
  <c r="F152" i="92"/>
  <c r="F153" i="92"/>
  <c r="F154" i="92"/>
  <c r="F155" i="92"/>
  <c r="F156" i="92"/>
  <c r="F157" i="92"/>
  <c r="F158" i="92"/>
  <c r="F159" i="92"/>
  <c r="F160" i="92"/>
  <c r="F161" i="92"/>
  <c r="F162" i="92"/>
  <c r="F163" i="92"/>
  <c r="F164" i="92"/>
  <c r="F165" i="92"/>
  <c r="F166" i="92"/>
  <c r="F167" i="92"/>
  <c r="F168" i="92"/>
  <c r="F169" i="92"/>
  <c r="F170" i="92"/>
  <c r="F171" i="92"/>
  <c r="F172" i="92"/>
  <c r="F173" i="92"/>
  <c r="F174" i="92"/>
  <c r="F175" i="92"/>
  <c r="F176" i="92"/>
  <c r="F177" i="92"/>
  <c r="F178" i="92"/>
  <c r="F179" i="92"/>
  <c r="F180" i="92"/>
  <c r="F181" i="92"/>
  <c r="F182" i="92"/>
  <c r="F183" i="92"/>
  <c r="F184" i="92"/>
  <c r="F185" i="92"/>
  <c r="F186" i="92"/>
  <c r="F187" i="92"/>
  <c r="F188" i="92"/>
  <c r="F189" i="92"/>
  <c r="F190" i="92"/>
  <c r="F191" i="92"/>
  <c r="F192" i="92"/>
  <c r="F193" i="92"/>
  <c r="F194" i="92"/>
  <c r="F195" i="92"/>
  <c r="F196" i="92"/>
  <c r="F197" i="92"/>
  <c r="F198" i="92"/>
  <c r="F199" i="92"/>
  <c r="F200" i="92"/>
  <c r="F201" i="92"/>
  <c r="F202" i="92"/>
  <c r="F203" i="92"/>
  <c r="F204" i="92"/>
  <c r="F205" i="92"/>
  <c r="F206" i="92"/>
  <c r="F207" i="92"/>
  <c r="F208" i="92"/>
  <c r="F209" i="92"/>
  <c r="F210" i="92"/>
  <c r="F211" i="92"/>
  <c r="F212" i="92"/>
  <c r="F213" i="92"/>
  <c r="F214" i="92"/>
  <c r="F215" i="92"/>
  <c r="F216" i="92"/>
  <c r="F217" i="92"/>
  <c r="F218" i="92"/>
  <c r="F219" i="92"/>
  <c r="F220" i="92"/>
  <c r="F221" i="92"/>
  <c r="F222" i="92"/>
  <c r="F223" i="92"/>
  <c r="F224" i="92"/>
  <c r="F225" i="92"/>
  <c r="F226" i="92"/>
  <c r="F227" i="92"/>
  <c r="F228" i="92"/>
  <c r="F229" i="92"/>
  <c r="F230" i="92"/>
  <c r="F231" i="92"/>
  <c r="F232" i="92"/>
  <c r="F233" i="92"/>
  <c r="F234" i="92"/>
  <c r="F235" i="92"/>
  <c r="F236" i="92"/>
  <c r="F237" i="92"/>
  <c r="F238" i="92"/>
  <c r="F239" i="92"/>
  <c r="F240" i="92"/>
  <c r="F241" i="92"/>
  <c r="F242" i="92"/>
  <c r="F243" i="92"/>
  <c r="F244" i="92"/>
  <c r="F245" i="92"/>
  <c r="F246" i="92"/>
  <c r="F247" i="92"/>
  <c r="F248" i="92"/>
  <c r="F249" i="92"/>
  <c r="F250" i="92"/>
  <c r="F251" i="92"/>
  <c r="F252" i="92"/>
  <c r="F253" i="92"/>
  <c r="F254" i="92"/>
  <c r="F255" i="92"/>
  <c r="F256" i="92"/>
  <c r="F257" i="92"/>
  <c r="F258" i="92"/>
  <c r="F259" i="92"/>
  <c r="F295" i="92"/>
  <c r="F296" i="92"/>
  <c r="F297" i="92"/>
  <c r="F298" i="92"/>
  <c r="F299" i="92"/>
  <c r="F300" i="92"/>
  <c r="F301" i="92"/>
  <c r="F302" i="92"/>
  <c r="F303" i="92"/>
  <c r="F304" i="92"/>
  <c r="F305" i="92"/>
  <c r="F306" i="92"/>
  <c r="F307" i="92"/>
  <c r="F308" i="92"/>
  <c r="F309" i="92"/>
  <c r="F310" i="92"/>
  <c r="F311" i="92"/>
  <c r="F312" i="92"/>
  <c r="F313" i="92"/>
  <c r="F314" i="92"/>
  <c r="F315" i="92"/>
  <c r="F316" i="92"/>
  <c r="F317" i="92"/>
  <c r="F318" i="92"/>
  <c r="F319" i="92"/>
  <c r="F320" i="92"/>
  <c r="F321" i="92"/>
  <c r="F322" i="92"/>
  <c r="F323" i="92"/>
  <c r="F324" i="92"/>
  <c r="F325" i="92"/>
  <c r="F326" i="92"/>
  <c r="F327" i="92"/>
  <c r="F328" i="92"/>
  <c r="F329" i="92"/>
  <c r="F330" i="92"/>
  <c r="F331" i="92"/>
  <c r="F332" i="92"/>
  <c r="F333" i="92"/>
  <c r="F334" i="92"/>
  <c r="F335" i="92"/>
  <c r="F336" i="92"/>
  <c r="F337" i="92"/>
  <c r="F338" i="92"/>
  <c r="F339" i="92"/>
  <c r="F340" i="92"/>
  <c r="F341" i="92"/>
  <c r="F342" i="92"/>
  <c r="F343" i="92"/>
  <c r="F344" i="92"/>
  <c r="F345" i="92"/>
  <c r="F346" i="92"/>
  <c r="F347" i="92"/>
  <c r="F348" i="92"/>
  <c r="F349" i="92"/>
  <c r="F350" i="92"/>
  <c r="F351" i="92"/>
  <c r="F352" i="92"/>
  <c r="F353" i="92"/>
  <c r="F354" i="92"/>
  <c r="F355" i="92"/>
  <c r="F356" i="92"/>
  <c r="F357" i="92"/>
  <c r="F358" i="92"/>
  <c r="F359" i="92"/>
  <c r="F360" i="92"/>
  <c r="F361" i="92"/>
  <c r="F362" i="92"/>
  <c r="F363" i="92"/>
  <c r="F364" i="92"/>
  <c r="F365" i="92"/>
  <c r="F366" i="92"/>
  <c r="F367" i="92"/>
  <c r="F368" i="92"/>
  <c r="F369" i="92"/>
  <c r="F370" i="92"/>
  <c r="F371" i="92"/>
  <c r="F372" i="92"/>
  <c r="F373" i="92"/>
  <c r="F374" i="92"/>
  <c r="F375" i="92"/>
  <c r="F376" i="92"/>
  <c r="F377" i="92"/>
  <c r="F378" i="92"/>
  <c r="F379" i="92"/>
  <c r="F380" i="92"/>
  <c r="F381" i="92"/>
  <c r="F382" i="92"/>
  <c r="F383" i="92"/>
  <c r="F384" i="92"/>
  <c r="F385" i="92"/>
  <c r="F386" i="92"/>
  <c r="F387" i="92"/>
  <c r="F388" i="92"/>
  <c r="F389" i="92"/>
  <c r="F390" i="92"/>
  <c r="F391" i="92"/>
  <c r="F392" i="92"/>
  <c r="F393" i="92"/>
  <c r="F394" i="92"/>
  <c r="F395" i="92"/>
  <c r="F396" i="92"/>
  <c r="F397" i="92"/>
  <c r="F398" i="92"/>
  <c r="F399" i="92"/>
  <c r="F400" i="92"/>
  <c r="F401" i="92"/>
  <c r="F402" i="92"/>
  <c r="F403" i="92"/>
  <c r="F404" i="92"/>
  <c r="F405" i="92"/>
  <c r="F406" i="92"/>
  <c r="F407" i="92"/>
  <c r="F408" i="92"/>
  <c r="F409" i="92"/>
  <c r="F410" i="92"/>
  <c r="F411" i="92"/>
  <c r="F412" i="92"/>
  <c r="F413" i="92"/>
  <c r="F414" i="92"/>
  <c r="F415" i="92"/>
  <c r="F416" i="92"/>
  <c r="F417" i="92"/>
  <c r="F418" i="92"/>
  <c r="F419" i="92"/>
  <c r="F420" i="92"/>
  <c r="F421" i="92"/>
  <c r="F422" i="92"/>
  <c r="F423" i="92"/>
  <c r="F424" i="92"/>
  <c r="F425" i="92"/>
  <c r="F426" i="92"/>
  <c r="F427" i="92"/>
  <c r="F428" i="92"/>
  <c r="F429" i="92"/>
  <c r="F430" i="92"/>
  <c r="F431" i="92"/>
  <c r="F432" i="92"/>
  <c r="F433" i="92"/>
  <c r="F434" i="92"/>
  <c r="D31" i="96" l="1"/>
  <c r="M120" i="93"/>
  <c r="D32" i="96"/>
  <c r="M121" i="93"/>
  <c r="F32" i="96" s="1"/>
  <c r="D33" i="96"/>
  <c r="M122" i="93"/>
  <c r="D29" i="96"/>
  <c r="M118" i="93"/>
  <c r="D30" i="96"/>
  <c r="M119" i="93"/>
  <c r="D34" i="97"/>
  <c r="D34" i="98"/>
  <c r="G119" i="93"/>
  <c r="F30" i="59" s="1"/>
  <c r="D30" i="59"/>
  <c r="G29" i="93"/>
  <c r="M16" i="93"/>
  <c r="P29" i="93"/>
  <c r="F31" i="59"/>
  <c r="D31" i="59"/>
  <c r="F32" i="95"/>
  <c r="D32" i="95"/>
  <c r="M13" i="93"/>
  <c r="M15" i="93"/>
  <c r="J29" i="93"/>
  <c r="M26" i="93"/>
  <c r="P28" i="93"/>
  <c r="S24" i="93"/>
  <c r="J38" i="93"/>
  <c r="M34" i="93"/>
  <c r="S38" i="93"/>
  <c r="J46" i="93"/>
  <c r="S46" i="93"/>
  <c r="F32" i="59"/>
  <c r="D32" i="59"/>
  <c r="D33" i="95"/>
  <c r="F33" i="95"/>
  <c r="J18" i="93"/>
  <c r="G27" i="93"/>
  <c r="M14" i="93"/>
  <c r="J28" i="93"/>
  <c r="M23" i="93"/>
  <c r="M25" i="93"/>
  <c r="P27" i="93"/>
  <c r="S29" i="93"/>
  <c r="G33" i="93"/>
  <c r="G35" i="93"/>
  <c r="J37" i="93"/>
  <c r="M39" i="93"/>
  <c r="P33" i="93"/>
  <c r="P35" i="93"/>
  <c r="S37" i="93"/>
  <c r="G49" i="93"/>
  <c r="J43" i="93"/>
  <c r="J45" i="93"/>
  <c r="M47" i="93"/>
  <c r="P49" i="93"/>
  <c r="S43" i="93"/>
  <c r="S45" i="93"/>
  <c r="J13" i="93"/>
  <c r="P26" i="93"/>
  <c r="J36" i="93"/>
  <c r="S36" i="93"/>
  <c r="M46" i="93"/>
  <c r="D30" i="95"/>
  <c r="F30" i="95"/>
  <c r="J14" i="93"/>
  <c r="F33" i="59"/>
  <c r="D33" i="59"/>
  <c r="J17" i="93"/>
  <c r="G26" i="93"/>
  <c r="M19" i="93"/>
  <c r="J27" i="93"/>
  <c r="P23" i="93"/>
  <c r="S28" i="93"/>
  <c r="G34" i="93"/>
  <c r="M38" i="93"/>
  <c r="P34" i="93"/>
  <c r="G48" i="93"/>
  <c r="J44" i="93"/>
  <c r="P48" i="93"/>
  <c r="S44" i="93"/>
  <c r="D29" i="95"/>
  <c r="J118" i="93"/>
  <c r="F29" i="95" s="1"/>
  <c r="J16" i="93"/>
  <c r="G23" i="93"/>
  <c r="G25" i="93"/>
  <c r="M18" i="93"/>
  <c r="J26" i="93"/>
  <c r="M29" i="93"/>
  <c r="P25" i="93"/>
  <c r="S27" i="93"/>
  <c r="G39" i="93"/>
  <c r="J33" i="93"/>
  <c r="J35" i="93"/>
  <c r="M37" i="93"/>
  <c r="P39" i="93"/>
  <c r="S33" i="93"/>
  <c r="S35" i="93"/>
  <c r="G47" i="93"/>
  <c r="J49" i="93"/>
  <c r="M43" i="93"/>
  <c r="M45" i="93"/>
  <c r="P47" i="93"/>
  <c r="S49" i="93"/>
  <c r="F31" i="96"/>
  <c r="J15" i="93"/>
  <c r="G24" i="93"/>
  <c r="M17" i="93"/>
  <c r="J23" i="93"/>
  <c r="J25" i="93"/>
  <c r="M28" i="93"/>
  <c r="P24" i="93"/>
  <c r="S26" i="93"/>
  <c r="G38" i="93"/>
  <c r="J34" i="93"/>
  <c r="M36" i="93"/>
  <c r="P38" i="93"/>
  <c r="S34" i="93"/>
  <c r="G46" i="93"/>
  <c r="J48" i="93"/>
  <c r="M44" i="93"/>
  <c r="P46" i="93"/>
  <c r="S48" i="93"/>
  <c r="F31" i="95"/>
  <c r="D31" i="95"/>
  <c r="J24" i="93"/>
  <c r="M27" i="93"/>
  <c r="S23" i="93"/>
  <c r="S25" i="93"/>
  <c r="G37" i="93"/>
  <c r="J39" i="93"/>
  <c r="M33" i="93"/>
  <c r="M35" i="93"/>
  <c r="P37" i="93"/>
  <c r="S39" i="93"/>
  <c r="G43" i="93"/>
  <c r="G45" i="93"/>
  <c r="J47" i="93"/>
  <c r="M49" i="93"/>
  <c r="P43" i="93"/>
  <c r="P45" i="93"/>
  <c r="S47" i="93"/>
  <c r="G118" i="93"/>
  <c r="D29" i="59"/>
  <c r="F33" i="96"/>
  <c r="G28" i="93"/>
  <c r="J19" i="93"/>
  <c r="M24" i="93"/>
  <c r="G36" i="93"/>
  <c r="P36" i="93"/>
  <c r="G44" i="93"/>
  <c r="M48" i="93"/>
  <c r="P44" i="93"/>
  <c r="P41" i="94"/>
  <c r="J21" i="94"/>
  <c r="G31" i="94"/>
  <c r="M31" i="94"/>
  <c r="J31" i="94"/>
  <c r="J51" i="94"/>
  <c r="M41" i="94"/>
  <c r="S31" i="94"/>
  <c r="G21" i="94"/>
  <c r="P51" i="94"/>
  <c r="P31" i="94"/>
  <c r="S41" i="94"/>
  <c r="M21" i="94"/>
  <c r="J41" i="94"/>
  <c r="S51" i="94"/>
  <c r="G51" i="94"/>
  <c r="G41" i="94"/>
  <c r="M51" i="94"/>
  <c r="E31" i="93"/>
  <c r="D39" i="59" s="1"/>
  <c r="N123" i="93"/>
  <c r="E123" i="93"/>
  <c r="K123" i="93"/>
  <c r="H123" i="93"/>
  <c r="Q123" i="93"/>
  <c r="D34" i="96" l="1"/>
  <c r="F34" i="95"/>
  <c r="D34" i="95"/>
  <c r="F447" i="92"/>
  <c r="F448" i="92"/>
  <c r="F449" i="92"/>
  <c r="F450" i="92"/>
  <c r="F451" i="92"/>
  <c r="F452" i="92"/>
  <c r="F453" i="92"/>
  <c r="F454" i="92"/>
  <c r="F455" i="92"/>
  <c r="F456" i="92"/>
  <c r="F457" i="92"/>
  <c r="F458" i="92"/>
  <c r="F459" i="92"/>
  <c r="F460" i="92"/>
  <c r="F461" i="92"/>
  <c r="F462" i="92"/>
  <c r="F463" i="92"/>
  <c r="F464" i="92"/>
  <c r="F465" i="92"/>
  <c r="F466" i="92"/>
  <c r="F467" i="92"/>
  <c r="F468" i="92"/>
  <c r="F469" i="92"/>
  <c r="F470" i="92"/>
  <c r="F471" i="92"/>
  <c r="F472" i="92"/>
  <c r="F473" i="92"/>
  <c r="F474" i="92"/>
  <c r="F475" i="92"/>
  <c r="F476" i="92"/>
  <c r="F477" i="92"/>
  <c r="F478" i="92"/>
  <c r="F479" i="92"/>
  <c r="F480" i="92"/>
  <c r="F481" i="92"/>
  <c r="F482" i="92"/>
  <c r="F483" i="92"/>
  <c r="F484" i="92"/>
  <c r="F485" i="92"/>
  <c r="F486" i="92"/>
  <c r="F487" i="92"/>
  <c r="F488" i="92"/>
  <c r="F489" i="92"/>
  <c r="F490" i="92"/>
  <c r="F491" i="92"/>
  <c r="F492" i="92"/>
  <c r="F493" i="92"/>
  <c r="F494" i="92"/>
  <c r="F495" i="92"/>
  <c r="F496" i="92"/>
  <c r="F497" i="92"/>
  <c r="F498" i="92"/>
  <c r="F499" i="92"/>
  <c r="F500" i="92"/>
  <c r="F501" i="92"/>
  <c r="F502" i="92"/>
  <c r="F503" i="92"/>
  <c r="F504" i="92"/>
  <c r="F505" i="92"/>
  <c r="F506" i="92"/>
  <c r="F507" i="92"/>
  <c r="F508" i="92"/>
  <c r="F509" i="92"/>
  <c r="F510" i="92"/>
  <c r="F511" i="92"/>
  <c r="F512" i="92"/>
  <c r="F513" i="92"/>
  <c r="F514" i="92"/>
  <c r="F515" i="92"/>
  <c r="F516" i="92"/>
  <c r="F517" i="92"/>
  <c r="F518" i="92"/>
  <c r="F519" i="92"/>
  <c r="F520" i="92"/>
  <c r="F521" i="92"/>
  <c r="F522" i="92"/>
  <c r="F523" i="92"/>
  <c r="F524" i="92"/>
  <c r="F525" i="92"/>
  <c r="F526" i="92"/>
  <c r="F527" i="92"/>
  <c r="F528" i="92"/>
  <c r="F529" i="92"/>
  <c r="F530" i="92"/>
  <c r="F531" i="92"/>
  <c r="F532" i="92"/>
  <c r="F533" i="92"/>
  <c r="F534" i="92"/>
  <c r="F535" i="92"/>
  <c r="F536" i="92"/>
  <c r="F537" i="92"/>
  <c r="F538" i="92"/>
  <c r="F539" i="92"/>
  <c r="F540" i="92"/>
  <c r="F541" i="92"/>
  <c r="F542" i="92"/>
  <c r="F543" i="92"/>
  <c r="F544" i="92"/>
  <c r="F545" i="92"/>
  <c r="F546" i="92"/>
  <c r="F547" i="92"/>
  <c r="F548" i="92"/>
  <c r="F549" i="92"/>
  <c r="F550" i="92"/>
  <c r="F551" i="92"/>
  <c r="F552" i="92"/>
  <c r="F553" i="92"/>
  <c r="F554" i="92"/>
  <c r="F555" i="92"/>
  <c r="F556" i="92"/>
  <c r="F557" i="92"/>
  <c r="F558" i="92"/>
  <c r="F559" i="92"/>
  <c r="F560" i="92"/>
  <c r="F561" i="92"/>
  <c r="F562" i="92"/>
  <c r="F563" i="92"/>
  <c r="F564" i="92"/>
  <c r="F565" i="92"/>
  <c r="F566" i="92"/>
  <c r="F567" i="92"/>
  <c r="F568" i="92"/>
  <c r="F569" i="92"/>
  <c r="F570" i="92"/>
  <c r="F571" i="92"/>
  <c r="F572" i="92"/>
  <c r="F573" i="92"/>
  <c r="F574" i="92"/>
  <c r="F575" i="92"/>
  <c r="F576" i="92"/>
  <c r="F577" i="92"/>
  <c r="F578" i="92"/>
  <c r="F579" i="92"/>
  <c r="F580" i="92"/>
  <c r="F581" i="92"/>
  <c r="F582" i="92"/>
  <c r="F583" i="92"/>
  <c r="F584" i="92"/>
  <c r="F585" i="92"/>
  <c r="F586" i="92"/>
  <c r="F587" i="92"/>
  <c r="C123" i="93"/>
  <c r="C42" i="93"/>
  <c r="Q21" i="93"/>
  <c r="D38" i="98" s="1"/>
  <c r="K21" i="93"/>
  <c r="D38" i="96" s="1"/>
  <c r="A22" i="93"/>
  <c r="A21" i="93"/>
  <c r="A18" i="93"/>
  <c r="A17" i="93"/>
  <c r="A16" i="93"/>
  <c r="A10" i="93"/>
  <c r="A9" i="93"/>
  <c r="A8" i="93"/>
  <c r="A7" i="93"/>
  <c r="A6" i="93"/>
  <c r="F16" i="92"/>
  <c r="F17" i="92"/>
  <c r="F18" i="92"/>
  <c r="F19" i="92"/>
  <c r="F20" i="92"/>
  <c r="F21" i="92"/>
  <c r="F22" i="92"/>
  <c r="F23" i="92"/>
  <c r="F24" i="92"/>
  <c r="F25" i="92"/>
  <c r="F26" i="92"/>
  <c r="F27" i="92"/>
  <c r="F28" i="92"/>
  <c r="F29" i="92"/>
  <c r="F30" i="92"/>
  <c r="F31" i="92"/>
  <c r="F32" i="92"/>
  <c r="F33" i="92"/>
  <c r="F34" i="92"/>
  <c r="F35" i="92"/>
  <c r="F36" i="92"/>
  <c r="F37" i="92"/>
  <c r="F38" i="92"/>
  <c r="F39" i="92"/>
  <c r="F40" i="92"/>
  <c r="F41" i="92"/>
  <c r="F42" i="92"/>
  <c r="F43" i="92"/>
  <c r="F44" i="92"/>
  <c r="F45" i="92"/>
  <c r="F46" i="92"/>
  <c r="F47" i="92"/>
  <c r="F48" i="92"/>
  <c r="F49" i="92"/>
  <c r="F50" i="92"/>
  <c r="F51" i="92"/>
  <c r="F52" i="92"/>
  <c r="F53" i="92"/>
  <c r="F54" i="92"/>
  <c r="F55" i="92"/>
  <c r="F56" i="92"/>
  <c r="F57" i="92"/>
  <c r="F58" i="92"/>
  <c r="F59" i="92"/>
  <c r="F60" i="92"/>
  <c r="F61" i="92"/>
  <c r="F62" i="92"/>
  <c r="F63" i="92"/>
  <c r="F64" i="92"/>
  <c r="F65" i="92"/>
  <c r="F66" i="92"/>
  <c r="F67" i="92"/>
  <c r="F68" i="92"/>
  <c r="F69" i="92"/>
  <c r="F70" i="92"/>
  <c r="F71" i="92"/>
  <c r="F72" i="92"/>
  <c r="F73" i="92"/>
  <c r="F74" i="92"/>
  <c r="F75" i="92"/>
  <c r="F76" i="92"/>
  <c r="F77" i="92"/>
  <c r="F78" i="92"/>
  <c r="F79" i="92"/>
  <c r="F80" i="92"/>
  <c r="F81" i="92"/>
  <c r="F82" i="92"/>
  <c r="F83" i="92"/>
  <c r="F84" i="92"/>
  <c r="F85" i="92"/>
  <c r="F86" i="92"/>
  <c r="F87" i="92"/>
  <c r="F88" i="92"/>
  <c r="F89" i="92"/>
  <c r="F90" i="92"/>
  <c r="F91" i="92"/>
  <c r="F92" i="92"/>
  <c r="F93" i="92"/>
  <c r="F94" i="92"/>
  <c r="F95" i="92"/>
  <c r="F96" i="92"/>
  <c r="F97" i="92"/>
  <c r="F98" i="92"/>
  <c r="F99" i="92"/>
  <c r="F100" i="92"/>
  <c r="F101" i="92"/>
  <c r="F102" i="92"/>
  <c r="F103" i="92"/>
  <c r="F104" i="92"/>
  <c r="F105" i="92"/>
  <c r="F106" i="92"/>
  <c r="F107" i="92"/>
  <c r="F108" i="92"/>
  <c r="F109" i="92"/>
  <c r="F110" i="92"/>
  <c r="F111" i="92"/>
  <c r="F112" i="92"/>
  <c r="F113" i="92"/>
  <c r="F114" i="92"/>
  <c r="F115" i="92"/>
  <c r="F116" i="92"/>
  <c r="F117" i="92"/>
  <c r="F118" i="92"/>
  <c r="F119" i="92"/>
  <c r="F15" i="92"/>
  <c r="D34" i="59" l="1"/>
  <c r="E21" i="93"/>
  <c r="D38" i="59" s="1"/>
  <c r="H21" i="93"/>
  <c r="D38" i="95" s="1"/>
  <c r="N21" i="93"/>
  <c r="D38" i="97" s="1"/>
  <c r="H98" i="93"/>
  <c r="D54" i="95" s="1"/>
  <c r="H108" i="93"/>
  <c r="D55" i="95" s="1"/>
  <c r="Q31" i="93"/>
  <c r="D39" i="98" s="1"/>
  <c r="D71" i="98" s="1"/>
  <c r="K51" i="93"/>
  <c r="D41" i="96" s="1"/>
  <c r="K61" i="93"/>
  <c r="D42" i="96" s="1"/>
  <c r="K108" i="93"/>
  <c r="D55" i="96" s="1"/>
  <c r="K41" i="93"/>
  <c r="D40" i="96" s="1"/>
  <c r="N108" i="93"/>
  <c r="D55" i="97" s="1"/>
  <c r="Q108" i="93"/>
  <c r="D55" i="98" s="1"/>
  <c r="K78" i="93"/>
  <c r="D52" i="96" s="1"/>
  <c r="N98" i="93"/>
  <c r="D54" i="97" s="1"/>
  <c r="E108" i="93"/>
  <c r="D55" i="59" s="1"/>
  <c r="Q78" i="93"/>
  <c r="D52" i="98" s="1"/>
  <c r="E41" i="93"/>
  <c r="D40" i="59" s="1"/>
  <c r="Q41" i="93"/>
  <c r="D40" i="98" s="1"/>
  <c r="Q51" i="93"/>
  <c r="D41" i="98" s="1"/>
  <c r="Q61" i="93"/>
  <c r="D42" i="98" s="1"/>
  <c r="E98" i="93"/>
  <c r="D54" i="59" s="1"/>
  <c r="K98" i="93"/>
  <c r="D54" i="96" s="1"/>
  <c r="Q98" i="93"/>
  <c r="D54" i="98" s="1"/>
  <c r="K31" i="93"/>
  <c r="D39" i="96" s="1"/>
  <c r="D71" i="96" s="1"/>
  <c r="E51" i="93"/>
  <c r="D41" i="59" s="1"/>
  <c r="H51" i="93"/>
  <c r="D41" i="95" s="1"/>
  <c r="E61" i="93"/>
  <c r="D42" i="59" s="1"/>
  <c r="E78" i="93"/>
  <c r="N78" i="93"/>
  <c r="D52" i="97" s="1"/>
  <c r="Q88" i="93"/>
  <c r="D53" i="98" s="1"/>
  <c r="H78" i="93"/>
  <c r="D52" i="95" s="1"/>
  <c r="H88" i="93"/>
  <c r="D53" i="95" s="1"/>
  <c r="K88" i="93"/>
  <c r="D53" i="96" s="1"/>
  <c r="E88" i="93"/>
  <c r="D53" i="59" s="1"/>
  <c r="N88" i="93"/>
  <c r="D53" i="97" s="1"/>
  <c r="H61" i="93"/>
  <c r="D42" i="95" s="1"/>
  <c r="N61" i="93"/>
  <c r="D42" i="97" s="1"/>
  <c r="N51" i="93"/>
  <c r="D41" i="97" s="1"/>
  <c r="H41" i="93"/>
  <c r="D40" i="95" s="1"/>
  <c r="N41" i="93"/>
  <c r="D40" i="97" s="1"/>
  <c r="H31" i="93"/>
  <c r="D39" i="95" s="1"/>
  <c r="D71" i="95" s="1"/>
  <c r="D43" i="96" l="1"/>
  <c r="D43" i="98"/>
  <c r="D56" i="96"/>
  <c r="D43" i="97"/>
  <c r="D56" i="97"/>
  <c r="D56" i="98"/>
  <c r="D43" i="95"/>
  <c r="D56" i="95"/>
  <c r="Q63" i="93"/>
  <c r="K63" i="93"/>
  <c r="H110" i="93"/>
  <c r="Q110" i="93"/>
  <c r="N110" i="93"/>
  <c r="K110" i="93"/>
  <c r="D52" i="59"/>
  <c r="E110" i="93"/>
  <c r="H63" i="93"/>
  <c r="E63" i="93"/>
  <c r="N63" i="93"/>
  <c r="F446" i="92" l="1"/>
  <c r="A21" i="92"/>
  <c r="A19" i="92"/>
  <c r="A18" i="92"/>
  <c r="A17" i="92"/>
  <c r="A16" i="92"/>
  <c r="A10" i="92"/>
  <c r="A9" i="92"/>
  <c r="A8" i="92"/>
  <c r="A7" i="92"/>
  <c r="A6" i="92"/>
  <c r="C2" i="92"/>
  <c r="C69" i="59"/>
  <c r="C219" i="67" s="1"/>
  <c r="L78" i="55"/>
  <c r="L56" i="55"/>
  <c r="R89" i="59"/>
  <c r="S89" i="59" s="1"/>
  <c r="C29" i="96" l="1"/>
  <c r="C29" i="97"/>
  <c r="C38" i="96"/>
  <c r="C38" i="97"/>
  <c r="C29" i="59"/>
  <c r="C73" i="91" s="1"/>
  <c r="C29" i="95"/>
  <c r="C38" i="98"/>
  <c r="C38" i="95"/>
  <c r="F64" i="91"/>
  <c r="F65" i="91"/>
  <c r="D65" i="91"/>
  <c r="D64" i="91"/>
  <c r="E284" i="74"/>
  <c r="F284" i="74" s="1"/>
  <c r="H284" i="74" s="1"/>
  <c r="J284" i="74" s="1"/>
  <c r="E285" i="74"/>
  <c r="F285" i="74" s="1"/>
  <c r="E286" i="74"/>
  <c r="F286" i="74" s="1"/>
  <c r="H286" i="74" s="1"/>
  <c r="J286" i="74" s="1"/>
  <c r="E287" i="74"/>
  <c r="F287" i="74" s="1"/>
  <c r="H287" i="74" s="1"/>
  <c r="J287" i="74" s="1"/>
  <c r="E288" i="74"/>
  <c r="F288" i="74" s="1"/>
  <c r="H288" i="74" s="1"/>
  <c r="J288" i="74" s="1"/>
  <c r="E283" i="74"/>
  <c r="F283" i="74" s="1"/>
  <c r="H283" i="74" s="1"/>
  <c r="J283" i="74" s="1"/>
  <c r="E278" i="74"/>
  <c r="F278" i="74" s="1"/>
  <c r="E279" i="74"/>
  <c r="F279" i="74" s="1"/>
  <c r="E280" i="74"/>
  <c r="F280" i="74" s="1"/>
  <c r="H280" i="74" s="1"/>
  <c r="J280" i="74" s="1"/>
  <c r="E281" i="74"/>
  <c r="F281" i="74" s="1"/>
  <c r="H281" i="74" s="1"/>
  <c r="J281" i="74" s="1"/>
  <c r="E282" i="74"/>
  <c r="F282" i="74" s="1"/>
  <c r="E277" i="74"/>
  <c r="F277" i="74" s="1"/>
  <c r="H277" i="74" s="1"/>
  <c r="J277" i="74" s="1"/>
  <c r="E272" i="74"/>
  <c r="F272" i="74" s="1"/>
  <c r="E273" i="74"/>
  <c r="F273" i="74" s="1"/>
  <c r="E274" i="74"/>
  <c r="F274" i="74" s="1"/>
  <c r="H274" i="74" s="1"/>
  <c r="J274" i="74" s="1"/>
  <c r="E275" i="74"/>
  <c r="F275" i="74" s="1"/>
  <c r="H275" i="74" s="1"/>
  <c r="J275" i="74" s="1"/>
  <c r="E276" i="74"/>
  <c r="F276" i="74" s="1"/>
  <c r="E271" i="74"/>
  <c r="F271" i="74" s="1"/>
  <c r="H271" i="74" s="1"/>
  <c r="J271" i="74" s="1"/>
  <c r="E266" i="74"/>
  <c r="F266" i="74" s="1"/>
  <c r="E267" i="74"/>
  <c r="F267" i="74" s="1"/>
  <c r="E268" i="74"/>
  <c r="E269" i="74"/>
  <c r="F269" i="74" s="1"/>
  <c r="H269" i="74" s="1"/>
  <c r="J269" i="74" s="1"/>
  <c r="E270" i="74"/>
  <c r="F270" i="74" s="1"/>
  <c r="H270" i="74" s="1"/>
  <c r="J270" i="74" s="1"/>
  <c r="E265" i="74"/>
  <c r="F265" i="74" s="1"/>
  <c r="H265" i="74" s="1"/>
  <c r="J265" i="74" s="1"/>
  <c r="E260" i="74"/>
  <c r="F260" i="74" s="1"/>
  <c r="E261" i="74"/>
  <c r="F261" i="74" s="1"/>
  <c r="E262" i="74"/>
  <c r="F262" i="74" s="1"/>
  <c r="E263" i="74"/>
  <c r="F263" i="74" s="1"/>
  <c r="E264" i="74"/>
  <c r="F264" i="74" s="1"/>
  <c r="E259" i="74"/>
  <c r="F259" i="74" s="1"/>
  <c r="I264" i="74" l="1"/>
  <c r="S101" i="59" s="1"/>
  <c r="J264" i="74"/>
  <c r="U101" i="59" s="1"/>
  <c r="I263" i="74"/>
  <c r="S100" i="59" s="1"/>
  <c r="J263" i="74"/>
  <c r="U100" i="59" s="1"/>
  <c r="I262" i="74"/>
  <c r="S99" i="59" s="1"/>
  <c r="J262" i="74"/>
  <c r="U99" i="59" s="1"/>
  <c r="I261" i="74"/>
  <c r="S98" i="59" s="1"/>
  <c r="J261" i="74"/>
  <c r="U98" i="59" s="1"/>
  <c r="I260" i="74"/>
  <c r="S97" i="59" s="1"/>
  <c r="J260" i="74"/>
  <c r="U97" i="59" s="1"/>
  <c r="I259" i="74"/>
  <c r="S96" i="59" s="1"/>
  <c r="J259" i="74"/>
  <c r="U96" i="59" s="1"/>
  <c r="V101" i="59" s="1"/>
  <c r="C118" i="93"/>
  <c r="C118" i="94"/>
  <c r="G281" i="74"/>
  <c r="G282" i="74"/>
  <c r="G276" i="74"/>
  <c r="G269" i="74"/>
  <c r="G275" i="74"/>
  <c r="F268" i="74"/>
  <c r="G268" i="74" s="1"/>
  <c r="H276" i="74"/>
  <c r="J276" i="74" s="1"/>
  <c r="J78" i="91"/>
  <c r="H78" i="91"/>
  <c r="F78" i="91"/>
  <c r="G270" i="74"/>
  <c r="G280" i="74"/>
  <c r="G274" i="74"/>
  <c r="G286" i="74"/>
  <c r="G266" i="74"/>
  <c r="G272" i="74"/>
  <c r="G278" i="74"/>
  <c r="G267" i="74"/>
  <c r="H267" i="74"/>
  <c r="J267" i="74" s="1"/>
  <c r="G273" i="74"/>
  <c r="H273" i="74"/>
  <c r="J273" i="74" s="1"/>
  <c r="G279" i="74"/>
  <c r="H279" i="74"/>
  <c r="J279" i="74" s="1"/>
  <c r="H285" i="74"/>
  <c r="J285" i="74" s="1"/>
  <c r="G285" i="74"/>
  <c r="G284" i="74"/>
  <c r="H278" i="74"/>
  <c r="J278" i="74" s="1"/>
  <c r="H272" i="74"/>
  <c r="J272" i="74" s="1"/>
  <c r="H266" i="74"/>
  <c r="J266" i="74" s="1"/>
  <c r="G288" i="74"/>
  <c r="H282" i="74"/>
  <c r="J282" i="74" s="1"/>
  <c r="G287" i="74"/>
  <c r="G283" i="74"/>
  <c r="G277" i="74"/>
  <c r="G271" i="74"/>
  <c r="G265" i="74"/>
  <c r="I278" i="74" l="1"/>
  <c r="I269" i="74"/>
  <c r="I281" i="74"/>
  <c r="I287" i="74"/>
  <c r="I275" i="74"/>
  <c r="I265" i="74"/>
  <c r="I279" i="74"/>
  <c r="I267" i="74"/>
  <c r="I285" i="74"/>
  <c r="H268" i="74"/>
  <c r="J268" i="74" s="1"/>
  <c r="H248" i="74"/>
  <c r="I248" i="74" s="1"/>
  <c r="I284" i="74" s="1"/>
  <c r="H249" i="74"/>
  <c r="I249" i="74" s="1"/>
  <c r="I273" i="74" s="1"/>
  <c r="H250" i="74"/>
  <c r="I250" i="74" s="1"/>
  <c r="I286" i="74" s="1"/>
  <c r="H252" i="74"/>
  <c r="I252" i="74" s="1"/>
  <c r="I288" i="74" s="1"/>
  <c r="H247" i="74"/>
  <c r="I247" i="74" s="1"/>
  <c r="I277" i="74" s="1"/>
  <c r="G19" i="91"/>
  <c r="I19" i="91" s="1"/>
  <c r="K19" i="91" s="1"/>
  <c r="F19" i="91"/>
  <c r="H19" i="91" s="1"/>
  <c r="J19" i="91" s="1"/>
  <c r="C86" i="91"/>
  <c r="C83" i="91"/>
  <c r="C77" i="91"/>
  <c r="C793" i="92" s="1"/>
  <c r="C76" i="91"/>
  <c r="C792" i="92" s="1"/>
  <c r="C75" i="91"/>
  <c r="C791" i="92" s="1"/>
  <c r="C74" i="91"/>
  <c r="C790" i="92" s="1"/>
  <c r="A18" i="47"/>
  <c r="C41" i="59"/>
  <c r="C38" i="59"/>
  <c r="M28" i="55"/>
  <c r="K90" i="59" s="1"/>
  <c r="M29" i="55"/>
  <c r="I271" i="74" l="1"/>
  <c r="I270" i="74"/>
  <c r="I274" i="74"/>
  <c r="I268" i="74"/>
  <c r="I283" i="74"/>
  <c r="I276" i="74"/>
  <c r="I280" i="74"/>
  <c r="U101" i="97" s="1"/>
  <c r="K25" i="68" s="1"/>
  <c r="L25" i="68" s="1"/>
  <c r="I282" i="74"/>
  <c r="I266" i="74"/>
  <c r="I272" i="74"/>
  <c r="U101" i="98"/>
  <c r="M25" i="68" s="1"/>
  <c r="N25" i="68" s="1"/>
  <c r="K89" i="96"/>
  <c r="D72" i="96"/>
  <c r="D78" i="91"/>
  <c r="H101" i="91"/>
  <c r="F101" i="91"/>
  <c r="J88" i="91"/>
  <c r="F88" i="91"/>
  <c r="J101" i="91"/>
  <c r="H88" i="91"/>
  <c r="D88" i="91"/>
  <c r="D101" i="91"/>
  <c r="F66" i="91"/>
  <c r="D66" i="91"/>
  <c r="C33" i="59"/>
  <c r="C32" i="59"/>
  <c r="C31" i="59"/>
  <c r="C30" i="59"/>
  <c r="Q28" i="55"/>
  <c r="P28" i="55"/>
  <c r="N28" i="55"/>
  <c r="Q27" i="55"/>
  <c r="P27" i="55"/>
  <c r="N27" i="55"/>
  <c r="M27" i="55"/>
  <c r="C2" i="74"/>
  <c r="C2" i="67"/>
  <c r="M32" i="55" l="1"/>
  <c r="K91" i="59"/>
  <c r="K92" i="59" s="1"/>
  <c r="E23" i="68" s="1"/>
  <c r="F23" i="68" s="1"/>
  <c r="D72" i="98"/>
  <c r="K89" i="98"/>
  <c r="D72" i="95"/>
  <c r="K89" i="95"/>
  <c r="K89" i="97"/>
  <c r="D72" i="97"/>
  <c r="E25" i="68"/>
  <c r="F25" i="68" s="1"/>
  <c r="C119" i="94"/>
  <c r="C119" i="93"/>
  <c r="C120" i="94"/>
  <c r="C120" i="93"/>
  <c r="C121" i="94"/>
  <c r="C121" i="93"/>
  <c r="C122" i="94"/>
  <c r="C122" i="93"/>
  <c r="L114" i="55"/>
  <c r="K118" i="55"/>
  <c r="K119" i="55"/>
  <c r="K120" i="55"/>
  <c r="K121" i="55"/>
  <c r="K117" i="55"/>
  <c r="I115" i="55"/>
  <c r="I114" i="55"/>
  <c r="D119" i="55"/>
  <c r="A23" i="91"/>
  <c r="A22" i="91"/>
  <c r="A21" i="91"/>
  <c r="A19" i="91"/>
  <c r="A18" i="91"/>
  <c r="A17" i="91"/>
  <c r="A16" i="91"/>
  <c r="A10" i="91"/>
  <c r="A9" i="91"/>
  <c r="D8" i="91"/>
  <c r="A8" i="91"/>
  <c r="D7" i="91"/>
  <c r="A7" i="91"/>
  <c r="U6" i="91"/>
  <c r="T6" i="91"/>
  <c r="S6" i="91"/>
  <c r="R6" i="91"/>
  <c r="Q6" i="91"/>
  <c r="D6" i="91"/>
  <c r="A6" i="91"/>
  <c r="D118" i="55"/>
  <c r="D117" i="55"/>
  <c r="D116" i="55"/>
  <c r="I113" i="55"/>
  <c r="D113" i="55"/>
  <c r="J101" i="55"/>
  <c r="D109" i="55"/>
  <c r="D105" i="55"/>
  <c r="D99" i="55"/>
  <c r="L68" i="55"/>
  <c r="L62" i="55"/>
  <c r="L59" i="55"/>
  <c r="L53" i="55"/>
  <c r="C22" i="91" s="1"/>
  <c r="L47" i="55"/>
  <c r="L44" i="55"/>
  <c r="L38" i="55"/>
  <c r="L35" i="55"/>
  <c r="C23" i="91" s="1"/>
  <c r="L32" i="55"/>
  <c r="L31" i="55"/>
  <c r="L30" i="55"/>
  <c r="L29" i="55"/>
  <c r="C40" i="97" l="1"/>
  <c r="C40" i="96"/>
  <c r="C39" i="96"/>
  <c r="C39" i="97"/>
  <c r="C42" i="96"/>
  <c r="C42" i="97"/>
  <c r="C52" i="98"/>
  <c r="C52" i="96"/>
  <c r="C52" i="97"/>
  <c r="C54" i="97"/>
  <c r="C54" i="96"/>
  <c r="C54" i="98"/>
  <c r="C55" i="97"/>
  <c r="C55" i="96"/>
  <c r="C55" i="98"/>
  <c r="C40" i="98"/>
  <c r="C39" i="98"/>
  <c r="C42" i="98"/>
  <c r="C54" i="95"/>
  <c r="C55" i="95"/>
  <c r="C39" i="95"/>
  <c r="C40" i="95"/>
  <c r="C52" i="95"/>
  <c r="C53" i="95"/>
  <c r="C42" i="95"/>
  <c r="C98" i="91"/>
  <c r="C79" i="94"/>
  <c r="C53" i="59"/>
  <c r="C79" i="93"/>
  <c r="C100" i="91"/>
  <c r="C99" i="94"/>
  <c r="C99" i="93"/>
  <c r="C55" i="59"/>
  <c r="C52" i="94"/>
  <c r="C52" i="93"/>
  <c r="C22" i="94"/>
  <c r="C22" i="93"/>
  <c r="C97" i="91"/>
  <c r="C69" i="94"/>
  <c r="C69" i="93"/>
  <c r="C52" i="59"/>
  <c r="C32" i="94"/>
  <c r="C32" i="93"/>
  <c r="C99" i="91"/>
  <c r="C89" i="94"/>
  <c r="C54" i="59"/>
  <c r="C89" i="93"/>
  <c r="C84" i="91"/>
  <c r="C39" i="59"/>
  <c r="C87" i="91"/>
  <c r="C42" i="59"/>
  <c r="C85" i="91"/>
  <c r="C40" i="59"/>
  <c r="L27" i="55"/>
  <c r="L28" i="55"/>
  <c r="L26" i="55" l="1"/>
  <c r="W55" i="55"/>
  <c r="U55" i="55"/>
  <c r="S55" i="55"/>
  <c r="Q55" i="55"/>
  <c r="O55" i="55"/>
  <c r="W37" i="55"/>
  <c r="U37" i="55"/>
  <c r="S37" i="55"/>
  <c r="Q37" i="55"/>
  <c r="O37" i="55"/>
  <c r="O9" i="55"/>
  <c r="O8" i="55"/>
  <c r="N7" i="55"/>
  <c r="M7" i="55"/>
  <c r="L23" i="55"/>
  <c r="L22" i="55"/>
  <c r="C11" i="67"/>
  <c r="C12" i="67"/>
  <c r="C13" i="67"/>
  <c r="C14" i="67"/>
  <c r="C15" i="67"/>
  <c r="C16" i="67"/>
  <c r="C17" i="67"/>
  <c r="C18" i="67"/>
  <c r="C19" i="67"/>
  <c r="C20" i="67"/>
  <c r="C21" i="67"/>
  <c r="C22" i="67"/>
  <c r="C23" i="67"/>
  <c r="C24" i="67"/>
  <c r="C25" i="67"/>
  <c r="C26" i="67"/>
  <c r="C27" i="67"/>
  <c r="C28" i="67"/>
  <c r="C29" i="67"/>
  <c r="C30" i="67"/>
  <c r="C31" i="67"/>
  <c r="C32" i="67"/>
  <c r="C33" i="67"/>
  <c r="C34" i="67"/>
  <c r="C35" i="67"/>
  <c r="C36" i="67"/>
  <c r="C37" i="67"/>
  <c r="C38" i="67"/>
  <c r="C39" i="67"/>
  <c r="C40" i="67"/>
  <c r="C41" i="67"/>
  <c r="C42" i="67"/>
  <c r="C43" i="67"/>
  <c r="C44" i="67"/>
  <c r="C45" i="67"/>
  <c r="C46" i="67"/>
  <c r="C47" i="67"/>
  <c r="C48" i="67"/>
  <c r="C49" i="67"/>
  <c r="C50" i="67"/>
  <c r="C51" i="67"/>
  <c r="C52" i="67"/>
  <c r="C53" i="67"/>
  <c r="C54" i="67"/>
  <c r="C55" i="67"/>
  <c r="C56" i="67"/>
  <c r="C57" i="67"/>
  <c r="C58" i="67"/>
  <c r="C59" i="67"/>
  <c r="C60" i="67"/>
  <c r="C61" i="67"/>
  <c r="C62" i="67"/>
  <c r="C63" i="67"/>
  <c r="C64" i="67"/>
  <c r="C65" i="67"/>
  <c r="C66" i="67"/>
  <c r="C67" i="67"/>
  <c r="C68" i="67"/>
  <c r="C69" i="67"/>
  <c r="C70" i="67"/>
  <c r="C71" i="67"/>
  <c r="C72" i="67"/>
  <c r="C73" i="67"/>
  <c r="C74" i="67"/>
  <c r="C75" i="67"/>
  <c r="C76" i="67"/>
  <c r="C77" i="67"/>
  <c r="C78" i="67"/>
  <c r="C79" i="67"/>
  <c r="C80" i="67"/>
  <c r="C81" i="67"/>
  <c r="C82" i="67"/>
  <c r="C83" i="67"/>
  <c r="C84" i="67"/>
  <c r="C85" i="67"/>
  <c r="C86" i="67"/>
  <c r="C87" i="67"/>
  <c r="C88" i="67"/>
  <c r="C89" i="67"/>
  <c r="C90" i="67"/>
  <c r="C91" i="67"/>
  <c r="C92" i="67"/>
  <c r="C93" i="67"/>
  <c r="C94" i="67"/>
  <c r="C95" i="67"/>
  <c r="C96" i="67"/>
  <c r="C97" i="67"/>
  <c r="C98" i="67"/>
  <c r="C99" i="67"/>
  <c r="C100" i="67"/>
  <c r="C101" i="67"/>
  <c r="C102" i="67"/>
  <c r="C103" i="67"/>
  <c r="C104" i="67"/>
  <c r="C105" i="67"/>
  <c r="C106" i="67"/>
  <c r="C107" i="67"/>
  <c r="C108" i="67"/>
  <c r="C10" i="67"/>
  <c r="C110" i="67"/>
  <c r="C111" i="67"/>
  <c r="C112" i="67"/>
  <c r="C113" i="67"/>
  <c r="C114" i="67"/>
  <c r="C115" i="67"/>
  <c r="C116" i="67"/>
  <c r="C117" i="67"/>
  <c r="C118" i="67"/>
  <c r="C119" i="67"/>
  <c r="C120" i="67"/>
  <c r="C121" i="67"/>
  <c r="C122" i="67"/>
  <c r="C123" i="67"/>
  <c r="C124" i="67"/>
  <c r="C125" i="67"/>
  <c r="C126" i="67"/>
  <c r="C127" i="67"/>
  <c r="C128" i="67"/>
  <c r="C129" i="67"/>
  <c r="C130" i="67"/>
  <c r="C131" i="67"/>
  <c r="C132" i="67"/>
  <c r="C133" i="67"/>
  <c r="C134" i="67"/>
  <c r="C135" i="67"/>
  <c r="C136" i="67"/>
  <c r="C137" i="67"/>
  <c r="C138" i="67"/>
  <c r="C139" i="67"/>
  <c r="C140" i="67"/>
  <c r="C141" i="67"/>
  <c r="C142" i="67"/>
  <c r="C143" i="67"/>
  <c r="C144" i="67"/>
  <c r="C145" i="67"/>
  <c r="C146" i="67"/>
  <c r="C147" i="67"/>
  <c r="C148" i="67"/>
  <c r="C149" i="67"/>
  <c r="C150" i="67"/>
  <c r="C151" i="67"/>
  <c r="C152" i="67"/>
  <c r="C153" i="67"/>
  <c r="C154" i="67"/>
  <c r="C155" i="67"/>
  <c r="C156" i="67"/>
  <c r="C157" i="67"/>
  <c r="C158" i="67"/>
  <c r="C159" i="67"/>
  <c r="C160" i="67"/>
  <c r="C161" i="67"/>
  <c r="C162" i="67"/>
  <c r="C163" i="67"/>
  <c r="C164" i="67"/>
  <c r="C165" i="67"/>
  <c r="C166" i="67"/>
  <c r="C167" i="67"/>
  <c r="C168" i="67"/>
  <c r="C169" i="67"/>
  <c r="C170" i="67"/>
  <c r="C171" i="67"/>
  <c r="C172" i="67"/>
  <c r="C173" i="67"/>
  <c r="C174" i="67"/>
  <c r="C175" i="67"/>
  <c r="C176" i="67"/>
  <c r="C177" i="67"/>
  <c r="C178" i="67"/>
  <c r="C179" i="67"/>
  <c r="C180" i="67"/>
  <c r="C181" i="67"/>
  <c r="C182" i="67"/>
  <c r="C183" i="67"/>
  <c r="C184" i="67"/>
  <c r="C185" i="67"/>
  <c r="C186" i="67"/>
  <c r="C187" i="67"/>
  <c r="C188" i="67"/>
  <c r="C189" i="67"/>
  <c r="C190" i="67"/>
  <c r="C191" i="67"/>
  <c r="C192" i="67"/>
  <c r="C193" i="67"/>
  <c r="C194" i="67"/>
  <c r="C195" i="67"/>
  <c r="C196" i="67"/>
  <c r="C197" i="67"/>
  <c r="C198" i="67"/>
  <c r="C199" i="67"/>
  <c r="C200" i="67"/>
  <c r="C201" i="67"/>
  <c r="C202" i="67"/>
  <c r="C203" i="67"/>
  <c r="C204" i="67"/>
  <c r="C205" i="67"/>
  <c r="C206" i="67"/>
  <c r="C207" i="67"/>
  <c r="C109" i="67"/>
  <c r="G11" i="59"/>
  <c r="C65" i="91" s="1"/>
  <c r="E48" i="55"/>
  <c r="E42" i="55"/>
  <c r="E36" i="55"/>
  <c r="E30" i="55"/>
  <c r="D11" i="59"/>
  <c r="C64" i="91" s="1"/>
  <c r="E24" i="55"/>
  <c r="E51" i="55"/>
  <c r="E45" i="55"/>
  <c r="E39" i="55"/>
  <c r="E33" i="55"/>
  <c r="E27" i="55"/>
  <c r="I23" i="55"/>
  <c r="H23" i="55"/>
  <c r="G23" i="55"/>
  <c r="E23" i="55"/>
  <c r="E17" i="55"/>
  <c r="L6" i="55"/>
  <c r="E14" i="55"/>
  <c r="D5" i="55"/>
  <c r="D15" i="55"/>
  <c r="D12" i="55"/>
  <c r="D11" i="55"/>
  <c r="D9" i="55"/>
  <c r="D7" i="55" l="1"/>
  <c r="B24" i="53"/>
  <c r="B23" i="53"/>
  <c r="B22" i="53"/>
  <c r="B20" i="53"/>
  <c r="B18" i="53"/>
  <c r="B17" i="53"/>
  <c r="B10" i="53"/>
  <c r="B19" i="53"/>
  <c r="B11" i="53"/>
  <c r="B9" i="53"/>
  <c r="B8" i="53"/>
  <c r="A22" i="47"/>
  <c r="A21" i="47"/>
  <c r="A20" i="47"/>
  <c r="A17" i="47"/>
  <c r="A16" i="47"/>
  <c r="A15" i="47"/>
  <c r="A9" i="47"/>
  <c r="A8" i="47"/>
  <c r="A7" i="47"/>
  <c r="A6" i="47"/>
  <c r="A5" i="47"/>
  <c r="A23" i="72"/>
  <c r="A22" i="72"/>
  <c r="A21" i="72"/>
  <c r="A19" i="72"/>
  <c r="A18" i="72"/>
  <c r="A17" i="72"/>
  <c r="A16" i="72"/>
  <c r="A10" i="72"/>
  <c r="A9" i="72"/>
  <c r="A8" i="72"/>
  <c r="A7" i="72"/>
  <c r="A6" i="72"/>
  <c r="A23" i="71"/>
  <c r="A22" i="71"/>
  <c r="A21" i="71"/>
  <c r="A19" i="71"/>
  <c r="A18" i="71"/>
  <c r="A17" i="71"/>
  <c r="A16" i="71"/>
  <c r="A10" i="71"/>
  <c r="A9" i="71"/>
  <c r="A8" i="71"/>
  <c r="A7" i="71"/>
  <c r="A6" i="71"/>
  <c r="A22" i="51"/>
  <c r="A21" i="51"/>
  <c r="A20" i="51"/>
  <c r="A18" i="51"/>
  <c r="A17" i="51"/>
  <c r="A16" i="51"/>
  <c r="A15" i="51"/>
  <c r="A9" i="51"/>
  <c r="A8" i="51"/>
  <c r="A7" i="51"/>
  <c r="A6" i="51"/>
  <c r="A5" i="51"/>
  <c r="A22" i="49"/>
  <c r="A21" i="49"/>
  <c r="A20" i="49"/>
  <c r="A18" i="49"/>
  <c r="A17" i="49"/>
  <c r="A16" i="49"/>
  <c r="A15" i="49"/>
  <c r="A9" i="49"/>
  <c r="A8" i="49"/>
  <c r="A7" i="49"/>
  <c r="A6" i="49"/>
  <c r="A5" i="49"/>
  <c r="A23" i="70"/>
  <c r="A22" i="70"/>
  <c r="A21" i="70"/>
  <c r="A19" i="70"/>
  <c r="A18" i="70"/>
  <c r="A17" i="70"/>
  <c r="A16" i="70"/>
  <c r="A10" i="70"/>
  <c r="A9" i="70"/>
  <c r="A8" i="70"/>
  <c r="A7" i="70"/>
  <c r="A6" i="70"/>
  <c r="A23" i="67"/>
  <c r="A22" i="67"/>
  <c r="A21" i="67"/>
  <c r="A19" i="67"/>
  <c r="A18" i="67"/>
  <c r="A17" i="67"/>
  <c r="A16" i="67"/>
  <c r="A10" i="67"/>
  <c r="A9" i="67"/>
  <c r="A8" i="67"/>
  <c r="A7" i="67"/>
  <c r="A6" i="67"/>
  <c r="A23" i="68"/>
  <c r="A22" i="68"/>
  <c r="A21" i="68"/>
  <c r="A19" i="68"/>
  <c r="A18" i="68"/>
  <c r="A17" i="68"/>
  <c r="A16" i="68"/>
  <c r="A10" i="68"/>
  <c r="A9" i="68"/>
  <c r="A8" i="68"/>
  <c r="A7" i="68"/>
  <c r="A6" i="68"/>
  <c r="A23" i="59"/>
  <c r="A22" i="59"/>
  <c r="A21" i="59"/>
  <c r="A19" i="59"/>
  <c r="A18" i="59"/>
  <c r="A17" i="59"/>
  <c r="A16" i="59"/>
  <c r="A10" i="59"/>
  <c r="A9" i="59"/>
  <c r="A8" i="59"/>
  <c r="A7" i="59"/>
  <c r="A6" i="59"/>
  <c r="H149" i="49"/>
  <c r="I149" i="49"/>
  <c r="J149" i="49"/>
  <c r="K149" i="49"/>
  <c r="H150" i="49"/>
  <c r="I150" i="49"/>
  <c r="J150" i="49"/>
  <c r="K150" i="49"/>
  <c r="F150" i="49"/>
  <c r="F149" i="49"/>
  <c r="G150" i="49"/>
  <c r="G149" i="49"/>
  <c r="F156" i="49"/>
  <c r="F155" i="49"/>
  <c r="F154" i="49"/>
  <c r="F153" i="49"/>
  <c r="F152" i="49"/>
  <c r="F151" i="49"/>
  <c r="F148" i="49"/>
  <c r="F147" i="49"/>
  <c r="F146" i="49"/>
  <c r="F145" i="49"/>
  <c r="F144" i="49"/>
  <c r="F143" i="49"/>
  <c r="F142" i="49"/>
  <c r="F141" i="49"/>
  <c r="F140" i="49"/>
  <c r="F139" i="49"/>
  <c r="F138" i="49"/>
  <c r="F137" i="49"/>
  <c r="F136" i="49"/>
  <c r="F135" i="49"/>
  <c r="F134" i="49"/>
  <c r="F133" i="49"/>
  <c r="F128" i="47"/>
  <c r="F126" i="47"/>
  <c r="F125" i="47"/>
  <c r="F124" i="47"/>
  <c r="F123" i="47"/>
  <c r="F122" i="47"/>
  <c r="F121" i="47"/>
  <c r="F120" i="47"/>
  <c r="F119" i="47"/>
  <c r="F115" i="47"/>
  <c r="F114" i="47"/>
  <c r="F113" i="47"/>
  <c r="F112" i="47"/>
  <c r="F111" i="47"/>
  <c r="F110" i="47"/>
  <c r="F109" i="47"/>
  <c r="F107" i="47"/>
  <c r="F104" i="47"/>
  <c r="F118" i="49"/>
  <c r="F117" i="49"/>
  <c r="F116" i="49"/>
  <c r="F115" i="49"/>
  <c r="F114" i="49"/>
  <c r="F112" i="49"/>
  <c r="F110" i="49"/>
  <c r="F108" i="49"/>
  <c r="F107" i="49"/>
  <c r="F106" i="49"/>
  <c r="F105" i="49"/>
  <c r="F104" i="49"/>
  <c r="F103" i="49"/>
  <c r="F102" i="49"/>
  <c r="F101" i="49"/>
  <c r="H108" i="49" a="1"/>
  <c r="H108" i="49" s="1"/>
  <c r="I108" i="49" a="1"/>
  <c r="I108" i="49" s="1"/>
  <c r="J108" i="49" a="1"/>
  <c r="J108" i="49" s="1"/>
  <c r="K108" i="49" a="1"/>
  <c r="K108" i="49" s="1"/>
  <c r="H109" i="49"/>
  <c r="I109" i="49"/>
  <c r="J109" i="49"/>
  <c r="K109" i="49"/>
  <c r="H110" i="49" a="1"/>
  <c r="H110" i="49" s="1"/>
  <c r="I110" i="49" a="1"/>
  <c r="I110" i="49" s="1"/>
  <c r="J110" i="49" a="1"/>
  <c r="J110" i="49" s="1"/>
  <c r="J111" i="49" s="1"/>
  <c r="K110" i="49" a="1"/>
  <c r="K110" i="49" s="1"/>
  <c r="K111" i="49" s="1"/>
  <c r="H112" i="49" a="1"/>
  <c r="H112" i="49" s="1"/>
  <c r="I112" i="49" a="1"/>
  <c r="I112" i="49" s="1"/>
  <c r="J112" i="49" a="1"/>
  <c r="J112" i="49" s="1"/>
  <c r="K112" i="49" a="1"/>
  <c r="K112" i="49" s="1"/>
  <c r="H113" i="49"/>
  <c r="I113" i="49"/>
  <c r="J113" i="49"/>
  <c r="K113" i="49"/>
  <c r="H114" i="49"/>
  <c r="I114" i="49"/>
  <c r="J114" i="49"/>
  <c r="K114" i="49"/>
  <c r="H115" i="49"/>
  <c r="I115" i="49"/>
  <c r="J115" i="49"/>
  <c r="K115" i="49"/>
  <c r="H116" i="49"/>
  <c r="I116" i="49"/>
  <c r="J116" i="49"/>
  <c r="K116" i="49"/>
  <c r="H117" i="49"/>
  <c r="I117" i="49"/>
  <c r="J117" i="49"/>
  <c r="K117" i="49"/>
  <c r="H118" i="49"/>
  <c r="I118" i="49"/>
  <c r="J118" i="49"/>
  <c r="K118" i="49"/>
  <c r="G115" i="49"/>
  <c r="G116" i="49"/>
  <c r="G117" i="49"/>
  <c r="G118" i="49"/>
  <c r="G114" i="49"/>
  <c r="G113" i="49"/>
  <c r="G112" i="49" a="1"/>
  <c r="G112" i="49" s="1"/>
  <c r="G110" i="49" a="1"/>
  <c r="G110" i="49" s="1"/>
  <c r="G109" i="49"/>
  <c r="G108" i="49" a="1"/>
  <c r="G108" i="49" s="1"/>
  <c r="H102" i="49"/>
  <c r="I102" i="49"/>
  <c r="J102" i="49"/>
  <c r="K102" i="49"/>
  <c r="H103" i="49"/>
  <c r="I103" i="49"/>
  <c r="J103" i="49"/>
  <c r="K103" i="49"/>
  <c r="H104" i="49"/>
  <c r="I104" i="49"/>
  <c r="J104" i="49"/>
  <c r="K104" i="49"/>
  <c r="H105" i="49"/>
  <c r="I105" i="49"/>
  <c r="J105" i="49"/>
  <c r="K105" i="49"/>
  <c r="H106" i="49"/>
  <c r="I106" i="49"/>
  <c r="J106" i="49"/>
  <c r="K106" i="49"/>
  <c r="H107" i="49"/>
  <c r="I107" i="49"/>
  <c r="J107" i="49"/>
  <c r="K107" i="49"/>
  <c r="G107" i="49"/>
  <c r="G106" i="49"/>
  <c r="G104" i="49"/>
  <c r="G105" i="49"/>
  <c r="G103" i="49"/>
  <c r="H100" i="49"/>
  <c r="I100" i="49"/>
  <c r="J100" i="49"/>
  <c r="K100" i="49"/>
  <c r="H101" i="49"/>
  <c r="I101" i="49"/>
  <c r="J101" i="49"/>
  <c r="K101" i="49"/>
  <c r="G102" i="49"/>
  <c r="G101" i="49"/>
  <c r="G100" i="49"/>
  <c r="I99" i="49"/>
  <c r="J99" i="49"/>
  <c r="K99" i="49"/>
  <c r="H99" i="49"/>
  <c r="G99" i="49"/>
  <c r="F98" i="49"/>
  <c r="F100" i="49"/>
  <c r="F99" i="49"/>
  <c r="F118" i="47"/>
  <c r="F117" i="47"/>
  <c r="F101" i="47"/>
  <c r="F100" i="47"/>
  <c r="F99" i="47"/>
  <c r="F98" i="47"/>
  <c r="F97" i="47"/>
  <c r="F96" i="47"/>
  <c r="F95" i="47"/>
  <c r="F94" i="47"/>
  <c r="F93" i="47"/>
  <c r="F92" i="47"/>
  <c r="F91" i="47"/>
  <c r="F90" i="47"/>
  <c r="F89" i="47"/>
  <c r="F88" i="47"/>
  <c r="F87" i="47"/>
  <c r="F86" i="47"/>
  <c r="F84" i="47"/>
  <c r="F83" i="47"/>
  <c r="F88" i="49"/>
  <c r="F87" i="49"/>
  <c r="F86" i="49"/>
  <c r="F85" i="49"/>
  <c r="F83" i="49"/>
  <c r="F81" i="49"/>
  <c r="F80" i="49"/>
  <c r="F79" i="49"/>
  <c r="F78" i="49"/>
  <c r="F77" i="49"/>
  <c r="F76" i="49"/>
  <c r="F75" i="49"/>
  <c r="F74" i="49"/>
  <c r="F73" i="49"/>
  <c r="F72" i="49"/>
  <c r="F71" i="49"/>
  <c r="F69" i="49"/>
  <c r="F70" i="49"/>
  <c r="F79" i="47"/>
  <c r="F78" i="47"/>
  <c r="F77" i="47"/>
  <c r="F76" i="47"/>
  <c r="F75" i="47"/>
  <c r="F74" i="47"/>
  <c r="F72" i="47"/>
  <c r="F71" i="47"/>
  <c r="F70" i="47"/>
  <c r="F68" i="47"/>
  <c r="F67" i="47"/>
  <c r="F66" i="47"/>
  <c r="F65" i="47"/>
  <c r="F60" i="47"/>
  <c r="F59" i="49"/>
  <c r="F58" i="49"/>
  <c r="F56" i="49"/>
  <c r="F54" i="49"/>
  <c r="F53" i="49"/>
  <c r="F52" i="49"/>
  <c r="F51" i="49"/>
  <c r="F50" i="49"/>
  <c r="F49" i="49"/>
  <c r="F48" i="49"/>
  <c r="F47" i="49"/>
  <c r="F46" i="49"/>
  <c r="F45" i="49"/>
  <c r="F44" i="49"/>
  <c r="F43" i="49"/>
  <c r="F42" i="49"/>
  <c r="F41" i="49"/>
  <c r="F39" i="49"/>
  <c r="F38" i="49"/>
  <c r="F57" i="47"/>
  <c r="F56" i="47"/>
  <c r="F55" i="47"/>
  <c r="F54" i="47"/>
  <c r="F53" i="47"/>
  <c r="F52" i="47"/>
  <c r="F51" i="47"/>
  <c r="F50" i="47"/>
  <c r="F49" i="47"/>
  <c r="F48" i="47"/>
  <c r="F47" i="47"/>
  <c r="F46" i="47"/>
  <c r="F45" i="47"/>
  <c r="F44" i="47"/>
  <c r="F43" i="47"/>
  <c r="F42" i="47"/>
  <c r="G121" i="49" l="1"/>
  <c r="K121" i="49"/>
  <c r="K122" i="49"/>
  <c r="J121" i="49"/>
  <c r="I121" i="49"/>
  <c r="J122" i="49"/>
  <c r="H121" i="49"/>
  <c r="H111" i="49"/>
  <c r="H122" i="49" s="1"/>
  <c r="I111" i="49"/>
  <c r="I122" i="49" s="1"/>
  <c r="G111" i="49"/>
  <c r="G122" i="49" s="1"/>
  <c r="F41" i="47"/>
  <c r="F39" i="47"/>
  <c r="F38" i="47"/>
  <c r="G38" i="47"/>
  <c r="I104" i="47"/>
  <c r="I83" i="47"/>
  <c r="I60" i="47"/>
  <c r="I13" i="47"/>
  <c r="H104" i="47"/>
  <c r="H83" i="47"/>
  <c r="H60" i="47"/>
  <c r="H13" i="47"/>
  <c r="G104" i="47"/>
  <c r="G83" i="47"/>
  <c r="G60" i="47"/>
  <c r="G13" i="47"/>
  <c r="D63" i="49"/>
  <c r="D62" i="49"/>
  <c r="D61" i="49"/>
  <c r="D60" i="49"/>
  <c r="D162" i="49"/>
  <c r="D161" i="49"/>
  <c r="D160" i="49"/>
  <c r="D159" i="49"/>
  <c r="D158" i="49"/>
  <c r="D123" i="49"/>
  <c r="D122" i="49"/>
  <c r="D121" i="49"/>
  <c r="D120" i="49"/>
  <c r="D119" i="49"/>
  <c r="D93" i="49"/>
  <c r="D92" i="49"/>
  <c r="D91" i="49"/>
  <c r="D90" i="49"/>
  <c r="D89" i="49"/>
  <c r="D34" i="49"/>
  <c r="D33" i="49"/>
  <c r="D32" i="49"/>
  <c r="D31" i="49"/>
  <c r="D30" i="49"/>
  <c r="F23" i="49"/>
  <c r="F25" i="49"/>
  <c r="F29" i="49"/>
  <c r="F28" i="49"/>
  <c r="F27" i="49"/>
  <c r="E23" i="49"/>
  <c r="F22" i="49"/>
  <c r="F21" i="49"/>
  <c r="F20" i="49"/>
  <c r="F19" i="49"/>
  <c r="F18" i="49"/>
  <c r="F17" i="49"/>
  <c r="F16" i="49"/>
  <c r="F15" i="49"/>
  <c r="F14" i="49"/>
  <c r="F13" i="49"/>
  <c r="F12" i="49"/>
  <c r="F11" i="49"/>
  <c r="F10" i="49"/>
  <c r="F9" i="49"/>
  <c r="F8" i="49"/>
  <c r="F7" i="49"/>
  <c r="G86" i="47"/>
  <c r="G109" i="47"/>
  <c r="G128" i="47"/>
  <c r="G127" i="47"/>
  <c r="G125" i="47"/>
  <c r="G126" i="47"/>
  <c r="G124" i="47"/>
  <c r="G123" i="47"/>
  <c r="G122" i="47"/>
  <c r="G121" i="47"/>
  <c r="G120" i="47"/>
  <c r="G101" i="47"/>
  <c r="G100" i="47"/>
  <c r="G99" i="47"/>
  <c r="G98" i="47"/>
  <c r="G97" i="47"/>
  <c r="G96" i="47"/>
  <c r="G94" i="47"/>
  <c r="G78" i="47"/>
  <c r="G79" i="47"/>
  <c r="G77" i="47"/>
  <c r="G76" i="47"/>
  <c r="G57" i="47"/>
  <c r="G56" i="47"/>
  <c r="G34" i="47"/>
  <c r="G33" i="47"/>
  <c r="G32" i="47"/>
  <c r="F34" i="47"/>
  <c r="F33" i="47"/>
  <c r="F31" i="47"/>
  <c r="F30" i="47"/>
  <c r="F29" i="47"/>
  <c r="F28" i="47"/>
  <c r="F27" i="47"/>
  <c r="F26" i="47"/>
  <c r="F25" i="47"/>
  <c r="F24" i="47"/>
  <c r="F23" i="47"/>
  <c r="F22" i="47"/>
  <c r="F21" i="47"/>
  <c r="F20" i="47"/>
  <c r="F19" i="47"/>
  <c r="F18" i="47"/>
  <c r="I61" i="72"/>
  <c r="I60" i="72"/>
  <c r="I55" i="72"/>
  <c r="I64" i="72"/>
  <c r="I63" i="72"/>
  <c r="I62" i="72"/>
  <c r="I58" i="72"/>
  <c r="I54" i="72"/>
  <c r="I53" i="72"/>
  <c r="I51" i="72"/>
  <c r="I50" i="72"/>
  <c r="I49" i="72"/>
  <c r="I46" i="72"/>
  <c r="I44" i="72"/>
  <c r="I65" i="72"/>
  <c r="I57" i="72"/>
  <c r="I47" i="72"/>
  <c r="I45" i="72"/>
  <c r="I43" i="72"/>
  <c r="C65" i="72"/>
  <c r="C64" i="72"/>
  <c r="C63" i="72"/>
  <c r="C62" i="72"/>
  <c r="C61" i="72"/>
  <c r="C60" i="72"/>
  <c r="C59" i="72"/>
  <c r="C58" i="72"/>
  <c r="C57" i="72"/>
  <c r="C56" i="72"/>
  <c r="C55" i="72"/>
  <c r="C54" i="72"/>
  <c r="C53" i="72"/>
  <c r="C49" i="72"/>
  <c r="C52" i="72"/>
  <c r="C51" i="72"/>
  <c r="C50" i="72"/>
  <c r="C48" i="72"/>
  <c r="C47" i="72"/>
  <c r="C46" i="72"/>
  <c r="C45" i="72"/>
  <c r="C43" i="72"/>
  <c r="E132" i="49"/>
  <c r="E97" i="49"/>
  <c r="E68" i="49"/>
  <c r="E37" i="49"/>
  <c r="E6" i="49"/>
  <c r="E103" i="47"/>
  <c r="E82" i="47"/>
  <c r="E59" i="47"/>
  <c r="E37" i="47"/>
  <c r="E12" i="47"/>
  <c r="E108" i="49"/>
  <c r="E101" i="49"/>
  <c r="D101" i="49"/>
  <c r="D100" i="49"/>
  <c r="D98" i="49"/>
  <c r="E21" i="70"/>
  <c r="E16" i="70"/>
  <c r="D21" i="70"/>
  <c r="D20" i="70"/>
  <c r="D16" i="70"/>
  <c r="D15" i="70"/>
  <c r="D11" i="70"/>
  <c r="D7" i="70"/>
  <c r="D5" i="70"/>
  <c r="D13" i="70"/>
  <c r="D18" i="70"/>
  <c r="K88" i="49"/>
  <c r="J88" i="49"/>
  <c r="I88" i="49"/>
  <c r="H88" i="49"/>
  <c r="G88" i="49"/>
  <c r="K87" i="49"/>
  <c r="J87" i="49"/>
  <c r="I87" i="49"/>
  <c r="H87" i="49"/>
  <c r="G87" i="49"/>
  <c r="K86" i="49"/>
  <c r="J86" i="49"/>
  <c r="I86" i="49"/>
  <c r="H86" i="49"/>
  <c r="G86" i="49"/>
  <c r="K85" i="49"/>
  <c r="J85" i="49"/>
  <c r="I85" i="49"/>
  <c r="H85" i="49"/>
  <c r="G85" i="49"/>
  <c r="K83" i="49"/>
  <c r="J83" i="49"/>
  <c r="I83" i="49"/>
  <c r="H83" i="49"/>
  <c r="G83" i="49"/>
  <c r="K81" i="49"/>
  <c r="J81" i="49"/>
  <c r="I81" i="49"/>
  <c r="H81" i="49"/>
  <c r="G81" i="49"/>
  <c r="K80" i="49"/>
  <c r="J80" i="49"/>
  <c r="I80" i="49"/>
  <c r="H80" i="49"/>
  <c r="G80" i="49"/>
  <c r="K79" i="49"/>
  <c r="J79" i="49"/>
  <c r="I79" i="49"/>
  <c r="H79" i="49"/>
  <c r="G79" i="49"/>
  <c r="K78" i="49"/>
  <c r="J78" i="49"/>
  <c r="I78" i="49"/>
  <c r="H78" i="49"/>
  <c r="G78" i="49"/>
  <c r="K77" i="49"/>
  <c r="J77" i="49"/>
  <c r="I77" i="49"/>
  <c r="H77" i="49"/>
  <c r="G77" i="49"/>
  <c r="K76" i="49"/>
  <c r="J76" i="49"/>
  <c r="I76" i="49"/>
  <c r="H76" i="49"/>
  <c r="G76" i="49"/>
  <c r="K75" i="49"/>
  <c r="J75" i="49"/>
  <c r="I75" i="49"/>
  <c r="H75" i="49"/>
  <c r="G75" i="49"/>
  <c r="K74" i="49"/>
  <c r="J74" i="49"/>
  <c r="I74" i="49"/>
  <c r="H74" i="49"/>
  <c r="G74" i="49"/>
  <c r="K73" i="49"/>
  <c r="J73" i="49"/>
  <c r="I73" i="49"/>
  <c r="H73" i="49"/>
  <c r="G73" i="49"/>
  <c r="K72" i="49"/>
  <c r="J72" i="49"/>
  <c r="I72" i="49"/>
  <c r="H72" i="49"/>
  <c r="G72" i="49"/>
  <c r="K71" i="49"/>
  <c r="J71" i="49"/>
  <c r="I71" i="49"/>
  <c r="H71" i="49"/>
  <c r="G71" i="49"/>
  <c r="K156" i="49" a="1"/>
  <c r="K156" i="49" s="1"/>
  <c r="J156" i="49" a="1"/>
  <c r="J156" i="49" s="1"/>
  <c r="I156" i="49" a="1"/>
  <c r="I156" i="49" s="1"/>
  <c r="H156" i="49" a="1"/>
  <c r="H156" i="49" s="1"/>
  <c r="G156" i="49" a="1"/>
  <c r="G156" i="49" s="1"/>
  <c r="K155" i="49"/>
  <c r="J155" i="49"/>
  <c r="I155" i="49"/>
  <c r="H155" i="49"/>
  <c r="G155" i="49"/>
  <c r="K154" i="49"/>
  <c r="J154" i="49"/>
  <c r="I154" i="49"/>
  <c r="H154" i="49"/>
  <c r="G154" i="49"/>
  <c r="K153" i="49"/>
  <c r="J153" i="49"/>
  <c r="I153" i="49"/>
  <c r="H153" i="49"/>
  <c r="G153" i="49"/>
  <c r="K152" i="49"/>
  <c r="J152" i="49"/>
  <c r="I152" i="49"/>
  <c r="H152" i="49"/>
  <c r="G152" i="49"/>
  <c r="K151" i="49"/>
  <c r="J151" i="49"/>
  <c r="I151" i="49"/>
  <c r="H151" i="49"/>
  <c r="G151" i="49"/>
  <c r="K148" i="49"/>
  <c r="J148" i="49"/>
  <c r="I148" i="49"/>
  <c r="H148" i="49"/>
  <c r="G148" i="49"/>
  <c r="K147" i="49"/>
  <c r="J147" i="49"/>
  <c r="I147" i="49"/>
  <c r="H147" i="49"/>
  <c r="G147" i="49"/>
  <c r="K146" i="49"/>
  <c r="J146" i="49"/>
  <c r="I146" i="49"/>
  <c r="H146" i="49"/>
  <c r="G146" i="49"/>
  <c r="K145" i="49"/>
  <c r="J145" i="49"/>
  <c r="I145" i="49"/>
  <c r="H145" i="49"/>
  <c r="G145" i="49"/>
  <c r="K144" i="49"/>
  <c r="J144" i="49"/>
  <c r="I144" i="49"/>
  <c r="H144" i="49"/>
  <c r="G144" i="49"/>
  <c r="K143" i="49"/>
  <c r="J143" i="49"/>
  <c r="I143" i="49"/>
  <c r="H143" i="49"/>
  <c r="G143" i="49"/>
  <c r="K142" i="49"/>
  <c r="J142" i="49"/>
  <c r="I142" i="49"/>
  <c r="H142" i="49"/>
  <c r="G142" i="49"/>
  <c r="K141" i="49"/>
  <c r="J141" i="49"/>
  <c r="I141" i="49"/>
  <c r="H141" i="49"/>
  <c r="G141" i="49"/>
  <c r="K140" i="49"/>
  <c r="J140" i="49"/>
  <c r="I140" i="49"/>
  <c r="H140" i="49"/>
  <c r="G140" i="49"/>
  <c r="K139" i="49"/>
  <c r="J139" i="49"/>
  <c r="I139" i="49"/>
  <c r="H139" i="49"/>
  <c r="G139" i="49"/>
  <c r="K138" i="49"/>
  <c r="J138" i="49"/>
  <c r="I138" i="49"/>
  <c r="H138" i="49"/>
  <c r="G138" i="49"/>
  <c r="K137" i="49"/>
  <c r="J137" i="49"/>
  <c r="I137" i="49"/>
  <c r="H137" i="49"/>
  <c r="G137" i="49"/>
  <c r="K136" i="49"/>
  <c r="J136" i="49"/>
  <c r="I136" i="49"/>
  <c r="H136" i="49"/>
  <c r="G136" i="49"/>
  <c r="K135" i="49"/>
  <c r="J135" i="49"/>
  <c r="I135" i="49"/>
  <c r="H135" i="49"/>
  <c r="G135" i="49"/>
  <c r="K134" i="49"/>
  <c r="J134" i="49"/>
  <c r="I134" i="49"/>
  <c r="H134" i="49"/>
  <c r="G134" i="49"/>
  <c r="H118" i="47"/>
  <c r="H117" i="47"/>
  <c r="H108" i="47"/>
  <c r="H107" i="47"/>
  <c r="H106" i="47"/>
  <c r="H105" i="47"/>
  <c r="K59" i="49"/>
  <c r="J59" i="49"/>
  <c r="I59" i="49"/>
  <c r="H59" i="49"/>
  <c r="G59" i="49"/>
  <c r="K58" i="49"/>
  <c r="J58" i="49"/>
  <c r="I58" i="49"/>
  <c r="H58" i="49"/>
  <c r="G58" i="49"/>
  <c r="K56" i="49" a="1"/>
  <c r="K56" i="49" s="1"/>
  <c r="J56" i="49" a="1"/>
  <c r="J56" i="49" s="1"/>
  <c r="I56" i="49" a="1"/>
  <c r="I56" i="49" s="1"/>
  <c r="H56" i="49" a="1"/>
  <c r="H56" i="49" s="1"/>
  <c r="G56" i="49" a="1"/>
  <c r="G56" i="49" s="1"/>
  <c r="K54" i="49" a="1"/>
  <c r="K54" i="49" s="1"/>
  <c r="J54" i="49" a="1"/>
  <c r="J54" i="49" s="1"/>
  <c r="I54" i="49" a="1"/>
  <c r="I54" i="49" s="1"/>
  <c r="H54" i="49" a="1"/>
  <c r="H54" i="49" s="1"/>
  <c r="G54" i="49" a="1"/>
  <c r="G54" i="49" s="1"/>
  <c r="K53" i="49"/>
  <c r="J53" i="49"/>
  <c r="I53" i="49"/>
  <c r="H53" i="49"/>
  <c r="G53" i="49"/>
  <c r="K52" i="49"/>
  <c r="J52" i="49"/>
  <c r="I52" i="49"/>
  <c r="H52" i="49"/>
  <c r="G52" i="49"/>
  <c r="K51" i="49"/>
  <c r="J51" i="49"/>
  <c r="I51" i="49"/>
  <c r="H51" i="49"/>
  <c r="G51" i="49"/>
  <c r="K50" i="49"/>
  <c r="J50" i="49"/>
  <c r="I50" i="49"/>
  <c r="H50" i="49"/>
  <c r="G50" i="49"/>
  <c r="K49" i="49"/>
  <c r="J49" i="49"/>
  <c r="I49" i="49"/>
  <c r="H49" i="49"/>
  <c r="G49" i="49"/>
  <c r="K48" i="49"/>
  <c r="J48" i="49"/>
  <c r="I48" i="49"/>
  <c r="H48" i="49"/>
  <c r="G48" i="49"/>
  <c r="K47" i="49"/>
  <c r="J47" i="49"/>
  <c r="I47" i="49"/>
  <c r="H47" i="49"/>
  <c r="G47" i="49"/>
  <c r="K46" i="49"/>
  <c r="J46" i="49"/>
  <c r="I46" i="49"/>
  <c r="H46" i="49"/>
  <c r="G46" i="49"/>
  <c r="K45" i="49"/>
  <c r="J45" i="49"/>
  <c r="I45" i="49"/>
  <c r="H45" i="49"/>
  <c r="G45" i="49"/>
  <c r="K44" i="49"/>
  <c r="J44" i="49"/>
  <c r="I44" i="49"/>
  <c r="H44" i="49"/>
  <c r="G44" i="49"/>
  <c r="K43" i="49"/>
  <c r="J43" i="49"/>
  <c r="I43" i="49"/>
  <c r="H43" i="49"/>
  <c r="G43" i="49"/>
  <c r="K42" i="49"/>
  <c r="J42" i="49"/>
  <c r="I42" i="49"/>
  <c r="H42" i="49"/>
  <c r="G42" i="49"/>
  <c r="K41" i="49"/>
  <c r="J41" i="49"/>
  <c r="I41" i="49"/>
  <c r="H41" i="49"/>
  <c r="G41" i="49"/>
  <c r="E54" i="47"/>
  <c r="H46" i="47"/>
  <c r="H45" i="47"/>
  <c r="H44" i="47"/>
  <c r="H43" i="47"/>
  <c r="H42" i="47"/>
  <c r="E42" i="47"/>
  <c r="D42" i="47"/>
  <c r="H41" i="47"/>
  <c r="D41" i="47"/>
  <c r="D38" i="47"/>
  <c r="G5" i="90"/>
  <c r="G4" i="90"/>
  <c r="D4" i="90"/>
  <c r="G3" i="90"/>
  <c r="D3" i="90"/>
  <c r="D2" i="90"/>
  <c r="E151" i="49"/>
  <c r="E139" i="49"/>
  <c r="D139" i="49"/>
  <c r="D136" i="49"/>
  <c r="D133" i="49"/>
  <c r="E81" i="49"/>
  <c r="E73" i="49"/>
  <c r="D73" i="49"/>
  <c r="D72" i="49"/>
  <c r="D69" i="49"/>
  <c r="E54" i="49"/>
  <c r="E42" i="49"/>
  <c r="D42" i="49"/>
  <c r="D41" i="49"/>
  <c r="D38" i="49"/>
  <c r="K29" i="49"/>
  <c r="J29" i="49"/>
  <c r="I29" i="49"/>
  <c r="H29" i="49"/>
  <c r="G29" i="49"/>
  <c r="K28" i="49"/>
  <c r="J28" i="49"/>
  <c r="I28" i="49"/>
  <c r="H28" i="49"/>
  <c r="G28" i="49"/>
  <c r="K27" i="49"/>
  <c r="J27" i="49"/>
  <c r="I27" i="49"/>
  <c r="H27" i="49"/>
  <c r="G27" i="49"/>
  <c r="K25" i="49" a="1"/>
  <c r="K25" i="49" s="1"/>
  <c r="J25" i="49" a="1"/>
  <c r="J25" i="49" s="1"/>
  <c r="I25" i="49" a="1"/>
  <c r="I25" i="49" s="1"/>
  <c r="H25" i="49" a="1"/>
  <c r="H25" i="49" s="1"/>
  <c r="G25" i="49" a="1"/>
  <c r="G25" i="49" s="1"/>
  <c r="K23" i="49" a="1"/>
  <c r="K23" i="49" s="1"/>
  <c r="J23" i="49" a="1"/>
  <c r="J23" i="49" s="1"/>
  <c r="I23" i="49" a="1"/>
  <c r="I23" i="49" s="1"/>
  <c r="H23" i="49" a="1"/>
  <c r="H23" i="49" s="1"/>
  <c r="G23" i="49" a="1"/>
  <c r="G23" i="49" s="1"/>
  <c r="K22" i="49"/>
  <c r="J22" i="49"/>
  <c r="I22" i="49"/>
  <c r="H22" i="49"/>
  <c r="G22" i="49"/>
  <c r="K21" i="49"/>
  <c r="J21" i="49"/>
  <c r="I21" i="49"/>
  <c r="H21" i="49"/>
  <c r="G21" i="49"/>
  <c r="K20" i="49"/>
  <c r="J20" i="49"/>
  <c r="I20" i="49"/>
  <c r="H20" i="49"/>
  <c r="G20" i="49"/>
  <c r="K19" i="49"/>
  <c r="J19" i="49"/>
  <c r="I19" i="49"/>
  <c r="H19" i="49"/>
  <c r="G19" i="49"/>
  <c r="K18" i="49"/>
  <c r="J18" i="49"/>
  <c r="I18" i="49"/>
  <c r="H18" i="49"/>
  <c r="G18" i="49"/>
  <c r="K17" i="49"/>
  <c r="J17" i="49"/>
  <c r="I17" i="49"/>
  <c r="H17" i="49"/>
  <c r="G17" i="49"/>
  <c r="K16" i="49"/>
  <c r="J16" i="49"/>
  <c r="I16" i="49"/>
  <c r="H16" i="49"/>
  <c r="G16" i="49"/>
  <c r="K15" i="49"/>
  <c r="J15" i="49"/>
  <c r="I15" i="49"/>
  <c r="H15" i="49"/>
  <c r="G15" i="49"/>
  <c r="K14" i="49"/>
  <c r="J14" i="49"/>
  <c r="I14" i="49"/>
  <c r="H14" i="49"/>
  <c r="G14" i="49"/>
  <c r="K13" i="49"/>
  <c r="J13" i="49"/>
  <c r="I13" i="49"/>
  <c r="H13" i="49"/>
  <c r="G13" i="49"/>
  <c r="K12" i="49"/>
  <c r="J12" i="49"/>
  <c r="I12" i="49"/>
  <c r="H12" i="49"/>
  <c r="G12" i="49"/>
  <c r="K11" i="49"/>
  <c r="J11" i="49"/>
  <c r="I11" i="49"/>
  <c r="H11" i="49"/>
  <c r="G11" i="49"/>
  <c r="K10" i="49"/>
  <c r="J10" i="49"/>
  <c r="I10" i="49"/>
  <c r="H10" i="49"/>
  <c r="G10" i="49"/>
  <c r="E10" i="49"/>
  <c r="D10" i="49"/>
  <c r="K9" i="49"/>
  <c r="K31" i="49" s="1"/>
  <c r="J9" i="49"/>
  <c r="J31" i="49" s="1"/>
  <c r="I9" i="49"/>
  <c r="I31" i="49" s="1"/>
  <c r="H9" i="49"/>
  <c r="H31" i="49" s="1"/>
  <c r="G9" i="49"/>
  <c r="G31" i="49" s="1"/>
  <c r="D9" i="49"/>
  <c r="K8" i="49"/>
  <c r="K70" i="49" s="1"/>
  <c r="J8" i="49"/>
  <c r="J70" i="49" s="1"/>
  <c r="I8" i="49"/>
  <c r="I70" i="49" s="1"/>
  <c r="H8" i="49"/>
  <c r="H70" i="49" s="1"/>
  <c r="G8" i="49"/>
  <c r="G70" i="49" s="1"/>
  <c r="D7" i="49"/>
  <c r="F9" i="47"/>
  <c r="F8" i="47"/>
  <c r="F7" i="47"/>
  <c r="F6" i="47"/>
  <c r="F5" i="47"/>
  <c r="E124" i="47"/>
  <c r="E112" i="47"/>
  <c r="D112" i="47"/>
  <c r="D109" i="47"/>
  <c r="D104" i="47"/>
  <c r="E94" i="47"/>
  <c r="H93" i="47"/>
  <c r="H92" i="47"/>
  <c r="H91" i="47"/>
  <c r="H90" i="47"/>
  <c r="H89" i="47"/>
  <c r="H88" i="47"/>
  <c r="H87" i="47"/>
  <c r="E87" i="47"/>
  <c r="D87" i="47"/>
  <c r="D86" i="47"/>
  <c r="H85" i="47"/>
  <c r="H84" i="47"/>
  <c r="D83" i="47"/>
  <c r="E74" i="47"/>
  <c r="H70" i="47"/>
  <c r="H69" i="47"/>
  <c r="H68" i="47"/>
  <c r="H67" i="47"/>
  <c r="H66" i="47"/>
  <c r="E66" i="47"/>
  <c r="D66" i="47"/>
  <c r="D65" i="47"/>
  <c r="H64" i="47"/>
  <c r="H63" i="47"/>
  <c r="H62" i="47"/>
  <c r="H61" i="47"/>
  <c r="D60" i="47"/>
  <c r="E30" i="47"/>
  <c r="H29" i="47"/>
  <c r="H21" i="47"/>
  <c r="H20" i="47"/>
  <c r="H19" i="47"/>
  <c r="H18" i="47"/>
  <c r="H17" i="47"/>
  <c r="E17" i="47"/>
  <c r="D17" i="47"/>
  <c r="H16" i="47"/>
  <c r="D16" i="47"/>
  <c r="H15" i="47"/>
  <c r="H14" i="47"/>
  <c r="F13" i="47"/>
  <c r="D13" i="47"/>
  <c r="L12" i="51"/>
  <c r="D12" i="51"/>
  <c r="L11" i="51"/>
  <c r="D11" i="51"/>
  <c r="I32" i="49" l="1"/>
  <c r="I89" i="49"/>
  <c r="K89" i="49"/>
  <c r="H89" i="49"/>
  <c r="G158" i="49"/>
  <c r="G89" i="49"/>
  <c r="I159" i="49"/>
  <c r="K158" i="49"/>
  <c r="J89" i="49"/>
  <c r="K159" i="49"/>
  <c r="J60" i="49"/>
  <c r="I90" i="49"/>
  <c r="G61" i="49"/>
  <c r="I158" i="49"/>
  <c r="G159" i="49"/>
  <c r="H160" i="49"/>
  <c r="K90" i="49"/>
  <c r="G60" i="49"/>
  <c r="J158" i="49"/>
  <c r="H159" i="49"/>
  <c r="J91" i="49"/>
  <c r="H60" i="49"/>
  <c r="J32" i="49"/>
  <c r="G57" i="49"/>
  <c r="I160" i="49"/>
  <c r="K91" i="49"/>
  <c r="G157" i="49"/>
  <c r="G161" i="49" s="1"/>
  <c r="G84" i="49"/>
  <c r="K32" i="49"/>
  <c r="J160" i="49"/>
  <c r="G26" i="49"/>
  <c r="I60" i="49"/>
  <c r="J159" i="49"/>
  <c r="K160" i="49"/>
  <c r="G90" i="49"/>
  <c r="H90" i="49"/>
  <c r="K60" i="49"/>
  <c r="I61" i="49"/>
  <c r="G91" i="49"/>
  <c r="G82" i="49"/>
  <c r="H61" i="49"/>
  <c r="G32" i="49"/>
  <c r="G24" i="49"/>
  <c r="J61" i="49"/>
  <c r="J90" i="49"/>
  <c r="H91" i="49"/>
  <c r="G55" i="49"/>
  <c r="H32" i="49"/>
  <c r="K61" i="49"/>
  <c r="H158" i="49"/>
  <c r="G160" i="49"/>
  <c r="I91" i="49"/>
  <c r="H82" i="49"/>
  <c r="I82" i="49"/>
  <c r="J82" i="49"/>
  <c r="K82" i="49"/>
  <c r="H84" i="49"/>
  <c r="I84" i="49"/>
  <c r="J84" i="49"/>
  <c r="K84" i="49"/>
  <c r="H157" i="49"/>
  <c r="H161" i="49" s="1"/>
  <c r="I157" i="49"/>
  <c r="I161" i="49" s="1"/>
  <c r="J157" i="49"/>
  <c r="J161" i="49" s="1"/>
  <c r="K157" i="49"/>
  <c r="K161" i="49" s="1"/>
  <c r="H55" i="49"/>
  <c r="I55" i="49"/>
  <c r="J55" i="49"/>
  <c r="K55" i="49"/>
  <c r="H57" i="49"/>
  <c r="I57" i="49"/>
  <c r="J57" i="49"/>
  <c r="K57" i="49"/>
  <c r="G30" i="49"/>
  <c r="H30" i="49"/>
  <c r="I30" i="49"/>
  <c r="J30" i="49"/>
  <c r="K30" i="49"/>
  <c r="H24" i="49"/>
  <c r="I24" i="49"/>
  <c r="J24" i="49"/>
  <c r="K24" i="49"/>
  <c r="H26" i="49"/>
  <c r="I26" i="49"/>
  <c r="J26" i="49"/>
  <c r="K26" i="49"/>
  <c r="I33" i="49" l="1"/>
  <c r="H33" i="49"/>
  <c r="G162" i="49"/>
  <c r="G92" i="49"/>
  <c r="M10" i="51" s="1"/>
  <c r="J33" i="49"/>
  <c r="J34" i="49" s="1"/>
  <c r="G33" i="49"/>
  <c r="M8" i="51" s="1"/>
  <c r="K62" i="49"/>
  <c r="Q9" i="51" s="1"/>
  <c r="J62" i="49"/>
  <c r="P9" i="51" s="1"/>
  <c r="I62" i="49"/>
  <c r="O9" i="51" s="1"/>
  <c r="K33" i="49"/>
  <c r="Q8" i="51" s="1"/>
  <c r="H92" i="49"/>
  <c r="H93" i="49" s="1"/>
  <c r="J162" i="49"/>
  <c r="K162" i="49"/>
  <c r="H62" i="49"/>
  <c r="N9" i="51" s="1"/>
  <c r="G62" i="49"/>
  <c r="M9" i="51" s="1"/>
  <c r="I162" i="49"/>
  <c r="O8" i="51"/>
  <c r="K92" i="49"/>
  <c r="Q10" i="51" s="1"/>
  <c r="N8" i="51"/>
  <c r="J92" i="49"/>
  <c r="J93" i="49" s="1"/>
  <c r="I92" i="49"/>
  <c r="O10" i="51" s="1"/>
  <c r="M12" i="51" a="1"/>
  <c r="M12" i="51" s="1"/>
  <c r="H162" i="49"/>
  <c r="P8" i="51" l="1"/>
  <c r="G93" i="49"/>
  <c r="G34" i="49"/>
  <c r="E8" i="51" s="1"/>
  <c r="E12" i="51" a="1"/>
  <c r="E12" i="51" s="1"/>
  <c r="K63" i="49"/>
  <c r="I63" i="49"/>
  <c r="H63" i="49"/>
  <c r="K34" i="49"/>
  <c r="J63" i="49"/>
  <c r="K93" i="49"/>
  <c r="N10" i="51"/>
  <c r="G63" i="49"/>
  <c r="I93" i="49"/>
  <c r="I34" i="49"/>
  <c r="P10" i="51"/>
  <c r="H34" i="49"/>
  <c r="E10" i="51" l="1" a="1"/>
  <c r="E10" i="51" s="1"/>
  <c r="E9" i="51" a="1"/>
  <c r="E9" i="51" s="1"/>
  <c r="D49" i="51"/>
  <c r="D15" i="51"/>
  <c r="L5" i="51"/>
  <c r="D5" i="51"/>
  <c r="A22" i="55"/>
  <c r="A23" i="55"/>
  <c r="A22" i="74"/>
  <c r="A23" i="74"/>
  <c r="G119" i="49"/>
  <c r="J119" i="49"/>
  <c r="K119" i="49"/>
  <c r="H120" i="49"/>
  <c r="I120" i="49"/>
  <c r="J120" i="49"/>
  <c r="K120" i="49"/>
  <c r="H119" i="49"/>
  <c r="I119" i="49"/>
  <c r="G120" i="49"/>
  <c r="U109" i="68"/>
  <c r="R109" i="68"/>
  <c r="P109" i="68"/>
  <c r="T108" i="68"/>
  <c r="S108" i="68"/>
  <c r="R108" i="68"/>
  <c r="U103" i="68"/>
  <c r="U123" i="68" s="1"/>
  <c r="T103" i="68"/>
  <c r="T123" i="68" s="1"/>
  <c r="S103" i="68"/>
  <c r="S123" i="68" s="1"/>
  <c r="R103" i="68"/>
  <c r="R123" i="68" s="1"/>
  <c r="Q103" i="68"/>
  <c r="Q123" i="68" s="1"/>
  <c r="T109" i="68"/>
  <c r="S109" i="68"/>
  <c r="Q109" i="68"/>
  <c r="U128" i="68"/>
  <c r="U108" i="68"/>
  <c r="T128" i="68"/>
  <c r="S128" i="68"/>
  <c r="R128" i="68"/>
  <c r="Q128" i="68"/>
  <c r="E228" i="74"/>
  <c r="F228" i="74"/>
  <c r="E229" i="74"/>
  <c r="F229" i="74"/>
  <c r="D229" i="74"/>
  <c r="D287" i="67" s="1"/>
  <c r="D228" i="74"/>
  <c r="E230" i="74"/>
  <c r="F230" i="74"/>
  <c r="D230" i="74"/>
  <c r="D7" i="68"/>
  <c r="D8" i="68"/>
  <c r="D6" i="68"/>
  <c r="D89" i="59"/>
  <c r="D70" i="59"/>
  <c r="D74" i="59"/>
  <c r="D75" i="59"/>
  <c r="D72" i="59"/>
  <c r="J123" i="49" l="1"/>
  <c r="D286" i="67"/>
  <c r="D288" i="67"/>
  <c r="G24" i="68" s="1"/>
  <c r="H24" i="68" s="1"/>
  <c r="H123" i="49"/>
  <c r="N11" i="51" s="1"/>
  <c r="Q108" i="68"/>
  <c r="M24" i="68" l="1"/>
  <c r="I24" i="68"/>
  <c r="J24" i="68" s="1"/>
  <c r="K24" i="68"/>
  <c r="E24" i="68"/>
  <c r="F24" i="68" s="1"/>
  <c r="P11" i="51"/>
  <c r="G123" i="49"/>
  <c r="M11" i="51" s="1"/>
  <c r="K123" i="49"/>
  <c r="Q11" i="51" s="1"/>
  <c r="I123" i="49"/>
  <c r="O11" i="51" s="1"/>
  <c r="G14" i="59"/>
  <c r="G15" i="59"/>
  <c r="G16" i="59"/>
  <c r="G17" i="59"/>
  <c r="G18" i="59"/>
  <c r="G19" i="59"/>
  <c r="G20" i="59"/>
  <c r="G21" i="59"/>
  <c r="G13" i="59"/>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10" i="67"/>
  <c r="D71" i="59"/>
  <c r="K90" i="95"/>
  <c r="K91" i="95" s="1"/>
  <c r="G23" i="68" s="1"/>
  <c r="H23" i="68" s="1"/>
  <c r="K90" i="97"/>
  <c r="K91" i="97" s="1"/>
  <c r="E12" i="55"/>
  <c r="E11" i="55"/>
  <c r="L10" i="51"/>
  <c r="D10" i="51"/>
  <c r="L9" i="51"/>
  <c r="D9" i="51"/>
  <c r="L8" i="51"/>
  <c r="D8" i="51"/>
  <c r="H42" i="72"/>
  <c r="G42" i="72"/>
  <c r="F42" i="72"/>
  <c r="E42" i="72"/>
  <c r="D42" i="72"/>
  <c r="C42" i="72"/>
  <c r="C8" i="72"/>
  <c r="C2" i="72"/>
  <c r="C2" i="71"/>
  <c r="D100" i="74"/>
  <c r="D109" i="74"/>
  <c r="D108" i="74"/>
  <c r="D107" i="74"/>
  <c r="D106" i="74"/>
  <c r="D105" i="74"/>
  <c r="D104" i="74"/>
  <c r="D103" i="74"/>
  <c r="D102" i="74"/>
  <c r="D101" i="74"/>
  <c r="O45" i="74"/>
  <c r="D212" i="67" s="1"/>
  <c r="O46" i="74"/>
  <c r="D213" i="67" s="1"/>
  <c r="O47" i="74"/>
  <c r="O48" i="74"/>
  <c r="O49" i="74"/>
  <c r="O44" i="74"/>
  <c r="F79" i="59" l="1"/>
  <c r="K79" i="59" s="1"/>
  <c r="F81" i="59"/>
  <c r="K81" i="59" s="1"/>
  <c r="F82" i="59"/>
  <c r="K82" i="59" s="1"/>
  <c r="F80" i="59"/>
  <c r="K80" i="59" s="1"/>
  <c r="F83" i="59"/>
  <c r="K83" i="59" s="1"/>
  <c r="S122" i="93"/>
  <c r="F33" i="98" s="1"/>
  <c r="P122" i="93"/>
  <c r="F33" i="97" s="1"/>
  <c r="P121" i="93"/>
  <c r="F32" i="97" s="1"/>
  <c r="I119" i="93"/>
  <c r="F120" i="93"/>
  <c r="E31" i="59" s="1"/>
  <c r="L120" i="93"/>
  <c r="E31" i="96" s="1"/>
  <c r="S121" i="93"/>
  <c r="F32" i="98" s="1"/>
  <c r="P120" i="93"/>
  <c r="F31" i="97" s="1"/>
  <c r="F119" i="93"/>
  <c r="L119" i="93"/>
  <c r="I120" i="93"/>
  <c r="E31" i="95" s="1"/>
  <c r="S120" i="93"/>
  <c r="F31" i="98" s="1"/>
  <c r="P119" i="93"/>
  <c r="O122" i="93"/>
  <c r="E33" i="97" s="1"/>
  <c r="F121" i="93"/>
  <c r="E32" i="59" s="1"/>
  <c r="S119" i="93"/>
  <c r="R122" i="93"/>
  <c r="E33" i="98" s="1"/>
  <c r="O121" i="93"/>
  <c r="E32" i="97" s="1"/>
  <c r="I122" i="93"/>
  <c r="E33" i="95" s="1"/>
  <c r="R121" i="93"/>
  <c r="E32" i="98" s="1"/>
  <c r="R120" i="93"/>
  <c r="E31" i="98" s="1"/>
  <c r="O120" i="93"/>
  <c r="E31" i="97" s="1"/>
  <c r="I121" i="93"/>
  <c r="E32" i="95" s="1"/>
  <c r="F122" i="93"/>
  <c r="E33" i="59" s="1"/>
  <c r="L122" i="93"/>
  <c r="E33" i="96" s="1"/>
  <c r="R119" i="93"/>
  <c r="O119" i="93"/>
  <c r="L121" i="93"/>
  <c r="E32" i="96" s="1"/>
  <c r="K90" i="98"/>
  <c r="K91" i="98" s="1"/>
  <c r="D91" i="98"/>
  <c r="D73" i="98"/>
  <c r="K90" i="96"/>
  <c r="K91" i="96" s="1"/>
  <c r="I23" i="68" s="1"/>
  <c r="J23" i="68" s="1"/>
  <c r="D73" i="96"/>
  <c r="D91" i="96"/>
  <c r="D91" i="97"/>
  <c r="D73" i="97"/>
  <c r="I64" i="91"/>
  <c r="K64" i="91"/>
  <c r="G64" i="91"/>
  <c r="E64" i="91"/>
  <c r="I18" i="98"/>
  <c r="I16" i="98"/>
  <c r="F20" i="98"/>
  <c r="E19" i="98"/>
  <c r="H16" i="98"/>
  <c r="F14" i="98"/>
  <c r="F19" i="98"/>
  <c r="E15" i="98"/>
  <c r="E16" i="98"/>
  <c r="I13" i="98"/>
  <c r="I20" i="98"/>
  <c r="I21" i="98"/>
  <c r="H18" i="98"/>
  <c r="H15" i="98"/>
  <c r="E20" i="98"/>
  <c r="E14" i="98"/>
  <c r="I14" i="98"/>
  <c r="F16" i="98"/>
  <c r="I15" i="98"/>
  <c r="H17" i="98"/>
  <c r="H14" i="98"/>
  <c r="E17" i="98"/>
  <c r="F21" i="98"/>
  <c r="F18" i="98"/>
  <c r="I17" i="98"/>
  <c r="F15" i="98"/>
  <c r="E18" i="98"/>
  <c r="H20" i="98"/>
  <c r="F13" i="98"/>
  <c r="I19" i="98"/>
  <c r="F17" i="98"/>
  <c r="H19" i="98"/>
  <c r="I16" i="97"/>
  <c r="I18" i="97"/>
  <c r="E15" i="97"/>
  <c r="H15" i="97"/>
  <c r="I20" i="97"/>
  <c r="I13" i="97"/>
  <c r="I17" i="97"/>
  <c r="H20" i="97"/>
  <c r="E17" i="97"/>
  <c r="H17" i="97"/>
  <c r="H16" i="97"/>
  <c r="E14" i="97"/>
  <c r="F18" i="97"/>
  <c r="F15" i="97"/>
  <c r="E19" i="97"/>
  <c r="H19" i="97"/>
  <c r="H18" i="97"/>
  <c r="E20" i="97"/>
  <c r="I19" i="97"/>
  <c r="F17" i="97"/>
  <c r="F13" i="97"/>
  <c r="I21" i="97"/>
  <c r="F20" i="97"/>
  <c r="E16" i="97"/>
  <c r="I14" i="97"/>
  <c r="F14" i="97"/>
  <c r="I15" i="97"/>
  <c r="E18" i="97"/>
  <c r="F21" i="97"/>
  <c r="F19" i="97"/>
  <c r="H14" i="97"/>
  <c r="F16" i="97"/>
  <c r="F13" i="96"/>
  <c r="F18" i="96"/>
  <c r="I15" i="96"/>
  <c r="I17" i="96"/>
  <c r="F16" i="96"/>
  <c r="I19" i="96"/>
  <c r="F14" i="96"/>
  <c r="F21" i="96"/>
  <c r="F19" i="96"/>
  <c r="E15" i="96"/>
  <c r="H17" i="96"/>
  <c r="I16" i="96"/>
  <c r="I21" i="96"/>
  <c r="H16" i="96"/>
  <c r="I18" i="96"/>
  <c r="H15" i="96"/>
  <c r="E17" i="96"/>
  <c r="I13" i="96"/>
  <c r="F20" i="96"/>
  <c r="H19" i="96"/>
  <c r="H18" i="96"/>
  <c r="E14" i="96"/>
  <c r="E16" i="96"/>
  <c r="E18" i="96"/>
  <c r="F15" i="96"/>
  <c r="E19" i="96"/>
  <c r="E20" i="96"/>
  <c r="H20" i="96"/>
  <c r="H14" i="96"/>
  <c r="F17" i="96"/>
  <c r="I14" i="96"/>
  <c r="I20" i="96"/>
  <c r="D73" i="95"/>
  <c r="D91" i="95"/>
  <c r="R38" i="93"/>
  <c r="I18" i="93"/>
  <c r="O15" i="93"/>
  <c r="L25" i="93"/>
  <c r="F35" i="93"/>
  <c r="O35" i="93"/>
  <c r="R45" i="93"/>
  <c r="M55" i="93"/>
  <c r="O26" i="93"/>
  <c r="G56" i="93"/>
  <c r="I17" i="93"/>
  <c r="L38" i="93"/>
  <c r="O19" i="93"/>
  <c r="L45" i="93"/>
  <c r="F55" i="93"/>
  <c r="O55" i="93"/>
  <c r="F24" i="93"/>
  <c r="I23" i="93"/>
  <c r="R26" i="93"/>
  <c r="I56" i="93"/>
  <c r="I24" i="93"/>
  <c r="I47" i="93"/>
  <c r="L57" i="93"/>
  <c r="F28" i="93"/>
  <c r="F36" i="93"/>
  <c r="O44" i="93"/>
  <c r="O58" i="93"/>
  <c r="L16" i="93"/>
  <c r="P16" i="93"/>
  <c r="I46" i="93"/>
  <c r="P13" i="93"/>
  <c r="S16" i="93"/>
  <c r="O27" i="93"/>
  <c r="I37" i="93"/>
  <c r="R37" i="93"/>
  <c r="G57" i="93"/>
  <c r="P57" i="93"/>
  <c r="O56" i="93"/>
  <c r="I14" i="93"/>
  <c r="F26" i="93"/>
  <c r="O34" i="93"/>
  <c r="R44" i="93"/>
  <c r="I16" i="93"/>
  <c r="P19" i="93"/>
  <c r="O25" i="93"/>
  <c r="I35" i="93"/>
  <c r="R35" i="93"/>
  <c r="G55" i="93"/>
  <c r="P55" i="93"/>
  <c r="O38" i="93"/>
  <c r="L44" i="93"/>
  <c r="J56" i="93"/>
  <c r="I39" i="93"/>
  <c r="R39" i="93"/>
  <c r="L49" i="93"/>
  <c r="F59" i="93"/>
  <c r="O59" i="93"/>
  <c r="P58" i="93"/>
  <c r="O16" i="93"/>
  <c r="R24" i="93"/>
  <c r="O13" i="93"/>
  <c r="R16" i="93"/>
  <c r="L47" i="93"/>
  <c r="F57" i="93"/>
  <c r="O57" i="93"/>
  <c r="I36" i="93"/>
  <c r="P56" i="93"/>
  <c r="O23" i="93"/>
  <c r="E30" i="96"/>
  <c r="F23" i="93"/>
  <c r="R14" i="93"/>
  <c r="L37" i="93"/>
  <c r="O47" i="93"/>
  <c r="J57" i="93"/>
  <c r="S57" i="93"/>
  <c r="L17" i="93"/>
  <c r="R34" i="93"/>
  <c r="O46" i="93"/>
  <c r="L58" i="93"/>
  <c r="L27" i="93"/>
  <c r="G59" i="93"/>
  <c r="P59" i="93"/>
  <c r="O36" i="93"/>
  <c r="F58" i="93"/>
  <c r="S54" i="93"/>
  <c r="R54" i="93"/>
  <c r="E30" i="59"/>
  <c r="O29" i="93"/>
  <c r="I38" i="93"/>
  <c r="R46" i="93"/>
  <c r="F27" i="93"/>
  <c r="I28" i="93"/>
  <c r="L39" i="93"/>
  <c r="F49" i="93"/>
  <c r="O49" i="93"/>
  <c r="I59" i="93"/>
  <c r="R59" i="93"/>
  <c r="R13" i="93"/>
  <c r="R36" i="93"/>
  <c r="R58" i="93"/>
  <c r="L19" i="93"/>
  <c r="R28" i="93"/>
  <c r="I58" i="93"/>
  <c r="F30" i="96"/>
  <c r="S14" i="93"/>
  <c r="R27" i="93"/>
  <c r="F47" i="93"/>
  <c r="I57" i="93"/>
  <c r="R57" i="93"/>
  <c r="I25" i="93"/>
  <c r="F38" i="93"/>
  <c r="M58" i="93"/>
  <c r="P17" i="93"/>
  <c r="I53" i="93"/>
  <c r="R53" i="93"/>
  <c r="I19" i="93"/>
  <c r="G58" i="93"/>
  <c r="I29" i="93"/>
  <c r="R29" i="93"/>
  <c r="J59" i="93"/>
  <c r="S59" i="93"/>
  <c r="S13" i="93"/>
  <c r="S58" i="93"/>
  <c r="F48" i="93"/>
  <c r="J58" i="93"/>
  <c r="F25" i="93"/>
  <c r="F39" i="93"/>
  <c r="O39" i="93"/>
  <c r="I49" i="93"/>
  <c r="R49" i="93"/>
  <c r="L59" i="93"/>
  <c r="O18" i="93"/>
  <c r="L28" i="93"/>
  <c r="I34" i="93"/>
  <c r="F46" i="93"/>
  <c r="P54" i="93"/>
  <c r="O17" i="93"/>
  <c r="R23" i="93"/>
  <c r="L33" i="93"/>
  <c r="F43" i="93"/>
  <c r="O43" i="93"/>
  <c r="J53" i="93"/>
  <c r="S53" i="93"/>
  <c r="R17" i="93"/>
  <c r="J54" i="93"/>
  <c r="M56" i="93"/>
  <c r="L26" i="93"/>
  <c r="L34" i="93"/>
  <c r="E30" i="98"/>
  <c r="L14" i="93"/>
  <c r="O33" i="93"/>
  <c r="I43" i="93"/>
  <c r="R43" i="93"/>
  <c r="M53" i="93"/>
  <c r="I13" i="93"/>
  <c r="R15" i="93"/>
  <c r="L46" i="93"/>
  <c r="F30" i="97"/>
  <c r="P14" i="93"/>
  <c r="F34" i="93"/>
  <c r="M54" i="93"/>
  <c r="I26" i="93"/>
  <c r="M59" i="93"/>
  <c r="P18" i="93"/>
  <c r="R48" i="93"/>
  <c r="O54" i="93"/>
  <c r="S18" i="93"/>
  <c r="F45" i="93"/>
  <c r="I55" i="93"/>
  <c r="R55" i="93"/>
  <c r="S17" i="93"/>
  <c r="F44" i="93"/>
  <c r="I54" i="93"/>
  <c r="L13" i="93"/>
  <c r="F30" i="98"/>
  <c r="L23" i="93"/>
  <c r="F33" i="93"/>
  <c r="L53" i="93"/>
  <c r="S15" i="93"/>
  <c r="E30" i="95"/>
  <c r="E30" i="97"/>
  <c r="O14" i="93"/>
  <c r="I44" i="93"/>
  <c r="L54" i="93"/>
  <c r="L18" i="93"/>
  <c r="G53" i="93"/>
  <c r="P53" i="93"/>
  <c r="I15" i="93"/>
  <c r="R19" i="93"/>
  <c r="O24" i="93"/>
  <c r="L36" i="93"/>
  <c r="I48" i="93"/>
  <c r="G54" i="93"/>
  <c r="R56" i="93"/>
  <c r="R18" i="93"/>
  <c r="R25" i="93"/>
  <c r="L35" i="93"/>
  <c r="O45" i="93"/>
  <c r="J55" i="93"/>
  <c r="S55" i="93"/>
  <c r="L48" i="93"/>
  <c r="L56" i="93"/>
  <c r="R47" i="93"/>
  <c r="M57" i="93"/>
  <c r="L24" i="93"/>
  <c r="F29" i="93"/>
  <c r="L15" i="93"/>
  <c r="O28" i="93"/>
  <c r="P15" i="93"/>
  <c r="I45" i="93"/>
  <c r="L55" i="93"/>
  <c r="F56" i="93"/>
  <c r="I27" i="93"/>
  <c r="O48" i="93"/>
  <c r="L29" i="93"/>
  <c r="I33" i="93"/>
  <c r="R33" i="93"/>
  <c r="L43" i="93"/>
  <c r="F53" i="93"/>
  <c r="O53" i="93"/>
  <c r="S19" i="93"/>
  <c r="F54" i="93"/>
  <c r="S56" i="93"/>
  <c r="F37" i="93"/>
  <c r="O37" i="93"/>
  <c r="F29" i="96"/>
  <c r="F118" i="93"/>
  <c r="I118" i="93"/>
  <c r="E29" i="95" s="1"/>
  <c r="E34" i="95" s="1"/>
  <c r="G90" i="68" s="1"/>
  <c r="H90" i="68" s="1"/>
  <c r="S118" i="93"/>
  <c r="F29" i="98" s="1"/>
  <c r="F34" i="98" s="1"/>
  <c r="P118" i="93"/>
  <c r="F29" i="97" s="1"/>
  <c r="R118" i="93"/>
  <c r="E29" i="98" s="1"/>
  <c r="O118" i="93"/>
  <c r="E29" i="97" s="1"/>
  <c r="L118" i="93"/>
  <c r="E29" i="96" s="1"/>
  <c r="S103" i="93"/>
  <c r="S106" i="93"/>
  <c r="P103" i="93"/>
  <c r="P106" i="93"/>
  <c r="M103" i="93"/>
  <c r="M106" i="93"/>
  <c r="J103" i="93"/>
  <c r="J106" i="93"/>
  <c r="G103" i="93"/>
  <c r="G106" i="93"/>
  <c r="L100" i="93"/>
  <c r="S91" i="93"/>
  <c r="S94" i="93"/>
  <c r="P91" i="93"/>
  <c r="P94" i="93"/>
  <c r="M91" i="93"/>
  <c r="M94" i="93"/>
  <c r="J91" i="93"/>
  <c r="J94" i="93"/>
  <c r="G91" i="93"/>
  <c r="G94" i="93"/>
  <c r="R90" i="93"/>
  <c r="I90" i="93"/>
  <c r="S82" i="93"/>
  <c r="S85" i="93"/>
  <c r="P82" i="93"/>
  <c r="P85" i="93"/>
  <c r="M82" i="93"/>
  <c r="M85" i="93"/>
  <c r="J82" i="93"/>
  <c r="J85" i="93"/>
  <c r="G82" i="93"/>
  <c r="G85" i="93"/>
  <c r="O80" i="93"/>
  <c r="F80" i="93"/>
  <c r="S73" i="93"/>
  <c r="S76" i="93"/>
  <c r="P73" i="93"/>
  <c r="P76" i="93"/>
  <c r="M73" i="93"/>
  <c r="M76" i="93"/>
  <c r="J73" i="93"/>
  <c r="R101" i="93"/>
  <c r="R104" i="93"/>
  <c r="O101" i="93"/>
  <c r="O104" i="93"/>
  <c r="L101" i="93"/>
  <c r="L104" i="93"/>
  <c r="I101" i="93"/>
  <c r="I104" i="93"/>
  <c r="F101" i="93"/>
  <c r="F104" i="93"/>
  <c r="S100" i="93"/>
  <c r="J100" i="93"/>
  <c r="R92" i="93"/>
  <c r="R95" i="93"/>
  <c r="O92" i="93"/>
  <c r="O95" i="93"/>
  <c r="L92" i="93"/>
  <c r="L95" i="93"/>
  <c r="I92" i="93"/>
  <c r="I95" i="93"/>
  <c r="F92" i="93"/>
  <c r="F95" i="93"/>
  <c r="P90" i="93"/>
  <c r="G90" i="93"/>
  <c r="R83" i="93"/>
  <c r="R86" i="93"/>
  <c r="O83" i="93"/>
  <c r="O86" i="93"/>
  <c r="L83" i="93"/>
  <c r="L86" i="93"/>
  <c r="I83" i="93"/>
  <c r="I86" i="93"/>
  <c r="F83" i="93"/>
  <c r="F86" i="93"/>
  <c r="M80" i="93"/>
  <c r="R71" i="93"/>
  <c r="R74" i="93"/>
  <c r="O71" i="93"/>
  <c r="O74" i="93"/>
  <c r="L71" i="93"/>
  <c r="L74" i="93"/>
  <c r="I71" i="93"/>
  <c r="I74" i="93"/>
  <c r="S101" i="93"/>
  <c r="S104" i="93"/>
  <c r="P101" i="93"/>
  <c r="P104" i="93"/>
  <c r="M101" i="93"/>
  <c r="M104" i="93"/>
  <c r="J101" i="93"/>
  <c r="J104" i="93"/>
  <c r="G101" i="93"/>
  <c r="G104" i="93"/>
  <c r="R100" i="93"/>
  <c r="I100" i="93"/>
  <c r="S92" i="93"/>
  <c r="S95" i="93"/>
  <c r="P92" i="93"/>
  <c r="P95" i="93"/>
  <c r="M92" i="93"/>
  <c r="M95" i="93"/>
  <c r="J92" i="93"/>
  <c r="J95" i="93"/>
  <c r="G92" i="93"/>
  <c r="G95" i="93"/>
  <c r="O90" i="93"/>
  <c r="F90" i="93"/>
  <c r="S83" i="93"/>
  <c r="S86" i="93"/>
  <c r="P83" i="93"/>
  <c r="P86" i="93"/>
  <c r="M83" i="93"/>
  <c r="M86" i="93"/>
  <c r="J83" i="93"/>
  <c r="J86" i="93"/>
  <c r="G83" i="93"/>
  <c r="G86" i="93"/>
  <c r="L80" i="93"/>
  <c r="S71" i="93"/>
  <c r="S74" i="93"/>
  <c r="P71" i="93"/>
  <c r="P74" i="93"/>
  <c r="M71" i="93"/>
  <c r="M74" i="93"/>
  <c r="R102" i="93"/>
  <c r="R105" i="93"/>
  <c r="O102" i="93"/>
  <c r="O105" i="93"/>
  <c r="L102" i="93"/>
  <c r="L105" i="93"/>
  <c r="I102" i="93"/>
  <c r="I105" i="93"/>
  <c r="F102" i="93"/>
  <c r="F105" i="93"/>
  <c r="P100" i="93"/>
  <c r="G100" i="93"/>
  <c r="R93" i="93"/>
  <c r="R96" i="93"/>
  <c r="O93" i="93"/>
  <c r="O96" i="93"/>
  <c r="L93" i="93"/>
  <c r="L96" i="93"/>
  <c r="I93" i="93"/>
  <c r="I96" i="93"/>
  <c r="F93" i="93"/>
  <c r="F96" i="93"/>
  <c r="M90" i="93"/>
  <c r="R81" i="93"/>
  <c r="R84" i="93"/>
  <c r="O81" i="93"/>
  <c r="O84" i="93"/>
  <c r="L81" i="93"/>
  <c r="L84" i="93"/>
  <c r="I81" i="93"/>
  <c r="I84" i="93"/>
  <c r="F81" i="93"/>
  <c r="F84" i="93"/>
  <c r="S80" i="93"/>
  <c r="J80" i="93"/>
  <c r="R72" i="93"/>
  <c r="R75" i="93"/>
  <c r="S102" i="93"/>
  <c r="E14" i="95"/>
  <c r="P102" i="93"/>
  <c r="M105" i="93"/>
  <c r="G102" i="93"/>
  <c r="F100" i="93"/>
  <c r="P93" i="93"/>
  <c r="M96" i="93"/>
  <c r="G93" i="93"/>
  <c r="S81" i="93"/>
  <c r="P84" i="93"/>
  <c r="J81" i="93"/>
  <c r="G84" i="93"/>
  <c r="S72" i="93"/>
  <c r="O73" i="93"/>
  <c r="L73" i="93"/>
  <c r="J72" i="93"/>
  <c r="J76" i="93"/>
  <c r="G76" i="93"/>
  <c r="L70" i="93"/>
  <c r="F73" i="93"/>
  <c r="O100" i="93"/>
  <c r="J96" i="93"/>
  <c r="M84" i="93"/>
  <c r="L72" i="93"/>
  <c r="O70" i="93"/>
  <c r="O91" i="93"/>
  <c r="O82" i="93"/>
  <c r="P72" i="93"/>
  <c r="I76" i="93"/>
  <c r="O103" i="93"/>
  <c r="L106" i="93"/>
  <c r="F103" i="93"/>
  <c r="R91" i="93"/>
  <c r="O94" i="93"/>
  <c r="I91" i="93"/>
  <c r="F94" i="93"/>
  <c r="R82" i="93"/>
  <c r="O85" i="93"/>
  <c r="I82" i="93"/>
  <c r="F85" i="93"/>
  <c r="R73" i="93"/>
  <c r="O75" i="93"/>
  <c r="L75" i="93"/>
  <c r="I73" i="93"/>
  <c r="G71" i="93"/>
  <c r="S70" i="93"/>
  <c r="J70" i="93"/>
  <c r="F74" i="93"/>
  <c r="M102" i="93"/>
  <c r="O72" i="93"/>
  <c r="G74" i="93"/>
  <c r="F91" i="93"/>
  <c r="G80" i="93"/>
  <c r="I72" i="93"/>
  <c r="F72" i="93"/>
  <c r="P105" i="93"/>
  <c r="J102" i="93"/>
  <c r="G105" i="93"/>
  <c r="S93" i="93"/>
  <c r="P96" i="93"/>
  <c r="J93" i="93"/>
  <c r="G96" i="93"/>
  <c r="S84" i="93"/>
  <c r="M81" i="93"/>
  <c r="J84" i="93"/>
  <c r="R80" i="93"/>
  <c r="S75" i="93"/>
  <c r="P75" i="93"/>
  <c r="M75" i="93"/>
  <c r="J74" i="93"/>
  <c r="G72" i="93"/>
  <c r="R70" i="93"/>
  <c r="I70" i="93"/>
  <c r="F75" i="93"/>
  <c r="J105" i="93"/>
  <c r="M93" i="93"/>
  <c r="P81" i="93"/>
  <c r="I80" i="93"/>
  <c r="J71" i="93"/>
  <c r="F71" i="93"/>
  <c r="R106" i="93"/>
  <c r="L103" i="93"/>
  <c r="I106" i="93"/>
  <c r="M100" i="93"/>
  <c r="L94" i="93"/>
  <c r="J90" i="93"/>
  <c r="F82" i="93"/>
  <c r="M72" i="93"/>
  <c r="G75" i="93"/>
  <c r="R103" i="93"/>
  <c r="O106" i="93"/>
  <c r="I103" i="93"/>
  <c r="F106" i="93"/>
  <c r="R94" i="93"/>
  <c r="L91" i="93"/>
  <c r="I94" i="93"/>
  <c r="S90" i="93"/>
  <c r="R85" i="93"/>
  <c r="L82" i="93"/>
  <c r="I85" i="93"/>
  <c r="P80" i="93"/>
  <c r="R76" i="93"/>
  <c r="O76" i="93"/>
  <c r="L76" i="93"/>
  <c r="I75" i="93"/>
  <c r="G73" i="93"/>
  <c r="P70" i="93"/>
  <c r="G70" i="93"/>
  <c r="S105" i="93"/>
  <c r="S96" i="93"/>
  <c r="L90" i="93"/>
  <c r="G81" i="93"/>
  <c r="J75" i="93"/>
  <c r="L85" i="93"/>
  <c r="M70" i="93"/>
  <c r="I13" i="95"/>
  <c r="I20" i="95"/>
  <c r="I14" i="95"/>
  <c r="F16" i="95"/>
  <c r="H14" i="95"/>
  <c r="F15" i="95"/>
  <c r="F18" i="95"/>
  <c r="I15" i="95"/>
  <c r="F14" i="95"/>
  <c r="E16" i="95"/>
  <c r="H20" i="95"/>
  <c r="F17" i="95"/>
  <c r="E18" i="95"/>
  <c r="E15" i="95"/>
  <c r="H15" i="95"/>
  <c r="I18" i="95"/>
  <c r="I17" i="95"/>
  <c r="I19" i="95"/>
  <c r="H18" i="95"/>
  <c r="E20" i="95"/>
  <c r="E17" i="95"/>
  <c r="I16" i="95"/>
  <c r="H17" i="95"/>
  <c r="H16" i="95"/>
  <c r="H19" i="95"/>
  <c r="F21" i="95"/>
  <c r="E19" i="95"/>
  <c r="F20" i="95"/>
  <c r="F13" i="95"/>
  <c r="F19" i="95"/>
  <c r="I21" i="95"/>
  <c r="H14" i="59"/>
  <c r="H17" i="59"/>
  <c r="E17" i="59"/>
  <c r="H20" i="59"/>
  <c r="E14" i="59"/>
  <c r="E18" i="59"/>
  <c r="H15" i="59"/>
  <c r="E15" i="59"/>
  <c r="E19" i="59"/>
  <c r="E20" i="59"/>
  <c r="H18" i="59"/>
  <c r="H16" i="59"/>
  <c r="E16" i="59"/>
  <c r="H19" i="59"/>
  <c r="P118" i="94"/>
  <c r="P123" i="94" s="1"/>
  <c r="O118" i="94"/>
  <c r="I73" i="91" s="1"/>
  <c r="I118" i="94"/>
  <c r="E73" i="91" s="1"/>
  <c r="S118" i="94"/>
  <c r="S123" i="94" s="1"/>
  <c r="R118" i="94"/>
  <c r="K73" i="91" s="1"/>
  <c r="F118" i="94"/>
  <c r="F123" i="94" s="1"/>
  <c r="M118" i="94"/>
  <c r="M123" i="94" s="1"/>
  <c r="L118" i="94"/>
  <c r="G73" i="91" s="1"/>
  <c r="F19" i="93"/>
  <c r="F14" i="93"/>
  <c r="F13" i="93"/>
  <c r="F15" i="93"/>
  <c r="F18" i="93"/>
  <c r="F16" i="93"/>
  <c r="F17" i="93"/>
  <c r="G59" i="94"/>
  <c r="I58" i="94"/>
  <c r="G57" i="94"/>
  <c r="S55" i="94"/>
  <c r="O54" i="94"/>
  <c r="F54" i="94"/>
  <c r="L48" i="94"/>
  <c r="F44" i="94"/>
  <c r="L39" i="94"/>
  <c r="L38" i="94"/>
  <c r="L19" i="94"/>
  <c r="I18" i="94"/>
  <c r="L16" i="94"/>
  <c r="L15" i="94"/>
  <c r="L14" i="94"/>
  <c r="I14" i="94"/>
  <c r="S59" i="94"/>
  <c r="S58" i="94"/>
  <c r="J58" i="94"/>
  <c r="R56" i="94"/>
  <c r="P55" i="94"/>
  <c r="P54" i="94"/>
  <c r="R53" i="94"/>
  <c r="R44" i="94"/>
  <c r="F36" i="94"/>
  <c r="I19" i="94"/>
  <c r="O59" i="94"/>
  <c r="R58" i="94"/>
  <c r="P57" i="94"/>
  <c r="P56" i="94"/>
  <c r="M55" i="94"/>
  <c r="M54" i="94"/>
  <c r="L53" i="94"/>
  <c r="F48" i="94"/>
  <c r="I43" i="94"/>
  <c r="R35" i="94"/>
  <c r="S19" i="94"/>
  <c r="S18" i="94"/>
  <c r="F18" i="94"/>
  <c r="S16" i="94"/>
  <c r="R14" i="94"/>
  <c r="L59" i="94"/>
  <c r="O58" i="94"/>
  <c r="O57" i="94"/>
  <c r="I56" i="94"/>
  <c r="F55" i="94"/>
  <c r="L54" i="94"/>
  <c r="L44" i="94"/>
  <c r="R38" i="94"/>
  <c r="R37" i="94"/>
  <c r="R36" i="94"/>
  <c r="R19" i="94"/>
  <c r="R18" i="94"/>
  <c r="R16" i="94"/>
  <c r="P14" i="94"/>
  <c r="F14" i="94"/>
  <c r="I38" i="94"/>
  <c r="R49" i="94"/>
  <c r="M59" i="94"/>
  <c r="P58" i="94"/>
  <c r="L57" i="94"/>
  <c r="J56" i="94"/>
  <c r="G55" i="94"/>
  <c r="J54" i="94"/>
  <c r="R48" i="94"/>
  <c r="I44" i="94"/>
  <c r="O35" i="94"/>
  <c r="P19" i="94"/>
  <c r="P18" i="94"/>
  <c r="S17" i="94"/>
  <c r="O16" i="94"/>
  <c r="S15" i="94"/>
  <c r="O14" i="94"/>
  <c r="J59" i="94"/>
  <c r="L58" i="94"/>
  <c r="F57" i="94"/>
  <c r="F56" i="94"/>
  <c r="R54" i="94"/>
  <c r="G54" i="94"/>
  <c r="O39" i="94"/>
  <c r="O19" i="94"/>
  <c r="O18" i="94"/>
  <c r="P17" i="94"/>
  <c r="O15" i="94"/>
  <c r="I13" i="94"/>
  <c r="S14" i="94"/>
  <c r="O13" i="94"/>
  <c r="O37" i="94"/>
  <c r="S13" i="94"/>
  <c r="J53" i="94"/>
  <c r="I15" i="94"/>
  <c r="R47" i="94"/>
  <c r="I57" i="94"/>
  <c r="R15" i="94"/>
  <c r="I47" i="94"/>
  <c r="P13" i="94"/>
  <c r="F24" i="94"/>
  <c r="L26" i="94"/>
  <c r="R28" i="94"/>
  <c r="L34" i="94"/>
  <c r="G53" i="94"/>
  <c r="F23" i="94"/>
  <c r="L25" i="94"/>
  <c r="R27" i="94"/>
  <c r="F33" i="94"/>
  <c r="L35" i="94"/>
  <c r="R39" i="94"/>
  <c r="I54" i="94"/>
  <c r="R57" i="94"/>
  <c r="R43" i="94"/>
  <c r="L47" i="94"/>
  <c r="S53" i="94"/>
  <c r="R59" i="94"/>
  <c r="J55" i="94"/>
  <c r="F49" i="94"/>
  <c r="L13" i="94"/>
  <c r="O29" i="94"/>
  <c r="I26" i="94"/>
  <c r="F59" i="94"/>
  <c r="F16" i="94"/>
  <c r="F15" i="94"/>
  <c r="G58" i="94"/>
  <c r="F38" i="94"/>
  <c r="R55" i="94"/>
  <c r="P15" i="94"/>
  <c r="M57" i="94"/>
  <c r="F46" i="94"/>
  <c r="L18" i="94"/>
  <c r="F17" i="94"/>
  <c r="L24" i="94"/>
  <c r="R26" i="94"/>
  <c r="I29" i="94"/>
  <c r="R34" i="94"/>
  <c r="O44" i="94"/>
  <c r="I48" i="94"/>
  <c r="L23" i="94"/>
  <c r="R25" i="94"/>
  <c r="I28" i="94"/>
  <c r="L33" i="94"/>
  <c r="S54" i="94"/>
  <c r="M58" i="94"/>
  <c r="F39" i="94"/>
  <c r="I59" i="94"/>
  <c r="F37" i="94"/>
  <c r="I36" i="94"/>
  <c r="L17" i="94"/>
  <c r="I35" i="94"/>
  <c r="R33" i="94"/>
  <c r="F45" i="94"/>
  <c r="I39" i="94"/>
  <c r="I16" i="94"/>
  <c r="L37" i="94"/>
  <c r="I45" i="94"/>
  <c r="O55" i="94"/>
  <c r="F19" i="94"/>
  <c r="I49" i="94"/>
  <c r="L36" i="94"/>
  <c r="M56" i="94"/>
  <c r="L56" i="94"/>
  <c r="F13" i="94"/>
  <c r="R17" i="94"/>
  <c r="I25" i="94"/>
  <c r="O27" i="94"/>
  <c r="I33" i="94"/>
  <c r="R45" i="94"/>
  <c r="L49" i="94"/>
  <c r="I17" i="94"/>
  <c r="I24" i="94"/>
  <c r="O26" i="94"/>
  <c r="F29" i="94"/>
  <c r="I34" i="94"/>
  <c r="G56" i="94"/>
  <c r="P59" i="94"/>
  <c r="R24" i="94"/>
  <c r="O28" i="94"/>
  <c r="S57" i="94"/>
  <c r="L46" i="94"/>
  <c r="S56" i="94"/>
  <c r="L45" i="94"/>
  <c r="O45" i="94"/>
  <c r="I37" i="94"/>
  <c r="O43" i="94"/>
  <c r="I55" i="94"/>
  <c r="O49" i="94"/>
  <c r="I23" i="94"/>
  <c r="O25" i="94"/>
  <c r="F28" i="94"/>
  <c r="O33" i="94"/>
  <c r="O36" i="94"/>
  <c r="F43" i="94"/>
  <c r="O17" i="94"/>
  <c r="O24" i="94"/>
  <c r="F27" i="94"/>
  <c r="L29" i="94"/>
  <c r="O34" i="94"/>
  <c r="O38" i="94"/>
  <c r="F53" i="94"/>
  <c r="O56" i="94"/>
  <c r="I46" i="94"/>
  <c r="I53" i="94"/>
  <c r="I27" i="94"/>
  <c r="O53" i="94"/>
  <c r="L55" i="94"/>
  <c r="O47" i="94"/>
  <c r="O46" i="94"/>
  <c r="P16" i="94"/>
  <c r="R46" i="94"/>
  <c r="F58" i="94"/>
  <c r="R13" i="94"/>
  <c r="O23" i="94"/>
  <c r="F26" i="94"/>
  <c r="L28" i="94"/>
  <c r="F34" i="94"/>
  <c r="L43" i="94"/>
  <c r="F47" i="94"/>
  <c r="M53" i="94"/>
  <c r="F25" i="94"/>
  <c r="L27" i="94"/>
  <c r="R29" i="94"/>
  <c r="F35" i="94"/>
  <c r="P53" i="94"/>
  <c r="J57" i="94"/>
  <c r="R23" i="94"/>
  <c r="O48" i="94"/>
  <c r="F94" i="94"/>
  <c r="O93" i="94"/>
  <c r="I93" i="94"/>
  <c r="R92" i="94"/>
  <c r="L92" i="94"/>
  <c r="F92" i="94"/>
  <c r="O91" i="94"/>
  <c r="I91" i="94"/>
  <c r="R90" i="94"/>
  <c r="L90" i="94"/>
  <c r="F90" i="94"/>
  <c r="R86" i="94"/>
  <c r="L86" i="94"/>
  <c r="F86" i="94"/>
  <c r="O85" i="94"/>
  <c r="I85" i="94"/>
  <c r="R84" i="94"/>
  <c r="L84" i="94"/>
  <c r="F84" i="94"/>
  <c r="O83" i="94"/>
  <c r="I83" i="94"/>
  <c r="R82" i="94"/>
  <c r="L82" i="94"/>
  <c r="F82" i="94"/>
  <c r="O81" i="94"/>
  <c r="I81" i="94"/>
  <c r="R80" i="94"/>
  <c r="L80" i="94"/>
  <c r="F80" i="94"/>
  <c r="R76" i="94"/>
  <c r="L76" i="94"/>
  <c r="F76" i="94"/>
  <c r="O75" i="94"/>
  <c r="I75" i="94"/>
  <c r="R74" i="94"/>
  <c r="L74" i="94"/>
  <c r="F74" i="94"/>
  <c r="O73" i="94"/>
  <c r="I73" i="94"/>
  <c r="R72" i="94"/>
  <c r="P106" i="94"/>
  <c r="J106" i="94"/>
  <c r="S105" i="94"/>
  <c r="M105" i="94"/>
  <c r="G105" i="94"/>
  <c r="P104" i="94"/>
  <c r="J104" i="94"/>
  <c r="S103" i="94"/>
  <c r="M103" i="94"/>
  <c r="G103" i="94"/>
  <c r="P102" i="94"/>
  <c r="J102" i="94"/>
  <c r="S101" i="94"/>
  <c r="M101" i="94"/>
  <c r="G101" i="94"/>
  <c r="P100" i="94"/>
  <c r="J100" i="94"/>
  <c r="P96" i="94"/>
  <c r="J80" i="94"/>
  <c r="F103" i="94"/>
  <c r="O102" i="94"/>
  <c r="I102" i="94"/>
  <c r="R101" i="94"/>
  <c r="L101" i="94"/>
  <c r="F101" i="94"/>
  <c r="O100" i="94"/>
  <c r="I100" i="94"/>
  <c r="O96" i="94"/>
  <c r="O84" i="94"/>
  <c r="I84" i="94"/>
  <c r="R83" i="94"/>
  <c r="L83" i="94"/>
  <c r="F83" i="94"/>
  <c r="O82" i="94"/>
  <c r="I82" i="94"/>
  <c r="R81" i="94"/>
  <c r="L81" i="94"/>
  <c r="F81" i="94"/>
  <c r="O80" i="94"/>
  <c r="I80" i="94"/>
  <c r="M96" i="94"/>
  <c r="P95" i="94"/>
  <c r="S94" i="94"/>
  <c r="G94" i="94"/>
  <c r="J93" i="94"/>
  <c r="M92" i="94"/>
  <c r="P91" i="94"/>
  <c r="S90" i="94"/>
  <c r="G90" i="94"/>
  <c r="M86" i="94"/>
  <c r="P85" i="94"/>
  <c r="S84" i="94"/>
  <c r="G84" i="94"/>
  <c r="J83" i="94"/>
  <c r="M82" i="94"/>
  <c r="P81" i="94"/>
  <c r="S80" i="94"/>
  <c r="G80" i="94"/>
  <c r="G72" i="94"/>
  <c r="P71" i="94"/>
  <c r="J71" i="94"/>
  <c r="S106" i="94"/>
  <c r="G106" i="94"/>
  <c r="J105" i="94"/>
  <c r="M104" i="94"/>
  <c r="P103" i="94"/>
  <c r="S102" i="94"/>
  <c r="G102" i="94"/>
  <c r="J101" i="94"/>
  <c r="M100" i="94"/>
  <c r="M76" i="94"/>
  <c r="P75" i="94"/>
  <c r="S74" i="94"/>
  <c r="G74" i="94"/>
  <c r="J73" i="94"/>
  <c r="M72" i="94"/>
  <c r="F72" i="94"/>
  <c r="O71" i="94"/>
  <c r="I71" i="94"/>
  <c r="S96" i="94"/>
  <c r="G96" i="94"/>
  <c r="J95" i="94"/>
  <c r="M94" i="94"/>
  <c r="P93" i="94"/>
  <c r="S92" i="94"/>
  <c r="G92" i="94"/>
  <c r="J91" i="94"/>
  <c r="M90" i="94"/>
  <c r="L72" i="94"/>
  <c r="S86" i="94"/>
  <c r="G86" i="94"/>
  <c r="J85" i="94"/>
  <c r="M84" i="94"/>
  <c r="P83" i="94"/>
  <c r="S82" i="94"/>
  <c r="G82" i="94"/>
  <c r="J81" i="94"/>
  <c r="M80" i="94"/>
  <c r="P105" i="94"/>
  <c r="S100" i="94"/>
  <c r="M74" i="94"/>
  <c r="M106" i="94"/>
  <c r="P101" i="94"/>
  <c r="J75" i="94"/>
  <c r="M102" i="94"/>
  <c r="G76" i="94"/>
  <c r="I72" i="94"/>
  <c r="L71" i="94"/>
  <c r="O70" i="94"/>
  <c r="J103" i="94"/>
  <c r="S76" i="94"/>
  <c r="G104" i="94"/>
  <c r="S72" i="94"/>
  <c r="S104" i="94"/>
  <c r="G100" i="94"/>
  <c r="P73" i="94"/>
  <c r="R71" i="94"/>
  <c r="F71" i="94"/>
  <c r="I70" i="94"/>
  <c r="M71" i="94"/>
  <c r="S95" i="94"/>
  <c r="J70" i="94"/>
  <c r="P74" i="94"/>
  <c r="I104" i="94"/>
  <c r="M85" i="94"/>
  <c r="P72" i="94"/>
  <c r="G85" i="94"/>
  <c r="P80" i="94"/>
  <c r="I92" i="94"/>
  <c r="P70" i="94"/>
  <c r="O74" i="94"/>
  <c r="L94" i="94"/>
  <c r="F105" i="94"/>
  <c r="M81" i="94"/>
  <c r="J86" i="94"/>
  <c r="L104" i="94"/>
  <c r="S93" i="94"/>
  <c r="O72" i="94"/>
  <c r="F75" i="94"/>
  <c r="O95" i="94"/>
  <c r="I103" i="94"/>
  <c r="G70" i="94"/>
  <c r="G71" i="94"/>
  <c r="G73" i="94"/>
  <c r="M75" i="94"/>
  <c r="I95" i="94"/>
  <c r="R105" i="94"/>
  <c r="J82" i="94"/>
  <c r="L100" i="94"/>
  <c r="I105" i="94"/>
  <c r="L70" i="94"/>
  <c r="P94" i="94"/>
  <c r="M73" i="94"/>
  <c r="S75" i="94"/>
  <c r="L96" i="94"/>
  <c r="S81" i="94"/>
  <c r="P86" i="94"/>
  <c r="F104" i="94"/>
  <c r="I90" i="94"/>
  <c r="O92" i="94"/>
  <c r="F95" i="94"/>
  <c r="P90" i="94"/>
  <c r="F70" i="94"/>
  <c r="S71" i="94"/>
  <c r="L75" i="94"/>
  <c r="O106" i="94"/>
  <c r="I101" i="94"/>
  <c r="R70" i="94"/>
  <c r="L73" i="94"/>
  <c r="R75" i="94"/>
  <c r="F100" i="94"/>
  <c r="R104" i="94"/>
  <c r="O90" i="94"/>
  <c r="L95" i="94"/>
  <c r="I76" i="94"/>
  <c r="R102" i="94"/>
  <c r="I74" i="94"/>
  <c r="O101" i="94"/>
  <c r="L91" i="94"/>
  <c r="I96" i="94"/>
  <c r="G93" i="94"/>
  <c r="I106" i="94"/>
  <c r="R91" i="94"/>
  <c r="G81" i="94"/>
  <c r="O94" i="94"/>
  <c r="M70" i="94"/>
  <c r="F73" i="94"/>
  <c r="F96" i="94"/>
  <c r="G83" i="94"/>
  <c r="F106" i="94"/>
  <c r="M95" i="94"/>
  <c r="R103" i="94"/>
  <c r="P82" i="94"/>
  <c r="F85" i="94"/>
  <c r="F93" i="94"/>
  <c r="G95" i="94"/>
  <c r="L103" i="94"/>
  <c r="J92" i="94"/>
  <c r="L105" i="94"/>
  <c r="L106" i="94"/>
  <c r="R93" i="94"/>
  <c r="G75" i="94"/>
  <c r="J72" i="94"/>
  <c r="I86" i="94"/>
  <c r="S85" i="94"/>
  <c r="J90" i="94"/>
  <c r="S91" i="94"/>
  <c r="G91" i="94"/>
  <c r="S70" i="94"/>
  <c r="P92" i="94"/>
  <c r="S73" i="94"/>
  <c r="J76" i="94"/>
  <c r="R96" i="94"/>
  <c r="S83" i="94"/>
  <c r="F102" i="94"/>
  <c r="R106" i="94"/>
  <c r="M91" i="94"/>
  <c r="J96" i="94"/>
  <c r="J74" i="94"/>
  <c r="P76" i="94"/>
  <c r="O104" i="94"/>
  <c r="M83" i="94"/>
  <c r="R100" i="94"/>
  <c r="O105" i="94"/>
  <c r="L85" i="94"/>
  <c r="F91" i="94"/>
  <c r="L93" i="94"/>
  <c r="R95" i="94"/>
  <c r="J94" i="94"/>
  <c r="M93" i="94"/>
  <c r="R73" i="94"/>
  <c r="P84" i="94"/>
  <c r="O76" i="94"/>
  <c r="J84" i="94"/>
  <c r="R85" i="94"/>
  <c r="O103" i="94"/>
  <c r="R94" i="94"/>
  <c r="L102" i="94"/>
  <c r="I94" i="94"/>
  <c r="O86" i="94"/>
  <c r="D90" i="59"/>
  <c r="D91" i="59"/>
  <c r="D73" i="59"/>
  <c r="E11" i="51" a="1"/>
  <c r="E11" i="51" s="1"/>
  <c r="F21" i="59"/>
  <c r="I15" i="59"/>
  <c r="I18" i="59"/>
  <c r="F20" i="59"/>
  <c r="F14" i="59"/>
  <c r="I14" i="59"/>
  <c r="I17" i="59"/>
  <c r="F19" i="59"/>
  <c r="I13" i="59"/>
  <c r="I16" i="59"/>
  <c r="F18" i="59"/>
  <c r="I21" i="59"/>
  <c r="I20" i="59"/>
  <c r="I19" i="59"/>
  <c r="F13" i="59"/>
  <c r="F17" i="59"/>
  <c r="F16" i="59"/>
  <c r="F15" i="59"/>
  <c r="G22" i="59"/>
  <c r="D43" i="59"/>
  <c r="D56" i="59"/>
  <c r="D22" i="59"/>
  <c r="F34" i="97" l="1"/>
  <c r="E34" i="96"/>
  <c r="I90" i="68" s="1"/>
  <c r="K16" i="97"/>
  <c r="E34" i="98"/>
  <c r="M90" i="68" s="1"/>
  <c r="E34" i="97"/>
  <c r="K90" i="68" s="1"/>
  <c r="J17" i="96"/>
  <c r="J18" i="98"/>
  <c r="K18" i="98"/>
  <c r="K21" i="98"/>
  <c r="K16" i="98"/>
  <c r="K17" i="98"/>
  <c r="J16" i="96"/>
  <c r="K20" i="97"/>
  <c r="K17" i="96"/>
  <c r="F34" i="96"/>
  <c r="R125" i="68"/>
  <c r="R105" i="68"/>
  <c r="K20" i="95"/>
  <c r="K15" i="98"/>
  <c r="J14" i="98"/>
  <c r="J20" i="98"/>
  <c r="I22" i="98"/>
  <c r="O14" i="98" s="1"/>
  <c r="J19" i="98"/>
  <c r="J16" i="98"/>
  <c r="K20" i="98"/>
  <c r="J15" i="98"/>
  <c r="K13" i="98"/>
  <c r="F22" i="98"/>
  <c r="K19" i="98"/>
  <c r="J17" i="98"/>
  <c r="K14" i="98"/>
  <c r="J19" i="97"/>
  <c r="K19" i="97"/>
  <c r="J16" i="97"/>
  <c r="K21" i="97"/>
  <c r="J18" i="97"/>
  <c r="J20" i="97"/>
  <c r="K18" i="97"/>
  <c r="J20" i="96"/>
  <c r="K14" i="97"/>
  <c r="K13" i="97"/>
  <c r="F22" i="97"/>
  <c r="K17" i="97"/>
  <c r="K15" i="97"/>
  <c r="J17" i="97"/>
  <c r="J15" i="97"/>
  <c r="J14" i="97"/>
  <c r="I22" i="97"/>
  <c r="O14" i="97" s="1"/>
  <c r="K15" i="96"/>
  <c r="K21" i="96"/>
  <c r="J15" i="96"/>
  <c r="K16" i="96"/>
  <c r="J19" i="96"/>
  <c r="K19" i="96"/>
  <c r="J18" i="96"/>
  <c r="K20" i="96"/>
  <c r="K14" i="96"/>
  <c r="I22" i="96"/>
  <c r="O14" i="96" s="1"/>
  <c r="K18" i="96"/>
  <c r="J14" i="96"/>
  <c r="F22" i="96"/>
  <c r="K13" i="96"/>
  <c r="K14" i="95"/>
  <c r="K17" i="95"/>
  <c r="K15" i="95"/>
  <c r="J19" i="95"/>
  <c r="J18" i="95"/>
  <c r="K18" i="95"/>
  <c r="J61" i="94"/>
  <c r="J63" i="94" s="1"/>
  <c r="R21" i="94"/>
  <c r="K83" i="91" s="1"/>
  <c r="J17" i="95"/>
  <c r="J16" i="95"/>
  <c r="K16" i="95"/>
  <c r="J14" i="95"/>
  <c r="K19" i="95"/>
  <c r="K21" i="95"/>
  <c r="J20" i="95"/>
  <c r="J15" i="95"/>
  <c r="K13" i="95"/>
  <c r="F22" i="95"/>
  <c r="I22" i="95"/>
  <c r="O14" i="95" s="1"/>
  <c r="F21" i="94"/>
  <c r="R61" i="94"/>
  <c r="K87" i="91" s="1"/>
  <c r="O51" i="94"/>
  <c r="I86" i="91" s="1"/>
  <c r="I61" i="94"/>
  <c r="O41" i="94"/>
  <c r="I85" i="91" s="1"/>
  <c r="I41" i="94"/>
  <c r="L21" i="94"/>
  <c r="G83" i="91" s="1"/>
  <c r="R51" i="94"/>
  <c r="K86" i="91" s="1"/>
  <c r="R123" i="94"/>
  <c r="R31" i="94"/>
  <c r="K84" i="91" s="1"/>
  <c r="L41" i="94"/>
  <c r="G85" i="91" s="1"/>
  <c r="I21" i="94"/>
  <c r="E83" i="91" s="1"/>
  <c r="M61" i="94"/>
  <c r="M63" i="94" s="1"/>
  <c r="O31" i="94"/>
  <c r="I84" i="91" s="1"/>
  <c r="F31" i="94"/>
  <c r="E84" i="91" s="1"/>
  <c r="P21" i="94"/>
  <c r="I123" i="94"/>
  <c r="P61" i="94"/>
  <c r="L61" i="94"/>
  <c r="G87" i="91" s="1"/>
  <c r="F61" i="94"/>
  <c r="E87" i="91" s="1"/>
  <c r="O21" i="94"/>
  <c r="I83" i="91" s="1"/>
  <c r="I31" i="94"/>
  <c r="G61" i="94"/>
  <c r="G63" i="94" s="1"/>
  <c r="S21" i="94"/>
  <c r="I51" i="94"/>
  <c r="L123" i="94"/>
  <c r="O123" i="94"/>
  <c r="F41" i="94"/>
  <c r="E85" i="91" s="1"/>
  <c r="L51" i="94"/>
  <c r="G86" i="91" s="1"/>
  <c r="O61" i="94"/>
  <c r="I87" i="91" s="1"/>
  <c r="F51" i="94"/>
  <c r="E86" i="91" s="1"/>
  <c r="R41" i="94"/>
  <c r="K85" i="91" s="1"/>
  <c r="L31" i="94"/>
  <c r="G84" i="91" s="1"/>
  <c r="S61" i="94"/>
  <c r="P88" i="94"/>
  <c r="J78" i="94"/>
  <c r="M88" i="94"/>
  <c r="O108" i="94"/>
  <c r="I100" i="91" s="1"/>
  <c r="R108" i="94"/>
  <c r="K100" i="91" s="1"/>
  <c r="F78" i="94"/>
  <c r="L78" i="94"/>
  <c r="G97" i="91" s="1"/>
  <c r="G108" i="94"/>
  <c r="O78" i="94"/>
  <c r="I97" i="91" s="1"/>
  <c r="G98" i="94"/>
  <c r="J88" i="94"/>
  <c r="F88" i="94"/>
  <c r="F98" i="94"/>
  <c r="M78" i="94"/>
  <c r="R78" i="94"/>
  <c r="K97" i="91" s="1"/>
  <c r="P98" i="94"/>
  <c r="S98" i="94"/>
  <c r="L88" i="94"/>
  <c r="G98" i="91" s="1"/>
  <c r="L98" i="94"/>
  <c r="G99" i="91" s="1"/>
  <c r="S78" i="94"/>
  <c r="O98" i="94"/>
  <c r="I99" i="91" s="1"/>
  <c r="L108" i="94"/>
  <c r="G100" i="91" s="1"/>
  <c r="I78" i="94"/>
  <c r="J108" i="94"/>
  <c r="R88" i="94"/>
  <c r="K98" i="91" s="1"/>
  <c r="R98" i="94"/>
  <c r="K99" i="91" s="1"/>
  <c r="J98" i="94"/>
  <c r="G78" i="94"/>
  <c r="P78" i="94"/>
  <c r="S108" i="94"/>
  <c r="M98" i="94"/>
  <c r="M108" i="94"/>
  <c r="G88" i="94"/>
  <c r="I88" i="94"/>
  <c r="E98" i="91" s="1"/>
  <c r="P108" i="94"/>
  <c r="F108" i="94"/>
  <c r="I98" i="94"/>
  <c r="E99" i="91" s="1"/>
  <c r="S88" i="94"/>
  <c r="O88" i="94"/>
  <c r="I98" i="91" s="1"/>
  <c r="I108" i="94"/>
  <c r="E100" i="91" s="1"/>
  <c r="O98" i="93"/>
  <c r="M88" i="93"/>
  <c r="P98" i="93"/>
  <c r="O78" i="93"/>
  <c r="I98" i="93"/>
  <c r="I108" i="93"/>
  <c r="F88" i="93"/>
  <c r="G98" i="93"/>
  <c r="R108" i="93"/>
  <c r="E55" i="98" s="1"/>
  <c r="L78" i="93"/>
  <c r="L88" i="93"/>
  <c r="F98" i="93"/>
  <c r="O108" i="93"/>
  <c r="P88" i="93"/>
  <c r="I88" i="93"/>
  <c r="M108" i="93"/>
  <c r="I78" i="93"/>
  <c r="P108" i="93"/>
  <c r="J78" i="93"/>
  <c r="G108" i="93"/>
  <c r="R88" i="93"/>
  <c r="E53" i="98" s="1"/>
  <c r="R98" i="93"/>
  <c r="E54" i="98" s="1"/>
  <c r="S78" i="93"/>
  <c r="F52" i="98" s="1"/>
  <c r="J88" i="93"/>
  <c r="M98" i="93"/>
  <c r="P78" i="93"/>
  <c r="G88" i="93"/>
  <c r="S88" i="93"/>
  <c r="F53" i="98" s="1"/>
  <c r="J98" i="93"/>
  <c r="S98" i="93"/>
  <c r="F54" i="98" s="1"/>
  <c r="J108" i="93"/>
  <c r="S108" i="93"/>
  <c r="F55" i="98" s="1"/>
  <c r="L98" i="93"/>
  <c r="M78" i="93"/>
  <c r="R78" i="93"/>
  <c r="E52" i="98" s="1"/>
  <c r="F108" i="93"/>
  <c r="L108" i="93"/>
  <c r="O88" i="93"/>
  <c r="F78" i="93"/>
  <c r="G78" i="93"/>
  <c r="J19" i="59"/>
  <c r="K16" i="59"/>
  <c r="K18" i="59"/>
  <c r="K19" i="59"/>
  <c r="J20" i="59"/>
  <c r="K21" i="59"/>
  <c r="J17" i="59"/>
  <c r="J14" i="59"/>
  <c r="K13" i="59"/>
  <c r="K20" i="59"/>
  <c r="K17" i="59"/>
  <c r="K14" i="59"/>
  <c r="K15" i="59"/>
  <c r="J18" i="59"/>
  <c r="I22" i="59"/>
  <c r="J15" i="59"/>
  <c r="J16" i="59"/>
  <c r="F22" i="59"/>
  <c r="T105" i="68" l="1"/>
  <c r="L90" i="68"/>
  <c r="T125" i="68" s="1"/>
  <c r="U105" i="68"/>
  <c r="N90" i="68"/>
  <c r="U125" i="68" s="1"/>
  <c r="J90" i="68"/>
  <c r="S125" i="68" s="1"/>
  <c r="S105" i="68"/>
  <c r="N80" i="97"/>
  <c r="M80" i="97"/>
  <c r="O80" i="97"/>
  <c r="L80" i="97"/>
  <c r="L82" i="97"/>
  <c r="M82" i="97"/>
  <c r="N82" i="97"/>
  <c r="O82" i="97"/>
  <c r="O81" i="97"/>
  <c r="N81" i="97"/>
  <c r="L81" i="97"/>
  <c r="M81" i="97"/>
  <c r="N79" i="97"/>
  <c r="O79" i="97"/>
  <c r="L79" i="97"/>
  <c r="M79" i="97"/>
  <c r="N83" i="97"/>
  <c r="M83" i="97"/>
  <c r="O83" i="97"/>
  <c r="L83" i="97"/>
  <c r="E52" i="97"/>
  <c r="K22" i="98"/>
  <c r="N14" i="98"/>
  <c r="E53" i="97"/>
  <c r="F54" i="97"/>
  <c r="F52" i="97"/>
  <c r="E55" i="97"/>
  <c r="E54" i="97"/>
  <c r="F53" i="97"/>
  <c r="F55" i="97"/>
  <c r="F53" i="96"/>
  <c r="E55" i="96"/>
  <c r="F54" i="96"/>
  <c r="N14" i="97"/>
  <c r="K22" i="97"/>
  <c r="E54" i="96"/>
  <c r="E53" i="96"/>
  <c r="F52" i="96"/>
  <c r="F55" i="96"/>
  <c r="E52" i="96"/>
  <c r="F55" i="95"/>
  <c r="F52" i="95"/>
  <c r="F53" i="95"/>
  <c r="E55" i="95"/>
  <c r="F54" i="95"/>
  <c r="E52" i="95"/>
  <c r="E54" i="95"/>
  <c r="N14" i="96"/>
  <c r="K22" i="96"/>
  <c r="E53" i="95"/>
  <c r="E55" i="59"/>
  <c r="F52" i="59"/>
  <c r="F53" i="59"/>
  <c r="F55" i="59"/>
  <c r="F54" i="59"/>
  <c r="E54" i="59"/>
  <c r="E53" i="59"/>
  <c r="E97" i="91"/>
  <c r="E101" i="91" s="1"/>
  <c r="D23" i="91" s="1"/>
  <c r="E23" i="91" s="1"/>
  <c r="K22" i="95"/>
  <c r="N14" i="95"/>
  <c r="S63" i="94"/>
  <c r="I63" i="94"/>
  <c r="L63" i="94"/>
  <c r="O63" i="94"/>
  <c r="P63" i="94"/>
  <c r="R63" i="94"/>
  <c r="F63" i="94"/>
  <c r="K101" i="91"/>
  <c r="J23" i="91" s="1"/>
  <c r="K23" i="91" s="1"/>
  <c r="I101" i="91"/>
  <c r="H23" i="91" s="1"/>
  <c r="I23" i="91" s="1"/>
  <c r="G101" i="91"/>
  <c r="F23" i="91" s="1"/>
  <c r="G23" i="91" s="1"/>
  <c r="L110" i="94"/>
  <c r="F110" i="94"/>
  <c r="P110" i="94"/>
  <c r="I110" i="94"/>
  <c r="G110" i="94"/>
  <c r="R110" i="94"/>
  <c r="O110" i="94"/>
  <c r="S110" i="94"/>
  <c r="M110" i="94"/>
  <c r="J110" i="94"/>
  <c r="I110" i="93"/>
  <c r="R110" i="93"/>
  <c r="O110" i="93"/>
  <c r="M110" i="93"/>
  <c r="P110" i="93"/>
  <c r="S110" i="93"/>
  <c r="J110" i="93"/>
  <c r="L110" i="93"/>
  <c r="G110" i="93"/>
  <c r="K22" i="59"/>
  <c r="F56" i="98" l="1"/>
  <c r="E56" i="98"/>
  <c r="M92" i="68" s="1"/>
  <c r="N92" i="68" s="1"/>
  <c r="F56" i="97"/>
  <c r="E56" i="95"/>
  <c r="G92" i="68" s="1"/>
  <c r="E56" i="97"/>
  <c r="K92" i="68" s="1"/>
  <c r="L92" i="68" s="1"/>
  <c r="E56" i="96"/>
  <c r="I92" i="68" s="1"/>
  <c r="J92" i="68" s="1"/>
  <c r="F56" i="96"/>
  <c r="F56" i="59"/>
  <c r="F56" i="95"/>
  <c r="D260" i="67"/>
  <c r="E14" i="74"/>
  <c r="F14" i="74"/>
  <c r="G14" i="74"/>
  <c r="H14" i="74"/>
  <c r="I14" i="74"/>
  <c r="J14" i="74"/>
  <c r="K14" i="74"/>
  <c r="L14" i="74"/>
  <c r="M14" i="74"/>
  <c r="N14" i="74"/>
  <c r="O14" i="74"/>
  <c r="P14" i="74"/>
  <c r="Q14" i="74"/>
  <c r="R14" i="74"/>
  <c r="S14" i="74"/>
  <c r="T14" i="74"/>
  <c r="U14" i="74"/>
  <c r="D14" i="74"/>
  <c r="A21" i="74"/>
  <c r="A19" i="74"/>
  <c r="A18" i="74"/>
  <c r="A17" i="74"/>
  <c r="A16" i="74"/>
  <c r="A10" i="74"/>
  <c r="A9" i="74"/>
  <c r="A8" i="74"/>
  <c r="A7" i="74"/>
  <c r="A6" i="74"/>
  <c r="G207" i="67"/>
  <c r="G199" i="67"/>
  <c r="G198" i="67"/>
  <c r="G190" i="67"/>
  <c r="G189" i="67"/>
  <c r="G181" i="67"/>
  <c r="G180" i="67"/>
  <c r="G172" i="67"/>
  <c r="G171" i="67"/>
  <c r="G163" i="67"/>
  <c r="G162" i="67"/>
  <c r="G154" i="67"/>
  <c r="G153" i="67"/>
  <c r="G145" i="67"/>
  <c r="G144" i="67"/>
  <c r="G136" i="67"/>
  <c r="G135" i="67"/>
  <c r="G127" i="67"/>
  <c r="G126" i="67"/>
  <c r="G118" i="67"/>
  <c r="G117" i="67"/>
  <c r="G109" i="67"/>
  <c r="G108" i="67"/>
  <c r="G100" i="67"/>
  <c r="G99" i="67"/>
  <c r="G91" i="67"/>
  <c r="G90" i="67"/>
  <c r="G82" i="67"/>
  <c r="G81" i="67"/>
  <c r="G73" i="67"/>
  <c r="G72" i="67"/>
  <c r="G64" i="67"/>
  <c r="G63" i="67"/>
  <c r="G55" i="67"/>
  <c r="G54" i="67"/>
  <c r="G46" i="67"/>
  <c r="G45" i="67"/>
  <c r="G37" i="67"/>
  <c r="G36" i="67"/>
  <c r="G28" i="67"/>
  <c r="G27" i="67"/>
  <c r="G19" i="67"/>
  <c r="G18" i="67"/>
  <c r="G10" i="67"/>
  <c r="H92" i="68" l="1"/>
  <c r="R127" i="68" s="1"/>
  <c r="E21" i="96"/>
  <c r="E21" i="59"/>
  <c r="E21" i="95"/>
  <c r="E21" i="97"/>
  <c r="E21" i="98"/>
  <c r="E65" i="91"/>
  <c r="H13" i="95"/>
  <c r="I65" i="91"/>
  <c r="I66" i="91" s="1"/>
  <c r="H20" i="91" s="1"/>
  <c r="H13" i="98"/>
  <c r="G65" i="91"/>
  <c r="H13" i="96"/>
  <c r="H13" i="59"/>
  <c r="K65" i="91"/>
  <c r="K66" i="91" s="1"/>
  <c r="J20" i="91" s="1"/>
  <c r="H13" i="97"/>
  <c r="H22" i="97" s="1"/>
  <c r="H21" i="95"/>
  <c r="H21" i="96"/>
  <c r="H21" i="97"/>
  <c r="H21" i="98"/>
  <c r="H21" i="59"/>
  <c r="E13" i="59"/>
  <c r="E13" i="97"/>
  <c r="E13" i="96"/>
  <c r="E13" i="95"/>
  <c r="E13" i="98"/>
  <c r="U127" i="68"/>
  <c r="U107" i="68"/>
  <c r="F89" i="95"/>
  <c r="F89" i="98"/>
  <c r="F89" i="97"/>
  <c r="F89" i="96"/>
  <c r="R107" i="68"/>
  <c r="S127" i="68"/>
  <c r="S107" i="68"/>
  <c r="T127" i="68"/>
  <c r="T107" i="68"/>
  <c r="I123" i="93"/>
  <c r="O123" i="93"/>
  <c r="P123" i="93"/>
  <c r="R123" i="93"/>
  <c r="L123" i="93"/>
  <c r="M123" i="93"/>
  <c r="S123" i="93"/>
  <c r="K78" i="91"/>
  <c r="J21" i="91" s="1"/>
  <c r="K21" i="91" s="1"/>
  <c r="E78" i="91"/>
  <c r="D21" i="91" s="1"/>
  <c r="E21" i="91" s="1"/>
  <c r="I78" i="91"/>
  <c r="H21" i="91" s="1"/>
  <c r="I21" i="91" s="1"/>
  <c r="G78" i="91"/>
  <c r="F21" i="91" s="1"/>
  <c r="G21" i="91" s="1"/>
  <c r="D262" i="67"/>
  <c r="F89" i="59"/>
  <c r="D261" i="67"/>
  <c r="I20" i="91" l="1"/>
  <c r="I24" i="91" s="1"/>
  <c r="K20" i="91"/>
  <c r="K24" i="91" s="1"/>
  <c r="J21" i="97"/>
  <c r="H22" i="98"/>
  <c r="J13" i="96"/>
  <c r="E22" i="96"/>
  <c r="E22" i="98"/>
  <c r="J13" i="98"/>
  <c r="J13" i="95"/>
  <c r="E22" i="95"/>
  <c r="H22" i="96"/>
  <c r="J21" i="98"/>
  <c r="J13" i="97"/>
  <c r="E22" i="97"/>
  <c r="J22" i="97" s="1"/>
  <c r="K89" i="68" s="1"/>
  <c r="L89" i="68" s="1"/>
  <c r="J21" i="95"/>
  <c r="H22" i="95"/>
  <c r="J21" i="96"/>
  <c r="F91" i="95"/>
  <c r="F91" i="98"/>
  <c r="F91" i="97"/>
  <c r="F91" i="96"/>
  <c r="F123" i="93"/>
  <c r="E29" i="59"/>
  <c r="E34" i="59" s="1"/>
  <c r="E90" i="68" s="1"/>
  <c r="F90" i="68" s="1"/>
  <c r="J123" i="93"/>
  <c r="E88" i="91"/>
  <c r="D22" i="91" s="1"/>
  <c r="E22" i="91" s="1"/>
  <c r="K88" i="91"/>
  <c r="J22" i="91" s="1"/>
  <c r="K22" i="91" s="1"/>
  <c r="G88" i="91"/>
  <c r="F22" i="91" s="1"/>
  <c r="G22" i="91" s="1"/>
  <c r="I88" i="91"/>
  <c r="H22" i="91" s="1"/>
  <c r="I22" i="91" s="1"/>
  <c r="J66" i="91"/>
  <c r="E66" i="91"/>
  <c r="D20" i="91" s="1"/>
  <c r="E20" i="91" s="1"/>
  <c r="G66" i="91"/>
  <c r="F20" i="91" s="1"/>
  <c r="G20" i="91" s="1"/>
  <c r="F91" i="59"/>
  <c r="H22" i="59"/>
  <c r="J21" i="59"/>
  <c r="E22" i="59"/>
  <c r="J13" i="59"/>
  <c r="F90" i="59"/>
  <c r="J22" i="98" l="1"/>
  <c r="M89" i="68" s="1"/>
  <c r="N89" i="68" s="1"/>
  <c r="J22" i="96"/>
  <c r="I89" i="68" s="1"/>
  <c r="J22" i="95"/>
  <c r="G89" i="68" s="1"/>
  <c r="H89" i="68" s="1"/>
  <c r="T104" i="68"/>
  <c r="G123" i="93"/>
  <c r="F29" i="59"/>
  <c r="F34" i="59" s="1"/>
  <c r="R21" i="93"/>
  <c r="E38" i="98" s="1"/>
  <c r="P21" i="93"/>
  <c r="L41" i="93"/>
  <c r="P41" i="93"/>
  <c r="G51" i="93"/>
  <c r="I21" i="93"/>
  <c r="J31" i="93"/>
  <c r="I31" i="93"/>
  <c r="M31" i="93"/>
  <c r="E52" i="59"/>
  <c r="E56" i="59" s="1"/>
  <c r="E92" i="68" s="1"/>
  <c r="F110" i="93"/>
  <c r="S31" i="93"/>
  <c r="F39" i="98" s="1"/>
  <c r="M41" i="93"/>
  <c r="M21" i="93"/>
  <c r="F38" i="96" s="1"/>
  <c r="S41" i="93"/>
  <c r="F40" i="98" s="1"/>
  <c r="G31" i="93"/>
  <c r="I41" i="93"/>
  <c r="O31" i="93"/>
  <c r="O21" i="93"/>
  <c r="O41" i="93"/>
  <c r="R41" i="93"/>
  <c r="E40" i="98" s="1"/>
  <c r="S21" i="93"/>
  <c r="F38" i="98" s="1"/>
  <c r="F31" i="93"/>
  <c r="P51" i="93"/>
  <c r="S51" i="93"/>
  <c r="F41" i="98" s="1"/>
  <c r="G21" i="93"/>
  <c r="M51" i="93"/>
  <c r="L61" i="93"/>
  <c r="R31" i="93"/>
  <c r="E39" i="98" s="1"/>
  <c r="R61" i="93"/>
  <c r="E42" i="98" s="1"/>
  <c r="O61" i="93"/>
  <c r="L51" i="93"/>
  <c r="M61" i="93"/>
  <c r="S61" i="93"/>
  <c r="F42" i="98" s="1"/>
  <c r="G61" i="93"/>
  <c r="I61" i="93"/>
  <c r="J21" i="93"/>
  <c r="I51" i="93"/>
  <c r="F21" i="93"/>
  <c r="F41" i="93"/>
  <c r="L21" i="93"/>
  <c r="G41" i="93"/>
  <c r="J51" i="93"/>
  <c r="J41" i="93"/>
  <c r="P31" i="93"/>
  <c r="P61" i="93"/>
  <c r="O51" i="93"/>
  <c r="R51" i="93"/>
  <c r="E41" i="98" s="1"/>
  <c r="L31" i="93"/>
  <c r="J61" i="93"/>
  <c r="F51" i="93"/>
  <c r="F61" i="93"/>
  <c r="J24" i="91"/>
  <c r="H24" i="91"/>
  <c r="D24" i="91"/>
  <c r="E24" i="91"/>
  <c r="G24" i="91"/>
  <c r="F24" i="91"/>
  <c r="J22" i="59"/>
  <c r="E89" i="68" s="1"/>
  <c r="F89" i="68" s="1"/>
  <c r="Q125" i="68"/>
  <c r="Q105" i="68"/>
  <c r="D2" i="70"/>
  <c r="D2" i="51"/>
  <c r="D2" i="49"/>
  <c r="A19" i="55"/>
  <c r="C2" i="59"/>
  <c r="C2" i="68"/>
  <c r="P40" i="68"/>
  <c r="T59" i="68"/>
  <c r="S59" i="68"/>
  <c r="R59" i="68"/>
  <c r="R39" i="68"/>
  <c r="Q39" i="68"/>
  <c r="T38" i="68"/>
  <c r="S38" i="68"/>
  <c r="R58" i="68"/>
  <c r="R38" i="68"/>
  <c r="U6" i="68"/>
  <c r="U34" i="68" s="1"/>
  <c r="U54" i="68" s="1"/>
  <c r="T6" i="68"/>
  <c r="T34" i="68" s="1"/>
  <c r="T54" i="68" s="1"/>
  <c r="S6" i="68"/>
  <c r="S34" i="68" s="1"/>
  <c r="S54" i="68" s="1"/>
  <c r="R6" i="68"/>
  <c r="R34" i="68" s="1"/>
  <c r="R54" i="68" s="1"/>
  <c r="Q6" i="68"/>
  <c r="Q34" i="68" s="1"/>
  <c r="Q54" i="68" s="1"/>
  <c r="Q58" i="68"/>
  <c r="F93" i="59"/>
  <c r="E22" i="68" s="1"/>
  <c r="F22" i="68" s="1"/>
  <c r="S104" i="68" l="1"/>
  <c r="J89" i="68"/>
  <c r="U104" i="68"/>
  <c r="U124" i="68"/>
  <c r="N93" i="68"/>
  <c r="L93" i="68"/>
  <c r="T124" i="68"/>
  <c r="R104" i="68"/>
  <c r="F42" i="97"/>
  <c r="F40" i="97"/>
  <c r="F39" i="97"/>
  <c r="E40" i="97"/>
  <c r="F38" i="97"/>
  <c r="F41" i="97"/>
  <c r="E39" i="97"/>
  <c r="E42" i="97"/>
  <c r="E43" i="98"/>
  <c r="E38" i="97"/>
  <c r="E41" i="97"/>
  <c r="E42" i="96"/>
  <c r="F42" i="96"/>
  <c r="F41" i="96"/>
  <c r="F39" i="96"/>
  <c r="E40" i="96"/>
  <c r="E41" i="96"/>
  <c r="E39" i="96"/>
  <c r="F40" i="96"/>
  <c r="E38" i="96"/>
  <c r="F92" i="68"/>
  <c r="Q127" i="68" s="1"/>
  <c r="Q107" i="68"/>
  <c r="F42" i="95"/>
  <c r="F40" i="95"/>
  <c r="E41" i="95"/>
  <c r="E39" i="95"/>
  <c r="F41" i="95"/>
  <c r="F38" i="95"/>
  <c r="F39" i="95"/>
  <c r="E42" i="95"/>
  <c r="E38" i="95"/>
  <c r="E40" i="95"/>
  <c r="E42" i="59"/>
  <c r="E40" i="59"/>
  <c r="F39" i="59"/>
  <c r="E41" i="59"/>
  <c r="F40" i="59"/>
  <c r="F42" i="59"/>
  <c r="E39" i="59"/>
  <c r="F41" i="59"/>
  <c r="M63" i="93"/>
  <c r="P63" i="93"/>
  <c r="I63" i="93"/>
  <c r="R63" i="93"/>
  <c r="S63" i="93"/>
  <c r="G63" i="93"/>
  <c r="F38" i="59"/>
  <c r="E38" i="59"/>
  <c r="F63" i="93"/>
  <c r="O63" i="93"/>
  <c r="J63" i="93"/>
  <c r="L63" i="93"/>
  <c r="U58" i="68"/>
  <c r="U59" i="68"/>
  <c r="Q57" i="68"/>
  <c r="Q40" i="68"/>
  <c r="Q38" i="68"/>
  <c r="U39" i="68"/>
  <c r="T39" i="68"/>
  <c r="T40" i="68"/>
  <c r="Q59" i="68"/>
  <c r="S39" i="68"/>
  <c r="U40" i="68"/>
  <c r="S58" i="68"/>
  <c r="T58" i="68"/>
  <c r="U38" i="68"/>
  <c r="O14" i="59"/>
  <c r="S124" i="68" l="1"/>
  <c r="R124" i="68"/>
  <c r="F43" i="96"/>
  <c r="F60" i="96" s="1"/>
  <c r="I20" i="68" s="1"/>
  <c r="J20" i="68" s="1"/>
  <c r="E60" i="98"/>
  <c r="M91" i="68"/>
  <c r="N91" i="68" s="1"/>
  <c r="E43" i="95"/>
  <c r="F43" i="98"/>
  <c r="F60" i="98" s="1"/>
  <c r="M20" i="68" s="1"/>
  <c r="N20" i="68" s="1"/>
  <c r="E43" i="96"/>
  <c r="F43" i="95"/>
  <c r="F60" i="95" s="1"/>
  <c r="G20" i="68" s="1"/>
  <c r="H20" i="68" s="1"/>
  <c r="E43" i="97"/>
  <c r="F43" i="97"/>
  <c r="F60" i="97" s="1"/>
  <c r="K20" i="68" s="1"/>
  <c r="L20" i="68" s="1"/>
  <c r="F43" i="59"/>
  <c r="F60" i="59" s="1"/>
  <c r="E20" i="68" s="1"/>
  <c r="F20" i="68" s="1"/>
  <c r="E43" i="59"/>
  <c r="Q124" i="68"/>
  <c r="Q104" i="68"/>
  <c r="Q37" i="68"/>
  <c r="N14" i="59"/>
  <c r="S35" i="68" l="1"/>
  <c r="G91" i="68"/>
  <c r="H91" i="68" s="1"/>
  <c r="E60" i="95"/>
  <c r="U126" i="68"/>
  <c r="U106" i="68"/>
  <c r="M93" i="68"/>
  <c r="R35" i="68"/>
  <c r="U35" i="68"/>
  <c r="T35" i="68"/>
  <c r="E60" i="96"/>
  <c r="I91" i="68"/>
  <c r="J91" i="68" s="1"/>
  <c r="E60" i="97"/>
  <c r="K91" i="68"/>
  <c r="L91" i="68" s="1"/>
  <c r="E60" i="59"/>
  <c r="E91" i="68"/>
  <c r="S55" i="68"/>
  <c r="Q35" i="68"/>
  <c r="Q55" i="68"/>
  <c r="R55" i="68"/>
  <c r="D2" i="55"/>
  <c r="A21" i="55"/>
  <c r="A18" i="55"/>
  <c r="A17" i="55"/>
  <c r="A16" i="55"/>
  <c r="A10" i="55"/>
  <c r="A9" i="55"/>
  <c r="A8" i="55"/>
  <c r="A7" i="55"/>
  <c r="A6" i="55"/>
  <c r="O16" i="53"/>
  <c r="O15" i="53"/>
  <c r="I17" i="53"/>
  <c r="I16" i="53"/>
  <c r="I15" i="53"/>
  <c r="I14" i="53"/>
  <c r="J10" i="53"/>
  <c r="O10" i="53"/>
  <c r="O14" i="53"/>
  <c r="O13" i="53"/>
  <c r="B7" i="53"/>
  <c r="I13" i="53"/>
  <c r="R126" i="68" l="1"/>
  <c r="H93" i="68"/>
  <c r="R106" i="68"/>
  <c r="G93" i="68"/>
  <c r="N26" i="68"/>
  <c r="U55" i="68"/>
  <c r="S106" i="68"/>
  <c r="I93" i="68"/>
  <c r="T126" i="68"/>
  <c r="T106" i="68"/>
  <c r="K93" i="68"/>
  <c r="L26" i="68"/>
  <c r="T55" i="68"/>
  <c r="F91" i="68"/>
  <c r="E93" i="68"/>
  <c r="Q106" i="68"/>
  <c r="B5" i="53"/>
  <c r="J111" i="55"/>
  <c r="I111" i="55"/>
  <c r="O118" i="74" s="1"/>
  <c r="H111" i="55"/>
  <c r="G111" i="55"/>
  <c r="F111" i="55"/>
  <c r="Q32" i="55"/>
  <c r="D90" i="98" s="1"/>
  <c r="F90" i="98" s="1"/>
  <c r="F93" i="98" s="1"/>
  <c r="M22" i="68" s="1"/>
  <c r="P32" i="55"/>
  <c r="D90" i="97" s="1"/>
  <c r="F90" i="97" s="1"/>
  <c r="F93" i="97" s="1"/>
  <c r="K22" i="68" s="1"/>
  <c r="O32" i="55"/>
  <c r="D90" i="96" s="1"/>
  <c r="F90" i="96" s="1"/>
  <c r="F93" i="96" s="1"/>
  <c r="I22" i="68" s="1"/>
  <c r="J22" i="68" s="1"/>
  <c r="N32" i="55"/>
  <c r="D90" i="95" s="1"/>
  <c r="F90" i="95" s="1"/>
  <c r="F93" i="95" s="1"/>
  <c r="G22" i="68" s="1"/>
  <c r="H22" i="68" s="1"/>
  <c r="Q26" i="55"/>
  <c r="P26" i="55"/>
  <c r="J7" i="53"/>
  <c r="L118" i="74" l="1"/>
  <c r="G78" i="96" s="1"/>
  <c r="L123" i="74"/>
  <c r="L120" i="74"/>
  <c r="L122" i="74"/>
  <c r="L121" i="74"/>
  <c r="L119" i="74"/>
  <c r="I84" i="96"/>
  <c r="J84" i="96"/>
  <c r="F84" i="96"/>
  <c r="G84" i="96"/>
  <c r="H84" i="96"/>
  <c r="S126" i="68"/>
  <c r="J93" i="68"/>
  <c r="Q126" i="68"/>
  <c r="F93" i="68"/>
  <c r="T57" i="68"/>
  <c r="T37" i="68"/>
  <c r="S57" i="68"/>
  <c r="S37" i="68"/>
  <c r="J78" i="97"/>
  <c r="J84" i="97" s="1"/>
  <c r="H78" i="97"/>
  <c r="H84" i="97" s="1"/>
  <c r="G78" i="97"/>
  <c r="G84" i="97" s="1"/>
  <c r="F78" i="97"/>
  <c r="F84" i="97" s="1"/>
  <c r="D78" i="97"/>
  <c r="I78" i="97"/>
  <c r="I84" i="97" s="1"/>
  <c r="E78" i="97"/>
  <c r="E84" i="97" s="1"/>
  <c r="I78" i="96"/>
  <c r="H78" i="96"/>
  <c r="R57" i="68"/>
  <c r="R37" i="68"/>
  <c r="U57" i="68"/>
  <c r="U37" i="68"/>
  <c r="I119" i="74"/>
  <c r="I120" i="74"/>
  <c r="I118" i="74"/>
  <c r="I123" i="74"/>
  <c r="I121" i="74"/>
  <c r="I122" i="74"/>
  <c r="I84" i="95"/>
  <c r="J84" i="95"/>
  <c r="F84" i="95"/>
  <c r="G84" i="95"/>
  <c r="H84" i="95"/>
  <c r="R123" i="74"/>
  <c r="R119" i="74"/>
  <c r="R120" i="74"/>
  <c r="R118" i="74"/>
  <c r="R121" i="74"/>
  <c r="R122" i="74"/>
  <c r="F123" i="74"/>
  <c r="F119" i="74"/>
  <c r="F120" i="74"/>
  <c r="F118" i="74"/>
  <c r="F121" i="74"/>
  <c r="F122" i="74"/>
  <c r="D69" i="59"/>
  <c r="P33" i="55"/>
  <c r="M33" i="55"/>
  <c r="O33" i="55"/>
  <c r="N33" i="55"/>
  <c r="J78" i="96" l="1"/>
  <c r="D78" i="96"/>
  <c r="L80" i="96"/>
  <c r="E78" i="96"/>
  <c r="E84" i="96" s="1"/>
  <c r="F78" i="96"/>
  <c r="S96" i="96"/>
  <c r="R97" i="96"/>
  <c r="R96" i="96"/>
  <c r="T96" i="96" a="1"/>
  <c r="T96" i="96" s="1"/>
  <c r="U101" i="96" s="1"/>
  <c r="I25" i="68" s="1"/>
  <c r="R98" i="96"/>
  <c r="S97" i="96"/>
  <c r="R99" i="96"/>
  <c r="S98" i="96"/>
  <c r="R100" i="96"/>
  <c r="S99" i="96"/>
  <c r="R101" i="96"/>
  <c r="S100" i="96"/>
  <c r="S101" i="96"/>
  <c r="S97" i="95"/>
  <c r="R99" i="95"/>
  <c r="S98" i="95"/>
  <c r="R100" i="95"/>
  <c r="S99" i="95"/>
  <c r="R101" i="95"/>
  <c r="S100" i="95"/>
  <c r="R96" i="95"/>
  <c r="S101" i="95"/>
  <c r="S96" i="95"/>
  <c r="R97" i="95"/>
  <c r="T96" i="95" a="1"/>
  <c r="T96" i="95" s="1"/>
  <c r="U101" i="95" s="1"/>
  <c r="G25" i="68" s="1"/>
  <c r="R98" i="95"/>
  <c r="D81" i="98"/>
  <c r="J81" i="98"/>
  <c r="E81" i="98"/>
  <c r="I81" i="98"/>
  <c r="F81" i="98"/>
  <c r="G81" i="98"/>
  <c r="H81" i="98"/>
  <c r="E80" i="98"/>
  <c r="J80" i="98"/>
  <c r="D80" i="98"/>
  <c r="I80" i="98"/>
  <c r="F80" i="98"/>
  <c r="G80" i="98"/>
  <c r="H80" i="98"/>
  <c r="E79" i="98"/>
  <c r="J79" i="98"/>
  <c r="D79" i="98"/>
  <c r="I79" i="98"/>
  <c r="F79" i="98"/>
  <c r="G79" i="98"/>
  <c r="H79" i="98"/>
  <c r="D83" i="98"/>
  <c r="E83" i="98"/>
  <c r="J83" i="98"/>
  <c r="I83" i="98"/>
  <c r="F83" i="98"/>
  <c r="G83" i="98"/>
  <c r="H83" i="98"/>
  <c r="J82" i="98"/>
  <c r="D82" i="98"/>
  <c r="E82" i="98"/>
  <c r="I82" i="98"/>
  <c r="F82" i="98"/>
  <c r="G82" i="98"/>
  <c r="H82" i="98"/>
  <c r="L81" i="96"/>
  <c r="D84" i="97"/>
  <c r="K78" i="97"/>
  <c r="D78" i="95"/>
  <c r="J78" i="95"/>
  <c r="I78" i="95"/>
  <c r="H78" i="95"/>
  <c r="G78" i="95"/>
  <c r="F78" i="95"/>
  <c r="E78" i="95"/>
  <c r="G78" i="59"/>
  <c r="I78" i="59"/>
  <c r="H78" i="59"/>
  <c r="J78" i="59"/>
  <c r="E78" i="59"/>
  <c r="F78" i="59"/>
  <c r="F78" i="98"/>
  <c r="J78" i="98"/>
  <c r="I78" i="98"/>
  <c r="H78" i="98"/>
  <c r="D78" i="98"/>
  <c r="E78" i="98"/>
  <c r="G78" i="98"/>
  <c r="D78" i="59"/>
  <c r="H8" i="51"/>
  <c r="I8" i="51"/>
  <c r="G8" i="51"/>
  <c r="F8" i="51"/>
  <c r="K78" i="96" l="1"/>
  <c r="D84" i="96"/>
  <c r="J25" i="68"/>
  <c r="S40" i="68"/>
  <c r="H25" i="68"/>
  <c r="R40" i="68"/>
  <c r="N80" i="96"/>
  <c r="M80" i="96"/>
  <c r="O80" i="96"/>
  <c r="M81" i="96"/>
  <c r="N81" i="96"/>
  <c r="O81" i="96"/>
  <c r="L79" i="96"/>
  <c r="O79" i="96"/>
  <c r="M79" i="96"/>
  <c r="N79" i="96"/>
  <c r="N82" i="96"/>
  <c r="L82" i="96"/>
  <c r="M82" i="96"/>
  <c r="O82" i="96"/>
  <c r="H84" i="98"/>
  <c r="J84" i="59"/>
  <c r="K82" i="98"/>
  <c r="I84" i="98"/>
  <c r="H84" i="59"/>
  <c r="K79" i="98"/>
  <c r="J84" i="98"/>
  <c r="I84" i="59"/>
  <c r="K83" i="98"/>
  <c r="G84" i="98"/>
  <c r="F84" i="98"/>
  <c r="G84" i="59"/>
  <c r="K81" i="98"/>
  <c r="K80" i="98"/>
  <c r="E84" i="98"/>
  <c r="F84" i="59"/>
  <c r="L78" i="97"/>
  <c r="L84" i="97" s="1"/>
  <c r="O78" i="97"/>
  <c r="O84" i="97" s="1"/>
  <c r="K21" i="68" s="1"/>
  <c r="N78" i="97"/>
  <c r="N84" i="97" s="1"/>
  <c r="M78" i="97"/>
  <c r="M84" i="97" s="1"/>
  <c r="K84" i="97"/>
  <c r="D84" i="98"/>
  <c r="K78" i="98"/>
  <c r="E84" i="59"/>
  <c r="N78" i="96"/>
  <c r="L78" i="96"/>
  <c r="M78" i="96"/>
  <c r="O78" i="96"/>
  <c r="D84" i="59"/>
  <c r="N79" i="59"/>
  <c r="D84" i="95"/>
  <c r="O83" i="59"/>
  <c r="L83" i="95"/>
  <c r="O80" i="95"/>
  <c r="K78" i="95"/>
  <c r="E84" i="95"/>
  <c r="K78" i="59"/>
  <c r="K26" i="68" l="1"/>
  <c r="T7" i="68" s="1"/>
  <c r="L21" i="68"/>
  <c r="L83" i="96"/>
  <c r="N83" i="96"/>
  <c r="N84" i="96" s="1"/>
  <c r="M83" i="96"/>
  <c r="O83" i="96"/>
  <c r="O84" i="96" s="1"/>
  <c r="I21" i="68" s="1"/>
  <c r="K84" i="96"/>
  <c r="M84" i="96"/>
  <c r="L84" i="96"/>
  <c r="N83" i="95"/>
  <c r="N79" i="98"/>
  <c r="L79" i="98"/>
  <c r="O79" i="98"/>
  <c r="M79" i="98"/>
  <c r="M80" i="98"/>
  <c r="N80" i="98"/>
  <c r="L80" i="98"/>
  <c r="O80" i="98"/>
  <c r="L83" i="98"/>
  <c r="O83" i="98"/>
  <c r="N83" i="98"/>
  <c r="M83" i="98"/>
  <c r="L82" i="98"/>
  <c r="O82" i="98"/>
  <c r="M82" i="98"/>
  <c r="N82" i="98"/>
  <c r="L81" i="98"/>
  <c r="O81" i="98"/>
  <c r="M81" i="98"/>
  <c r="N81" i="98"/>
  <c r="N78" i="98"/>
  <c r="K84" i="98"/>
  <c r="M78" i="98"/>
  <c r="O78" i="98"/>
  <c r="L78" i="98"/>
  <c r="T56" i="68"/>
  <c r="T36" i="68"/>
  <c r="N81" i="59"/>
  <c r="O81" i="59"/>
  <c r="L78" i="59"/>
  <c r="O78" i="59"/>
  <c r="N80" i="59"/>
  <c r="O80" i="59"/>
  <c r="L82" i="59"/>
  <c r="O82" i="59"/>
  <c r="M79" i="59"/>
  <c r="O79" i="59"/>
  <c r="L80" i="59"/>
  <c r="L79" i="59"/>
  <c r="M82" i="59"/>
  <c r="M80" i="59"/>
  <c r="M83" i="59"/>
  <c r="L83" i="59"/>
  <c r="N83" i="59"/>
  <c r="L79" i="95"/>
  <c r="O79" i="95"/>
  <c r="L81" i="95"/>
  <c r="O81" i="95"/>
  <c r="L82" i="95"/>
  <c r="O82" i="95"/>
  <c r="M83" i="95"/>
  <c r="O83" i="95"/>
  <c r="L78" i="95"/>
  <c r="O78" i="95"/>
  <c r="N79" i="95"/>
  <c r="M79" i="95"/>
  <c r="M81" i="95"/>
  <c r="N81" i="95"/>
  <c r="N82" i="59"/>
  <c r="L81" i="59"/>
  <c r="M81" i="59"/>
  <c r="M82" i="95"/>
  <c r="N82" i="95"/>
  <c r="L80" i="95"/>
  <c r="N80" i="95"/>
  <c r="M78" i="95"/>
  <c r="K84" i="95"/>
  <c r="N78" i="95"/>
  <c r="M80" i="95"/>
  <c r="N78" i="59"/>
  <c r="M78" i="59"/>
  <c r="K84" i="59"/>
  <c r="I26" i="68" l="1"/>
  <c r="J21" i="68"/>
  <c r="S56" i="68" s="1"/>
  <c r="S36" i="68"/>
  <c r="O84" i="98"/>
  <c r="M21" i="68" s="1"/>
  <c r="U36" i="68"/>
  <c r="M84" i="98"/>
  <c r="N84" i="98"/>
  <c r="L84" i="98"/>
  <c r="N84" i="59"/>
  <c r="O84" i="95"/>
  <c r="G21" i="68" s="1"/>
  <c r="H21" i="68" s="1"/>
  <c r="M84" i="59"/>
  <c r="L84" i="95"/>
  <c r="M84" i="95"/>
  <c r="N84" i="95"/>
  <c r="O84" i="59"/>
  <c r="E21" i="68" s="1"/>
  <c r="L84" i="59"/>
  <c r="M26" i="68" l="1"/>
  <c r="U7" i="68" s="1"/>
  <c r="N21" i="68"/>
  <c r="Q36" i="68"/>
  <c r="F21" i="68"/>
  <c r="S7" i="68"/>
  <c r="J26" i="68"/>
  <c r="U56" i="68"/>
  <c r="R36" i="68"/>
  <c r="G26" i="68"/>
  <c r="E26" i="68"/>
  <c r="AH20" i="68" s="1"/>
  <c r="R7" i="68" l="1"/>
  <c r="AH19" i="68"/>
  <c r="Q7" i="68"/>
  <c r="R56" i="68"/>
  <c r="H26" i="68"/>
  <c r="Q56" i="68"/>
  <c r="F26" i="68"/>
  <c r="Q7" i="91"/>
  <c r="U7" i="91" l="1"/>
  <c r="T7" i="91" l="1"/>
  <c r="R7" i="91" l="1"/>
  <c r="S7" i="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Elena Gomez Salazar</author>
  </authors>
  <commentList>
    <comment ref="L8" authorId="0" shapeId="0" xr:uid="{6C2CF969-1222-4A0D-A3B4-EE83A47D110D}">
      <text>
        <r>
          <rPr>
            <sz val="9"/>
            <color indexed="81"/>
            <rFont val="Tahoma"/>
            <family val="2"/>
          </rPr>
          <t>Plan de Acción para la Energía Sostenible</t>
        </r>
      </text>
    </comment>
    <comment ref="L9" authorId="0" shapeId="0" xr:uid="{D5E59B71-A687-4E4A-829E-9867E9BE801C}">
      <text>
        <r>
          <rPr>
            <sz val="10"/>
            <color indexed="81"/>
            <rFont val="Tahoma"/>
            <family val="2"/>
          </rPr>
          <t>Plan de Acción para el Clima y la Sostenibilidad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tc={5719B210-849A-42F2-945A-483D1DE76309}</author>
  </authors>
  <commentList>
    <comment ref="G121" authorId="0" shapeId="0" xr:uid="{5719B210-849A-42F2-945A-483D1DE76309}">
      <text>
        <t>[Comentario encadenado]
Su versión de Excel le permite leer este comentario encadenado; sin embargo, las ediciones que se apliquen se quitarán si el archivo se abre en una versión más reciente de Excel. Más información: https://go.microsoft.com/fwlink/?linkid=870924
Comentario:
    Celdas sin formulas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<sst xmlns="http://schemas.openxmlformats.org/spreadsheetml/2006/main" count="5625" uniqueCount="1015">
  <si>
    <t>VERSIÓN 1.1</t>
  </si>
  <si>
    <t>2.1. Alternativa 0 (A0)</t>
  </si>
  <si>
    <t>2.2. Alternativa 1 (A1)</t>
  </si>
  <si>
    <t>2.3. Alternativa 2 (A2)</t>
  </si>
  <si>
    <t>2.4. Alternativa 3 (A3)</t>
  </si>
  <si>
    <t>2.5. Alternativa 4 (A4)</t>
  </si>
  <si>
    <t>2. Checklist</t>
  </si>
  <si>
    <t>IDIOMA:</t>
  </si>
  <si>
    <t>Castellano</t>
  </si>
  <si>
    <t>Valencià</t>
  </si>
  <si>
    <t>Provincia</t>
  </si>
  <si>
    <t>Municipio</t>
  </si>
  <si>
    <t>Altura (m)</t>
  </si>
  <si>
    <t>Zona Climática</t>
  </si>
  <si>
    <t>Altitud</t>
  </si>
  <si>
    <t>Energia residencial</t>
  </si>
  <si>
    <t>Alternativas</t>
  </si>
  <si>
    <t>Castellón</t>
  </si>
  <si>
    <t>Aín</t>
  </si>
  <si>
    <t>C3</t>
  </si>
  <si>
    <t>Sí</t>
  </si>
  <si>
    <t>Mayor de 400 m</t>
  </si>
  <si>
    <t>No se conoce</t>
  </si>
  <si>
    <t>Alternativa 0</t>
  </si>
  <si>
    <t>Valencia</t>
  </si>
  <si>
    <t>Albocàsser</t>
  </si>
  <si>
    <t>C2</t>
  </si>
  <si>
    <t>No</t>
  </si>
  <si>
    <t>Menor de 400m</t>
  </si>
  <si>
    <t>A</t>
  </si>
  <si>
    <t>Nº de árboles en área urbana</t>
  </si>
  <si>
    <t>Alternativa 1</t>
  </si>
  <si>
    <t>Alicante</t>
  </si>
  <si>
    <t>Alcalà de Xivert</t>
  </si>
  <si>
    <t>B3</t>
  </si>
  <si>
    <t>B</t>
  </si>
  <si>
    <t>Alternativa 2</t>
  </si>
  <si>
    <t>Alcora, l’</t>
  </si>
  <si>
    <t>C</t>
  </si>
  <si>
    <t>Alternativa 3</t>
  </si>
  <si>
    <t>Alcudia de Veo</t>
  </si>
  <si>
    <t>D</t>
  </si>
  <si>
    <t>Alternativa 4</t>
  </si>
  <si>
    <t>Alfondeguilla</t>
  </si>
  <si>
    <t>E</t>
  </si>
  <si>
    <t>Algimia de Almonacid</t>
  </si>
  <si>
    <t>F</t>
  </si>
  <si>
    <t>Almassora</t>
  </si>
  <si>
    <t>Almedíjar</t>
  </si>
  <si>
    <t>Sin definir</t>
  </si>
  <si>
    <t>Almenara</t>
  </si>
  <si>
    <t>Alquerías del Niño Perdido</t>
  </si>
  <si>
    <t>Altura</t>
  </si>
  <si>
    <t>Arañuel</t>
  </si>
  <si>
    <t>Ares del Maestrat</t>
  </si>
  <si>
    <t>D1</t>
  </si>
  <si>
    <t>Argelita</t>
  </si>
  <si>
    <t>Artana</t>
  </si>
  <si>
    <t>Atzeneta del Maestrat</t>
  </si>
  <si>
    <t>Ayódar</t>
  </si>
  <si>
    <t>Azuébar</t>
  </si>
  <si>
    <t>Barracas</t>
  </si>
  <si>
    <t>Bejís</t>
  </si>
  <si>
    <t>D2</t>
  </si>
  <si>
    <t>Benafer</t>
  </si>
  <si>
    <t>Benafigos</t>
  </si>
  <si>
    <t>Benassal</t>
  </si>
  <si>
    <t>Benicarló</t>
  </si>
  <si>
    <t>Benicasim/Benicàssim</t>
  </si>
  <si>
    <t>Benlloc</t>
  </si>
  <si>
    <t>Betxí</t>
  </si>
  <si>
    <t>Borriana/Burriana</t>
  </si>
  <si>
    <t>Borriol</t>
  </si>
  <si>
    <t>Cabanes</t>
  </si>
  <si>
    <t>Càlig</t>
  </si>
  <si>
    <t>Canet lo Roig</t>
  </si>
  <si>
    <t>Castell de Cabres</t>
  </si>
  <si>
    <t>Castellfort</t>
  </si>
  <si>
    <t>Castellnovo</t>
  </si>
  <si>
    <t>Castelló de la Plana</t>
  </si>
  <si>
    <t>Castillo de Villamalefa</t>
  </si>
  <si>
    <t>Catí</t>
  </si>
  <si>
    <t>Caudiel</t>
  </si>
  <si>
    <t>Cervera del Maestre</t>
  </si>
  <si>
    <t>Chilches/Xilxes</t>
  </si>
  <si>
    <t>Chodos/Xodos</t>
  </si>
  <si>
    <t>E1</t>
  </si>
  <si>
    <t>Chóvar</t>
  </si>
  <si>
    <t>Cinctorres</t>
  </si>
  <si>
    <t>Cirat</t>
  </si>
  <si>
    <t>Cortes de Arenoso</t>
  </si>
  <si>
    <t>Costur</t>
  </si>
  <si>
    <t>Coves de Vinromà, les</t>
  </si>
  <si>
    <t>Culla</t>
  </si>
  <si>
    <t>Eslida</t>
  </si>
  <si>
    <t>Espadilla</t>
  </si>
  <si>
    <t>Fanzara</t>
  </si>
  <si>
    <t>Figueroles</t>
  </si>
  <si>
    <t>Forcall</t>
  </si>
  <si>
    <t>Fuente la Reina</t>
  </si>
  <si>
    <t>Fuentes de Ayódar</t>
  </si>
  <si>
    <t>Gaibiel</t>
  </si>
  <si>
    <t>Geldo</t>
  </si>
  <si>
    <t>Herbés</t>
  </si>
  <si>
    <t>Higueras</t>
  </si>
  <si>
    <t>Jana, la</t>
  </si>
  <si>
    <t>Jérica</t>
  </si>
  <si>
    <t>Llosa, la</t>
  </si>
  <si>
    <t>Lucena del Cid</t>
  </si>
  <si>
    <t>Ludiente</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</si>
  <si>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</si>
  <si>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</si>
  <si>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</si>
  <si>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</si>
  <si>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</si>
  <si>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</si>
  <si>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</si>
  <si>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</si>
  <si>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</si>
  <si>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</si>
  <si>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</si>
  <si>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</si>
  <si>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</si>
  <si>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</si>
  <si>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</si>
  <si>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Pobla de Benifassà, la</t>
  </si>
  <si>
    <t>C1</t>
  </si>
  <si>
    <t>Pobla Tornesa, la</t>
  </si>
  <si>
    <t>Portell de Morella</t>
  </si>
  <si>
    <t>Puebla de Arenoso</t>
  </si>
  <si>
    <t>Ribesalbes</t>
  </si>
  <si>
    <t>Rossell</t>
  </si>
  <si>
    <t>Sacañet</t>
  </si>
  <si>
    <t>Salzadella, la</t>
  </si>
  <si>
    <t>San Rafael del Río</t>
  </si>
  <si>
    <t>Sant Joan de Moró</t>
  </si>
  <si>
    <t>Sant Jordi/San Jorge</t>
  </si>
  <si>
    <t>Sant Mateu</t>
  </si>
  <si>
    <t>Santa Magdalena de Pulpis</t>
  </si>
  <si>
    <t>Segorbe</t>
  </si>
  <si>
    <t>Serratella, la</t>
  </si>
  <si>
    <t>Sierra Engarcerán</t>
  </si>
  <si>
    <t>Soneja</t>
  </si>
  <si>
    <t>Sot de Ferrer</t>
  </si>
  <si>
    <t>Sueras/Suera</t>
  </si>
  <si>
    <t>Tales</t>
  </si>
  <si>
    <t>Teresa</t>
  </si>
  <si>
    <t>Tírig</t>
  </si>
  <si>
    <t>Todolella</t>
  </si>
  <si>
    <t>Toga</t>
  </si>
  <si>
    <t>Torás</t>
  </si>
  <si>
    <t>Toro, El</t>
  </si>
  <si>
    <t>Torralba del Pinar</t>
  </si>
  <si>
    <t>Torre d’En Besora, la</t>
  </si>
  <si>
    <t>Torre d’en Doménec, la</t>
  </si>
  <si>
    <t>Torreblanca</t>
  </si>
  <si>
    <t>Torrechiva</t>
  </si>
  <si>
    <t>Traiguera</t>
  </si>
  <si>
    <t>Useras/Useres, les</t>
  </si>
  <si>
    <t>Vall d’Alba</t>
  </si>
  <si>
    <t>Vall de Almonacid</t>
  </si>
  <si>
    <t>Vall d’Uixó, la</t>
  </si>
  <si>
    <t>Vallat</t>
  </si>
  <si>
    <t>Vallibona</t>
  </si>
  <si>
    <t>Vilafamés</t>
  </si>
  <si>
    <t>Vilafranca/Villafranca del Cid</t>
  </si>
  <si>
    <t>Vilanova d’Alcolea</t>
  </si>
  <si>
    <t>Vilar de Canes</t>
  </si>
  <si>
    <t>Vila-real</t>
  </si>
  <si>
    <t>Vilavella, la</t>
  </si>
  <si>
    <t>Villahermosa del Río</t>
  </si>
  <si>
    <t>Villamalur</t>
  </si>
  <si>
    <t>Villanueva de Viver</t>
  </si>
  <si>
    <t>Villores</t>
  </si>
  <si>
    <t>Vinaròs</t>
  </si>
  <si>
    <t>Vistabella del Maestrat</t>
  </si>
  <si>
    <t>Viver</t>
  </si>
  <si>
    <t>Xert</t>
  </si>
  <si>
    <t>Zorita del Maestrazgo</t>
  </si>
  <si>
    <t>Zucaina</t>
  </si>
  <si>
    <t>Ademuz</t>
  </si>
  <si>
    <t>Ador</t>
  </si>
  <si>
    <t>B4</t>
  </si>
  <si>
    <t>Agullent</t>
  </si>
  <si>
    <t>Aielo de Malferit</t>
  </si>
  <si>
    <t>Aielo de Rugat</t>
  </si>
  <si>
    <t>Alaquàs</t>
  </si>
  <si>
    <t>Albaida</t>
  </si>
  <si>
    <t>Albal</t>
  </si>
  <si>
    <t>Albalat de la Ribera</t>
  </si>
  <si>
    <t>Albalat dels Sorells</t>
  </si>
  <si>
    <t>Albalat dels Tarongers</t>
  </si>
  <si>
    <t>Alberic</t>
  </si>
  <si>
    <t>Alborache</t>
  </si>
  <si>
    <t>Alboraia/Alboraya</t>
  </si>
  <si>
    <t>Albuixech</t>
  </si>
  <si>
    <t>Alcàntera de Xúquer</t>
  </si>
  <si>
    <t>Alcàsser</t>
  </si>
  <si>
    <t>Alcublas</t>
  </si>
  <si>
    <t>Alcúdia de Crespins, l’</t>
  </si>
  <si>
    <t>Alcúdia, l’</t>
  </si>
  <si>
    <t>Aldaia</t>
  </si>
  <si>
    <t>Alfafar</t>
  </si>
  <si>
    <t>Alfara de la Baronia</t>
  </si>
  <si>
    <t>Alfara del Patriarca</t>
  </si>
  <si>
    <t>Alfarp</t>
  </si>
  <si>
    <t>Alfarrasí</t>
  </si>
  <si>
    <t>Alfauir</t>
  </si>
  <si>
    <t>Algar de Palancia</t>
  </si>
  <si>
    <t>Algemesí</t>
  </si>
  <si>
    <t>Algímia d’Alfara</t>
  </si>
  <si>
    <t>Alginet</t>
  </si>
  <si>
    <t>Almàssera</t>
  </si>
  <si>
    <t>Almiserà</t>
  </si>
  <si>
    <t>Almoines</t>
  </si>
  <si>
    <t>Almussafes</t>
  </si>
  <si>
    <t>Alpuente</t>
  </si>
  <si>
    <t>Alqueria de la Comtessa, l’</t>
  </si>
  <si>
    <t>Alzira</t>
  </si>
  <si>
    <t>Andilla</t>
  </si>
  <si>
    <t>Anna</t>
  </si>
  <si>
    <t>Antella</t>
  </si>
  <si>
    <t>Aras de los Olmos</t>
  </si>
  <si>
    <t>Atzeneta d’Albaida</t>
  </si>
  <si>
    <t>Ayora</t>
  </si>
  <si>
    <t>Barx</t>
  </si>
  <si>
    <t>Barxeta</t>
  </si>
  <si>
    <t>Bèlgida</t>
  </si>
  <si>
    <t>Bellreguard</t>
  </si>
  <si>
    <t>Bellús</t>
  </si>
  <si>
    <t>Benagéber</t>
  </si>
  <si>
    <t>D3</t>
  </si>
  <si>
    <t>Benaguasil</t>
  </si>
  <si>
    <t>Benavites</t>
  </si>
  <si>
    <t>Beneixida</t>
  </si>
  <si>
    <t>Benetússer</t>
  </si>
  <si>
    <t>Beniarjó</t>
  </si>
  <si>
    <t>Beniatjar</t>
  </si>
  <si>
    <t>Benicolet</t>
  </si>
  <si>
    <t>Benicull de Xúquer</t>
  </si>
  <si>
    <t>Benifaió</t>
  </si>
  <si>
    <t>Benifairó de la Valldigna</t>
  </si>
  <si>
    <t>Benifairó de les Valls</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</si>
  <si>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</si>
  <si>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</si>
  <si>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</si>
  <si>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</si>
  <si>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</si>
  <si>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</si>
  <si>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</si>
  <si>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</si>
  <si>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</si>
  <si>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</si>
  <si>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</si>
  <si>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</si>
  <si>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</si>
  <si>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</si>
  <si>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</si>
  <si>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</si>
  <si>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</si>
  <si>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</si>
  <si>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</si>
  <si>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</si>
  <si>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</si>
  <si>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</si>
  <si>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</si>
  <si>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</si>
  <si>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</si>
  <si>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</si>
  <si>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</si>
  <si>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</si>
  <si>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</si>
  <si>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</si>
  <si>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</si>
  <si>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</si>
  <si>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</si>
  <si>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</si>
  <si>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</si>
  <si>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</si>
  <si>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Chella</t>
  </si>
  <si>
    <t>Chelva</t>
  </si>
  <si>
    <t>Chera</t>
  </si>
  <si>
    <t>Cheste</t>
  </si>
  <si>
    <t>Chiva</t>
  </si>
  <si>
    <t>Chulilla</t>
  </si>
  <si>
    <t>Cofrentes</t>
  </si>
  <si>
    <t>Corbera</t>
  </si>
  <si>
    <t>Cortes de Pallás</t>
  </si>
  <si>
    <t>Cotes</t>
  </si>
  <si>
    <t>Cullera</t>
  </si>
  <si>
    <t>Daimús</t>
  </si>
  <si>
    <t>Domeño</t>
  </si>
  <si>
    <t>Dos Aguas</t>
  </si>
  <si>
    <t>Eliana, l’</t>
  </si>
  <si>
    <t>Emperador</t>
  </si>
  <si>
    <t>Enguera</t>
  </si>
  <si>
    <t>Ènova, l’</t>
  </si>
  <si>
    <t>Estivella</t>
  </si>
  <si>
    <t>Estubeny</t>
  </si>
  <si>
    <t>Faura</t>
  </si>
  <si>
    <t>Favara</t>
  </si>
  <si>
    <t>A4</t>
  </si>
  <si>
    <t>Foios</t>
  </si>
  <si>
    <t>Font de la Figuera, la</t>
  </si>
  <si>
    <t>Font d’En Carròs, la</t>
  </si>
  <si>
    <t>Fontanars dels Alforins</t>
  </si>
  <si>
    <t>Fortaleny</t>
  </si>
  <si>
    <t>Fuenterrobles</t>
  </si>
  <si>
    <t>Gandia</t>
  </si>
  <si>
    <t>Gátova</t>
  </si>
  <si>
    <t>Gavarda</t>
  </si>
  <si>
    <t>Genovés, el</t>
  </si>
  <si>
    <t>Gestalgar</t>
  </si>
  <si>
    <t>Gilet</t>
  </si>
  <si>
    <t>Godella</t>
  </si>
  <si>
    <t>Godelleta</t>
  </si>
  <si>
    <t>Granja de la Costera, la</t>
  </si>
  <si>
    <t>Guadasséquies</t>
  </si>
  <si>
    <t>Guadassuar</t>
  </si>
  <si>
    <t>Guardamar de la Safor</t>
  </si>
  <si>
    <t>Higueruelas</t>
  </si>
  <si>
    <t>Jalance</t>
  </si>
  <si>
    <t>Jarafuel</t>
  </si>
  <si>
    <t>Llanera de Ranes</t>
  </si>
  <si>
    <t>Llaurí</t>
  </si>
  <si>
    <t>Llíria</t>
  </si>
  <si>
    <t>Llocnou d´En Fenollet</t>
  </si>
  <si>
    <t>Llocnou de la Corona</t>
  </si>
  <si>
    <t>Llocnou de Sant Jeroni</t>
  </si>
  <si>
    <t>Llombai</t>
  </si>
  <si>
    <t>Llosa de Ranes, la</t>
  </si>
  <si>
    <t>Llutxent</t>
  </si>
  <si>
    <t>Loriguilla</t>
  </si>
  <si>
    <t>Losa del Obispo</t>
  </si>
  <si>
    <t>Macastre</t>
  </si>
  <si>
    <t>Manises</t>
  </si>
  <si>
    <t>Manuel</t>
  </si>
  <si>
    <t>Marines</t>
  </si>
  <si>
    <t>Massalavés</t>
  </si>
  <si>
    <t>Massalfassar</t>
  </si>
  <si>
    <t>Massamagrell</t>
  </si>
  <si>
    <t>Massanassa</t>
  </si>
  <si>
    <t>Meliana</t>
  </si>
  <si>
    <t>Millares</t>
  </si>
  <si>
    <t>Miramar</t>
  </si>
  <si>
    <t>Mislata</t>
  </si>
  <si>
    <t>Mogente/Moixent</t>
  </si>
  <si>
    <t>Moncada</t>
  </si>
  <si>
    <t>Montaverner</t>
  </si>
  <si>
    <t>Montesa</t>
  </si>
  <si>
    <t>Montitxelvo/Montichelvo</t>
  </si>
  <si>
    <t>Montroi/Montroy</t>
  </si>
  <si>
    <t>Montserrat</t>
  </si>
  <si>
    <t>Museros</t>
  </si>
  <si>
    <t>Nàquera/Náquera</t>
  </si>
  <si>
    <t>Navarrés</t>
  </si>
  <si>
    <t>Novelé/Novetlè</t>
  </si>
  <si>
    <t>Oliva</t>
  </si>
  <si>
    <t>Olleria, l’</t>
  </si>
  <si>
    <t>Olocau</t>
  </si>
  <si>
    <t>Ontinyent</t>
  </si>
  <si>
    <t>Otos</t>
  </si>
  <si>
    <t>Paiporta</t>
  </si>
  <si>
    <t>Palma de Gandía</t>
  </si>
  <si>
    <t>Palmera</t>
  </si>
  <si>
    <t>Palomar, el</t>
  </si>
  <si>
    <t>Paterna</t>
  </si>
  <si>
    <t>Pedralba</t>
  </si>
  <si>
    <t>Petrés</t>
  </si>
  <si>
    <t>Picanya</t>
  </si>
  <si>
    <t>Picassent</t>
  </si>
  <si>
    <t>Piles</t>
  </si>
  <si>
    <t>Pinet</t>
  </si>
  <si>
    <t>Pobla de Farnals, la</t>
  </si>
  <si>
    <t>Pobla de Vallbona, la</t>
  </si>
  <si>
    <t>Pobla del Duc, la</t>
  </si>
  <si>
    <t>Pobla Llarga, la</t>
  </si>
  <si>
    <t>Polinyà de Xúquer</t>
  </si>
  <si>
    <t>Potries</t>
  </si>
  <si>
    <t>Puçol</t>
  </si>
  <si>
    <t>A3</t>
  </si>
  <si>
    <t>Puebla de San Miguel</t>
  </si>
  <si>
    <t>Puig de Santa Maria, el</t>
  </si>
  <si>
    <t>Quart de les Valls</t>
  </si>
  <si>
    <t>Quart de Poblet</t>
  </si>
  <si>
    <t>Quartell</t>
  </si>
  <si>
    <t>Quatretonda</t>
  </si>
  <si>
    <t>Quesa</t>
  </si>
  <si>
    <t>Rafelbunyol</t>
  </si>
  <si>
    <t>Rafelcofer</t>
  </si>
  <si>
    <t>Rafelguaraf</t>
  </si>
  <si>
    <t>Ráfol de Salem</t>
  </si>
  <si>
    <t>Real</t>
  </si>
  <si>
    <t>Real de Gandia, el</t>
  </si>
  <si>
    <t>Requena</t>
  </si>
  <si>
    <t>Riba-roja de Túria</t>
  </si>
  <si>
    <t>Riola</t>
  </si>
  <si>
    <t>Rocafort</t>
  </si>
  <si>
    <t>Rotglà i Corberà</t>
  </si>
  <si>
    <t>Rótova</t>
  </si>
  <si>
    <t>Rugat</t>
  </si>
  <si>
    <t>Sagunto/Sagunt</t>
  </si>
  <si>
    <t>Salem</t>
  </si>
  <si>
    <t>San Antonio de Benagéber</t>
  </si>
  <si>
    <t>Sant Joanet</t>
  </si>
  <si>
    <t>Sedaví</t>
  </si>
  <si>
    <t>Segart</t>
  </si>
  <si>
    <t>Sellent</t>
  </si>
  <si>
    <t>Sempere</t>
  </si>
  <si>
    <t>Senyera</t>
  </si>
  <si>
    <t>Serra</t>
  </si>
  <si>
    <t>Siete Aguas</t>
  </si>
  <si>
    <t>Silla</t>
  </si>
  <si>
    <t>Simat de la Valldigna</t>
  </si>
  <si>
    <t>Sinarcas</t>
  </si>
  <si>
    <t>Sollana</t>
  </si>
  <si>
    <t>Sot de Chera</t>
  </si>
  <si>
    <t>Sueca</t>
  </si>
  <si>
    <t>Sumacàrcer</t>
  </si>
  <si>
    <t>Tavernes Blanques</t>
  </si>
  <si>
    <t>Tavernes de la Valldigna</t>
  </si>
  <si>
    <t>Teresa de Cofrentes</t>
  </si>
  <si>
    <t>Terrateig</t>
  </si>
  <si>
    <t>Titaguas</t>
  </si>
  <si>
    <t>Torrebaja</t>
  </si>
  <si>
    <t>Torrella</t>
  </si>
  <si>
    <t>Torrent</t>
  </si>
  <si>
    <t>Torres Torres</t>
  </si>
  <si>
    <t>Tous</t>
  </si>
  <si>
    <t>Tuéjar</t>
  </si>
  <si>
    <t>Turís</t>
  </si>
  <si>
    <t>Utiel</t>
  </si>
  <si>
    <t>València</t>
  </si>
  <si>
    <t>Vallada</t>
  </si>
  <si>
    <t>Vallanca</t>
  </si>
  <si>
    <t>Vallés</t>
  </si>
  <si>
    <t>Venta del Moro</t>
  </si>
  <si>
    <t>Vilallonga/Villalonga</t>
  </si>
  <si>
    <t>Vilamarxant</t>
  </si>
  <si>
    <t>Villanueva de Castellón</t>
  </si>
  <si>
    <t>Villar del Arzobispo</t>
  </si>
  <si>
    <t>Villargordo del Cabriel</t>
  </si>
  <si>
    <t>Vinalesa</t>
  </si>
  <si>
    <t>Xàtiva</t>
  </si>
  <si>
    <t>Xeraco</t>
  </si>
  <si>
    <t>Xeresa</t>
  </si>
  <si>
    <t>Xirivella</t>
  </si>
  <si>
    <t>Yátova</t>
  </si>
  <si>
    <t>Yesa, La</t>
  </si>
  <si>
    <t>VALENCIA</t>
  </si>
  <si>
    <t>Zarra</t>
  </si>
  <si>
    <t>ALICANTE</t>
  </si>
  <si>
    <t>Agost</t>
  </si>
  <si>
    <t>Agres</t>
  </si>
  <si>
    <t>Aigües</t>
  </si>
  <si>
    <t>Albatera</t>
  </si>
  <si>
    <t>Alcalalí</t>
  </si>
  <si>
    <t>Alcocer de Planes</t>
  </si>
  <si>
    <t>Alcoleja</t>
  </si>
  <si>
    <t>Alcoy/Alcoi</t>
  </si>
  <si>
    <t>Alfafara</t>
  </si>
  <si>
    <t>Alfàs del Pi, l’</t>
  </si>
  <si>
    <t>Algorfa</t>
  </si>
  <si>
    <t>Algueña</t>
  </si>
  <si>
    <t>Alicante/Alacant</t>
  </si>
  <si>
    <t>Almoradí</t>
  </si>
  <si>
    <t>Almudaina</t>
  </si>
  <si>
    <t>Alqueria d’Asnar, l’</t>
  </si>
  <si>
    <t>Altea</t>
  </si>
  <si>
    <t>Aspe</t>
  </si>
  <si>
    <t>Atzúbia, l’</t>
  </si>
  <si>
    <t>Balones</t>
  </si>
  <si>
    <t>Banyeres de Mariola</t>
  </si>
  <si>
    <t>Benasau</t>
  </si>
  <si>
    <t>Beneixama</t>
  </si>
  <si>
    <t>Benejúzar</t>
  </si>
  <si>
    <t>Benferri</t>
  </si>
  <si>
    <t>Beniarbeig</t>
  </si>
  <si>
    <t>Beniardá</t>
  </si>
  <si>
    <t>Beniarrés</t>
  </si>
  <si>
    <t>Benidoleig</t>
  </si>
  <si>
    <t>Benidorm</t>
  </si>
  <si>
    <t>Benifallim</t>
  </si>
  <si>
    <t>Benifato</t>
  </si>
  <si>
    <t>Benigembla</t>
  </si>
  <si>
    <t>Benijófar</t>
  </si>
  <si>
    <t>Benilloba</t>
  </si>
  <si>
    <t>Benillup</t>
  </si>
  <si>
    <t>Benimantell</t>
  </si>
  <si>
    <t>Benimarfull</t>
  </si>
  <si>
    <t>Benimassot</t>
  </si>
  <si>
    <t>Benimeli</t>
  </si>
  <si>
    <t>Benissa</t>
  </si>
  <si>
    <t>Benitachell/
Poble Nou de Benitatxell, el</t>
  </si>
  <si>
    <t>Biar</t>
  </si>
  <si>
    <t>Bigastro</t>
  </si>
  <si>
    <t>Bolulla</t>
  </si>
  <si>
    <t>Busot</t>
  </si>
  <si>
    <t>Callosa de Segura</t>
  </si>
  <si>
    <t>Callosa d’en Sarrià</t>
  </si>
  <si>
    <t>Calp</t>
  </si>
  <si>
    <t>Campello, el</t>
  </si>
  <si>
    <t>Campo de Mirra/
Camp de Mirra, el</t>
  </si>
  <si>
    <t>Cañada</t>
  </si>
  <si>
    <t>Castalla</t>
  </si>
  <si>
    <t>Castell de Castells</t>
  </si>
  <si>
    <t>Castell de Guadalest, el</t>
  </si>
  <si>
    <t>Catral</t>
  </si>
  <si>
    <t>Cocentaina</t>
  </si>
  <si>
    <t>Confrides</t>
  </si>
  <si>
    <t>Cox</t>
  </si>
  <si>
    <t>Crevillent</t>
  </si>
  <si>
    <t>Daya Nueva</t>
  </si>
  <si>
    <t>Daya Vieja</t>
  </si>
  <si>
    <t>Dénia</t>
  </si>
  <si>
    <t>Dolores</t>
  </si>
  <si>
    <t>Elche/Elx</t>
  </si>
  <si>
    <t>Elda</t>
  </si>
  <si>
    <t>Facheca</t>
  </si>
  <si>
    <t>Famorca</t>
  </si>
  <si>
    <t>Finestrat</t>
  </si>
  <si>
    <t>Fondó de les Neus, el/
Hondón de las Nieves</t>
  </si>
  <si>
    <t>Formentera del Segura</t>
  </si>
  <si>
    <t>Gaianes</t>
  </si>
  <si>
    <t>Gata de Gorgos</t>
  </si>
  <si>
    <t>Gorga</t>
  </si>
  <si>
    <t>Granja de Rocamora</t>
  </si>
  <si>
    <t>Guardamar del Segura</t>
  </si>
  <si>
    <t>Hondón de los Frailes</t>
  </si>
  <si>
    <t>Ibi</t>
  </si>
  <si>
    <t>Jacarilla</t>
  </si>
  <si>
    <t>Jávea/Xàbia</t>
  </si>
  <si>
    <t>Jijona/Xixona</t>
  </si>
  <si>
    <t>Llíber</t>
  </si>
  <si>
    <t>Lorcha/Orxa, l’</t>
  </si>
  <si>
    <t>Millena</t>
  </si>
  <si>
    <t>Monforte del Cid</t>
  </si>
  <si>
    <t>Monóvar/Monòver</t>
  </si>
  <si>
    <t>Montesinos, Los</t>
  </si>
  <si>
    <t>Murla</t>
  </si>
  <si>
    <t>Muro de Alcoy</t>
  </si>
  <si>
    <t>Mutxamel</t>
  </si>
  <si>
    <t>Novelda</t>
  </si>
  <si>
    <t>Nucia, la</t>
  </si>
  <si>
    <t>Ondara</t>
  </si>
  <si>
    <t>Onil</t>
  </si>
  <si>
    <t>Orba</t>
  </si>
  <si>
    <t>Orihuela</t>
  </si>
  <si>
    <t>Orxeta</t>
  </si>
  <si>
    <t>Parcent</t>
  </si>
  <si>
    <t>Pedreguer</t>
  </si>
  <si>
    <t>Pego</t>
  </si>
  <si>
    <t>Penàguila</t>
  </si>
  <si>
    <t>Petrer</t>
  </si>
  <si>
    <t>Pilar de la Horadada</t>
  </si>
  <si>
    <t>Pinós, el/Pinoso</t>
  </si>
  <si>
    <t>Planes</t>
  </si>
  <si>
    <t>Poblets, els</t>
  </si>
  <si>
    <t>Polop</t>
  </si>
  <si>
    <t>Quatretondeta</t>
  </si>
  <si>
    <t>Rafal</t>
  </si>
  <si>
    <t>Ràfol d’Almúnia, el</t>
  </si>
  <si>
    <t>Redován</t>
  </si>
  <si>
    <t>Relleu</t>
  </si>
  <si>
    <t>Rojales</t>
  </si>
  <si>
    <t>Romana, la</t>
  </si>
  <si>
    <t>Sagra</t>
  </si>
  <si>
    <t>Salinas</t>
  </si>
  <si>
    <t>San Fulgencio</t>
  </si>
  <si>
    <t>San Isidro</t>
  </si>
  <si>
    <t>San Miguel de Salinas</t>
  </si>
  <si>
    <t>San Vicente del Raspeig/
Sant Vicent del Raspeig</t>
  </si>
  <si>
    <t>Sanet y Negrals</t>
  </si>
  <si>
    <t>Sant Joan d’Alacant</t>
  </si>
  <si>
    <t>Santa Pola</t>
  </si>
  <si>
    <t>Sax</t>
  </si>
  <si>
    <t>Sella</t>
  </si>
  <si>
    <t>Senija</t>
  </si>
  <si>
    <t>Tàrbena</t>
  </si>
  <si>
    <t>Teulada</t>
  </si>
  <si>
    <t>Tibi</t>
  </si>
  <si>
    <t>Tollos</t>
  </si>
  <si>
    <t>Tormos</t>
  </si>
  <si>
    <t>Torremanzanas/
Torre de les Maçanes, la</t>
  </si>
  <si>
    <t>Torrevieja</t>
  </si>
  <si>
    <t>Vall d’Alcalà, la</t>
  </si>
  <si>
    <t>Vall de Gallinera</t>
  </si>
  <si>
    <t>Vall de Laguar, la</t>
  </si>
  <si>
    <t>Vall d’Ebo, la</t>
  </si>
  <si>
    <t>Verger, el</t>
  </si>
  <si>
    <t>Villajoyosa/Vila Joiosa, la</t>
  </si>
  <si>
    <t>Villena</t>
  </si>
  <si>
    <t>Xaló</t>
  </si>
  <si>
    <t>PAES</t>
  </si>
  <si>
    <t>PACES</t>
  </si>
  <si>
    <t>Actual (Alt 0)</t>
  </si>
  <si>
    <t>A. Energía</t>
  </si>
  <si>
    <t>RESIDENCIAL</t>
  </si>
  <si>
    <t>Unidades</t>
  </si>
  <si>
    <t>m2</t>
  </si>
  <si>
    <t>m playa</t>
  </si>
  <si>
    <t>Actividades económicas</t>
  </si>
  <si>
    <t>TOTAL</t>
  </si>
  <si>
    <t>Alternativa O</t>
  </si>
  <si>
    <t>Superficie (m2)</t>
  </si>
  <si>
    <t>Comercio</t>
  </si>
  <si>
    <t>Hotel</t>
  </si>
  <si>
    <t>Sin especificar</t>
  </si>
  <si>
    <t>Andando</t>
  </si>
  <si>
    <t>%</t>
  </si>
  <si>
    <t>Bici</t>
  </si>
  <si>
    <t>Automovil</t>
  </si>
  <si>
    <t>Moto</t>
  </si>
  <si>
    <t>Autobus discrecional</t>
  </si>
  <si>
    <t>Autobus urbano e interurbano</t>
  </si>
  <si>
    <t>Ferrocarril</t>
  </si>
  <si>
    <t>Pastizal</t>
  </si>
  <si>
    <t>Coníferas</t>
  </si>
  <si>
    <t>Frondosas caducifolias</t>
  </si>
  <si>
    <t>Frondosas perennes</t>
  </si>
  <si>
    <t>Matorral</t>
  </si>
  <si>
    <t>ALTERNATIVA 0</t>
  </si>
  <si>
    <t>Categoria</t>
  </si>
  <si>
    <t>Superfície (m2)</t>
  </si>
  <si>
    <t>Emisiones (t CO2e)</t>
  </si>
  <si>
    <t>Categoria A</t>
  </si>
  <si>
    <t>Categoria B</t>
  </si>
  <si>
    <t>Categoria C</t>
  </si>
  <si>
    <t>Categoria D</t>
  </si>
  <si>
    <t>Categoria E</t>
  </si>
  <si>
    <t>Categoria F</t>
  </si>
  <si>
    <t>Total</t>
  </si>
  <si>
    <t>Industria</t>
  </si>
  <si>
    <t>Tipo</t>
  </si>
  <si>
    <t>Terciario</t>
  </si>
  <si>
    <t>t CO2/año</t>
  </si>
  <si>
    <t>A.4 TOTAL</t>
  </si>
  <si>
    <t>Emisiones GEI (t CO2/año)</t>
  </si>
  <si>
    <t xml:space="preserve">Total km </t>
  </si>
  <si>
    <t xml:space="preserve">Residencial </t>
  </si>
  <si>
    <t>Viviendas</t>
  </si>
  <si>
    <t>Residuos</t>
  </si>
  <si>
    <t>Dotacional</t>
  </si>
  <si>
    <t>Emisiones agua</t>
  </si>
  <si>
    <t>ALTERNATIVA 2</t>
  </si>
  <si>
    <t>ALTERNATIVA 3</t>
  </si>
  <si>
    <t>ALTERNATIVA 4</t>
  </si>
  <si>
    <t>Per cápita</t>
  </si>
  <si>
    <t>Emisiones energia</t>
  </si>
  <si>
    <t>Emisiones movilidad</t>
  </si>
  <si>
    <t>Emisiones residuos</t>
  </si>
  <si>
    <t>Sumideros de CO2</t>
  </si>
  <si>
    <t>Residencial</t>
  </si>
  <si>
    <t>Industrial</t>
  </si>
  <si>
    <t>ENERGIA</t>
  </si>
  <si>
    <t>Fuente</t>
  </si>
  <si>
    <t>Calificación de la eficiencia energética de los edificios [PDF][7,16 MB] (energia.gob.es)</t>
  </si>
  <si>
    <t xml:space="preserve"> </t>
  </si>
  <si>
    <t>-</t>
  </si>
  <si>
    <t>Asemejado a tipología D de acuerdo al Código Técnico de Edificación</t>
  </si>
  <si>
    <t>https://www.codigotecnico.org/images/stories/pdf/ahorroEnergia/DccHE.pdf</t>
  </si>
  <si>
    <t>FACTORES DE EMISIÓN</t>
  </si>
  <si>
    <t>Concepto</t>
  </si>
  <si>
    <t>Cálculos propios</t>
  </si>
  <si>
    <t>TRANSPORTE</t>
  </si>
  <si>
    <t>viajes /100 m² de techo</t>
  </si>
  <si>
    <t>Decreto 344/2006, de 19 de septiembre, de regulación de los estudios de evaluación de la movilidad generada.</t>
  </si>
  <si>
    <t xml:space="preserve"> kg GEI/km</t>
  </si>
  <si>
    <t>Medium car fuel type unknown</t>
  </si>
  <si>
    <t>Medium motorbike</t>
  </si>
  <si>
    <t>Average local bus</t>
  </si>
  <si>
    <t>National rail</t>
  </si>
  <si>
    <t>RESIDUOS</t>
  </si>
  <si>
    <t>Unidad</t>
  </si>
  <si>
    <t>Sector Residencial</t>
  </si>
  <si>
    <t>Calculos propios</t>
  </si>
  <si>
    <t xml:space="preserve"> kg CO2/m2</t>
  </si>
  <si>
    <t>Consumo municipal/dotacional</t>
  </si>
  <si>
    <t>EMISIONES DE GESTIÓN DE RESIDUOS</t>
  </si>
  <si>
    <t>Tipo de gestión</t>
  </si>
  <si>
    <t>Residuos comerciales e industriales</t>
  </si>
  <si>
    <t>Incineración</t>
  </si>
  <si>
    <t>kg CO2e/t</t>
  </si>
  <si>
    <t>IPCC</t>
  </si>
  <si>
    <t>Vertedero</t>
  </si>
  <si>
    <t>Residuos domiciliarios</t>
  </si>
  <si>
    <t>Fracción orgánica</t>
  </si>
  <si>
    <t>Compostaje</t>
  </si>
  <si>
    <t>Vidrio</t>
  </si>
  <si>
    <t>Reciclaje</t>
  </si>
  <si>
    <t>Envases</t>
  </si>
  <si>
    <t>Papel y cartón</t>
  </si>
  <si>
    <t>AGUA</t>
  </si>
  <si>
    <t>kg CO2/vivienda/ año</t>
  </si>
  <si>
    <t>kg CO2/m2/ año</t>
  </si>
  <si>
    <t xml:space="preserve"> kg CO2/m2/año</t>
  </si>
  <si>
    <t>EMISIÓN DE SUMINISTRO DE AGUA</t>
  </si>
  <si>
    <t>Factor de emisión agua</t>
  </si>
  <si>
    <t>kg CO2e/m3</t>
  </si>
  <si>
    <t xml:space="preserve">DEFRA, 2022. Government conversion factors for company reporting. Greenhouse Gas Conversion Factor Repository 2022. http://www.ukconversionfactorscarbonsmart.co.uk/ </t>
  </si>
  <si>
    <t>ABSORCIONES Y CAMBIOS DE USOS DEL SUELO</t>
  </si>
  <si>
    <t>ABSORCIONES</t>
  </si>
  <si>
    <t>Especie</t>
  </si>
  <si>
    <t>Factor de absorción CO2</t>
  </si>
  <si>
    <t>Árboles de ribera</t>
  </si>
  <si>
    <t>kg CO2/año y pie</t>
  </si>
  <si>
    <t>Ceratonia siliqua</t>
  </si>
  <si>
    <t>Juníperus oxicedrus</t>
  </si>
  <si>
    <t xml:space="preserve">Juniperus thurifera  </t>
  </si>
  <si>
    <t>Olea europaea</t>
  </si>
  <si>
    <t>Otras frondosas</t>
  </si>
  <si>
    <t>Pinus halepensis</t>
  </si>
  <si>
    <t>Pinus nigra</t>
  </si>
  <si>
    <t>Pinus master</t>
  </si>
  <si>
    <t>Pinus pinea</t>
  </si>
  <si>
    <t>Pinus sylvestris</t>
  </si>
  <si>
    <t>Populus x canadensis</t>
  </si>
  <si>
    <t>Quercus fanigea</t>
  </si>
  <si>
    <t>Querqus ilex</t>
  </si>
  <si>
    <t>Frondosas</t>
  </si>
  <si>
    <t>1 (gva.es)</t>
  </si>
  <si>
    <t>POTENCIALES DE CALENTAMIENTO GLOBAL</t>
  </si>
  <si>
    <t>GAS</t>
  </si>
  <si>
    <t>PCG</t>
  </si>
  <si>
    <t>CO2</t>
  </si>
  <si>
    <t>kg CO2eq/kg CO2</t>
  </si>
  <si>
    <t>https://www.ipcc.ch/site/assets/uploads/2018/02/WG1AR5_all_final.pdf</t>
  </si>
  <si>
    <t>CH4</t>
  </si>
  <si>
    <t>kg CO2eq/kg CH4</t>
  </si>
  <si>
    <t>N2O</t>
  </si>
  <si>
    <t>kg CO2eq/kg N2O</t>
  </si>
  <si>
    <t>DATOS GENERALES</t>
  </si>
  <si>
    <t>Banco de Datos Territorial. Planeamiento urbanístico municipal</t>
  </si>
  <si>
    <t>Clasificación del suelo. Año 1998</t>
  </si>
  <si>
    <t>https://pegv.gva.es/es/bdt?tema=NOIN0004</t>
  </si>
  <si>
    <t>Protegido</t>
  </si>
  <si>
    <t>No protegido</t>
  </si>
  <si>
    <t>Urbano</t>
  </si>
  <si>
    <t>Urbanizable</t>
  </si>
  <si>
    <t>No urbanizable</t>
  </si>
  <si>
    <t>Comunitat Valenciana (ha)</t>
  </si>
  <si>
    <t>Comunitat Valenciana (m2)</t>
  </si>
  <si>
    <t>Calificación del suelo en la Comunidad Valenciana</t>
  </si>
  <si>
    <t>analisis.pdf (gva.es)</t>
  </si>
  <si>
    <t>Clases del suelo (en ha)</t>
  </si>
  <si>
    <t>Suelo urbano</t>
  </si>
  <si>
    <t>Suelo urbanizable</t>
  </si>
  <si>
    <t>Total superficie</t>
  </si>
  <si>
    <t>ENERGÍA</t>
  </si>
  <si>
    <t>BALANCE ENERGÉTICO COMUNIDAD VALENCIANA</t>
  </si>
  <si>
    <t>Demanda de energía final por sectores económicos. Comunidad Valenciana</t>
  </si>
  <si>
    <t>https://www.ivace.es/index.php/es/documentos/energia-publicaciones</t>
  </si>
  <si>
    <t>Miles de tep</t>
  </si>
  <si>
    <t>Promedio</t>
  </si>
  <si>
    <t>Ag y Pesca</t>
  </si>
  <si>
    <t>Servicios</t>
  </si>
  <si>
    <t>Doméstico</t>
  </si>
  <si>
    <t>Transporte</t>
  </si>
  <si>
    <t>Factor conversión tep a kWh</t>
  </si>
  <si>
    <t>Asignación de emisiones a las áreas estratégicas</t>
  </si>
  <si>
    <t>https://ghg-observatory.es/inventarios-gei-comunidad-valenciana/</t>
  </si>
  <si>
    <t>t CO2e</t>
  </si>
  <si>
    <t>Agricultura y Pesca</t>
  </si>
  <si>
    <t>Edificación y vivienda</t>
  </si>
  <si>
    <t>Energía</t>
  </si>
  <si>
    <t>Transporte y movilidad</t>
  </si>
  <si>
    <t>Usos de la tierra, cambios de uso y silvicultura</t>
  </si>
  <si>
    <t>Turismo</t>
  </si>
  <si>
    <t>Comercial/Servicios</t>
  </si>
  <si>
    <t>Administraciones públicas</t>
  </si>
  <si>
    <t>Institucional</t>
  </si>
  <si>
    <t>TASA DE GENERACIÓN DE RESIDUOS PER CÁPITA</t>
  </si>
  <si>
    <t>https://www.ine.es/jaxi/Tabla.htm?path=/t26/p069/p01/l0/&amp;file=02001.px&amp;L=0</t>
  </si>
  <si>
    <t>Año 2020</t>
  </si>
  <si>
    <t>Residuos Mezcladps</t>
  </si>
  <si>
    <t>Residuos de papel y cartón</t>
  </si>
  <si>
    <t>Resdiduos de vidrio</t>
  </si>
  <si>
    <t>Envases mixtos y embalajes mezclados</t>
  </si>
  <si>
    <t>Comunitat Valenciana (kg/bah*año)</t>
  </si>
  <si>
    <t>Distribución porcentual del tratamiento final de residuos urbanos por tipo de tratamiento</t>
  </si>
  <si>
    <t>Año</t>
  </si>
  <si>
    <t>Reciclado</t>
  </si>
  <si>
    <t>Vertido</t>
  </si>
  <si>
    <t>Tratamiento final residuos urbanos</t>
  </si>
  <si>
    <t>CÁLCULO DE CONSUMOS DE AGUA POR SECTORES Y ACTIVIDADES</t>
  </si>
  <si>
    <t>Volúmenes de agua registrados y suministrados por tipo de usuario. Año 2020</t>
  </si>
  <si>
    <t>Hogares</t>
  </si>
  <si>
    <t>Sectores económicos</t>
  </si>
  <si>
    <t>Consumos municipales</t>
  </si>
  <si>
    <t>Comunidad Valenciana (miles de m3)</t>
  </si>
  <si>
    <t>https://pegv.gva.es/es/estad%C3%ADstica-sobre-el-subministrament-i-sanejament-de-l-aigua</t>
  </si>
  <si>
    <t>Número de hogares por provincia. Año 2020</t>
  </si>
  <si>
    <t>Número hogares</t>
  </si>
  <si>
    <t>Comunidad Valenciana (miles de hogares)</t>
  </si>
  <si>
    <t>https://www.ine.es/jaxi/Datos.htm?path=/t20/p274/serie/def/p03/l0/&amp;file=03003.px</t>
  </si>
  <si>
    <t>Ratios generales de consumo por sector y actividad</t>
  </si>
  <si>
    <t>Consumo por hogar</t>
  </si>
  <si>
    <t>m3/hogar</t>
  </si>
  <si>
    <t>Consumo por sectores económicos</t>
  </si>
  <si>
    <t>m3/m2</t>
  </si>
  <si>
    <t>Coef peso materia seca del fuste sobre el ábrol completo</t>
  </si>
  <si>
    <t>% peso de carbono</t>
  </si>
  <si>
    <t>RCP 4.5</t>
  </si>
  <si>
    <t>Visor de Escenarios de Cambio Climático
Agencia Estatal de Meteorología - AEMET. Gobierno de España</t>
  </si>
  <si>
    <r>
      <rPr>
        <sz val="11"/>
        <color rgb="FF000000"/>
        <rFont val="Calibri"/>
        <family val="2"/>
      </rPr>
      <t xml:space="preserve">FASE  4. Análisis de la VULNERABILIDAD
</t>
    </r>
    <r>
      <rPr>
        <sz val="11"/>
        <color rgb="FF375623"/>
        <rFont val="Calibri"/>
        <family val="2"/>
      </rPr>
      <t>La vulnerabilidad hace referencia a la caracterización y valoración del territorio, sus sistemas o sectores, infraestructuras, y a la población y especies que lo habitan, en función de su propensión o predisposición a verse afectado por una amenaza climática. Se explica a través de dos componentes: la sensibilidad o susceptibilidad al daño y la capacidad para hacerle frente y superar los efectos o capacidad adaptativa.</t>
    </r>
  </si>
  <si>
    <t>Calculo con datos del Visor GVA - Generalitat Valenciana o del Centro de Descargas del CNIG (IGN)
Sistema Nacional de Cartografía de Zonas Inundables – Inventario de Presas y Embalses</t>
  </si>
  <si>
    <t>Calculo con datos del Visor GVA - Generalitat Valenciana o del Centro de Descargas del CNIG (IGN)</t>
  </si>
  <si>
    <t>SI/NO</t>
  </si>
  <si>
    <t>Si</t>
  </si>
  <si>
    <t>(Superficie) ha</t>
  </si>
  <si>
    <t>Visor GVA - Generalitat Valenciana</t>
  </si>
  <si>
    <t>SI/ DE FORMA PARCIAL/ NO</t>
  </si>
  <si>
    <t>De forma parcial</t>
  </si>
  <si>
    <t>Calculo con datos del Visor GVA Generalitat Valenciana  - Capa de Inundabilidad Costera 
Sistema Nacional de Cartografía de Zonas Inundables – Inventario de Presas y Embalses
https://geoadaptacostes.gva.es/
Centro de Descargas del CNIG (IGN)</t>
  </si>
  <si>
    <t>Portal Estadístico de la Generalitat Valenciana - Portal …</t>
  </si>
  <si>
    <t>Precipitación media máxima</t>
  </si>
  <si>
    <t>Indicar valor en Ha (area afectada por los niveles medio, alto y/o desprendimiento en susceptibilidad de deslizamientos)</t>
  </si>
  <si>
    <t>SI/  NO</t>
  </si>
  <si>
    <t>Indicar superficie (ha)</t>
  </si>
  <si>
    <t>SI / DE FORMA PARCIAL / NO</t>
  </si>
  <si>
    <t>Indicar valor (hab/ha)</t>
  </si>
  <si>
    <t>Calculo con datos del Visor GVA - Generalitat Valenciana</t>
  </si>
  <si>
    <t>Indicar valor (Árboles/hab)</t>
  </si>
  <si>
    <t>Plan a evaluación
Visor GVA - Generalitat Valenciana</t>
  </si>
  <si>
    <t>Indicar valor (Superficie/hab)</t>
  </si>
  <si>
    <t>Indicar valor (Centros de salud/1.000 hab)</t>
  </si>
  <si>
    <t>AdapteCCA
Agencia Estatal de Meteorología - AEMET. Gobierno de España</t>
  </si>
  <si>
    <t>Máximo N° de días consecutivos con precipitación &lt; 1mm</t>
  </si>
  <si>
    <t>Informes y mapas mensuales de sequía y escasez.</t>
  </si>
  <si>
    <t>Bueno/Malo</t>
  </si>
  <si>
    <t>litros/ habitante</t>
  </si>
  <si>
    <t>(litros/superficie verde)</t>
  </si>
  <si>
    <t>SI / NO</t>
  </si>
  <si>
    <t>6. IMPACTO POR PÉRDIDA DE BIODIVERSIDAD Y ALTERACIONES DEL PATRIMONIO NATURAL O LOS SERVICIOS ECOSISTÉMICOS</t>
  </si>
  <si>
    <t>Amenaza</t>
  </si>
  <si>
    <t> </t>
  </si>
  <si>
    <t>Exposición</t>
  </si>
  <si>
    <t>Vulnerabilidad</t>
  </si>
  <si>
    <t>Sensibilidad</t>
  </si>
  <si>
    <t>Capacidad de adaptación</t>
  </si>
  <si>
    <t>¿ Cambios de uso de Suelo?</t>
  </si>
  <si>
    <r>
      <rPr>
        <sz val="11"/>
        <color rgb="FFFF0000"/>
        <rFont val="Calibri"/>
        <family val="2"/>
      </rPr>
      <t>FASE  4. Análisis de la VULNERABILIDAD
La vulnerabilidad hace referencia a la caracterización y valoración del territorio, sus sistemas o sectores, infraestructuras, y a la población y especies que lo habitan, en función de su propensión o predisposición a verse afectado por una amenaza climática. Se explica a través de dos componentes: la sensibilidad o susceptibilidad al daño y la capacidad para hacerle frente y superar los efectos o capacidad adaptativa.</t>
    </r>
  </si>
  <si>
    <t>Superficie de suelo bajo regimen de protección (RedNatura2000, Patrimonio natural o cultural)</t>
  </si>
  <si>
    <t xml:space="preserve">Porcentaje de suelo expuesto a  incendios </t>
  </si>
  <si>
    <t xml:space="preserve"> Suelo urbano en franjas de seguridad bosque - viviendas (superficie y localización)</t>
  </si>
  <si>
    <t>Viviendas (legalizadas o no legalizadas) en medio rural y natural (nº y localización)</t>
  </si>
  <si>
    <t>Áreas protegidas con vegetación potencialmente inflamable (superficie. / superficie total)</t>
  </si>
  <si>
    <t>Elementos patrimoniales, naturales o culturales, en áeras potencialmente inflamables (nº y localización)</t>
  </si>
  <si>
    <t>Corredores y conectores ecológicos</t>
  </si>
  <si>
    <t xml:space="preserve">Estudios de conectividad, corredores ecológicos y áreas críticas encaminadas con criterios de cambio climático </t>
  </si>
  <si>
    <t>Porcentaje de infraestructura verde urbana y periurbana</t>
  </si>
  <si>
    <t xml:space="preserve">  </t>
  </si>
  <si>
    <t>RCP 2.6</t>
  </si>
  <si>
    <t>RCP 6.0</t>
  </si>
  <si>
    <t>RCP 8.5</t>
  </si>
  <si>
    <t>Sector</t>
  </si>
  <si>
    <t>Tipología</t>
  </si>
  <si>
    <t>X</t>
  </si>
  <si>
    <t>Medio Natural</t>
  </si>
  <si>
    <t>Medio Urbano e Infraestructuras</t>
  </si>
  <si>
    <t>Actividad</t>
  </si>
  <si>
    <t>Salud y Protección civil</t>
  </si>
  <si>
    <t>Valor a introduir</t>
  </si>
  <si>
    <t>Es disposa de la dada i/o és aplicable?</t>
  </si>
  <si>
    <t>Densidad básica (kg/m3)</t>
  </si>
  <si>
    <t>Arroz</t>
  </si>
  <si>
    <t>Cultivos herbáceos distintos  al arroz</t>
  </si>
  <si>
    <t>Frutales</t>
  </si>
  <si>
    <t>Cítricos</t>
  </si>
  <si>
    <t>Frutales no cítricos</t>
  </si>
  <si>
    <t>Viñedo</t>
  </si>
  <si>
    <t>Olivar</t>
  </si>
  <si>
    <t>Otros cultivos leñosos</t>
  </si>
  <si>
    <t>Prados</t>
  </si>
  <si>
    <t>Regadío</t>
  </si>
  <si>
    <t>Secano</t>
  </si>
  <si>
    <t>Cultivos herbáceos (general)</t>
  </si>
  <si>
    <t>Cultivos leñosos (general)</t>
  </si>
  <si>
    <t>ABSORCIONES - ARBOLADO</t>
  </si>
  <si>
    <t>ABSORCIONES - USOS DEL SUELO</t>
  </si>
  <si>
    <t>Tierras forestales</t>
  </si>
  <si>
    <t>Tipo cultivo</t>
  </si>
  <si>
    <t>Tierras cultivo</t>
  </si>
  <si>
    <t>Cultivos (sin especificar)</t>
  </si>
  <si>
    <t>Herbáceos</t>
  </si>
  <si>
    <t>Leñosos</t>
  </si>
  <si>
    <t>General</t>
  </si>
  <si>
    <t>Agroalimentaria</t>
  </si>
  <si>
    <t>Logística</t>
  </si>
  <si>
    <t>INDUSTRIA</t>
  </si>
  <si>
    <t>TERCIARIO</t>
  </si>
  <si>
    <t>Bosque</t>
  </si>
  <si>
    <t>Garriga/Matorral (arbustivas)/Prado</t>
  </si>
  <si>
    <t>Cultivo</t>
  </si>
  <si>
    <t>Marismas y humedales</t>
  </si>
  <si>
    <t>Otras tierras</t>
  </si>
  <si>
    <t>Asentamientos</t>
  </si>
  <si>
    <t>Factor SOC</t>
  </si>
  <si>
    <t>t C/ha</t>
  </si>
  <si>
    <t>80% del uso previo/38</t>
  </si>
  <si>
    <t>CAMBIOS USOS DEL SUELO</t>
  </si>
  <si>
    <t>https://www.miteco.gob.es/es/calidad-y-evaluacion-ambiental/temas/sistema-espanol-de-inventario-sei-/4a2a4f2-csc-soc-lulucf_tcm30-496177.pdf</t>
  </si>
  <si>
    <t>t CO2/ha</t>
  </si>
  <si>
    <t>t CO2/ha año</t>
  </si>
  <si>
    <t>Garriga o similar</t>
  </si>
  <si>
    <t>Matorral o landas (arbustivas)</t>
  </si>
  <si>
    <t>Prado</t>
  </si>
  <si>
    <t>Factor SOC t C/ha</t>
  </si>
  <si>
    <t>Factor SOC (t C/ha)</t>
  </si>
  <si>
    <t>Superficie (ha)</t>
  </si>
  <si>
    <t>Reparto de superfie
 (m2)</t>
  </si>
  <si>
    <t>Superficie que 
permanece (ha)</t>
  </si>
  <si>
    <t>t CO2 emitido por 
pérdida de suelo</t>
  </si>
  <si>
    <t>t CO abosrbido por 
suelo que permanece</t>
  </si>
  <si>
    <t>Superficie que cambia 
(pérdida o ganancia) (ha)</t>
  </si>
  <si>
    <t>Alternativa  1</t>
  </si>
  <si>
    <t>Alternativa  2</t>
  </si>
  <si>
    <t>Alternativa  3</t>
  </si>
  <si>
    <t>Alternativa  4</t>
  </si>
  <si>
    <t>Demanda (KWh)</t>
  </si>
  <si>
    <t>Pendiente de publicar por el Ministerio en el siguiente enlace</t>
  </si>
  <si>
    <t>https://www.miteco.gob.es/es/calidad-y-evaluacion-ambiental/temas/sistema-espanol-de-inventario-sei-/metodologias-estimacion-emisiones/</t>
  </si>
  <si>
    <t>Factor absorción</t>
  </si>
  <si>
    <t>*Pendiente de publicar por el Ministerio</t>
  </si>
  <si>
    <t>Textil</t>
  </si>
  <si>
    <t>Subtotal</t>
  </si>
  <si>
    <t>EQUIPAMIENTOS</t>
  </si>
  <si>
    <t>Consumos sectoriales de energía final. Año 2020</t>
  </si>
  <si>
    <t>Carbón</t>
  </si>
  <si>
    <t>Petróleo</t>
  </si>
  <si>
    <t>Gas Natural</t>
  </si>
  <si>
    <t>Electricidad</t>
  </si>
  <si>
    <t>Renovables</t>
  </si>
  <si>
    <t>Consumos sectoriales de energía final. Año 2019</t>
  </si>
  <si>
    <t>Factores de emisión fuentes de energía</t>
  </si>
  <si>
    <t>N20</t>
  </si>
  <si>
    <t>CO2e</t>
  </si>
  <si>
    <t>Factor de emisión (kg/TJ)</t>
  </si>
  <si>
    <t>TJ</t>
  </si>
  <si>
    <t>Factor emisión (g/kWh)</t>
  </si>
  <si>
    <t>kg CO2e</t>
  </si>
  <si>
    <t>1  tep</t>
  </si>
  <si>
    <t>'Directrices del IPCC de 2006, Vol 2, Cap 3, Pág. 3.16</t>
  </si>
  <si>
    <t>Directrices del IPCC de 2006, Vol. 2, Cap. 3, Pág. 2.18</t>
  </si>
  <si>
    <t>Balance energético C Valenciana 2020</t>
  </si>
  <si>
    <t>http://www.agenergia.org/wp-content/uploads/2018/05/1233921443_Guia_Elaborar_Estadisticas_Energeticas_AIE.pdf</t>
  </si>
  <si>
    <t>INVENTARIO DE EMISIONES COMUNIDAD VALENCIANA - NO USADO</t>
  </si>
  <si>
    <t>Calificación del suelo (a partir de la capa de planeamiento urbanístico)</t>
  </si>
  <si>
    <t>Demanda (MWh)</t>
  </si>
  <si>
    <t>Demanda energética (MWh/año)</t>
  </si>
  <si>
    <t>Repartición modal</t>
  </si>
  <si>
    <t>% específico</t>
  </si>
  <si>
    <t>% que se aplica</t>
  </si>
  <si>
    <t xml:space="preserve">% por defecto GVA </t>
  </si>
  <si>
    <t>https://politicaterritorial.gva.es/documents/163211567/166352847/Plan+B%C3%A1sico+de+Movilidad+del+%C3%81rea+Metropolitana+de+Valencia/8d049bd2-7e53-413a-bcdf-f1675a238617</t>
  </si>
  <si>
    <t>https://observatoriotransporte.mitma.gob.es/monografico/movilidad_ciudades_sxxi/4relevancia-de-la-movilidadmetropolitana/41-demanda-y-distribucion-modal</t>
  </si>
  <si>
    <t>IAVC m3/pie mayor año</t>
  </si>
  <si>
    <t>t CO2</t>
  </si>
  <si>
    <t>Nº mínimo</t>
  </si>
  <si>
    <t>N mínimo</t>
  </si>
  <si>
    <t>ALTERNATIVA 1</t>
  </si>
  <si>
    <t>ACTUAL (ALTERNATIVA 0)</t>
  </si>
  <si>
    <t>https://www.ine.es/jaxi/Datos.htm?path=/t26/e068/p04/serie/l0/&amp;file=01002a.px</t>
  </si>
  <si>
    <t>No peligrosos</t>
  </si>
  <si>
    <t>Peligrosos</t>
  </si>
  <si>
    <t>Total general</t>
  </si>
  <si>
    <t>Toneladas Total Industria Nacional</t>
  </si>
  <si>
    <t>Industria generación de residuos Nacional</t>
  </si>
  <si>
    <t>https://www.ine.es/jaxi/Datos.htm?tpx=30628</t>
  </si>
  <si>
    <t>Periodo de años comprendido entre 2071 y 2100</t>
  </si>
  <si>
    <t>10.1.1 Residuos domésticos y similares (domésticos y vías públicas)</t>
  </si>
  <si>
    <t>10.1.2 Residuos domésticos voluminosos mezclados (enseres domésticos)</t>
  </si>
  <si>
    <t>06 Residuos metálicos</t>
  </si>
  <si>
    <t>07.1 Residuos de vidrio</t>
  </si>
  <si>
    <t>07.2 Residuos de papel y cartón</t>
  </si>
  <si>
    <t>07.4 Residuos de plásticos</t>
  </si>
  <si>
    <t>07.5 Residuos de Madera</t>
  </si>
  <si>
    <t>07.6 Residuos textiles</t>
  </si>
  <si>
    <t>08.2 y 08.43 Equipos eléctricos desechados y Componentes de equipos eléctrónicos desechados</t>
  </si>
  <si>
    <t>08.41 Residuos de pilas y acumuladores</t>
  </si>
  <si>
    <t>09. Residuos animales y vegetales</t>
  </si>
  <si>
    <t>10.21 Envases mixtos y embalajes mezclados</t>
  </si>
  <si>
    <t>11 Lodos comunes (secos)</t>
  </si>
  <si>
    <t>12 Residuos minerales (incluye residuos de construcción y demolición)</t>
  </si>
  <si>
    <t>18 Otros</t>
  </si>
  <si>
    <t>TOTAL RESIDUOS MEZCLADOS</t>
  </si>
  <si>
    <t>TOTAL RESIDUOS DE RECOGIDA SEPARADA</t>
  </si>
  <si>
    <t>TOTAL RESIDUOS</t>
  </si>
  <si>
    <t>2020</t>
  </si>
  <si>
    <t>10 Comunitat Valenciana</t>
  </si>
  <si>
    <t>Residencial, Terciario y Equipamientos</t>
  </si>
  <si>
    <t>Nacional</t>
  </si>
  <si>
    <t>Comunitat Valenciana</t>
  </si>
  <si>
    <t>Ratio</t>
  </si>
  <si>
    <t>% por tipo de gestión</t>
  </si>
  <si>
    <t>%gestión por defecto</t>
  </si>
  <si>
    <t>Incineradora</t>
  </si>
  <si>
    <t>Compostado</t>
  </si>
  <si>
    <t>PIB Industria</t>
  </si>
  <si>
    <t>t residuos</t>
  </si>
  <si>
    <t>kg CO2e/ha</t>
  </si>
  <si>
    <t>kg CO2e/m2</t>
  </si>
  <si>
    <t>Clases del suelo (en m2)</t>
  </si>
  <si>
    <t xml:space="preserve"> kg CO2/ m2</t>
  </si>
  <si>
    <t>https://www.ine.es/jaxi/Datos.htm?path=/t35/p010/rev19/homoge/l0/&amp;file=01001.px</t>
  </si>
  <si>
    <t>Existent</t>
  </si>
  <si>
    <t>x</t>
  </si>
  <si>
    <t>DEFRA</t>
  </si>
  <si>
    <t>  Planes y
programas,
normativa,
gobernanza y
gestión</t>
  </si>
  <si>
    <t>PERMANENCIADEL SUELO</t>
  </si>
  <si>
    <t>PERMANENCIA DEL SUELO</t>
  </si>
  <si>
    <t>Plan de evaluación</t>
  </si>
  <si>
    <t>ha</t>
  </si>
  <si>
    <t>Pérdida o ganacia (ha)</t>
  </si>
  <si>
    <t xml:space="preserve">t CO2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</si>
</sst>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 _€_-;\-* #,##0.00\ _€_-;_-* &quot;-&quot;??\ _€_-;_-@_-"/>
    <numFmt numFmtId="165" formatCode="#,##0.0"/>
    <numFmt numFmtId="166" formatCode="0.000"/>
    <numFmt numFmtId="167" formatCode="#,##0.00\ &quot;Pta&quot;;[Red]\-#,##0.00\ &quot;Pta&quot;"/>
    <numFmt numFmtId="168" formatCode="_-* #,##0\ &quot;Pts&quot;_-;\-* #,##0\ &quot;Pts&quot;_-;_-* &quot;-&quot;\ &quot;Pts&quot;_-;_-@_-"/>
    <numFmt numFmtId="169" formatCode="_-* #,##0.00\ &quot;Pts&quot;_-;\-* #,##0.00\ &quot;Pts&quot;_-;_-* &quot;-&quot;??\ &quot;Pts&quot;_-;_-@_-"/>
    <numFmt numFmtId="170" formatCode="&quot; &quot;#,##0.00&quot;   &quot;;&quot;-&quot;#,##0.00&quot;   &quot;;&quot; -&quot;00&quot;   &quot;;&quot; &quot;@&quot; &quot;"/>
    <numFmt numFmtId="171" formatCode="_-* #,##0\ _€_-;\-* #,##0\ _€_-;_-* &quot;-&quot;??\ _€_-;_-@_-"/>
    <numFmt numFmtId="172" formatCode="0.0000"/>
    <numFmt numFmtId="173" formatCode="#,##0.000"/>
    <numFmt numFmtId="174" formatCode="_-* #,##0.0\ _€_-;\-* #,##0.0\ _€_-;_-* &quot;-&quot;??\ _€_-;_-@_-"/>
    <numFmt numFmtId="175" formatCode="0.0"/>
    <numFmt numFmtId="176" formatCode="_-* #,##0.0\ _€_-;\-* #,##0.0\ _€_-;_-* &quot;-&quot;?\ _€_-;_-@_-"/>
    <numFmt numFmtId="177" formatCode="0.0%"/>
    <numFmt numFmtId="178" formatCode="#,##0_ ;\-#,##0\ "/>
  </numFmts>
  <fonts count="113">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9"/>
      <name val="B Frutiger Bold"/>
    </font>
    <font>
      <u/>
      <sz val="11"/>
      <color theme="10"/>
      <name val="Calibri"/>
      <family val="2"/>
      <scheme val="minor"/>
    </font>
    <font>
      <b/>
      <sz val="11"/>
      <color theme="8" tint="-0.249977111117893"/>
      <name val="Calibri"/>
      <family val="2"/>
      <scheme val="minor"/>
    </font>
    <font>
      <sz val="11"/>
      <name val="Calibri"/>
      <family val="2"/>
      <scheme val="minor"/>
    </font>
    <font>
      <sz val="10"/>
      <name val="Arial"/>
      <family val="2"/>
    </font>
    <font>
      <b/>
      <sz val="10"/>
      <color indexed="8"/>
      <name val="Arial"/>
      <family val="2"/>
    </font>
    <font>
      <sz val="11"/>
      <color indexed="8"/>
      <name val="Arial"/>
      <family val="2"/>
    </font>
    <font>
      <sz val="10"/>
      <color indexed="8"/>
      <name val="Arial"/>
      <family val="2"/>
    </font>
    <font>
      <i/>
      <sz val="10"/>
      <name val="Arial"/>
      <family val="2"/>
    </font>
    <font>
      <sz val="11"/>
      <color indexed="8"/>
      <name val="Calibri"/>
      <family val="2"/>
    </font>
    <font>
      <u/>
      <sz val="11"/>
      <color indexed="12"/>
      <name val="Calibri"/>
      <family val="2"/>
    </font>
    <font>
      <sz val="11"/>
      <color indexed="62"/>
      <name val="Calibri"/>
      <family val="2"/>
    </font>
    <font>
      <sz val="10"/>
      <name val="Verdana"/>
      <family val="2"/>
    </font>
    <font>
      <b/>
      <sz val="14"/>
      <color theme="0"/>
      <name val="Calibri"/>
      <family val="2"/>
      <scheme val="minor"/>
    </font>
    <font>
      <sz val="14"/>
      <color theme="1"/>
      <name val="Calibri"/>
      <family val="2"/>
      <scheme val="minor"/>
    </font>
    <font>
      <sz val="11"/>
      <color theme="2" tint="-0.499984740745262"/>
      <name val="Calibri"/>
      <family val="2"/>
      <scheme val="minor"/>
    </font>
    <font>
      <b/>
      <sz val="11"/>
      <color theme="4" tint="-0.499984740745262"/>
      <name val="Calibri"/>
      <family val="2"/>
      <scheme val="minor"/>
    </font>
    <font>
      <b/>
      <sz val="12"/>
      <color theme="2" tint="-0.499984740745262"/>
      <name val="Calibri"/>
      <family val="2"/>
      <scheme val="minor"/>
    </font>
    <font>
      <b/>
      <sz val="12"/>
      <color theme="4" tint="-0.499984740745262"/>
      <name val="Calibri"/>
      <family val="2"/>
      <scheme val="minor"/>
    </font>
    <font>
      <b/>
      <sz val="12"/>
      <color theme="1"/>
      <name val="Calibri"/>
      <family val="2"/>
      <scheme val="minor"/>
    </font>
    <font>
      <b/>
      <sz val="14"/>
      <color theme="1"/>
      <name val="Gadugi"/>
      <family val="2"/>
    </font>
    <font>
      <b/>
      <i/>
      <sz val="16"/>
      <color theme="8" tint="-0.249977111117893"/>
      <name val="Calibri"/>
      <family val="2"/>
      <scheme val="minor"/>
    </font>
    <font>
      <sz val="11"/>
      <color theme="1"/>
      <name val="Calibri"/>
      <family val="2"/>
      <scheme val="minor"/>
    </font>
    <font>
      <sz val="12"/>
      <name val="Calibri"/>
      <family val="2"/>
      <scheme val="minor"/>
    </font>
    <font>
      <sz val="10"/>
      <name val="Courier"/>
      <family val="3"/>
    </font>
    <font>
      <b/>
      <sz val="12"/>
      <color theme="0"/>
      <name val="Calibri"/>
      <family val="2"/>
      <scheme val="minor"/>
    </font>
    <font>
      <b/>
      <sz val="11"/>
      <name val="Calibri"/>
      <family val="2"/>
      <scheme val="minor"/>
    </font>
    <font>
      <sz val="9"/>
      <color theme="1"/>
      <name val="Calibri"/>
      <family val="2"/>
      <scheme val="minor"/>
    </font>
    <font>
      <sz val="9"/>
      <name val="Calibri"/>
      <family val="2"/>
      <scheme val="minor"/>
    </font>
    <font>
      <b/>
      <sz val="10"/>
      <color theme="8" tint="-0.249977111117893"/>
      <name val="Calibri"/>
      <family val="2"/>
      <scheme val="minor"/>
    </font>
    <font>
      <b/>
      <sz val="10"/>
      <name val="Calibri"/>
      <family val="2"/>
      <scheme val="minor"/>
    </font>
    <font>
      <sz val="11"/>
      <color indexed="8"/>
      <name val="Calibri"/>
      <family val="2"/>
      <scheme val="minor"/>
    </font>
    <font>
      <sz val="10"/>
      <name val="Calibri"/>
      <family val="2"/>
      <scheme val="minor"/>
    </font>
    <font>
      <b/>
      <sz val="10"/>
      <color indexed="8"/>
      <name val="Calibri"/>
      <family val="2"/>
      <scheme val="minor"/>
    </font>
    <font>
      <b/>
      <sz val="11"/>
      <color indexed="8"/>
      <name val="Calibri"/>
      <family val="2"/>
      <scheme val="minor"/>
    </font>
    <font>
      <sz val="10"/>
      <color indexed="8"/>
      <name val="Calibri"/>
      <family val="2"/>
      <scheme val="minor"/>
    </font>
    <font>
      <i/>
      <sz val="10"/>
      <name val="Calibri"/>
      <family val="2"/>
      <scheme val="minor"/>
    </font>
    <font>
      <sz val="10"/>
      <color rgb="FFFF0000"/>
      <name val="Calibri"/>
      <family val="2"/>
      <scheme val="minor"/>
    </font>
    <font>
      <sz val="10"/>
      <color theme="0"/>
      <name val="Calibri"/>
      <family val="2"/>
      <scheme val="minor"/>
    </font>
    <font>
      <b/>
      <i/>
      <sz val="11"/>
      <color theme="8" tint="-0.499984740745262"/>
      <name val="Calibri"/>
      <family val="2"/>
      <scheme val="minor"/>
    </font>
    <font>
      <sz val="9"/>
      <color theme="0"/>
      <name val="Calibri"/>
      <family val="2"/>
      <scheme val="minor"/>
    </font>
    <font>
      <sz val="9"/>
      <color indexed="81"/>
      <name val="Tahoma"/>
      <family val="2"/>
    </font>
    <font>
      <b/>
      <sz val="9"/>
      <color theme="0"/>
      <name val="Arial"/>
      <family val="2"/>
    </font>
    <font>
      <sz val="10"/>
      <name val="Arial"/>
      <family val="2"/>
    </font>
    <font>
      <u/>
      <sz val="10"/>
      <color indexed="12"/>
      <name val="Arial"/>
      <family val="2"/>
    </font>
    <font>
      <u/>
      <sz val="10"/>
      <color indexed="12"/>
      <name val="Arial"/>
      <family val="2"/>
    </font>
    <font>
      <sz val="10"/>
      <color rgb="FF000000"/>
      <name val="Arial"/>
      <family val="2"/>
    </font>
    <font>
      <u/>
      <sz val="10"/>
      <color rgb="FF0000FF"/>
      <name val="Arial"/>
      <family val="2"/>
    </font>
    <font>
      <sz val="10"/>
      <color rgb="FF000000"/>
      <name val="MS Sans Serif"/>
      <family val="2"/>
    </font>
    <font>
      <sz val="10"/>
      <name val="MS Sans Serif"/>
      <family val="2"/>
    </font>
    <font>
      <sz val="10"/>
      <color theme="1"/>
      <name val="Calibri"/>
      <family val="2"/>
      <scheme val="minor"/>
    </font>
    <font>
      <b/>
      <i/>
      <sz val="20"/>
      <color theme="7"/>
      <name val="Calibri"/>
      <family val="2"/>
      <scheme val="minor"/>
    </font>
    <font>
      <sz val="9.5"/>
      <color rgb="FF000000"/>
      <name val="Albany AMT"/>
    </font>
    <font>
      <sz val="9"/>
      <name val="Times New Roman"/>
      <family val="1"/>
    </font>
    <font>
      <b/>
      <sz val="10"/>
      <color theme="0"/>
      <name val="Calibri"/>
      <family val="2"/>
      <scheme val="minor"/>
    </font>
    <font>
      <u/>
      <sz val="10"/>
      <color theme="10"/>
      <name val="Calibri"/>
      <family val="2"/>
      <scheme val="minor"/>
    </font>
    <font>
      <sz val="10"/>
      <name val="Calibri Light"/>
      <family val="2"/>
      <scheme val="major"/>
    </font>
    <font>
      <sz val="10"/>
      <color theme="1"/>
      <name val="Calibri Light"/>
      <family val="2"/>
      <scheme val="major"/>
    </font>
    <font>
      <b/>
      <sz val="10"/>
      <color theme="1"/>
      <name val="Calibri"/>
      <family val="2"/>
      <scheme val="minor"/>
    </font>
    <font>
      <i/>
      <sz val="11"/>
      <color theme="1"/>
      <name val="Calibri"/>
      <family val="2"/>
      <scheme val="minor"/>
    </font>
    <font>
      <sz val="10"/>
      <color indexed="81"/>
      <name val="Tahoma"/>
      <family val="2"/>
    </font>
    <font>
      <i/>
      <sz val="11"/>
      <name val="Calibri"/>
      <family val="2"/>
      <scheme val="minor"/>
    </font>
    <font>
      <b/>
      <sz val="11"/>
      <color rgb="FFFFFFFF"/>
      <name val="Calibri"/>
      <family val="2"/>
    </font>
    <font>
      <b/>
      <sz val="11"/>
      <color rgb="FF000000"/>
      <name val="Calibri"/>
      <family val="2"/>
    </font>
    <font>
      <sz val="11"/>
      <color rgb="FF000000"/>
      <name val="Calibri"/>
      <family val="2"/>
    </font>
    <font>
      <b/>
      <sz val="11"/>
      <color rgb="FF375623"/>
      <name val="Calibri"/>
      <family val="2"/>
    </font>
    <font>
      <sz val="8"/>
      <name val="Calibri"/>
      <family val="2"/>
      <scheme val="minor"/>
    </font>
    <font>
      <sz val="11"/>
      <color rgb="FF375623"/>
      <name val="Calibri"/>
      <family val="2"/>
    </font>
    <font>
      <sz val="11"/>
      <color rgb="FFFF0000"/>
      <name val="Calibri"/>
      <family val="2"/>
    </font>
    <font>
      <b/>
      <sz val="11"/>
      <color rgb="FFFF0000"/>
      <name val="Calibri"/>
      <family val="2"/>
      <scheme val="minor"/>
    </font>
    <font>
      <b/>
      <sz val="11"/>
      <color rgb="FFFF0000"/>
      <name val="Calibri"/>
      <family val="2"/>
    </font>
    <font>
      <b/>
      <i/>
      <sz val="24"/>
      <color theme="0"/>
      <name val="Calibri"/>
      <family val="2"/>
      <scheme val="minor"/>
    </font>
    <font>
      <b/>
      <sz val="12"/>
      <name val="Calibri"/>
      <family val="2"/>
      <scheme val="minor"/>
    </font>
    <font>
      <b/>
      <sz val="16"/>
      <name val="Calibri"/>
      <family val="2"/>
      <scheme val="minor"/>
    </font>
    <font>
      <b/>
      <sz val="14"/>
      <name val="Calibri"/>
      <family val="2"/>
      <scheme val="minor"/>
    </font>
    <font>
      <b/>
      <sz val="16"/>
      <color theme="0"/>
      <name val="Calibri"/>
      <family val="2"/>
      <scheme val="minor"/>
    </font>
    <font>
      <sz val="11"/>
      <color rgb="FFEE1B16"/>
      <name val="Calibri"/>
      <family val="2"/>
      <scheme val="minor"/>
    </font>
    <font>
      <sz val="10"/>
      <color rgb="FFB00000"/>
      <name val="Calibri"/>
      <family val="2"/>
      <scheme val="minor"/>
    </font>
    <font>
      <sz val="11"/>
      <color rgb="FFB00000"/>
      <name val="Calibri"/>
      <family val="2"/>
      <scheme val="minor"/>
    </font>
    <font>
      <u/>
      <sz val="11"/>
      <color rgb="FFB00000"/>
      <name val="Calibri"/>
      <family val="2"/>
      <scheme val="minor"/>
    </font>
    <font>
      <sz val="10"/>
      <color rgb="FFB00000"/>
      <name val="Calibri Light"/>
      <family val="2"/>
      <scheme val="major"/>
    </font>
    <font>
      <u/>
      <sz val="11"/>
      <name val="Calibri"/>
      <family val="2"/>
      <scheme val="minor"/>
    </font>
    <font>
      <b/>
      <i/>
      <sz val="24"/>
      <color rgb="FFFFFFFF"/>
      <name val="Calibri"/>
      <family val="2"/>
    </font>
    <font>
      <b/>
      <sz val="11"/>
      <name val="Calibri"/>
      <family val="2"/>
    </font>
    <font>
      <b/>
      <sz val="14"/>
      <color rgb="FFEE1B16"/>
      <name val="Calibri"/>
      <family val="2"/>
      <scheme val="minor"/>
    </font>
    <font>
      <sz val="11"/>
      <name val="Ubuntu Mono"/>
      <family val="3"/>
    </font>
    <font>
      <sz val="11"/>
      <color rgb="FFC00000"/>
      <name val="Calibri"/>
      <family val="2"/>
      <scheme val="minor"/>
    </font>
    <font>
      <b/>
      <sz val="10"/>
      <color theme="2" tint="-0.749992370372631"/>
      <name val="Calibri"/>
      <family val="2"/>
      <scheme val="minor"/>
    </font>
    <font>
      <b/>
      <i/>
      <sz val="20"/>
      <name val="Calibri"/>
      <family val="2"/>
      <scheme val="minor"/>
    </font>
    <font>
      <b/>
      <sz val="11"/>
      <color rgb="FFB00000"/>
      <name val="Calibri"/>
      <family val="2"/>
      <scheme val="minor"/>
    </font>
    <font>
      <b/>
      <sz val="11"/>
      <color rgb="FFC00000"/>
      <name val="Calibri"/>
      <family val="2"/>
      <scheme val="minor"/>
    </font>
    <font>
      <b/>
      <i/>
      <sz val="11"/>
      <color rgb="FFB00000"/>
      <name val="Calibri"/>
      <family val="2"/>
      <scheme val="minor"/>
    </font>
    <font>
      <b/>
      <i/>
      <sz val="16"/>
      <color rgb="FFC00000"/>
      <name val="Calibri"/>
      <family val="2"/>
      <scheme val="minor"/>
    </font>
    <font>
      <b/>
      <i/>
      <sz val="11"/>
      <color rgb="FFC00000"/>
      <name val="Calibri"/>
      <family val="2"/>
      <scheme val="minor"/>
    </font>
    <font>
      <sz val="11"/>
      <color rgb="FF444444"/>
      <name val="Calibri"/>
      <family val="2"/>
      <charset val="1"/>
    </font>
    <font>
      <b/>
      <sz val="14"/>
      <color theme="1"/>
      <name val="Calibri"/>
      <family val="2"/>
      <scheme val="minor"/>
    </font>
    <font>
      <b/>
      <sz val="10"/>
      <color rgb="FFB00000"/>
      <name val="Calibri"/>
      <family val="2"/>
      <scheme val="minor"/>
    </font>
    <font>
      <sz val="11"/>
      <color rgb="FF000000"/>
      <name val="Calibri"/>
      <family val="2"/>
    </font>
    <font>
      <b/>
      <sz val="11"/>
      <color rgb="FF000000"/>
      <name val="Calibri"/>
      <family val="2"/>
    </font>
    <font>
      <b/>
      <sz val="10"/>
      <color rgb="FFC00000"/>
      <name val="Calibri"/>
      <family val="2"/>
      <scheme val="minor"/>
    </font>
    <font>
      <sz val="10"/>
      <color rgb="FFC00000"/>
      <name val="Calibri"/>
      <family val="2"/>
      <scheme val="minor"/>
    </font>
    <font>
      <sz val="9"/>
      <color rgb="FFC00000"/>
      <name val="Calibri"/>
      <family val="2"/>
      <scheme val="minor"/>
    </font>
    <font>
      <sz val="10"/>
      <color rgb="FFEADBF5"/>
      <name val="Calibri"/>
      <family val="2"/>
      <scheme val="minor"/>
    </font>
    <font>
      <b/>
      <sz val="12"/>
      <color rgb="FF000000"/>
      <name val="Calibri"/>
      <family val="2"/>
      <scheme val="minor"/>
    </font>
    <font>
      <b/>
      <sz val="16"/>
      <color theme="1"/>
      <name val="Calibri"/>
      <family val="2"/>
      <scheme val="minor"/>
    </font>
    <font>
      <sz val="11"/>
      <name val="Calibri"/>
      <family val="2"/>
    </font>
    <font>
      <b/>
      <sz val="12"/>
      <color theme="2" tint="-0.249977111117893"/>
      <name val="Calibri"/>
      <family val="2"/>
      <scheme val="minor"/>
    </font>
    <font>
      <sz val="16"/>
      <color theme="1"/>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indexed="47"/>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rgb="FFD5B8EA"/>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rgb="FF548235"/>
        <bgColor rgb="FF538135"/>
      </patternFill>
    </fill>
    <fill>
      <patternFill patternType="solid">
        <fgColor rgb="FF375623"/>
        <bgColor rgb="FF333300"/>
      </patternFill>
    </fill>
    <fill>
      <patternFill patternType="solid">
        <fgColor rgb="FFE2EFDA"/>
        <bgColor rgb="FFE2EFD9"/>
      </patternFill>
    </fill>
    <fill>
      <patternFill patternType="solid">
        <fgColor rgb="FFFFFFFF"/>
        <bgColor rgb="FFF2F2F2"/>
      </patternFill>
    </fill>
    <fill>
      <patternFill patternType="solid">
        <fgColor rgb="FFFCE4D6"/>
        <bgColor rgb="FFF2F2F2"/>
      </patternFill>
    </fill>
    <fill>
      <patternFill patternType="solid">
        <fgColor rgb="FFC6E0B4"/>
        <bgColor rgb="FFD9D9D9"/>
      </patternFill>
    </fill>
    <fill>
      <patternFill patternType="solid">
        <fgColor rgb="FFA9D08E"/>
        <bgColor rgb="FFC6E0B4"/>
      </patternFill>
    </fill>
    <fill>
      <patternFill patternType="solid">
        <fgColor rgb="FFFCE4D6"/>
        <bgColor indexed="64"/>
      </patternFill>
    </fill>
    <fill>
      <patternFill patternType="solid">
        <fgColor theme="2" tint="-0.499984740745262"/>
        <bgColor indexed="64"/>
      </patternFill>
    </fill>
    <fill>
      <patternFill patternType="solid">
        <fgColor rgb="FFB00000"/>
        <bgColor indexed="64"/>
      </patternFill>
    </fill>
    <fill>
      <patternFill patternType="solid">
        <fgColor theme="0" tint="-0.14999847407452621"/>
        <bgColor indexed="64"/>
      </patternFill>
    </fill>
    <fill>
      <patternFill patternType="solid">
        <fgColor rgb="FFEADBF5"/>
        <bgColor indexed="64"/>
      </patternFill>
    </fill>
    <fill>
      <patternFill patternType="solid">
        <fgColor rgb="FFD9D9D9"/>
        <bgColor rgb="FF000000"/>
      </patternFill>
    </fill>
    <fill>
      <patternFill patternType="solid">
        <fgColor rgb="FFF2F2F2"/>
        <bgColor rgb="FF000000"/>
      </patternFill>
    </fill>
    <fill>
      <patternFill patternType="solid">
        <fgColor rgb="FFB00000"/>
        <bgColor rgb="FF000000"/>
      </patternFill>
    </fill>
    <fill>
      <patternFill patternType="solid">
        <fgColor theme="0" tint="-0.249977111117893"/>
        <bgColor indexed="64"/>
      </patternFill>
    </fill>
    <fill>
      <patternFill patternType="solid">
        <fgColor theme="0" tint="-0.34998626667073579"/>
        <bgColor indexed="64"/>
      </patternFill>
    </fill>
    <fill>
      <patternFill patternType="solid">
        <fgColor rgb="FF680000"/>
        <bgColor indexed="64"/>
      </patternFill>
    </fill>
    <fill>
      <patternFill patternType="solid">
        <fgColor rgb="FF3A0000"/>
        <bgColor indexed="64"/>
      </patternFill>
    </fill>
    <fill>
      <patternFill patternType="solid">
        <fgColor rgb="FFC00000"/>
        <bgColor indexed="64"/>
      </patternFill>
    </fill>
    <fill>
      <patternFill patternType="solid">
        <fgColor rgb="FFFF8585"/>
        <bgColor indexed="64"/>
      </patternFill>
    </fill>
    <fill>
      <patternFill patternType="solid">
        <fgColor theme="0" tint="-0.499984740745262"/>
        <bgColor rgb="FF333300"/>
      </patternFill>
    </fill>
    <fill>
      <patternFill patternType="solid">
        <fgColor theme="0" tint="-4.9989318521683403E-2"/>
        <bgColor rgb="FFE2EFD9"/>
      </patternFill>
    </fill>
    <fill>
      <patternFill patternType="solid">
        <fgColor theme="2" tint="-9.9978637043366805E-2"/>
        <bgColor rgb="FFD9D9D9"/>
      </patternFill>
    </fill>
    <fill>
      <patternFill patternType="solid">
        <fgColor theme="0" tint="-0.249977111117893"/>
        <bgColor rgb="FFC6E0B4"/>
      </patternFill>
    </fill>
    <fill>
      <patternFill patternType="solid">
        <fgColor theme="2" tint="-0.499984740745262"/>
        <bgColor rgb="FF538135"/>
      </patternFill>
    </fill>
    <fill>
      <patternFill patternType="solid">
        <fgColor theme="0"/>
        <bgColor rgb="FFE2EFD9"/>
      </patternFill>
    </fill>
    <fill>
      <patternFill patternType="solid">
        <fgColor rgb="FF8497B0"/>
        <bgColor indexed="64"/>
      </patternFill>
    </fill>
  </fills>
  <borders count="151">
    <border>
      <left/>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thin">
        <color indexed="23"/>
      </left>
      <right style="thin">
        <color indexed="23"/>
      </right>
      <top style="thin">
        <color indexed="23"/>
      </top>
      <bottom style="thin">
        <color indexed="2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2" tint="-0.249977111117893"/>
      </bottom>
      <diagonal/>
    </border>
    <border>
      <left/>
      <right/>
      <top style="thin">
        <color theme="2" tint="-0.249977111117893"/>
      </top>
      <bottom style="thin">
        <color theme="2" tint="-0.249977111117893"/>
      </bottom>
      <diagonal/>
    </border>
    <border>
      <left style="medium">
        <color theme="8" tint="-0.249977111117893"/>
      </left>
      <right style="medium">
        <color theme="8" tint="-0.249977111117893"/>
      </right>
      <top style="thin">
        <color theme="8" tint="-0.249977111117893"/>
      </top>
      <bottom style="medium">
        <color theme="8" tint="-0.249977111117893"/>
      </bottom>
      <diagonal/>
    </border>
    <border>
      <left/>
      <right style="thin">
        <color indexed="64"/>
      </right>
      <top/>
      <bottom style="thin">
        <color indexed="64"/>
      </bottom>
      <diagonal/>
    </border>
    <border>
      <left style="thick">
        <color theme="8" tint="-0.249977111117893"/>
      </left>
      <right/>
      <top/>
      <bottom/>
      <diagonal/>
    </border>
    <border>
      <left/>
      <right/>
      <top style="dotted">
        <color rgb="FF003366"/>
      </top>
      <bottom/>
      <diagonal/>
    </border>
    <border>
      <left/>
      <right/>
      <top/>
      <bottom style="dotted">
        <color rgb="FF003366"/>
      </bottom>
      <diagonal/>
    </border>
    <border>
      <left/>
      <right/>
      <top style="dotted">
        <color rgb="FF003366"/>
      </top>
      <bottom style="dotted">
        <color rgb="FF003366"/>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8" tint="-0.249977111117893"/>
      </left>
      <right style="thin">
        <color theme="8" tint="-0.249977111117893"/>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style="medium">
        <color theme="8" tint="-0.249977111117893"/>
      </left>
      <right style="medium">
        <color theme="8" tint="-0.249977111117893"/>
      </right>
      <top style="medium">
        <color theme="8" tint="-0.249977111117893"/>
      </top>
      <bottom/>
      <diagonal/>
    </border>
    <border>
      <left/>
      <right style="medium">
        <color theme="8" tint="-0.249977111117893"/>
      </right>
      <top/>
      <bottom/>
      <diagonal/>
    </border>
    <border>
      <left style="medium">
        <color theme="8" tint="-0.249977111117893"/>
      </left>
      <right style="medium">
        <color theme="8" tint="-0.249977111117893"/>
      </right>
      <top style="medium">
        <color theme="8" tint="-0.249977111117893"/>
      </top>
      <bottom style="thin">
        <color theme="8" tint="-0.249977111117893"/>
      </bottom>
      <diagonal/>
    </border>
    <border>
      <left style="medium">
        <color theme="8" tint="-0.249977111117893"/>
      </left>
      <right style="medium">
        <color theme="8" tint="-0.249977111117893"/>
      </right>
      <top style="thin">
        <color theme="8" tint="-0.249977111117893"/>
      </top>
      <bottom style="thin">
        <color theme="8" tint="-0.249977111117893"/>
      </bottom>
      <diagonal/>
    </border>
    <border>
      <left style="medium">
        <color theme="8" tint="-0.249977111117893"/>
      </left>
      <right style="medium">
        <color theme="8" tint="-0.249977111117893"/>
      </right>
      <top style="thin">
        <color theme="8" tint="-0.249977111117893"/>
      </top>
      <bottom/>
      <diagonal/>
    </border>
    <border>
      <left style="medium">
        <color theme="8" tint="-0.249977111117893"/>
      </left>
      <right style="medium">
        <color theme="8" tint="-0.249977111117893"/>
      </right>
      <top/>
      <bottom style="thin">
        <color theme="8" tint="-0.249977111117893"/>
      </bottom>
      <diagonal/>
    </border>
    <border>
      <left style="thin">
        <color theme="8" tint="-0.249977111117893"/>
      </left>
      <right style="medium">
        <color theme="8" tint="-0.249977111117893"/>
      </right>
      <top style="medium">
        <color theme="8" tint="-0.249977111117893"/>
      </top>
      <bottom style="medium">
        <color theme="8" tint="-0.249977111117893"/>
      </bottom>
      <diagonal/>
    </border>
    <border>
      <left style="medium">
        <color theme="8" tint="-0.249977111117893"/>
      </left>
      <right style="medium">
        <color theme="8" tint="-0.249977111117893"/>
      </right>
      <top/>
      <bottom/>
      <diagonal/>
    </border>
    <border>
      <left style="medium">
        <color theme="8" tint="-0.249977111117893"/>
      </left>
      <right style="medium">
        <color theme="8" tint="-0.249977111117893"/>
      </right>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thin">
        <color theme="0" tint="-0.499984740745262"/>
      </bottom>
      <diagonal/>
    </border>
    <border>
      <left/>
      <right style="medium">
        <color indexed="64"/>
      </right>
      <top/>
      <bottom/>
      <diagonal/>
    </border>
    <border>
      <left/>
      <right style="medium">
        <color rgb="FF2F75B5"/>
      </right>
      <top style="medium">
        <color rgb="FF2F75B5"/>
      </top>
      <bottom/>
      <diagonal/>
    </border>
    <border>
      <left/>
      <right/>
      <top style="medium">
        <color rgb="FF2F75B5"/>
      </top>
      <bottom/>
      <diagonal/>
    </border>
    <border>
      <left style="medium">
        <color rgb="FF2F75B5"/>
      </left>
      <right/>
      <top style="medium">
        <color rgb="FF2F75B5"/>
      </top>
      <bottom/>
      <diagonal/>
    </border>
    <border>
      <left/>
      <right style="medium">
        <color rgb="FF2F75B5"/>
      </right>
      <top style="medium">
        <color rgb="FF2F75B5"/>
      </top>
      <bottom style="medium">
        <color rgb="FF2F75B5"/>
      </bottom>
      <diagonal/>
    </border>
    <border>
      <left/>
      <right style="medium">
        <color rgb="FF2F75B5"/>
      </right>
      <top/>
      <bottom style="medium">
        <color rgb="FF2F75B5"/>
      </bottom>
      <diagonal/>
    </border>
    <border>
      <left style="medium">
        <color indexed="64"/>
      </left>
      <right style="medium">
        <color indexed="64"/>
      </right>
      <top style="medium">
        <color indexed="64"/>
      </top>
      <bottom style="medium">
        <color indexed="64"/>
      </bottom>
      <diagonal/>
    </border>
    <border>
      <left/>
      <right style="medium">
        <color theme="8" tint="-0.249977111117893"/>
      </right>
      <top style="medium">
        <color rgb="FF2F75B5"/>
      </top>
      <bottom/>
      <diagonal/>
    </border>
    <border>
      <left/>
      <right style="medium">
        <color theme="8" tint="-0.249977111117893"/>
      </right>
      <top/>
      <bottom style="medium">
        <color theme="8" tint="-0.249977111117893"/>
      </bottom>
      <diagonal/>
    </border>
    <border>
      <left/>
      <right/>
      <top style="medium">
        <color rgb="FF2F75B5"/>
      </top>
      <bottom style="medium">
        <color rgb="FF2F75B5"/>
      </bottom>
      <diagonal/>
    </border>
    <border>
      <left/>
      <right style="medium">
        <color theme="8" tint="-0.249977111117893"/>
      </right>
      <top/>
      <bottom style="medium">
        <color rgb="FF2F75B5"/>
      </bottom>
      <diagonal/>
    </border>
    <border>
      <left style="medium">
        <color rgb="FF2F75B5"/>
      </left>
      <right style="medium">
        <color theme="8" tint="-0.249977111117893"/>
      </right>
      <top/>
      <bottom style="medium">
        <color rgb="FF2F75B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theme="8"/>
      </bottom>
      <diagonal/>
    </border>
    <border>
      <left/>
      <right/>
      <top style="medium">
        <color theme="8"/>
      </top>
      <bottom style="medium">
        <color theme="8"/>
      </bottom>
      <diagonal/>
    </border>
    <border>
      <left/>
      <right/>
      <top style="thin">
        <color indexed="64"/>
      </top>
      <bottom style="thin">
        <color indexed="64"/>
      </bottom>
      <diagonal/>
    </border>
    <border>
      <left style="thin">
        <color theme="0" tint="-0.499984740745262"/>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indexed="64"/>
      </right>
      <top/>
      <bottom/>
      <diagonal/>
    </border>
    <border>
      <left/>
      <right style="medium">
        <color theme="8" tint="-0.249977111117893"/>
      </right>
      <top style="medium">
        <color theme="8" tint="-0.249977111117893"/>
      </top>
      <bottom/>
      <diagonal/>
    </border>
    <border>
      <left style="thin">
        <color indexed="64"/>
      </left>
      <right style="thin">
        <color indexed="64"/>
      </right>
      <top style="thin">
        <color indexed="64"/>
      </top>
      <bottom style="thin">
        <color theme="8" tint="-0.249977111117893"/>
      </bottom>
      <diagonal/>
    </border>
    <border>
      <left style="thin">
        <color indexed="64"/>
      </left>
      <right style="thin">
        <color indexed="64"/>
      </right>
      <top style="thin">
        <color theme="8" tint="-0.249977111117893"/>
      </top>
      <bottom style="thin">
        <color indexed="64"/>
      </bottom>
      <diagonal/>
    </border>
    <border>
      <left style="thin">
        <color theme="1"/>
      </left>
      <right style="thin">
        <color theme="8" tint="-0.249977111117893"/>
      </right>
      <top style="thin">
        <color theme="1"/>
      </top>
      <bottom style="thin">
        <color theme="1"/>
      </bottom>
      <diagonal/>
    </border>
    <border>
      <left style="thin">
        <color theme="8" tint="-0.249977111117893"/>
      </left>
      <right style="thin">
        <color theme="8" tint="-0.249977111117893"/>
      </right>
      <top style="thin">
        <color theme="1"/>
      </top>
      <bottom style="thin">
        <color theme="1"/>
      </bottom>
      <diagonal/>
    </border>
    <border>
      <left style="thin">
        <color theme="8" tint="-0.249977111117893"/>
      </left>
      <right style="thin">
        <color theme="1"/>
      </right>
      <top style="thin">
        <color theme="1"/>
      </top>
      <bottom style="thin">
        <color theme="1"/>
      </bottom>
      <diagonal/>
    </border>
    <border>
      <left style="thin">
        <color auto="1"/>
      </left>
      <right style="thin">
        <color theme="8" tint="-0.249977111117893"/>
      </right>
      <top style="thin">
        <color auto="1"/>
      </top>
      <bottom style="thin">
        <color theme="8" tint="-0.249977111117893"/>
      </bottom>
      <diagonal/>
    </border>
    <border>
      <left style="thin">
        <color theme="8" tint="-0.249977111117893"/>
      </left>
      <right style="thin">
        <color auto="1"/>
      </right>
      <top style="thin">
        <color auto="1"/>
      </top>
      <bottom style="thin">
        <color theme="8" tint="-0.249977111117893"/>
      </bottom>
      <diagonal/>
    </border>
    <border>
      <left style="thin">
        <color auto="1"/>
      </left>
      <right style="thin">
        <color theme="8" tint="-0.249977111117893"/>
      </right>
      <top style="thin">
        <color theme="8" tint="-0.249977111117893"/>
      </top>
      <bottom style="thin">
        <color auto="1"/>
      </bottom>
      <diagonal/>
    </border>
    <border>
      <left style="thin">
        <color theme="8" tint="-0.249977111117893"/>
      </left>
      <right style="thin">
        <color auto="1"/>
      </right>
      <top style="thin">
        <color theme="8" tint="-0.249977111117893"/>
      </top>
      <bottom style="thin">
        <color auto="1"/>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B00000"/>
      </left>
      <right/>
      <top style="medium">
        <color rgb="FFB00000"/>
      </top>
      <bottom style="medium">
        <color rgb="FFB00000"/>
      </bottom>
      <diagonal/>
    </border>
    <border>
      <left/>
      <right/>
      <top style="medium">
        <color rgb="FFB00000"/>
      </top>
      <bottom style="medium">
        <color rgb="FFB00000"/>
      </bottom>
      <diagonal/>
    </border>
    <border>
      <left/>
      <right style="medium">
        <color rgb="FFB00000"/>
      </right>
      <top style="medium">
        <color rgb="FFB00000"/>
      </top>
      <bottom style="medium">
        <color rgb="FFB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rgb="FFC00000"/>
      </left>
      <right/>
      <top/>
      <bottom/>
      <diagonal/>
    </border>
    <border>
      <left style="thin">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top style="medium">
        <color theme="8" tint="-0.249977111117893"/>
      </top>
      <bottom style="medium">
        <color theme="8" tint="-0.249977111117893"/>
      </bottom>
      <diagonal/>
    </border>
    <border>
      <left style="medium">
        <color theme="8"/>
      </left>
      <right style="medium">
        <color rgb="FF2F75B5"/>
      </right>
      <top style="medium">
        <color rgb="FF2F75B5"/>
      </top>
      <bottom style="medium">
        <color rgb="FF2F75B5"/>
      </bottom>
      <diagonal/>
    </border>
    <border>
      <left style="medium">
        <color theme="8"/>
      </left>
      <right style="medium">
        <color rgb="FF2F75B5"/>
      </right>
      <top style="medium">
        <color theme="4" tint="-0.499984740745262"/>
      </top>
      <bottom style="medium">
        <color rgb="FF2F75B5"/>
      </bottom>
      <diagonal/>
    </border>
    <border>
      <left style="medium">
        <color theme="8" tint="-0.249977111117893"/>
      </left>
      <right/>
      <top/>
      <bottom style="medium">
        <color theme="8" tint="-0.249977111117893"/>
      </bottom>
      <diagonal/>
    </border>
    <border>
      <left/>
      <right/>
      <top/>
      <bottom style="medium">
        <color rgb="FF2F75B5"/>
      </bottom>
      <diagonal/>
    </border>
    <border>
      <left style="medium">
        <color theme="8"/>
      </left>
      <right style="medium">
        <color theme="8"/>
      </right>
      <top style="medium">
        <color theme="8"/>
      </top>
      <bottom style="medium">
        <color theme="8"/>
      </bottom>
      <diagonal/>
    </border>
    <border>
      <left style="medium">
        <color theme="8"/>
      </left>
      <right style="medium">
        <color theme="8"/>
      </right>
      <top style="medium">
        <color theme="8"/>
      </top>
      <bottom style="medium">
        <color rgb="FF2F75B5"/>
      </bottom>
      <diagonal/>
    </border>
    <border>
      <left style="medium">
        <color theme="8"/>
      </left>
      <right style="medium">
        <color theme="8"/>
      </right>
      <top style="medium">
        <color rgb="FF2F75B5"/>
      </top>
      <bottom style="medium">
        <color rgb="FF2F75B5"/>
      </bottom>
      <diagonal/>
    </border>
    <border>
      <left style="medium">
        <color theme="8"/>
      </left>
      <right style="medium">
        <color theme="8"/>
      </right>
      <top style="medium">
        <color theme="8" tint="-0.249977111117893"/>
      </top>
      <bottom style="medium">
        <color rgb="FF2F75B5"/>
      </bottom>
      <diagonal/>
    </border>
    <border>
      <left style="medium">
        <color theme="8"/>
      </left>
      <right style="medium">
        <color theme="8"/>
      </right>
      <top style="medium">
        <color theme="8" tint="-0.249977111117893"/>
      </top>
      <bottom/>
      <diagonal/>
    </border>
    <border>
      <left style="medium">
        <color theme="8"/>
      </left>
      <right style="medium">
        <color theme="8"/>
      </right>
      <top style="medium">
        <color rgb="FF2F75B5"/>
      </top>
      <bottom/>
      <diagonal/>
    </border>
    <border>
      <left style="medium">
        <color theme="8"/>
      </left>
      <right style="medium">
        <color theme="8"/>
      </right>
      <top style="medium">
        <color theme="8" tint="-0.249977111117893"/>
      </top>
      <bottom style="medium">
        <color theme="8"/>
      </bottom>
      <diagonal/>
    </border>
    <border>
      <left/>
      <right style="medium">
        <color theme="8" tint="-0.249977111117893"/>
      </right>
      <top style="thin">
        <color theme="8" tint="-0.249977111117893"/>
      </top>
      <bottom style="medium">
        <color theme="8" tint="-0.249977111117893"/>
      </bottom>
      <diagonal/>
    </border>
    <border>
      <left/>
      <right style="medium">
        <color rgb="FF2F75B5"/>
      </right>
      <top style="medium">
        <color theme="8"/>
      </top>
      <bottom style="medium">
        <color theme="8"/>
      </bottom>
      <diagonal/>
    </border>
    <border>
      <left style="medium">
        <color theme="8" tint="-0.249977111117893"/>
      </left>
      <right style="medium">
        <color theme="8" tint="-0.249977111117893"/>
      </right>
      <top style="medium">
        <color theme="8"/>
      </top>
      <bottom style="medium">
        <color theme="8"/>
      </bottom>
      <diagonal/>
    </border>
    <border>
      <left style="medium">
        <color theme="8" tint="-0.249977111117893"/>
      </left>
      <right style="medium">
        <color theme="8"/>
      </right>
      <top style="medium">
        <color theme="8"/>
      </top>
      <bottom style="medium">
        <color theme="8"/>
      </bottom>
      <diagonal/>
    </border>
    <border>
      <left style="medium">
        <color theme="8"/>
      </left>
      <right style="medium">
        <color theme="8"/>
      </right>
      <top style="medium">
        <color theme="8"/>
      </top>
      <bottom/>
      <diagonal/>
    </border>
    <border>
      <left/>
      <right style="medium">
        <color theme="8" tint="-0.249977111117893"/>
      </right>
      <top style="medium">
        <color theme="8" tint="-0.249977111117893"/>
      </top>
      <bottom style="medium">
        <color rgb="FF2F75B5"/>
      </bottom>
      <diagonal/>
    </border>
    <border>
      <left/>
      <right style="medium">
        <color theme="8" tint="-0.249977111117893"/>
      </right>
      <top style="medium">
        <color rgb="FF2F75B5"/>
      </top>
      <bottom style="medium">
        <color theme="8" tint="-0.249977111117893"/>
      </bottom>
      <diagonal/>
    </border>
    <border>
      <left style="medium">
        <color indexed="64"/>
      </left>
      <right/>
      <top style="medium">
        <color indexed="64"/>
      </top>
      <bottom/>
      <diagonal/>
    </border>
    <border>
      <left style="medium">
        <color indexed="64"/>
      </left>
      <right/>
      <top/>
      <bottom style="medium">
        <color indexed="64"/>
      </bottom>
      <diagonal/>
    </border>
    <border>
      <left style="medium">
        <color theme="8" tint="-0.249977111117893"/>
      </left>
      <right style="medium">
        <color theme="8"/>
      </right>
      <top style="medium">
        <color theme="8" tint="-0.249977111117893"/>
      </top>
      <bottom/>
      <diagonal/>
    </border>
    <border>
      <left style="medium">
        <color theme="8" tint="-0.249977111117893"/>
      </left>
      <right style="medium">
        <color theme="8"/>
      </right>
      <top/>
      <bottom style="medium">
        <color theme="8" tint="-0.249977111117893"/>
      </bottom>
      <diagonal/>
    </border>
    <border>
      <left style="medium">
        <color theme="8" tint="-0.249977111117893"/>
      </left>
      <right style="medium">
        <color theme="8"/>
      </right>
      <top style="medium">
        <color theme="8" tint="-0.249977111117893"/>
      </top>
      <bottom style="medium">
        <color theme="8" tint="-0.249977111117893"/>
      </bottom>
      <diagonal/>
    </border>
    <border>
      <left/>
      <right style="medium">
        <color theme="8"/>
      </right>
      <top/>
      <bottom style="medium">
        <color rgb="FF2F75B5"/>
      </bottom>
      <diagonal/>
    </border>
    <border>
      <left style="medium">
        <color indexed="64"/>
      </left>
      <right style="medium">
        <color theme="8"/>
      </right>
      <top style="medium">
        <color theme="8" tint="-0.249977111117893"/>
      </top>
      <bottom style="medium">
        <color theme="8" tint="-0.249977111117893"/>
      </bottom>
      <diagonal/>
    </border>
    <border>
      <left style="medium">
        <color indexed="64"/>
      </left>
      <right style="medium">
        <color theme="8"/>
      </right>
      <top style="medium">
        <color theme="8"/>
      </top>
      <bottom/>
      <diagonal/>
    </border>
    <border>
      <left style="medium">
        <color indexed="64"/>
      </left>
      <right style="medium">
        <color theme="8"/>
      </right>
      <top style="medium">
        <color theme="8"/>
      </top>
      <bottom style="medium">
        <color theme="8" tint="-0.249977111117893"/>
      </bottom>
      <diagonal/>
    </border>
    <border>
      <left style="medium">
        <color theme="8" tint="-0.249977111117893"/>
      </left>
      <right/>
      <top/>
      <bottom/>
      <diagonal/>
    </border>
    <border>
      <left style="medium">
        <color theme="8"/>
      </left>
      <right style="medium">
        <color theme="8"/>
      </right>
      <top/>
      <bottom/>
      <diagonal/>
    </border>
    <border>
      <left style="medium">
        <color theme="8" tint="-0.249977111117893"/>
      </left>
      <right style="medium">
        <color theme="8" tint="-0.249977111117893"/>
      </right>
      <top/>
      <bottom style="medium">
        <color theme="4" tint="-0.499984740745262"/>
      </bottom>
      <diagonal/>
    </border>
    <border>
      <left style="medium">
        <color theme="8"/>
      </left>
      <right style="medium">
        <color theme="8"/>
      </right>
      <top style="medium">
        <color theme="8"/>
      </top>
      <bottom style="medium">
        <color theme="8" tint="-0.249977111117893"/>
      </bottom>
      <diagonal/>
    </border>
    <border>
      <left style="medium">
        <color theme="8"/>
      </left>
      <right style="medium">
        <color theme="8"/>
      </right>
      <top/>
      <bottom style="medium">
        <color theme="8"/>
      </bottom>
      <diagonal/>
    </border>
    <border>
      <left style="medium">
        <color theme="8" tint="-0.249977111117893"/>
      </left>
      <right/>
      <top/>
      <bottom style="medium">
        <color theme="8"/>
      </bottom>
      <diagonal/>
    </border>
    <border>
      <left style="medium">
        <color indexed="64"/>
      </left>
      <right/>
      <top/>
      <bottom/>
      <diagonal/>
    </border>
    <border>
      <left/>
      <right style="medium">
        <color theme="8"/>
      </right>
      <top style="medium">
        <color theme="8" tint="-0.249977111117893"/>
      </top>
      <bottom style="medium">
        <color theme="8" tint="-0.249977111117893"/>
      </bottom>
      <diagonal/>
    </border>
    <border>
      <left/>
      <right style="medium">
        <color theme="8"/>
      </right>
      <top style="medium">
        <color theme="8" tint="-0.249977111117893"/>
      </top>
      <bottom/>
      <diagonal/>
    </border>
    <border>
      <left/>
      <right style="medium">
        <color theme="8"/>
      </right>
      <top/>
      <bottom style="medium">
        <color theme="8" tint="-0.24997711111789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theme="8" tint="-0.249977111117893"/>
      </bottom>
      <diagonal/>
    </border>
    <border>
      <left/>
      <right/>
      <top style="medium">
        <color theme="8" tint="-0.249977111117893"/>
      </top>
      <bottom style="medium">
        <color theme="8" tint="-0.249977111117893"/>
      </bottom>
      <diagonal/>
    </border>
    <border>
      <left/>
      <right/>
      <top style="thin">
        <color theme="8" tint="-0.249977111117893"/>
      </top>
      <bottom style="thin">
        <color theme="8" tint="-0.249977111117893"/>
      </bottom>
      <diagonal/>
    </border>
    <border>
      <left/>
      <right/>
      <top style="medium">
        <color theme="8" tint="-0.249977111117893"/>
      </top>
      <bottom/>
      <diagonal/>
    </border>
    <border>
      <left/>
      <right/>
      <top/>
      <bottom style="medium">
        <color theme="8" tint="-0.249977111117893"/>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theme="8" tint="-0.249977111117893"/>
      </left>
      <right style="medium">
        <color indexed="64"/>
      </right>
      <top style="medium">
        <color theme="8" tint="-0.249977111117893"/>
      </top>
      <bottom style="thin">
        <color theme="8" tint="-0.249977111117893"/>
      </bottom>
      <diagonal/>
    </border>
    <border>
      <left/>
      <right style="medium">
        <color theme="8" tint="-0.249977111117893"/>
      </right>
      <top/>
      <bottom style="medium">
        <color indexed="64"/>
      </bottom>
      <diagonal/>
    </border>
    <border>
      <left style="medium">
        <color theme="8" tint="-0.249977111117893"/>
      </left>
      <right style="medium">
        <color theme="8" tint="-0.249977111117893"/>
      </right>
      <top style="thin">
        <color theme="8" tint="-0.249977111117893"/>
      </top>
      <bottom style="medium">
        <color indexed="64"/>
      </bottom>
      <diagonal/>
    </border>
    <border>
      <left style="medium">
        <color theme="8"/>
      </left>
      <right style="medium">
        <color theme="8"/>
      </right>
      <top/>
      <bottom style="medium">
        <color indexed="64"/>
      </bottom>
      <diagonal/>
    </border>
    <border>
      <left style="medium">
        <color theme="8"/>
      </left>
      <right style="medium">
        <color theme="8"/>
      </right>
      <top style="medium">
        <color indexed="64"/>
      </top>
      <bottom style="medium">
        <color rgb="FF2F75B5"/>
      </bottom>
      <diagonal/>
    </border>
    <border>
      <left style="medium">
        <color indexed="64"/>
      </left>
      <right/>
      <top style="medium">
        <color indexed="64"/>
      </top>
      <bottom style="medium">
        <color theme="8" tint="-0.249977111117893"/>
      </bottom>
      <diagonal/>
    </border>
    <border>
      <left/>
      <right/>
      <top style="medium">
        <color indexed="64"/>
      </top>
      <bottom style="thin">
        <color indexed="64"/>
      </bottom>
      <diagonal/>
    </border>
    <border>
      <left style="medium">
        <color theme="8"/>
      </left>
      <right/>
      <top/>
      <bottom style="medium">
        <color rgb="FF2F75B5"/>
      </bottom>
      <diagonal/>
    </border>
    <border>
      <left style="medium">
        <color rgb="FF2F75B5"/>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theme="8" tint="-0.249977111117893"/>
      </right>
      <top/>
      <bottom style="medium">
        <color theme="8" tint="-0.249977111117893"/>
      </bottom>
      <diagonal/>
    </border>
    <border>
      <left/>
      <right style="medium">
        <color indexed="64"/>
      </right>
      <top style="medium">
        <color indexed="64"/>
      </top>
      <bottom style="medium">
        <color indexed="64"/>
      </bottom>
      <diagonal/>
    </border>
    <border>
      <left/>
      <right/>
      <top/>
      <bottom style="thin">
        <color indexed="64"/>
      </bottom>
      <diagonal/>
    </border>
    <border>
      <left style="medium">
        <color rgb="FF2F75B5"/>
      </left>
      <right style="medium">
        <color theme="8" tint="-0.249977111117893"/>
      </right>
      <top style="medium">
        <color rgb="FF2F75B5"/>
      </top>
      <bottom/>
      <diagonal/>
    </border>
    <border>
      <left style="thick">
        <color rgb="FFB00000"/>
      </left>
      <right/>
      <top style="thick">
        <color rgb="FFB00000"/>
      </top>
      <bottom/>
      <diagonal/>
    </border>
    <border>
      <left/>
      <right/>
      <top style="thick">
        <color rgb="FFB00000"/>
      </top>
      <bottom/>
      <diagonal/>
    </border>
    <border>
      <left/>
      <right style="thick">
        <color rgb="FFB00000"/>
      </right>
      <top style="thick">
        <color rgb="FFB00000"/>
      </top>
      <bottom/>
      <diagonal/>
    </border>
    <border>
      <left style="thick">
        <color rgb="FFB00000"/>
      </left>
      <right/>
      <top/>
      <bottom/>
      <diagonal/>
    </border>
    <border>
      <left/>
      <right style="thick">
        <color rgb="FFB00000"/>
      </right>
      <top/>
      <bottom/>
      <diagonal/>
    </border>
    <border>
      <left style="thick">
        <color rgb="FFB00000"/>
      </left>
      <right/>
      <top/>
      <bottom style="thick">
        <color rgb="FFB00000"/>
      </bottom>
      <diagonal/>
    </border>
    <border>
      <left/>
      <right/>
      <top/>
      <bottom style="thick">
        <color rgb="FFB00000"/>
      </bottom>
      <diagonal/>
    </border>
    <border>
      <left/>
      <right style="thick">
        <color rgb="FFB00000"/>
      </right>
      <top/>
      <bottom style="thick">
        <color rgb="FFB00000"/>
      </bottom>
      <diagonal/>
    </border>
    <border>
      <left/>
      <right/>
      <top style="medium">
        <color rgb="FFC00000"/>
      </top>
      <bottom style="hair">
        <color rgb="FFC00000"/>
      </bottom>
      <diagonal/>
    </border>
    <border>
      <left/>
      <right/>
      <top style="hair">
        <color rgb="FFC00000"/>
      </top>
      <bottom style="hair">
        <color rgb="FFC00000"/>
      </bottom>
      <diagonal/>
    </border>
    <border>
      <left/>
      <right/>
      <top style="hair">
        <color rgb="FFC00000"/>
      </top>
      <bottom style="medium">
        <color rgb="FFC00000"/>
      </bottom>
      <diagonal/>
    </border>
  </borders>
  <cellStyleXfs count="68">
    <xf numFmtId="0" fontId="0" fillId="0" borderId="0"/>
    <xf numFmtId="1" fontId="5" fillId="0" borderId="0" applyNumberFormat="0"/>
    <xf numFmtId="0" fontId="6" fillId="0" borderId="0" applyNumberFormat="0" applyFill="0" applyBorder="0" applyAlignment="0" applyProtection="0"/>
    <xf numFmtId="0" fontId="15" fillId="0" borderId="0" applyNumberFormat="0" applyFill="0" applyBorder="0" applyAlignment="0" applyProtection="0">
      <alignment vertical="top"/>
      <protection locked="0"/>
    </xf>
    <xf numFmtId="0" fontId="16" fillId="6" borderId="2" applyNumberFormat="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9" fillId="0" borderId="0"/>
    <xf numFmtId="0" fontId="12" fillId="0" borderId="0"/>
    <xf numFmtId="0" fontId="9" fillId="0" borderId="0"/>
    <xf numFmtId="0" fontId="12" fillId="0" borderId="0"/>
    <xf numFmtId="0" fontId="17" fillId="0" borderId="0"/>
    <xf numFmtId="9" fontId="9" fillId="0" borderId="0" applyFont="0" applyFill="0" applyBorder="0" applyAlignment="0" applyProtection="0"/>
    <xf numFmtId="0" fontId="27" fillId="0" borderId="0"/>
    <xf numFmtId="9" fontId="27" fillId="0" borderId="0" applyFont="0" applyFill="0" applyBorder="0" applyAlignment="0" applyProtection="0"/>
    <xf numFmtId="0" fontId="28" fillId="0" borderId="0" applyNumberFormat="0" applyFill="0" applyBorder="0" applyAlignment="0" applyProtection="0"/>
    <xf numFmtId="0" fontId="27" fillId="0" borderId="0"/>
    <xf numFmtId="0" fontId="15" fillId="0" borderId="0" applyNumberFormat="0" applyFill="0" applyBorder="0" applyAlignment="0" applyProtection="0">
      <alignment vertical="top"/>
      <protection locked="0"/>
    </xf>
    <xf numFmtId="0" fontId="9" fillId="0" borderId="0"/>
    <xf numFmtId="0" fontId="9" fillId="0" borderId="0"/>
    <xf numFmtId="167" fontId="9" fillId="0" borderId="0" applyFont="0" applyFill="0" applyBorder="0" applyAlignment="0" applyProtection="0"/>
    <xf numFmtId="0" fontId="27" fillId="0" borderId="0"/>
    <xf numFmtId="43" fontId="9" fillId="0" borderId="0" applyFont="0" applyFill="0" applyBorder="0" applyAlignment="0" applyProtection="0"/>
    <xf numFmtId="164" fontId="27"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9" fontId="9" fillId="0" borderId="0" applyFont="0" applyFill="0" applyBorder="0" applyAlignment="0" applyProtection="0"/>
    <xf numFmtId="0" fontId="29" fillId="0" borderId="0"/>
    <xf numFmtId="9" fontId="9" fillId="0" borderId="0" applyFont="0" applyFill="0" applyBorder="0" applyAlignment="0" applyProtection="0"/>
    <xf numFmtId="0" fontId="27" fillId="0" borderId="0"/>
    <xf numFmtId="0" fontId="27" fillId="0" borderId="0"/>
    <xf numFmtId="0" fontId="9" fillId="0" borderId="0"/>
    <xf numFmtId="0" fontId="9" fillId="0" borderId="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164" fontId="9" fillId="0" borderId="0" applyFont="0" applyFill="0" applyBorder="0" applyAlignment="0" applyProtection="0"/>
    <xf numFmtId="0" fontId="27" fillId="0" borderId="0"/>
    <xf numFmtId="164" fontId="27" fillId="0" borderId="0" applyFont="0" applyFill="0" applyBorder="0" applyAlignment="0" applyProtection="0"/>
    <xf numFmtId="0" fontId="27" fillId="0" borderId="0"/>
    <xf numFmtId="0" fontId="27" fillId="0" borderId="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0" fontId="48" fillId="0" borderId="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xf numFmtId="0" fontId="52" fillId="0" borderId="0" applyNumberFormat="0" applyFill="0" applyBorder="0" applyAlignment="0" applyProtection="0"/>
    <xf numFmtId="170" fontId="51" fillId="0" borderId="0" applyFont="0" applyFill="0" applyBorder="0" applyAlignment="0" applyProtection="0"/>
    <xf numFmtId="0" fontId="53" fillId="0" borderId="0" applyNumberFormat="0" applyBorder="0" applyProtection="0"/>
    <xf numFmtId="0" fontId="51" fillId="0" borderId="0" applyNumberFormat="0" applyFont="0" applyBorder="0" applyProtection="0"/>
    <xf numFmtId="0" fontId="51" fillId="0" borderId="0" applyNumberFormat="0" applyFont="0" applyBorder="0" applyProtection="0"/>
    <xf numFmtId="164" fontId="54" fillId="0" borderId="0" applyFont="0" applyFill="0" applyBorder="0" applyAlignment="0" applyProtection="0"/>
    <xf numFmtId="0" fontId="9" fillId="0" borderId="0"/>
    <xf numFmtId="0" fontId="54" fillId="0" borderId="0"/>
    <xf numFmtId="0" fontId="57" fillId="0" borderId="0"/>
    <xf numFmtId="0" fontId="27" fillId="0" borderId="0"/>
    <xf numFmtId="9" fontId="58" fillId="0" borderId="0" applyFont="0" applyFill="0" applyBorder="0" applyAlignment="0" applyProtection="0"/>
    <xf numFmtId="0" fontId="27" fillId="0" borderId="0"/>
    <xf numFmtId="9" fontId="27" fillId="0" borderId="0" applyFont="0" applyFill="0" applyBorder="0" applyAlignment="0" applyProtection="0"/>
  </cellStyleXfs>
  <cellXfs count="777">
    <xf numFmtId="0" fontId="0" fillId="0" borderId="0" xfId="0"/>
    <xf numFmtId="0" fontId="0" fillId="2" borderId="0" xfId="0" applyFill="1"/>
    <xf numFmtId="0" fontId="0" fillId="2" borderId="0" xfId="0" applyFill="1" applyAlignment="1">
      <alignment wrapText="1"/>
    </xf>
    <xf numFmtId="0" fontId="4" fillId="2" borderId="0" xfId="0" applyFont="1" applyFill="1"/>
    <xf numFmtId="0" fontId="1" fillId="2" borderId="0" xfId="0" applyFont="1" applyFill="1"/>
    <xf numFmtId="0" fontId="23" fillId="9" borderId="0" xfId="0" applyFont="1" applyFill="1"/>
    <xf numFmtId="0" fontId="0" fillId="2" borderId="0" xfId="0" applyFill="1" applyAlignment="1">
      <alignment horizontal="left"/>
    </xf>
    <xf numFmtId="0" fontId="8" fillId="2" borderId="0" xfId="0" applyFont="1" applyFill="1"/>
    <xf numFmtId="0" fontId="31" fillId="2" borderId="0" xfId="0" applyFont="1" applyFill="1"/>
    <xf numFmtId="0" fontId="45" fillId="2" borderId="0" xfId="0" applyFont="1" applyFill="1"/>
    <xf numFmtId="165" fontId="45" fillId="2" borderId="0" xfId="0" applyNumberFormat="1" applyFont="1" applyFill="1"/>
    <xf numFmtId="0" fontId="55" fillId="2" borderId="0" xfId="0" applyFont="1" applyFill="1"/>
    <xf numFmtId="0" fontId="37" fillId="2" borderId="0" xfId="0" applyFont="1" applyFill="1"/>
    <xf numFmtId="0" fontId="55" fillId="2" borderId="3" xfId="0" applyFont="1" applyFill="1" applyBorder="1"/>
    <xf numFmtId="0" fontId="63" fillId="2" borderId="0" xfId="0" applyFont="1" applyFill="1"/>
    <xf numFmtId="0" fontId="55" fillId="2" borderId="0" xfId="0" applyFont="1" applyFill="1" applyAlignment="1">
      <alignment horizontal="center" wrapText="1"/>
    </xf>
    <xf numFmtId="0" fontId="55" fillId="2" borderId="3" xfId="0" applyFont="1" applyFill="1" applyBorder="1" applyAlignment="1">
      <alignment horizontal="center"/>
    </xf>
    <xf numFmtId="0" fontId="55" fillId="2" borderId="3" xfId="0" applyFont="1" applyFill="1" applyBorder="1" applyAlignment="1">
      <alignment horizontal="left"/>
    </xf>
    <xf numFmtId="2" fontId="35" fillId="2" borderId="0" xfId="1" applyNumberFormat="1" applyFont="1" applyFill="1" applyAlignment="1">
      <alignment horizontal="center"/>
    </xf>
    <xf numFmtId="0" fontId="55" fillId="0" borderId="0" xfId="0" applyFont="1"/>
    <xf numFmtId="0" fontId="3" fillId="2" borderId="18" xfId="0" applyFont="1" applyFill="1" applyBorder="1" applyAlignment="1">
      <alignment horizontal="center"/>
    </xf>
    <xf numFmtId="0" fontId="3" fillId="2" borderId="0" xfId="0" applyFont="1" applyFill="1" applyAlignment="1">
      <alignment horizontal="center"/>
    </xf>
    <xf numFmtId="0" fontId="64" fillId="2" borderId="18" xfId="0" applyFont="1" applyFill="1" applyBorder="1" applyAlignment="1">
      <alignment horizontal="center" vertical="center" wrapText="1"/>
    </xf>
    <xf numFmtId="0" fontId="3" fillId="2" borderId="25" xfId="0" applyFont="1" applyFill="1" applyBorder="1" applyAlignment="1">
      <alignment horizontal="center"/>
    </xf>
    <xf numFmtId="0" fontId="0" fillId="0" borderId="0" xfId="0" applyAlignment="1">
      <alignment wrapText="1"/>
    </xf>
    <xf numFmtId="0" fontId="4" fillId="14" borderId="0" xfId="0" applyFont="1" applyFill="1" applyAlignment="1">
      <alignment horizontal="center" vertical="center"/>
    </xf>
    <xf numFmtId="0" fontId="4" fillId="14" borderId="0" xfId="0" applyFont="1" applyFill="1" applyAlignment="1">
      <alignment horizontal="center" vertical="center" wrapText="1"/>
    </xf>
    <xf numFmtId="0" fontId="4" fillId="15" borderId="0" xfId="0" applyFont="1" applyFill="1" applyAlignment="1">
      <alignment horizontal="center" vertical="center"/>
    </xf>
    <xf numFmtId="0" fontId="0" fillId="0" borderId="0" xfId="0" applyAlignment="1">
      <alignment horizontal="left" vertical="center" wrapText="1" indent="1"/>
    </xf>
    <xf numFmtId="0" fontId="4" fillId="4" borderId="0" xfId="0" applyFont="1" applyFill="1" applyAlignment="1">
      <alignment horizontal="center" vertical="center"/>
    </xf>
    <xf numFmtId="0" fontId="7" fillId="2" borderId="0" xfId="1" applyNumberFormat="1" applyFont="1" applyFill="1"/>
    <xf numFmtId="0" fontId="8" fillId="2" borderId="0" xfId="1" applyNumberFormat="1" applyFont="1" applyFill="1"/>
    <xf numFmtId="0" fontId="2" fillId="2" borderId="0" xfId="0" applyFont="1" applyFill="1"/>
    <xf numFmtId="0" fontId="8" fillId="2" borderId="0" xfId="1" applyNumberFormat="1" applyFont="1" applyFill="1" applyAlignment="1">
      <alignment wrapText="1"/>
    </xf>
    <xf numFmtId="0" fontId="3" fillId="2" borderId="0" xfId="0" applyFont="1" applyFill="1" applyAlignment="1">
      <alignment horizontal="left" vertical="center"/>
    </xf>
    <xf numFmtId="171" fontId="0" fillId="2" borderId="0" xfId="0" applyNumberFormat="1" applyFill="1"/>
    <xf numFmtId="0" fontId="10" fillId="2" borderId="0" xfId="0" applyFont="1" applyFill="1" applyAlignment="1">
      <alignment horizontal="center"/>
    </xf>
    <xf numFmtId="0" fontId="12" fillId="2" borderId="0" xfId="0" applyFont="1" applyFill="1"/>
    <xf numFmtId="0" fontId="11" fillId="2" borderId="0" xfId="0" applyFont="1" applyFill="1"/>
    <xf numFmtId="0" fontId="3" fillId="2" borderId="0" xfId="0" applyFont="1" applyFill="1"/>
    <xf numFmtId="0" fontId="9" fillId="2" borderId="0" xfId="1" applyNumberFormat="1" applyFont="1" applyFill="1"/>
    <xf numFmtId="0" fontId="13" fillId="2" borderId="0" xfId="1" applyNumberFormat="1" applyFont="1" applyFill="1"/>
    <xf numFmtId="0" fontId="0" fillId="2" borderId="0" xfId="0" applyFill="1" applyAlignment="1">
      <alignment vertical="center"/>
    </xf>
    <xf numFmtId="0" fontId="0" fillId="2" borderId="0" xfId="0" applyFill="1" applyAlignment="1">
      <alignment vertical="center" wrapText="1"/>
    </xf>
    <xf numFmtId="0" fontId="0" fillId="3" borderId="1" xfId="0" applyFill="1" applyBorder="1" applyProtection="1">
      <protection locked="0"/>
    </xf>
    <xf numFmtId="0" fontId="0" fillId="10" borderId="1" xfId="0" applyFill="1" applyBorder="1" applyAlignment="1" applyProtection="1">
      <alignment vertical="center" wrapText="1"/>
      <protection locked="0"/>
    </xf>
    <xf numFmtId="0" fontId="7" fillId="2" borderId="0" xfId="0" applyFont="1" applyFill="1"/>
    <xf numFmtId="0" fontId="33" fillId="2" borderId="7" xfId="35" applyFont="1" applyFill="1" applyBorder="1"/>
    <xf numFmtId="0" fontId="33" fillId="2" borderId="0" xfId="35" applyFont="1" applyFill="1" applyAlignment="1">
      <alignment horizontal="center"/>
    </xf>
    <xf numFmtId="174" fontId="8" fillId="2" borderId="0" xfId="0" applyNumberFormat="1" applyFont="1" applyFill="1"/>
    <xf numFmtId="0" fontId="37" fillId="2" borderId="0" xfId="1" applyNumberFormat="1" applyFont="1" applyFill="1"/>
    <xf numFmtId="0" fontId="38" fillId="2" borderId="0" xfId="0" applyFont="1" applyFill="1" applyAlignment="1">
      <alignment horizontal="center"/>
    </xf>
    <xf numFmtId="0" fontId="63" fillId="2" borderId="0" xfId="0" applyFont="1" applyFill="1" applyAlignment="1">
      <alignment horizontal="center" wrapText="1"/>
    </xf>
    <xf numFmtId="0" fontId="42" fillId="2" borderId="0" xfId="0" applyFont="1" applyFill="1"/>
    <xf numFmtId="0" fontId="63" fillId="2" borderId="0" xfId="0" applyFont="1" applyFill="1" applyAlignment="1">
      <alignment wrapText="1"/>
    </xf>
    <xf numFmtId="0" fontId="63" fillId="2" borderId="0" xfId="0" applyFont="1" applyFill="1" applyAlignment="1">
      <alignment horizontal="center"/>
    </xf>
    <xf numFmtId="164" fontId="63" fillId="2" borderId="0" xfId="0" applyNumberFormat="1" applyFont="1" applyFill="1"/>
    <xf numFmtId="0" fontId="55" fillId="2" borderId="0" xfId="0" applyFont="1" applyFill="1" applyAlignment="1">
      <alignment horizontal="right"/>
    </xf>
    <xf numFmtId="0" fontId="63" fillId="2" borderId="0" xfId="0" applyFont="1" applyFill="1" applyAlignment="1">
      <alignment horizontal="left"/>
    </xf>
    <xf numFmtId="0" fontId="35" fillId="2" borderId="0" xfId="35" applyFont="1" applyFill="1" applyAlignment="1">
      <alignment horizontal="center" wrapText="1"/>
    </xf>
    <xf numFmtId="0" fontId="40" fillId="2" borderId="0" xfId="35" applyFont="1" applyFill="1"/>
    <xf numFmtId="0" fontId="35" fillId="2" borderId="0" xfId="35" applyFont="1" applyFill="1"/>
    <xf numFmtId="0" fontId="44" fillId="12" borderId="0" xfId="1" applyNumberFormat="1" applyFont="1" applyFill="1"/>
    <xf numFmtId="0" fontId="32" fillId="2" borderId="0" xfId="0" applyFont="1" applyFill="1" applyAlignment="1">
      <alignment horizontal="center"/>
    </xf>
    <xf numFmtId="0" fontId="4" fillId="2" borderId="8" xfId="0" applyFont="1" applyFill="1" applyBorder="1"/>
    <xf numFmtId="0" fontId="36" fillId="2" borderId="0" xfId="0" applyFont="1" applyFill="1"/>
    <xf numFmtId="0" fontId="35" fillId="2" borderId="0" xfId="1" applyNumberFormat="1" applyFont="1" applyFill="1" applyAlignment="1">
      <alignment horizontal="right"/>
    </xf>
    <xf numFmtId="0" fontId="8" fillId="2" borderId="0" xfId="0" applyFont="1" applyFill="1" applyAlignment="1">
      <alignment vertical="top"/>
    </xf>
    <xf numFmtId="0" fontId="39" fillId="2" borderId="0" xfId="0" applyFont="1" applyFill="1"/>
    <xf numFmtId="0" fontId="40" fillId="2" borderId="0" xfId="0" applyFont="1" applyFill="1"/>
    <xf numFmtId="0" fontId="33" fillId="2" borderId="0" xfId="1" applyNumberFormat="1" applyFont="1" applyFill="1"/>
    <xf numFmtId="0" fontId="35" fillId="2" borderId="0" xfId="1" applyNumberFormat="1" applyFont="1" applyFill="1"/>
    <xf numFmtId="0" fontId="41" fillId="2" borderId="0" xfId="1" applyNumberFormat="1" applyFont="1" applyFill="1"/>
    <xf numFmtId="0" fontId="59" fillId="2" borderId="0" xfId="0" applyFont="1" applyFill="1"/>
    <xf numFmtId="172" fontId="55" fillId="0" borderId="3" xfId="0" applyNumberFormat="1" applyFont="1" applyBorder="1" applyAlignment="1">
      <alignment horizontal="center"/>
    </xf>
    <xf numFmtId="2" fontId="55" fillId="11" borderId="3" xfId="0" applyNumberFormat="1" applyFont="1" applyFill="1" applyBorder="1" applyAlignment="1">
      <alignment horizontal="center"/>
    </xf>
    <xf numFmtId="0" fontId="60" fillId="0" borderId="0" xfId="2" applyFont="1" applyAlignment="1" applyProtection="1"/>
    <xf numFmtId="0" fontId="61" fillId="2" borderId="0" xfId="0" applyFont="1" applyFill="1"/>
    <xf numFmtId="0" fontId="62" fillId="2" borderId="0" xfId="0" applyFont="1" applyFill="1"/>
    <xf numFmtId="1" fontId="55" fillId="11" borderId="3" xfId="0" applyNumberFormat="1" applyFont="1" applyFill="1" applyBorder="1" applyAlignment="1">
      <alignment horizontal="center"/>
    </xf>
    <xf numFmtId="0" fontId="6" fillId="2" borderId="0" xfId="2" applyFill="1" applyProtection="1"/>
    <xf numFmtId="0" fontId="35" fillId="2" borderId="0" xfId="0" applyFont="1" applyFill="1"/>
    <xf numFmtId="0" fontId="55" fillId="0" borderId="0" xfId="0" applyFont="1" applyAlignment="1">
      <alignment horizontal="center"/>
    </xf>
    <xf numFmtId="0" fontId="6" fillId="2" borderId="3" xfId="2" applyFill="1" applyBorder="1" applyAlignment="1" applyProtection="1">
      <alignment horizontal="left"/>
    </xf>
    <xf numFmtId="0" fontId="0" fillId="2" borderId="0" xfId="0" applyFill="1" applyAlignment="1">
      <alignment horizontal="left" vertical="center" wrapText="1"/>
    </xf>
    <xf numFmtId="174" fontId="35" fillId="2" borderId="0" xfId="50" applyNumberFormat="1" applyFont="1" applyFill="1" applyBorder="1" applyAlignment="1" applyProtection="1">
      <alignment horizontal="center" vertical="center"/>
    </xf>
    <xf numFmtId="0" fontId="8" fillId="2" borderId="0" xfId="1" applyNumberFormat="1" applyFont="1" applyFill="1" applyAlignment="1">
      <alignment vertical="top" wrapText="1"/>
    </xf>
    <xf numFmtId="4" fontId="37" fillId="2" borderId="0" xfId="0" applyNumberFormat="1" applyFont="1" applyFill="1"/>
    <xf numFmtId="166" fontId="64" fillId="2" borderId="21" xfId="0" applyNumberFormat="1" applyFont="1" applyFill="1" applyBorder="1" applyAlignment="1">
      <alignment horizontal="center" vertical="center" wrapText="1"/>
    </xf>
    <xf numFmtId="2" fontId="0" fillId="8" borderId="21" xfId="0" applyNumberFormat="1" applyFill="1" applyBorder="1" applyAlignment="1">
      <alignment horizontal="center"/>
    </xf>
    <xf numFmtId="2" fontId="0" fillId="8" borderId="22" xfId="0" applyNumberFormat="1" applyFill="1" applyBorder="1" applyAlignment="1">
      <alignment horizontal="center"/>
    </xf>
    <xf numFmtId="2" fontId="0" fillId="8" borderId="27" xfId="0" applyNumberFormat="1" applyFill="1" applyBorder="1" applyAlignment="1">
      <alignment horizontal="center"/>
    </xf>
    <xf numFmtId="0" fontId="8" fillId="2" borderId="21" xfId="0" applyFont="1" applyFill="1" applyBorder="1" applyAlignment="1" applyProtection="1">
      <alignment horizontal="center" vertical="center"/>
      <protection locked="0"/>
    </xf>
    <xf numFmtId="166" fontId="8" fillId="3" borderId="6" xfId="0" applyNumberFormat="1" applyFont="1" applyFill="1" applyBorder="1" applyAlignment="1" applyProtection="1">
      <alignment horizontal="center" vertical="center"/>
      <protection locked="0"/>
    </xf>
    <xf numFmtId="0" fontId="6" fillId="0" borderId="0" xfId="2"/>
    <xf numFmtId="172" fontId="6" fillId="0" borderId="3" xfId="2" applyNumberFormat="1" applyBorder="1" applyAlignment="1" applyProtection="1">
      <alignment horizontal="left"/>
    </xf>
    <xf numFmtId="166" fontId="8" fillId="2" borderId="6" xfId="0" applyNumberFormat="1" applyFont="1" applyFill="1" applyBorder="1" applyAlignment="1" applyProtection="1">
      <alignment horizontal="center" vertical="center"/>
      <protection locked="0"/>
    </xf>
    <xf numFmtId="0" fontId="68" fillId="19" borderId="33" xfId="0" applyFont="1" applyFill="1" applyBorder="1" applyAlignment="1">
      <alignment horizontal="center" vertical="center"/>
    </xf>
    <xf numFmtId="0" fontId="69" fillId="20" borderId="34" xfId="0" applyFont="1" applyFill="1" applyBorder="1" applyAlignment="1" applyProtection="1">
      <alignment horizontal="center" vertical="center"/>
      <protection locked="0"/>
    </xf>
    <xf numFmtId="0" fontId="69" fillId="19" borderId="35" xfId="0" applyFont="1" applyFill="1" applyBorder="1" applyAlignment="1">
      <alignment horizontal="center" vertical="center" wrapText="1"/>
    </xf>
    <xf numFmtId="0" fontId="31" fillId="2" borderId="21" xfId="0" applyFont="1" applyFill="1" applyBorder="1" applyAlignment="1" applyProtection="1">
      <alignment horizontal="center" vertical="center"/>
      <protection locked="0"/>
    </xf>
    <xf numFmtId="0" fontId="0" fillId="0" borderId="26" xfId="0" applyBorder="1"/>
    <xf numFmtId="0" fontId="69" fillId="19" borderId="34" xfId="0" applyFont="1" applyFill="1" applyBorder="1" applyAlignment="1">
      <alignment horizontal="center" vertical="center"/>
    </xf>
    <xf numFmtId="0" fontId="69" fillId="19" borderId="35" xfId="0" applyFont="1" applyFill="1" applyBorder="1" applyAlignment="1">
      <alignment horizontal="center" vertical="center"/>
    </xf>
    <xf numFmtId="0" fontId="6" fillId="0" borderId="18" xfId="2" applyBorder="1" applyAlignment="1">
      <alignment horizontal="center" vertical="center" wrapText="1"/>
    </xf>
    <xf numFmtId="0" fontId="73" fillId="18" borderId="32" xfId="0" applyFont="1" applyFill="1" applyBorder="1" applyAlignment="1">
      <alignment horizontal="center" vertical="center" wrapText="1"/>
    </xf>
    <xf numFmtId="0" fontId="64" fillId="2" borderId="21" xfId="0" applyFont="1" applyFill="1" applyBorder="1" applyAlignment="1">
      <alignment horizontal="center" vertical="center" wrapText="1"/>
    </xf>
    <xf numFmtId="0" fontId="2" fillId="0" borderId="0" xfId="0" applyFont="1"/>
    <xf numFmtId="0" fontId="75" fillId="19" borderId="33" xfId="0" applyFont="1" applyFill="1" applyBorder="1" applyAlignment="1">
      <alignment horizontal="center" vertical="center"/>
    </xf>
    <xf numFmtId="0" fontId="74" fillId="2" borderId="21" xfId="0" applyFont="1" applyFill="1" applyBorder="1" applyAlignment="1" applyProtection="1">
      <alignment horizontal="center" vertical="center"/>
      <protection locked="0"/>
    </xf>
    <xf numFmtId="0" fontId="2" fillId="2" borderId="21" xfId="0" applyFont="1" applyFill="1" applyBorder="1" applyAlignment="1">
      <alignment horizontal="center" vertical="center" wrapText="1"/>
    </xf>
    <xf numFmtId="0" fontId="73" fillId="2" borderId="21" xfId="0" applyFont="1" applyFill="1" applyBorder="1" applyAlignment="1">
      <alignment horizontal="center" vertical="center" wrapText="1"/>
    </xf>
    <xf numFmtId="0" fontId="6" fillId="0" borderId="18" xfId="2" applyNumberFormat="1" applyBorder="1" applyAlignment="1" applyProtection="1">
      <alignment horizontal="center" vertical="center" wrapText="1"/>
      <protection hidden="1"/>
    </xf>
    <xf numFmtId="0" fontId="69" fillId="19" borderId="35" xfId="0" applyFont="1" applyFill="1" applyBorder="1" applyAlignment="1" applyProtection="1">
      <alignment horizontal="center" vertical="center" wrapText="1"/>
      <protection hidden="1"/>
    </xf>
    <xf numFmtId="166" fontId="2" fillId="2" borderId="6" xfId="0" applyNumberFormat="1" applyFont="1" applyFill="1" applyBorder="1" applyAlignment="1" applyProtection="1">
      <alignment horizontal="center" vertical="center"/>
      <protection locked="0"/>
    </xf>
    <xf numFmtId="0" fontId="0" fillId="24" borderId="0" xfId="0" applyFill="1"/>
    <xf numFmtId="0" fontId="6" fillId="0" borderId="28" xfId="2" applyBorder="1" applyAlignment="1">
      <alignment horizontal="center" vertical="center" wrapText="1"/>
    </xf>
    <xf numFmtId="0" fontId="6" fillId="0" borderId="28" xfId="2" applyNumberFormat="1" applyBorder="1" applyAlignment="1" applyProtection="1">
      <alignment horizontal="center" vertical="center" wrapText="1"/>
      <protection hidden="1"/>
    </xf>
    <xf numFmtId="0" fontId="0" fillId="10" borderId="36" xfId="0" applyFill="1" applyBorder="1" applyAlignment="1" applyProtection="1">
      <alignment horizontal="center" vertical="center"/>
      <protection locked="0"/>
    </xf>
    <xf numFmtId="0" fontId="0" fillId="2" borderId="36" xfId="0" applyFill="1" applyBorder="1" applyAlignment="1">
      <alignment horizontal="center" vertical="center" wrapText="1"/>
    </xf>
    <xf numFmtId="0" fontId="0" fillId="2" borderId="36" xfId="0" applyFill="1" applyBorder="1" applyAlignment="1" applyProtection="1">
      <alignment horizontal="center" vertical="center" wrapText="1"/>
      <protection hidden="1"/>
    </xf>
    <xf numFmtId="0" fontId="77" fillId="2" borderId="0" xfId="0" applyFont="1" applyFill="1" applyProtection="1">
      <protection hidden="1"/>
    </xf>
    <xf numFmtId="0" fontId="0" fillId="2" borderId="0" xfId="0" applyFill="1" applyProtection="1">
      <protection hidden="1"/>
    </xf>
    <xf numFmtId="0" fontId="24" fillId="2" borderId="0" xfId="0" applyFont="1" applyFill="1" applyProtection="1">
      <protection hidden="1"/>
    </xf>
    <xf numFmtId="0" fontId="2" fillId="2" borderId="0" xfId="0" applyFont="1" applyFill="1" applyProtection="1">
      <protection hidden="1"/>
    </xf>
    <xf numFmtId="0" fontId="77" fillId="2" borderId="0" xfId="0" applyFont="1" applyFill="1" applyAlignment="1" applyProtection="1">
      <alignment horizontal="center" vertical="center"/>
      <protection hidden="1"/>
    </xf>
    <xf numFmtId="0" fontId="0" fillId="2" borderId="0" xfId="0" applyFill="1" applyAlignment="1" applyProtection="1">
      <alignment horizontal="left"/>
      <protection hidden="1"/>
    </xf>
    <xf numFmtId="0" fontId="77" fillId="2" borderId="0" xfId="0" applyFont="1" applyFill="1" applyAlignment="1" applyProtection="1">
      <alignment horizontal="left"/>
      <protection hidden="1"/>
    </xf>
    <xf numFmtId="0" fontId="31" fillId="2" borderId="0" xfId="0" applyFont="1" applyFill="1" applyProtection="1">
      <protection hidden="1"/>
    </xf>
    <xf numFmtId="0" fontId="0" fillId="3" borderId="0" xfId="0" applyFill="1" applyProtection="1">
      <protection hidden="1"/>
    </xf>
    <xf numFmtId="0" fontId="0" fillId="7" borderId="0" xfId="0" applyFill="1" applyProtection="1">
      <protection hidden="1"/>
    </xf>
    <xf numFmtId="0" fontId="0" fillId="10" borderId="0" xfId="0" applyFill="1" applyProtection="1">
      <protection hidden="1"/>
    </xf>
    <xf numFmtId="0" fontId="0" fillId="8" borderId="0" xfId="0" applyFill="1" applyProtection="1">
      <protection hidden="1"/>
    </xf>
    <xf numFmtId="0" fontId="2" fillId="11" borderId="0" xfId="0" applyFont="1" applyFill="1" applyProtection="1">
      <protection hidden="1"/>
    </xf>
    <xf numFmtId="0" fontId="23" fillId="9" borderId="0" xfId="0" applyFont="1" applyFill="1" applyAlignment="1">
      <alignment wrapText="1"/>
    </xf>
    <xf numFmtId="0" fontId="0" fillId="25" borderId="0" xfId="0" applyFill="1"/>
    <xf numFmtId="0" fontId="76" fillId="25" borderId="0" xfId="0" applyFont="1" applyFill="1" applyAlignment="1">
      <alignment vertical="center"/>
    </xf>
    <xf numFmtId="0" fontId="18" fillId="25" borderId="0" xfId="0" applyFont="1" applyFill="1" applyProtection="1">
      <protection hidden="1"/>
    </xf>
    <xf numFmtId="0" fontId="0" fillId="25" borderId="0" xfId="0" applyFill="1" applyAlignment="1">
      <alignment wrapText="1"/>
    </xf>
    <xf numFmtId="0" fontId="76" fillId="25" borderId="0" xfId="0" applyFont="1" applyFill="1" applyAlignment="1">
      <alignment vertical="center" wrapText="1"/>
    </xf>
    <xf numFmtId="0" fontId="19" fillId="25" borderId="0" xfId="0" applyFont="1" applyFill="1" applyProtection="1">
      <protection hidden="1"/>
    </xf>
    <xf numFmtId="0" fontId="1" fillId="25" borderId="0" xfId="0" applyFont="1" applyFill="1" applyProtection="1">
      <protection hidden="1"/>
    </xf>
    <xf numFmtId="0" fontId="4" fillId="25" borderId="0" xfId="0" applyFont="1" applyFill="1"/>
    <xf numFmtId="0" fontId="20" fillId="26" borderId="0" xfId="0" applyFont="1" applyFill="1"/>
    <xf numFmtId="0" fontId="23" fillId="26" borderId="0" xfId="0" applyFont="1" applyFill="1" applyAlignment="1" applyProtection="1">
      <alignment vertical="center"/>
      <protection locked="0"/>
    </xf>
    <xf numFmtId="0" fontId="22" fillId="26" borderId="0" xfId="0" applyFont="1" applyFill="1"/>
    <xf numFmtId="0" fontId="20" fillId="26" borderId="0" xfId="0" applyFont="1" applyFill="1" applyAlignment="1">
      <alignment vertical="center"/>
    </xf>
    <xf numFmtId="0" fontId="0" fillId="26" borderId="0" xfId="0" applyFill="1"/>
    <xf numFmtId="0" fontId="23" fillId="26" borderId="0" xfId="0" applyFont="1" applyFill="1"/>
    <xf numFmtId="9" fontId="8" fillId="3" borderId="6" xfId="67" applyFont="1" applyFill="1" applyBorder="1" applyAlignment="1" applyProtection="1">
      <alignment horizontal="center" vertical="center"/>
      <protection locked="0"/>
    </xf>
    <xf numFmtId="9" fontId="8" fillId="3" borderId="6" xfId="67" applyFont="1" applyFill="1" applyBorder="1" applyAlignment="1" applyProtection="1">
      <alignment horizontal="center" vertical="center"/>
      <protection hidden="1"/>
    </xf>
    <xf numFmtId="173" fontId="8" fillId="3" borderId="21" xfId="0" applyNumberFormat="1"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1" fontId="64" fillId="2" borderId="21" xfId="0" applyNumberFormat="1" applyFont="1" applyFill="1" applyBorder="1" applyAlignment="1">
      <alignment horizontal="center" vertical="center" wrapText="1"/>
    </xf>
    <xf numFmtId="0" fontId="0" fillId="0" borderId="44" xfId="0" applyBorder="1"/>
    <xf numFmtId="0" fontId="81" fillId="0" borderId="0" xfId="0" applyFont="1"/>
    <xf numFmtId="3" fontId="55" fillId="2" borderId="0" xfId="0" applyNumberFormat="1" applyFont="1" applyFill="1" applyAlignment="1">
      <alignment horizontal="center"/>
    </xf>
    <xf numFmtId="0" fontId="21" fillId="26" borderId="0" xfId="0" applyFont="1" applyFill="1" applyAlignment="1">
      <alignment vertical="center"/>
    </xf>
    <xf numFmtId="0" fontId="35" fillId="2" borderId="0" xfId="0" applyFont="1" applyFill="1" applyAlignment="1">
      <alignment horizontal="center"/>
    </xf>
    <xf numFmtId="4" fontId="34" fillId="2" borderId="0" xfId="35" applyNumberFormat="1" applyFont="1" applyFill="1" applyAlignment="1">
      <alignment horizontal="center"/>
    </xf>
    <xf numFmtId="0" fontId="55" fillId="11" borderId="3" xfId="0" applyFont="1" applyFill="1" applyBorder="1"/>
    <xf numFmtId="172" fontId="55" fillId="0" borderId="3" xfId="0" applyNumberFormat="1" applyFont="1" applyBorder="1" applyAlignment="1">
      <alignment horizontal="left"/>
    </xf>
    <xf numFmtId="1" fontId="55" fillId="11" borderId="47" xfId="0" applyNumberFormat="1" applyFont="1" applyFill="1" applyBorder="1" applyAlignment="1">
      <alignment horizontal="center"/>
    </xf>
    <xf numFmtId="172" fontId="55" fillId="11" borderId="3" xfId="0" applyNumberFormat="1" applyFont="1" applyFill="1" applyBorder="1" applyAlignment="1">
      <alignment horizontal="center"/>
    </xf>
    <xf numFmtId="0" fontId="55" fillId="0" borderId="3" xfId="0" applyFont="1" applyBorder="1" applyAlignment="1">
      <alignment horizontal="center"/>
    </xf>
    <xf numFmtId="0" fontId="55" fillId="27" borderId="3" xfId="0" applyFont="1" applyFill="1" applyBorder="1"/>
    <xf numFmtId="0" fontId="59" fillId="2" borderId="0" xfId="0" applyFont="1" applyFill="1" applyAlignment="1">
      <alignment vertical="center"/>
    </xf>
    <xf numFmtId="172" fontId="55" fillId="2" borderId="3" xfId="0" applyNumberFormat="1" applyFont="1" applyFill="1" applyBorder="1" applyAlignment="1">
      <alignment horizontal="left"/>
    </xf>
    <xf numFmtId="172" fontId="55" fillId="2" borderId="0" xfId="0" applyNumberFormat="1" applyFont="1" applyFill="1" applyAlignment="1">
      <alignment horizontal="left"/>
    </xf>
    <xf numFmtId="0" fontId="82" fillId="2" borderId="0" xfId="0" applyFont="1" applyFill="1"/>
    <xf numFmtId="0" fontId="85" fillId="2" borderId="0" xfId="0" applyFont="1" applyFill="1"/>
    <xf numFmtId="172" fontId="82" fillId="2" borderId="0" xfId="0" applyNumberFormat="1" applyFont="1" applyFill="1" applyAlignment="1">
      <alignment horizontal="left"/>
    </xf>
    <xf numFmtId="0" fontId="83" fillId="2" borderId="0" xfId="0" applyFont="1" applyFill="1"/>
    <xf numFmtId="172" fontId="82" fillId="2" borderId="0" xfId="0" applyNumberFormat="1" applyFont="1" applyFill="1" applyAlignment="1">
      <alignment horizontal="center"/>
    </xf>
    <xf numFmtId="2" fontId="82" fillId="2" borderId="0" xfId="0" applyNumberFormat="1" applyFont="1" applyFill="1" applyAlignment="1">
      <alignment horizontal="center"/>
    </xf>
    <xf numFmtId="172" fontId="84" fillId="2" borderId="0" xfId="2" applyNumberFormat="1" applyFont="1" applyFill="1" applyBorder="1" applyAlignment="1" applyProtection="1">
      <alignment horizontal="left"/>
    </xf>
    <xf numFmtId="0" fontId="35" fillId="2" borderId="0" xfId="0" applyFont="1" applyFill="1" applyAlignment="1">
      <alignment horizontal="left" vertical="center"/>
    </xf>
    <xf numFmtId="0" fontId="35" fillId="2" borderId="0" xfId="0" applyFont="1" applyFill="1" applyAlignment="1">
      <alignment horizontal="center" vertical="center"/>
    </xf>
    <xf numFmtId="0" fontId="35" fillId="2" borderId="0" xfId="0" applyFont="1" applyFill="1" applyAlignment="1">
      <alignment horizontal="center" vertical="center" wrapText="1"/>
    </xf>
    <xf numFmtId="172" fontId="37" fillId="2" borderId="0" xfId="0" applyNumberFormat="1" applyFont="1" applyFill="1" applyAlignment="1">
      <alignment horizontal="center"/>
    </xf>
    <xf numFmtId="2" fontId="37" fillId="2" borderId="0" xfId="0" applyNumberFormat="1" applyFont="1" applyFill="1" applyAlignment="1">
      <alignment horizontal="center"/>
    </xf>
    <xf numFmtId="172" fontId="86" fillId="2" borderId="0" xfId="2" applyNumberFormat="1" applyFont="1" applyFill="1" applyBorder="1" applyAlignment="1" applyProtection="1">
      <alignment horizontal="left"/>
    </xf>
    <xf numFmtId="0" fontId="55" fillId="0" borderId="15" xfId="0" applyFont="1" applyBorder="1" applyAlignment="1">
      <alignment horizontal="center" wrapText="1"/>
    </xf>
    <xf numFmtId="0" fontId="0" fillId="2" borderId="0" xfId="0" applyFill="1" applyAlignment="1">
      <alignment horizontal="center"/>
    </xf>
    <xf numFmtId="174" fontId="37" fillId="2" borderId="0" xfId="50" applyNumberFormat="1" applyFont="1" applyFill="1" applyBorder="1" applyAlignment="1" applyProtection="1">
      <alignment horizontal="center"/>
    </xf>
    <xf numFmtId="175" fontId="55" fillId="2" borderId="0" xfId="0" applyNumberFormat="1" applyFont="1" applyFill="1"/>
    <xf numFmtId="0" fontId="6" fillId="0" borderId="0" xfId="2" quotePrefix="1"/>
    <xf numFmtId="0" fontId="0" fillId="2" borderId="0" xfId="0" applyFill="1" applyProtection="1">
      <protection locked="0"/>
    </xf>
    <xf numFmtId="172" fontId="55" fillId="11" borderId="49" xfId="0" applyNumberFormat="1" applyFont="1" applyFill="1" applyBorder="1" applyAlignment="1">
      <alignment horizontal="center"/>
    </xf>
    <xf numFmtId="0" fontId="87" fillId="30" borderId="0" xfId="0" applyFont="1" applyFill="1"/>
    <xf numFmtId="0" fontId="37" fillId="2" borderId="0" xfId="0" applyFont="1" applyFill="1" applyAlignment="1">
      <alignment horizontal="center" vertical="center"/>
    </xf>
    <xf numFmtId="171" fontId="8" fillId="2" borderId="0" xfId="50" applyNumberFormat="1" applyFont="1" applyFill="1" applyBorder="1" applyProtection="1">
      <protection locked="0"/>
    </xf>
    <xf numFmtId="171" fontId="0" fillId="2" borderId="0" xfId="50" applyNumberFormat="1" applyFont="1" applyFill="1" applyBorder="1" applyProtection="1">
      <protection locked="0"/>
    </xf>
    <xf numFmtId="171" fontId="31" fillId="2" borderId="0" xfId="50" applyNumberFormat="1" applyFont="1" applyFill="1" applyBorder="1" applyProtection="1">
      <protection locked="0"/>
    </xf>
    <xf numFmtId="171" fontId="0" fillId="2" borderId="0" xfId="50" applyNumberFormat="1" applyFont="1" applyFill="1" applyBorder="1" applyAlignment="1" applyProtection="1">
      <alignment horizontal="center"/>
      <protection locked="0"/>
    </xf>
    <xf numFmtId="0" fontId="89" fillId="2" borderId="0" xfId="0" applyFont="1" applyFill="1"/>
    <xf numFmtId="9" fontId="8" fillId="2" borderId="0" xfId="67" applyFont="1" applyFill="1" applyAlignment="1">
      <alignment horizontal="center"/>
    </xf>
    <xf numFmtId="0" fontId="90" fillId="0" borderId="0" xfId="0" applyFont="1"/>
    <xf numFmtId="166" fontId="8" fillId="2" borderId="26" xfId="0" applyNumberFormat="1" applyFont="1" applyFill="1" applyBorder="1" applyAlignment="1" applyProtection="1">
      <alignment horizontal="center" vertical="center"/>
      <protection locked="0"/>
    </xf>
    <xf numFmtId="0" fontId="8" fillId="2" borderId="0" xfId="1" applyNumberFormat="1" applyFont="1" applyFill="1" applyAlignment="1">
      <alignment horizontal="center"/>
    </xf>
    <xf numFmtId="0" fontId="91" fillId="2" borderId="0" xfId="0" applyFont="1" applyFill="1" applyAlignment="1">
      <alignment wrapText="1"/>
    </xf>
    <xf numFmtId="0" fontId="24" fillId="26" borderId="0" xfId="0" applyFont="1" applyFill="1" applyAlignment="1" applyProtection="1">
      <alignment vertical="center"/>
      <protection locked="0"/>
    </xf>
    <xf numFmtId="0" fontId="3" fillId="26" borderId="4" xfId="0" applyFont="1" applyFill="1" applyBorder="1" applyAlignment="1">
      <alignment vertical="center"/>
    </xf>
    <xf numFmtId="0" fontId="31" fillId="26" borderId="4" xfId="0" applyFont="1" applyFill="1" applyBorder="1" applyAlignment="1">
      <alignment vertical="center"/>
    </xf>
    <xf numFmtId="0" fontId="92" fillId="26" borderId="5" xfId="0" applyFont="1" applyFill="1" applyBorder="1" applyAlignment="1">
      <alignment horizontal="left" vertical="center" indent="1"/>
    </xf>
    <xf numFmtId="0" fontId="92" fillId="26" borderId="5" xfId="0" applyFont="1" applyFill="1" applyBorder="1" applyAlignment="1">
      <alignment horizontal="left" vertical="center" indent="2"/>
    </xf>
    <xf numFmtId="0" fontId="0" fillId="12" borderId="0" xfId="0" applyFill="1" applyProtection="1">
      <protection hidden="1"/>
    </xf>
    <xf numFmtId="1" fontId="0" fillId="8" borderId="52" xfId="0" applyNumberFormat="1" applyFill="1" applyBorder="1" applyAlignment="1" applyProtection="1">
      <alignment vertical="center"/>
      <protection locked="0"/>
    </xf>
    <xf numFmtId="49" fontId="0" fillId="8" borderId="53" xfId="0" applyNumberFormat="1" applyFill="1" applyBorder="1" applyAlignment="1" applyProtection="1">
      <alignment horizontal="center" vertical="center"/>
      <protection locked="0"/>
    </xf>
    <xf numFmtId="171" fontId="8" fillId="3" borderId="54" xfId="50" applyNumberFormat="1" applyFont="1" applyFill="1" applyBorder="1" applyProtection="1">
      <protection locked="0"/>
    </xf>
    <xf numFmtId="171" fontId="0" fillId="3" borderId="55" xfId="50" applyNumberFormat="1" applyFont="1" applyFill="1" applyBorder="1" applyProtection="1">
      <protection locked="0"/>
    </xf>
    <xf numFmtId="171" fontId="0" fillId="3" borderId="56" xfId="50" applyNumberFormat="1" applyFont="1" applyFill="1" applyBorder="1" applyProtection="1">
      <protection locked="0"/>
    </xf>
    <xf numFmtId="0" fontId="0" fillId="3" borderId="57" xfId="0" applyFill="1" applyBorder="1" applyProtection="1">
      <protection locked="0"/>
    </xf>
    <xf numFmtId="0" fontId="0" fillId="3" borderId="58" xfId="0" applyFill="1" applyBorder="1" applyProtection="1">
      <protection locked="0"/>
    </xf>
    <xf numFmtId="0" fontId="0" fillId="3" borderId="59" xfId="0" applyFill="1" applyBorder="1" applyProtection="1">
      <protection locked="0"/>
    </xf>
    <xf numFmtId="0" fontId="0" fillId="3" borderId="60" xfId="0" applyFill="1" applyBorder="1" applyProtection="1">
      <protection locked="0"/>
    </xf>
    <xf numFmtId="0" fontId="55" fillId="0" borderId="62" xfId="0" applyFont="1" applyBorder="1" applyAlignment="1">
      <alignment horizontal="center" wrapText="1"/>
    </xf>
    <xf numFmtId="171" fontId="0" fillId="3" borderId="62" xfId="50" applyNumberFormat="1" applyFont="1" applyFill="1" applyBorder="1" applyAlignment="1" applyProtection="1">
      <alignment horizontal="center"/>
      <protection locked="0"/>
    </xf>
    <xf numFmtId="164" fontId="0" fillId="10" borderId="62" xfId="50" applyFont="1" applyFill="1" applyBorder="1" applyAlignment="1" applyProtection="1">
      <alignment horizontal="center"/>
      <protection locked="0"/>
    </xf>
    <xf numFmtId="0" fontId="94" fillId="2" borderId="0" xfId="1" applyNumberFormat="1" applyFont="1" applyFill="1" applyAlignment="1">
      <alignment horizontal="left" vertical="center"/>
    </xf>
    <xf numFmtId="0" fontId="0" fillId="2" borderId="62" xfId="0" applyFill="1" applyBorder="1" applyAlignment="1">
      <alignment horizontal="left"/>
    </xf>
    <xf numFmtId="171" fontId="0" fillId="3" borderId="62" xfId="0" applyNumberFormat="1" applyFill="1" applyBorder="1" applyAlignment="1" applyProtection="1">
      <alignment horizontal="center"/>
      <protection locked="0"/>
    </xf>
    <xf numFmtId="0" fontId="0" fillId="2" borderId="62" xfId="0" applyFill="1" applyBorder="1" applyAlignment="1">
      <alignment horizontal="left" wrapText="1"/>
    </xf>
    <xf numFmtId="0" fontId="4" fillId="31" borderId="62" xfId="0" applyFont="1" applyFill="1" applyBorder="1" applyAlignment="1">
      <alignment horizontal="center" vertical="center"/>
    </xf>
    <xf numFmtId="0" fontId="4" fillId="36" borderId="62" xfId="0" applyFont="1" applyFill="1" applyBorder="1" applyAlignment="1">
      <alignment horizontal="center" vertical="center"/>
    </xf>
    <xf numFmtId="0" fontId="4" fillId="25" borderId="62" xfId="0" applyFont="1" applyFill="1" applyBorder="1" applyAlignment="1">
      <alignment horizontal="center" vertical="center"/>
    </xf>
    <xf numFmtId="0" fontId="4" fillId="33" borderId="62"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63" xfId="0" applyFont="1" applyFill="1" applyBorder="1" applyAlignment="1">
      <alignment horizontal="center" vertical="center"/>
    </xf>
    <xf numFmtId="171" fontId="0" fillId="3" borderId="63" xfId="0" applyNumberFormat="1" applyFill="1" applyBorder="1" applyAlignment="1" applyProtection="1">
      <alignment horizontal="center"/>
      <protection locked="0"/>
    </xf>
    <xf numFmtId="0" fontId="0" fillId="2" borderId="62" xfId="0" applyFill="1" applyBorder="1"/>
    <xf numFmtId="0" fontId="0" fillId="2" borderId="61" xfId="0" applyFill="1" applyBorder="1"/>
    <xf numFmtId="10" fontId="8" fillId="7" borderId="62" xfId="0" quotePrefix="1" applyNumberFormat="1" applyFont="1" applyFill="1" applyBorder="1" applyAlignment="1" applyProtection="1">
      <alignment horizontal="center"/>
      <protection locked="0"/>
    </xf>
    <xf numFmtId="10" fontId="8" fillId="7" borderId="62" xfId="67" applyNumberFormat="1" applyFont="1" applyFill="1" applyBorder="1" applyAlignment="1" applyProtection="1">
      <alignment horizontal="center"/>
      <protection locked="0"/>
    </xf>
    <xf numFmtId="10" fontId="0" fillId="7" borderId="62" xfId="0" applyNumberFormat="1" applyFill="1" applyBorder="1" applyAlignment="1" applyProtection="1">
      <alignment horizontal="center"/>
      <protection locked="0"/>
    </xf>
    <xf numFmtId="10" fontId="8" fillId="7" borderId="62" xfId="0" applyNumberFormat="1" applyFont="1" applyFill="1" applyBorder="1" applyAlignment="1" applyProtection="1">
      <alignment horizontal="center"/>
      <protection locked="0"/>
    </xf>
    <xf numFmtId="171" fontId="0" fillId="3" borderId="62" xfId="0" applyNumberFormat="1" applyFill="1" applyBorder="1" applyAlignment="1" applyProtection="1">
      <alignment horizontal="center" vertical="center"/>
      <protection locked="0"/>
    </xf>
    <xf numFmtId="0" fontId="0" fillId="3" borderId="62" xfId="0" applyFill="1" applyBorder="1" applyProtection="1">
      <protection locked="0"/>
    </xf>
    <xf numFmtId="0" fontId="37" fillId="2" borderId="62" xfId="0" applyFont="1" applyFill="1" applyBorder="1" applyAlignment="1">
      <alignment horizontal="left" wrapText="1"/>
    </xf>
    <xf numFmtId="0" fontId="55" fillId="2" borderId="62" xfId="0" applyFont="1" applyFill="1" applyBorder="1"/>
    <xf numFmtId="0" fontId="30" fillId="25" borderId="0" xfId="0" applyFont="1" applyFill="1" applyAlignment="1">
      <alignment vertical="center"/>
    </xf>
    <xf numFmtId="0" fontId="1" fillId="25" borderId="0" xfId="0" applyFont="1" applyFill="1"/>
    <xf numFmtId="0" fontId="0" fillId="25" borderId="0" xfId="0" applyFill="1" applyAlignment="1">
      <alignment vertical="center"/>
    </xf>
    <xf numFmtId="0" fontId="30" fillId="25" borderId="0" xfId="0" applyFont="1" applyFill="1"/>
    <xf numFmtId="0" fontId="56" fillId="12" borderId="0" xfId="0" applyFont="1" applyFill="1" applyAlignment="1">
      <alignment horizontal="center" vertical="center"/>
    </xf>
    <xf numFmtId="0" fontId="0" fillId="12" borderId="0" xfId="0" applyFill="1"/>
    <xf numFmtId="0" fontId="95" fillId="2" borderId="0" xfId="0" applyFont="1" applyFill="1"/>
    <xf numFmtId="0" fontId="8" fillId="0" borderId="0" xfId="0" applyFont="1"/>
    <xf numFmtId="4" fontId="35" fillId="5" borderId="16" xfId="35" applyNumberFormat="1" applyFont="1" applyFill="1" applyBorder="1" applyAlignment="1">
      <alignment horizontal="center"/>
    </xf>
    <xf numFmtId="0" fontId="95" fillId="2" borderId="0" xfId="1" applyNumberFormat="1" applyFont="1" applyFill="1" applyAlignment="1">
      <alignment horizontal="left" vertical="center"/>
    </xf>
    <xf numFmtId="0" fontId="96" fillId="2" borderId="0" xfId="0" applyFont="1" applyFill="1"/>
    <xf numFmtId="4" fontId="37" fillId="8" borderId="62" xfId="0" applyNumberFormat="1" applyFont="1" applyFill="1" applyBorder="1"/>
    <xf numFmtId="165" fontId="35" fillId="5" borderId="62" xfId="35" applyNumberFormat="1" applyFont="1" applyFill="1" applyBorder="1" applyAlignment="1">
      <alignment horizontal="center"/>
    </xf>
    <xf numFmtId="0" fontId="98" fillId="2" borderId="0" xfId="0" applyFont="1" applyFill="1"/>
    <xf numFmtId="0" fontId="55" fillId="33" borderId="0" xfId="0" applyFont="1" applyFill="1"/>
    <xf numFmtId="0" fontId="59" fillId="33" borderId="0" xfId="0" applyFont="1" applyFill="1"/>
    <xf numFmtId="0" fontId="37" fillId="33" borderId="0" xfId="0" applyFont="1" applyFill="1"/>
    <xf numFmtId="0" fontId="0" fillId="33" borderId="0" xfId="0" applyFill="1"/>
    <xf numFmtId="0" fontId="59" fillId="33" borderId="11" xfId="0" applyFont="1" applyFill="1" applyBorder="1" applyAlignment="1">
      <alignment horizontal="left" vertical="center"/>
    </xf>
    <xf numFmtId="0" fontId="59" fillId="33" borderId="11" xfId="0" applyFont="1" applyFill="1" applyBorder="1" applyAlignment="1">
      <alignment horizontal="center" vertical="center"/>
    </xf>
    <xf numFmtId="0" fontId="59" fillId="35" borderId="9" xfId="0" applyFont="1" applyFill="1" applyBorder="1" applyAlignment="1">
      <alignment horizontal="center" vertical="center"/>
    </xf>
    <xf numFmtId="0" fontId="59" fillId="35" borderId="11" xfId="0" applyFont="1" applyFill="1" applyBorder="1" applyAlignment="1">
      <alignment horizontal="left" vertical="center"/>
    </xf>
    <xf numFmtId="0" fontId="59" fillId="35" borderId="10" xfId="0" applyFont="1" applyFill="1" applyBorder="1" applyAlignment="1">
      <alignment horizontal="center" vertical="center"/>
    </xf>
    <xf numFmtId="0" fontId="59" fillId="32" borderId="0" xfId="0" applyFont="1" applyFill="1" applyAlignment="1">
      <alignment horizontal="left" vertical="center"/>
    </xf>
    <xf numFmtId="0" fontId="59" fillId="32" borderId="11" xfId="0" applyFont="1" applyFill="1" applyBorder="1" applyAlignment="1">
      <alignment horizontal="left" vertical="center"/>
    </xf>
    <xf numFmtId="0" fontId="59" fillId="32" borderId="0" xfId="0" applyFont="1" applyFill="1" applyAlignment="1">
      <alignment horizontal="center" vertical="center"/>
    </xf>
    <xf numFmtId="0" fontId="59" fillId="25" borderId="9" xfId="0" applyFont="1" applyFill="1" applyBorder="1" applyAlignment="1">
      <alignment horizontal="center" vertical="center" wrapText="1"/>
    </xf>
    <xf numFmtId="0" fontId="59" fillId="33" borderId="0" xfId="0" applyFont="1" applyFill="1" applyAlignment="1">
      <alignment vertical="center"/>
    </xf>
    <xf numFmtId="0" fontId="59" fillId="25" borderId="0" xfId="0" applyFont="1" applyFill="1" applyAlignment="1">
      <alignment horizontal="center" vertical="center"/>
    </xf>
    <xf numFmtId="0" fontId="59" fillId="25" borderId="9" xfId="0" applyFont="1" applyFill="1" applyBorder="1" applyAlignment="1">
      <alignment horizontal="center" vertical="center"/>
    </xf>
    <xf numFmtId="0" fontId="59" fillId="35" borderId="9" xfId="0" applyFont="1" applyFill="1" applyBorder="1" applyAlignment="1">
      <alignment horizontal="center" vertical="center" wrapText="1"/>
    </xf>
    <xf numFmtId="0" fontId="59" fillId="33" borderId="10" xfId="0" applyFont="1" applyFill="1" applyBorder="1" applyAlignment="1">
      <alignment vertical="center"/>
    </xf>
    <xf numFmtId="0" fontId="43" fillId="33" borderId="13" xfId="0" applyFont="1" applyFill="1" applyBorder="1"/>
    <xf numFmtId="0" fontId="43" fillId="33" borderId="14" xfId="0" applyFont="1" applyFill="1" applyBorder="1"/>
    <xf numFmtId="0" fontId="59" fillId="35" borderId="0" xfId="0" applyFont="1" applyFill="1" applyAlignment="1">
      <alignment horizontal="center" vertical="center"/>
    </xf>
    <xf numFmtId="0" fontId="55" fillId="2" borderId="13" xfId="0" applyFont="1" applyFill="1" applyBorder="1"/>
    <xf numFmtId="0" fontId="6" fillId="0" borderId="62" xfId="2" applyBorder="1"/>
    <xf numFmtId="0" fontId="43" fillId="2" borderId="17" xfId="0" applyFont="1" applyFill="1" applyBorder="1"/>
    <xf numFmtId="0" fontId="31" fillId="2" borderId="0" xfId="1" applyNumberFormat="1" applyFont="1" applyFill="1"/>
    <xf numFmtId="0" fontId="44" fillId="2" borderId="0" xfId="1" applyNumberFormat="1" applyFont="1" applyFill="1"/>
    <xf numFmtId="49" fontId="0" fillId="2" borderId="0" xfId="0" applyNumberFormat="1" applyFill="1" applyAlignment="1">
      <alignment horizontal="left"/>
    </xf>
    <xf numFmtId="0" fontId="4" fillId="35" borderId="0" xfId="0" applyFont="1" applyFill="1"/>
    <xf numFmtId="0" fontId="80" fillId="35" borderId="0" xfId="0" applyFont="1" applyFill="1"/>
    <xf numFmtId="0" fontId="82" fillId="33" borderId="0" xfId="0" applyFont="1" applyFill="1"/>
    <xf numFmtId="0" fontId="37" fillId="2" borderId="13" xfId="0" applyFont="1" applyFill="1" applyBorder="1"/>
    <xf numFmtId="0" fontId="37" fillId="2" borderId="14" xfId="0" applyFont="1" applyFill="1" applyBorder="1"/>
    <xf numFmtId="0" fontId="35" fillId="2" borderId="9" xfId="0" applyFont="1" applyFill="1" applyBorder="1" applyAlignment="1">
      <alignment horizontal="center" vertical="center"/>
    </xf>
    <xf numFmtId="0" fontId="37" fillId="2" borderId="3" xfId="0" applyFont="1" applyFill="1" applyBorder="1"/>
    <xf numFmtId="166" fontId="37" fillId="2" borderId="3" xfId="0" applyNumberFormat="1" applyFont="1" applyFill="1" applyBorder="1"/>
    <xf numFmtId="0" fontId="37" fillId="2" borderId="62" xfId="0" applyFont="1" applyFill="1" applyBorder="1"/>
    <xf numFmtId="0" fontId="35" fillId="2" borderId="62" xfId="0" applyFont="1" applyFill="1" applyBorder="1" applyAlignment="1">
      <alignment horizontal="center" vertical="center"/>
    </xf>
    <xf numFmtId="1" fontId="37" fillId="2" borderId="62" xfId="0" applyNumberFormat="1" applyFont="1" applyFill="1" applyBorder="1" applyAlignment="1">
      <alignment horizontal="center"/>
    </xf>
    <xf numFmtId="0" fontId="86" fillId="2" borderId="62" xfId="2" applyFont="1" applyFill="1" applyBorder="1" applyAlignment="1" applyProtection="1">
      <alignment horizontal="left"/>
    </xf>
    <xf numFmtId="0" fontId="1" fillId="33" borderId="0" xfId="0" applyFont="1" applyFill="1"/>
    <xf numFmtId="0" fontId="0" fillId="3" borderId="62" xfId="0" applyFill="1" applyBorder="1" applyAlignment="1" applyProtection="1">
      <alignment vertical="center"/>
      <protection locked="0"/>
    </xf>
    <xf numFmtId="0" fontId="0" fillId="10" borderId="62" xfId="0" applyFill="1" applyBorder="1" applyAlignment="1" applyProtection="1">
      <alignment horizontal="center" vertical="center" wrapText="1"/>
      <protection locked="0"/>
    </xf>
    <xf numFmtId="0" fontId="80" fillId="33" borderId="0" xfId="0" applyFont="1" applyFill="1" applyAlignment="1">
      <alignment horizontal="left" vertical="center"/>
    </xf>
    <xf numFmtId="0" fontId="80" fillId="33" borderId="0" xfId="0" applyFont="1" applyFill="1" applyAlignment="1">
      <alignment horizontal="center" vertical="center"/>
    </xf>
    <xf numFmtId="0" fontId="97" fillId="2" borderId="67" xfId="0" applyFont="1" applyFill="1" applyBorder="1" applyAlignment="1">
      <alignment vertical="center"/>
    </xf>
    <xf numFmtId="0" fontId="97" fillId="2" borderId="68" xfId="0" applyFont="1" applyFill="1" applyBorder="1" applyAlignment="1">
      <alignment vertical="center"/>
    </xf>
    <xf numFmtId="0" fontId="97" fillId="2" borderId="69" xfId="0" applyFont="1" applyFill="1" applyBorder="1" applyAlignment="1">
      <alignment vertical="center"/>
    </xf>
    <xf numFmtId="0" fontId="26" fillId="2" borderId="0" xfId="0" applyFont="1" applyFill="1" applyAlignment="1">
      <alignment vertical="center"/>
    </xf>
    <xf numFmtId="0" fontId="97" fillId="2" borderId="0" xfId="0" applyFont="1" applyFill="1" applyAlignment="1">
      <alignment vertical="center"/>
    </xf>
    <xf numFmtId="0" fontId="97" fillId="2" borderId="70" xfId="0" applyFont="1" applyFill="1" applyBorder="1" applyAlignment="1">
      <alignment vertical="center"/>
    </xf>
    <xf numFmtId="0" fontId="99" fillId="0" borderId="0" xfId="0" quotePrefix="1" applyFont="1"/>
    <xf numFmtId="0" fontId="0" fillId="10" borderId="18" xfId="0" applyFill="1" applyBorder="1" applyAlignment="1" applyProtection="1">
      <alignment horizontal="center" vertical="center" wrapText="1"/>
      <protection locked="0"/>
    </xf>
    <xf numFmtId="0" fontId="0" fillId="7" borderId="18" xfId="0" applyFill="1" applyBorder="1" applyAlignment="1" applyProtection="1">
      <alignment horizontal="left" vertical="center" wrapText="1"/>
      <protection locked="0"/>
    </xf>
    <xf numFmtId="0" fontId="37" fillId="2" borderId="62" xfId="0" applyFont="1" applyFill="1" applyBorder="1" applyAlignment="1">
      <alignment horizontal="center"/>
    </xf>
    <xf numFmtId="0" fontId="37" fillId="2" borderId="62" xfId="0" applyFont="1" applyFill="1" applyBorder="1" applyAlignment="1">
      <alignment horizontal="center" wrapText="1"/>
    </xf>
    <xf numFmtId="0" fontId="35" fillId="2" borderId="62" xfId="0" applyFont="1" applyFill="1" applyBorder="1" applyAlignment="1">
      <alignment horizontal="center"/>
    </xf>
    <xf numFmtId="171" fontId="0" fillId="10" borderId="62" xfId="50" applyNumberFormat="1" applyFont="1" applyFill="1" applyBorder="1" applyProtection="1">
      <protection locked="0"/>
    </xf>
    <xf numFmtId="174" fontId="37" fillId="2" borderId="62" xfId="50" applyNumberFormat="1" applyFont="1" applyFill="1" applyBorder="1" applyAlignment="1" applyProtection="1">
      <alignment horizontal="center"/>
    </xf>
    <xf numFmtId="174" fontId="37" fillId="13" borderId="62" xfId="50" applyNumberFormat="1" applyFont="1" applyFill="1" applyBorder="1" applyAlignment="1" applyProtection="1">
      <alignment horizontal="center"/>
    </xf>
    <xf numFmtId="174" fontId="37" fillId="8" borderId="62" xfId="50" applyNumberFormat="1" applyFont="1" applyFill="1" applyBorder="1" applyAlignment="1" applyProtection="1">
      <alignment horizontal="center"/>
    </xf>
    <xf numFmtId="174" fontId="35" fillId="13" borderId="62" xfId="50" applyNumberFormat="1" applyFont="1" applyFill="1" applyBorder="1" applyAlignment="1" applyProtection="1">
      <alignment horizontal="center" vertical="center"/>
    </xf>
    <xf numFmtId="0" fontId="35" fillId="2" borderId="62" xfId="0" applyFont="1" applyFill="1" applyBorder="1"/>
    <xf numFmtId="174" fontId="35" fillId="2" borderId="62" xfId="50" applyNumberFormat="1" applyFont="1" applyFill="1" applyBorder="1" applyAlignment="1" applyProtection="1">
      <alignment horizontal="center" vertical="center"/>
    </xf>
    <xf numFmtId="174" fontId="35" fillId="8" borderId="62" xfId="50" applyNumberFormat="1" applyFont="1" applyFill="1" applyBorder="1" applyAlignment="1" applyProtection="1">
      <alignment horizontal="center" vertical="center"/>
    </xf>
    <xf numFmtId="4" fontId="35" fillId="5" borderId="62" xfId="35" applyNumberFormat="1" applyFont="1" applyFill="1" applyBorder="1" applyAlignment="1">
      <alignment horizontal="center"/>
    </xf>
    <xf numFmtId="173" fontId="37" fillId="5" borderId="62" xfId="35" applyNumberFormat="1" applyFont="1" applyFill="1" applyBorder="1" applyAlignment="1">
      <alignment horizontal="center"/>
    </xf>
    <xf numFmtId="171" fontId="63" fillId="2" borderId="62" xfId="0" applyNumberFormat="1" applyFont="1" applyFill="1" applyBorder="1"/>
    <xf numFmtId="0" fontId="37" fillId="0" borderId="62" xfId="0" applyFont="1" applyBorder="1" applyAlignment="1">
      <alignment horizontal="center"/>
    </xf>
    <xf numFmtId="173" fontId="35" fillId="5" borderId="62" xfId="35" applyNumberFormat="1" applyFont="1" applyFill="1" applyBorder="1" applyAlignment="1">
      <alignment horizontal="center"/>
    </xf>
    <xf numFmtId="172" fontId="55" fillId="0" borderId="62" xfId="0" applyNumberFormat="1" applyFont="1" applyBorder="1" applyAlignment="1">
      <alignment horizontal="center"/>
    </xf>
    <xf numFmtId="0" fontId="59" fillId="25" borderId="62" xfId="0" applyFont="1" applyFill="1" applyBorder="1" applyAlignment="1">
      <alignment horizontal="center" vertical="center"/>
    </xf>
    <xf numFmtId="0" fontId="43" fillId="33" borderId="62" xfId="0" applyFont="1" applyFill="1" applyBorder="1" applyAlignment="1">
      <alignment horizontal="left"/>
    </xf>
    <xf numFmtId="0" fontId="59" fillId="35" borderId="62" xfId="0" applyFont="1" applyFill="1" applyBorder="1" applyAlignment="1">
      <alignment horizontal="center" vertical="center"/>
    </xf>
    <xf numFmtId="0" fontId="8" fillId="2" borderId="62" xfId="0" applyFont="1" applyFill="1" applyBorder="1"/>
    <xf numFmtId="2" fontId="37" fillId="2" borderId="62" xfId="0" applyNumberFormat="1" applyFont="1" applyFill="1" applyBorder="1" applyAlignment="1">
      <alignment horizontal="center"/>
    </xf>
    <xf numFmtId="172" fontId="86" fillId="2" borderId="62" xfId="2" applyNumberFormat="1" applyFont="1" applyFill="1" applyBorder="1" applyAlignment="1" applyProtection="1">
      <alignment horizontal="left"/>
    </xf>
    <xf numFmtId="172" fontId="37" fillId="2" borderId="62" xfId="0" applyNumberFormat="1" applyFont="1" applyFill="1" applyBorder="1" applyAlignment="1">
      <alignment horizontal="center"/>
    </xf>
    <xf numFmtId="0" fontId="37" fillId="2" borderId="63" xfId="0" applyFont="1" applyFill="1" applyBorder="1"/>
    <xf numFmtId="0" fontId="0" fillId="0" borderId="63" xfId="0" applyBorder="1"/>
    <xf numFmtId="0" fontId="6" fillId="0" borderId="63" xfId="2" applyBorder="1"/>
    <xf numFmtId="3" fontId="37" fillId="2" borderId="62" xfId="0" applyNumberFormat="1" applyFont="1" applyFill="1" applyBorder="1"/>
    <xf numFmtId="0" fontId="24" fillId="26" borderId="4" xfId="0" applyFont="1" applyFill="1" applyBorder="1" applyAlignment="1">
      <alignment vertical="center"/>
    </xf>
    <xf numFmtId="0" fontId="100" fillId="26" borderId="4" xfId="0" applyFont="1" applyFill="1" applyBorder="1" applyAlignment="1">
      <alignment vertical="center"/>
    </xf>
    <xf numFmtId="0" fontId="55" fillId="2" borderId="0" xfId="0" applyFont="1" applyFill="1" applyBorder="1"/>
    <xf numFmtId="0" fontId="101" fillId="2" borderId="0" xfId="0" applyFont="1" applyFill="1" applyBorder="1"/>
    <xf numFmtId="0" fontId="55" fillId="0" borderId="0" xfId="0" applyFont="1" applyBorder="1" applyAlignment="1">
      <alignment horizontal="center"/>
    </xf>
    <xf numFmtId="0" fontId="6" fillId="0" borderId="0" xfId="2" applyBorder="1"/>
    <xf numFmtId="0" fontId="94" fillId="0" borderId="0" xfId="0" applyFont="1"/>
    <xf numFmtId="0" fontId="4" fillId="31" borderId="62" xfId="0" applyFont="1" applyFill="1" applyBorder="1" applyAlignment="1">
      <alignment vertical="center"/>
    </xf>
    <xf numFmtId="0" fontId="4" fillId="31" borderId="63" xfId="0" applyFont="1" applyFill="1" applyBorder="1" applyAlignment="1">
      <alignment vertical="center"/>
    </xf>
    <xf numFmtId="0" fontId="4" fillId="31" borderId="12" xfId="0" applyFont="1" applyFill="1" applyBorder="1" applyAlignment="1">
      <alignment vertical="center"/>
    </xf>
    <xf numFmtId="0" fontId="4" fillId="36" borderId="62" xfId="0" applyFont="1" applyFill="1" applyBorder="1" applyAlignment="1">
      <alignment vertical="center"/>
    </xf>
    <xf numFmtId="0" fontId="4" fillId="25" borderId="62" xfId="0" applyFont="1" applyFill="1" applyBorder="1" applyAlignment="1">
      <alignment vertical="center"/>
    </xf>
    <xf numFmtId="0" fontId="4" fillId="33" borderId="62" xfId="0" applyFont="1" applyFill="1" applyBorder="1" applyAlignment="1">
      <alignment vertical="center"/>
    </xf>
    <xf numFmtId="0" fontId="4" fillId="34" borderId="62" xfId="0" applyFont="1" applyFill="1" applyBorder="1" applyAlignment="1">
      <alignment vertical="center"/>
    </xf>
    <xf numFmtId="0" fontId="67" fillId="41" borderId="0" xfId="0" applyFont="1" applyFill="1" applyAlignment="1">
      <alignment horizontal="center" vertical="center"/>
    </xf>
    <xf numFmtId="0" fontId="68" fillId="39" borderId="30" xfId="0" applyFont="1" applyFill="1" applyBorder="1" applyAlignment="1">
      <alignment horizontal="center" vertical="center"/>
    </xf>
    <xf numFmtId="0" fontId="69" fillId="42" borderId="32" xfId="0" applyFont="1" applyFill="1" applyBorder="1" applyAlignment="1">
      <alignment horizontal="center" vertical="center" wrapText="1"/>
    </xf>
    <xf numFmtId="0" fontId="69" fillId="42" borderId="36" xfId="0" applyFont="1" applyFill="1" applyBorder="1" applyAlignment="1">
      <alignment horizontal="center" vertical="center" wrapText="1"/>
    </xf>
    <xf numFmtId="0" fontId="68" fillId="39" borderId="0" xfId="0" applyFont="1" applyFill="1" applyAlignment="1">
      <alignment horizontal="center" vertical="center"/>
    </xf>
    <xf numFmtId="165" fontId="35" fillId="5" borderId="48" xfId="35" applyNumberFormat="1" applyFont="1" applyFill="1" applyBorder="1" applyAlignment="1">
      <alignment horizontal="center"/>
    </xf>
    <xf numFmtId="0" fontId="0" fillId="2" borderId="0" xfId="0" applyFill="1" applyBorder="1"/>
    <xf numFmtId="0" fontId="8" fillId="2" borderId="0" xfId="0" applyFont="1" applyFill="1" applyBorder="1"/>
    <xf numFmtId="4" fontId="37" fillId="2" borderId="72" xfId="0" applyNumberFormat="1" applyFont="1" applyFill="1" applyBorder="1"/>
    <xf numFmtId="171" fontId="0" fillId="10" borderId="62" xfId="50" applyNumberFormat="1" applyFont="1" applyFill="1" applyBorder="1" applyAlignment="1" applyProtection="1">
      <alignment horizontal="center" vertical="center"/>
    </xf>
    <xf numFmtId="0" fontId="6" fillId="2" borderId="62" xfId="2" applyFill="1" applyBorder="1" applyAlignment="1">
      <alignment horizontal="left"/>
    </xf>
    <xf numFmtId="0" fontId="6" fillId="2" borderId="62" xfId="2" applyFill="1" applyBorder="1"/>
    <xf numFmtId="0" fontId="0" fillId="10" borderId="62" xfId="0" applyFill="1" applyBorder="1" applyAlignment="1">
      <alignment horizontal="center" vertical="center" wrapText="1"/>
    </xf>
    <xf numFmtId="0" fontId="0" fillId="0" borderId="0" xfId="0" applyFill="1"/>
    <xf numFmtId="0" fontId="59" fillId="35" borderId="9" xfId="0" applyFont="1" applyFill="1" applyBorder="1" applyAlignment="1">
      <alignment horizontal="center" vertical="center"/>
    </xf>
    <xf numFmtId="0" fontId="59" fillId="35" borderId="9" xfId="0" applyFont="1" applyFill="1" applyBorder="1" applyAlignment="1">
      <alignment horizontal="center" vertical="center"/>
    </xf>
    <xf numFmtId="0" fontId="102" fillId="19" borderId="35" xfId="0" applyFont="1" applyFill="1" applyBorder="1" applyAlignment="1">
      <alignment horizontal="center" vertical="center" wrapText="1"/>
    </xf>
    <xf numFmtId="0" fontId="0" fillId="2" borderId="73" xfId="0" applyFill="1" applyBorder="1" applyAlignment="1" applyProtection="1">
      <alignment horizontal="center" vertical="center" wrapText="1"/>
      <protection hidden="1"/>
    </xf>
    <xf numFmtId="0" fontId="6" fillId="0" borderId="74" xfId="2" applyBorder="1" applyAlignment="1">
      <alignment horizontal="center" vertical="center" wrapText="1"/>
    </xf>
    <xf numFmtId="0" fontId="102" fillId="19" borderId="76" xfId="0" applyFont="1" applyFill="1" applyBorder="1" applyAlignment="1">
      <alignment horizontal="center" vertical="center" wrapText="1"/>
    </xf>
    <xf numFmtId="0" fontId="69" fillId="19" borderId="78" xfId="0" applyFont="1" applyFill="1" applyBorder="1" applyAlignment="1">
      <alignment horizontal="center" vertical="center"/>
    </xf>
    <xf numFmtId="0" fontId="69" fillId="19" borderId="80" xfId="0" applyFont="1" applyFill="1" applyBorder="1" applyAlignment="1">
      <alignment horizontal="center" vertical="center" wrapText="1"/>
    </xf>
    <xf numFmtId="0" fontId="69" fillId="19" borderId="81" xfId="0" applyFont="1" applyFill="1" applyBorder="1" applyAlignment="1">
      <alignment horizontal="center" vertical="center" wrapText="1"/>
    </xf>
    <xf numFmtId="0" fontId="69" fillId="19" borderId="82" xfId="0" applyFont="1" applyFill="1" applyBorder="1" applyAlignment="1">
      <alignment horizontal="center" vertical="center" wrapText="1"/>
    </xf>
    <xf numFmtId="0" fontId="0" fillId="2" borderId="83" xfId="0" applyFill="1" applyBorder="1" applyAlignment="1">
      <alignment horizontal="center" vertical="center" wrapText="1"/>
    </xf>
    <xf numFmtId="0" fontId="69" fillId="19" borderId="81" xfId="0" applyFont="1" applyFill="1" applyBorder="1" applyAlignment="1">
      <alignment horizontal="center" vertical="center"/>
    </xf>
    <xf numFmtId="0" fontId="69" fillId="19" borderId="84" xfId="0" applyFont="1" applyFill="1" applyBorder="1" applyAlignment="1">
      <alignment horizontal="center" vertical="center" wrapText="1"/>
    </xf>
    <xf numFmtId="0" fontId="69" fillId="19" borderId="85" xfId="0" applyFont="1" applyFill="1" applyBorder="1" applyAlignment="1">
      <alignment horizontal="center" vertical="center" wrapText="1"/>
    </xf>
    <xf numFmtId="0" fontId="69" fillId="19" borderId="0" xfId="0" applyFont="1" applyFill="1" applyBorder="1" applyAlignment="1">
      <alignment horizontal="center" vertical="center"/>
    </xf>
    <xf numFmtId="0" fontId="69" fillId="20" borderId="31" xfId="0" applyFont="1" applyFill="1" applyBorder="1" applyAlignment="1" applyProtection="1">
      <alignment horizontal="center" vertical="center"/>
      <protection locked="0"/>
    </xf>
    <xf numFmtId="9" fontId="8" fillId="3" borderId="23" xfId="67" applyFont="1" applyFill="1" applyBorder="1" applyAlignment="1" applyProtection="1">
      <alignment horizontal="center" vertical="center"/>
      <protection locked="0"/>
    </xf>
    <xf numFmtId="0" fontId="69" fillId="20" borderId="35" xfId="0" applyFont="1" applyFill="1" applyBorder="1" applyAlignment="1" applyProtection="1">
      <alignment horizontal="center" vertical="center"/>
      <protection locked="0"/>
    </xf>
    <xf numFmtId="166" fontId="8" fillId="3" borderId="27" xfId="0" applyNumberFormat="1" applyFont="1" applyFill="1" applyBorder="1" applyAlignment="1" applyProtection="1">
      <alignment horizontal="center" vertical="center"/>
      <protection locked="0"/>
    </xf>
    <xf numFmtId="0" fontId="0" fillId="2" borderId="79" xfId="0" applyFill="1" applyBorder="1" applyAlignment="1">
      <alignment horizontal="center" vertical="center" wrapText="1"/>
    </xf>
    <xf numFmtId="9" fontId="8" fillId="3" borderId="88" xfId="67" applyFont="1" applyFill="1" applyBorder="1" applyAlignment="1" applyProtection="1">
      <alignment horizontal="center" vertical="center"/>
      <protection locked="0"/>
    </xf>
    <xf numFmtId="9" fontId="8" fillId="3" borderId="89" xfId="67" applyFont="1" applyFill="1" applyBorder="1" applyAlignment="1" applyProtection="1">
      <alignment horizontal="center" vertical="center"/>
      <protection locked="0"/>
    </xf>
    <xf numFmtId="0" fontId="0" fillId="2" borderId="90" xfId="0" applyFill="1" applyBorder="1" applyAlignment="1">
      <alignment horizontal="center" vertical="center" wrapText="1"/>
    </xf>
    <xf numFmtId="0" fontId="102" fillId="20" borderId="35" xfId="0" applyFont="1" applyFill="1" applyBorder="1" applyAlignment="1" applyProtection="1">
      <alignment horizontal="center" vertical="center"/>
      <protection locked="0"/>
    </xf>
    <xf numFmtId="0" fontId="102" fillId="19" borderId="78" xfId="0" applyFont="1" applyFill="1" applyBorder="1" applyAlignment="1">
      <alignment horizontal="center" vertical="center"/>
    </xf>
    <xf numFmtId="0" fontId="102" fillId="20" borderId="34" xfId="0" applyFont="1" applyFill="1" applyBorder="1" applyAlignment="1" applyProtection="1">
      <alignment horizontal="center" vertical="center"/>
      <protection locked="0"/>
    </xf>
    <xf numFmtId="0" fontId="102" fillId="20" borderId="87" xfId="0" applyFont="1" applyFill="1" applyBorder="1" applyAlignment="1" applyProtection="1">
      <alignment horizontal="center" vertical="center"/>
      <protection locked="0"/>
    </xf>
    <xf numFmtId="0" fontId="6" fillId="0" borderId="97" xfId="2" applyBorder="1" applyAlignment="1">
      <alignment horizontal="center" vertical="center" wrapText="1"/>
    </xf>
    <xf numFmtId="0" fontId="6" fillId="0" borderId="99" xfId="2" applyBorder="1" applyAlignment="1">
      <alignment horizontal="center" vertical="center" wrapText="1"/>
    </xf>
    <xf numFmtId="0" fontId="6" fillId="0" borderId="95" xfId="2" applyBorder="1" applyAlignment="1">
      <alignment horizontal="center" vertical="center" wrapText="1"/>
    </xf>
    <xf numFmtId="0" fontId="6" fillId="0" borderId="100" xfId="2" applyBorder="1" applyAlignment="1">
      <alignment horizontal="center" vertical="center" wrapText="1"/>
    </xf>
    <xf numFmtId="0" fontId="6" fillId="0" borderId="101" xfId="2" applyBorder="1" applyAlignment="1">
      <alignment horizontal="center" vertical="center" wrapText="1"/>
    </xf>
    <xf numFmtId="0" fontId="103" fillId="19" borderId="73" xfId="0" applyFont="1" applyFill="1" applyBorder="1" applyAlignment="1">
      <alignment horizontal="center" vertical="center" wrapText="1"/>
    </xf>
    <xf numFmtId="0" fontId="68" fillId="19" borderId="73" xfId="0" applyFont="1" applyFill="1" applyBorder="1" applyAlignment="1">
      <alignment horizontal="center" vertical="center" wrapText="1"/>
    </xf>
    <xf numFmtId="0" fontId="0" fillId="2" borderId="103" xfId="0" applyFill="1" applyBorder="1" applyAlignment="1">
      <alignment horizontal="center" vertical="center" wrapText="1"/>
    </xf>
    <xf numFmtId="0" fontId="69" fillId="19" borderId="103" xfId="0" applyFont="1" applyFill="1" applyBorder="1" applyAlignment="1">
      <alignment horizontal="center" vertical="center" wrapText="1"/>
    </xf>
    <xf numFmtId="0" fontId="102" fillId="19" borderId="92" xfId="0" applyFont="1" applyFill="1" applyBorder="1" applyAlignment="1">
      <alignment horizontal="center" vertical="center" wrapText="1"/>
    </xf>
    <xf numFmtId="0" fontId="102" fillId="19" borderId="91" xfId="0" applyFont="1" applyFill="1" applyBorder="1" applyAlignment="1">
      <alignment horizontal="center" vertical="center" wrapText="1"/>
    </xf>
    <xf numFmtId="0" fontId="102" fillId="19" borderId="31" xfId="0" applyFont="1" applyFill="1" applyBorder="1" applyAlignment="1">
      <alignment horizontal="center" vertical="center" wrapText="1"/>
    </xf>
    <xf numFmtId="0" fontId="102" fillId="19" borderId="34" xfId="0" applyFont="1" applyFill="1" applyBorder="1" applyAlignment="1">
      <alignment horizontal="center" vertical="center" wrapText="1"/>
    </xf>
    <xf numFmtId="0" fontId="102" fillId="19" borderId="34" xfId="0" applyFont="1" applyFill="1" applyBorder="1" applyAlignment="1">
      <alignment horizontal="center" vertical="center"/>
    </xf>
    <xf numFmtId="0" fontId="102" fillId="19" borderId="75" xfId="0" applyFont="1" applyFill="1" applyBorder="1" applyAlignment="1">
      <alignment horizontal="center" vertical="center" wrapText="1"/>
    </xf>
    <xf numFmtId="0" fontId="0" fillId="2" borderId="104" xfId="0" applyFill="1" applyBorder="1" applyAlignment="1">
      <alignment horizontal="center" vertical="center" wrapText="1"/>
    </xf>
    <xf numFmtId="0" fontId="103" fillId="19" borderId="36" xfId="0" applyFont="1" applyFill="1" applyBorder="1" applyAlignment="1">
      <alignment horizontal="center" vertical="center" wrapText="1"/>
    </xf>
    <xf numFmtId="0" fontId="102" fillId="19" borderId="98" xfId="0" applyFont="1" applyFill="1" applyBorder="1" applyAlignment="1">
      <alignment horizontal="center" vertical="center"/>
    </xf>
    <xf numFmtId="0" fontId="0" fillId="2" borderId="105" xfId="0" applyFill="1" applyBorder="1" applyAlignment="1">
      <alignment horizontal="center" vertical="center" wrapText="1"/>
    </xf>
    <xf numFmtId="0" fontId="0" fillId="2" borderId="106" xfId="0" applyFill="1" applyBorder="1" applyAlignment="1">
      <alignment horizontal="center" vertical="center" wrapText="1"/>
    </xf>
    <xf numFmtId="0" fontId="0" fillId="2" borderId="77" xfId="0" applyFill="1" applyBorder="1" applyAlignment="1">
      <alignment horizontal="center" vertical="center" wrapText="1"/>
    </xf>
    <xf numFmtId="166" fontId="8" fillId="2" borderId="86" xfId="0" applyNumberFormat="1" applyFont="1" applyFill="1" applyBorder="1" applyAlignment="1" applyProtection="1">
      <alignment horizontal="center" vertical="center"/>
      <protection locked="0"/>
    </xf>
    <xf numFmtId="0" fontId="0" fillId="2" borderId="107" xfId="0" applyFill="1" applyBorder="1" applyAlignment="1">
      <alignment horizontal="center" vertical="center" wrapText="1"/>
    </xf>
    <xf numFmtId="166" fontId="8" fillId="3" borderId="38" xfId="0" applyNumberFormat="1" applyFont="1" applyFill="1" applyBorder="1" applyAlignment="1" applyProtection="1">
      <alignment horizontal="center" vertical="center"/>
      <protection locked="0"/>
    </xf>
    <xf numFmtId="166" fontId="8" fillId="2" borderId="27" xfId="0" applyNumberFormat="1" applyFont="1" applyFill="1" applyBorder="1" applyAlignment="1" applyProtection="1">
      <alignment horizontal="center" vertical="center"/>
      <protection locked="0"/>
    </xf>
    <xf numFmtId="166" fontId="8" fillId="2" borderId="77" xfId="0" applyNumberFormat="1" applyFont="1" applyFill="1" applyBorder="1" applyAlignment="1" applyProtection="1">
      <alignment horizontal="center" vertical="center"/>
      <protection locked="0"/>
    </xf>
    <xf numFmtId="0" fontId="6" fillId="0" borderId="108" xfId="2" applyBorder="1" applyAlignment="1">
      <alignment horizontal="center" vertical="center" wrapText="1"/>
    </xf>
    <xf numFmtId="0" fontId="6" fillId="0" borderId="109" xfId="2" applyBorder="1" applyAlignment="1">
      <alignment horizontal="center" vertical="center" wrapText="1"/>
    </xf>
    <xf numFmtId="0" fontId="0" fillId="2" borderId="93" xfId="0" applyFill="1" applyBorder="1" applyAlignment="1" applyProtection="1">
      <alignment horizontal="center" vertical="center" wrapText="1"/>
      <protection hidden="1"/>
    </xf>
    <xf numFmtId="0" fontId="69" fillId="19" borderId="93" xfId="0" applyFont="1" applyFill="1" applyBorder="1" applyAlignment="1">
      <alignment horizontal="center" vertical="center" wrapText="1"/>
    </xf>
    <xf numFmtId="0" fontId="69" fillId="19" borderId="36" xfId="0" applyFont="1" applyFill="1" applyBorder="1" applyAlignment="1">
      <alignment horizontal="center" vertical="center" wrapText="1"/>
    </xf>
    <xf numFmtId="0" fontId="69" fillId="19" borderId="43" xfId="0" applyFont="1" applyFill="1" applyBorder="1" applyAlignment="1">
      <alignment horizontal="center" vertical="center" wrapText="1"/>
    </xf>
    <xf numFmtId="0" fontId="0" fillId="2" borderId="112" xfId="0" applyFill="1" applyBorder="1" applyAlignment="1">
      <alignment horizontal="center" vertical="center" wrapText="1"/>
    </xf>
    <xf numFmtId="0" fontId="0" fillId="2" borderId="43" xfId="0" applyFill="1" applyBorder="1" applyAlignment="1">
      <alignment horizontal="center" vertical="center" wrapText="1"/>
    </xf>
    <xf numFmtId="0" fontId="0" fillId="2" borderId="42" xfId="0" applyFill="1" applyBorder="1" applyAlignment="1">
      <alignment horizontal="center" vertical="center" wrapText="1"/>
    </xf>
    <xf numFmtId="0" fontId="6" fillId="0" borderId="114" xfId="2" applyBorder="1" applyAlignment="1">
      <alignment horizontal="center" vertical="center" wrapText="1"/>
    </xf>
    <xf numFmtId="0" fontId="8" fillId="2" borderId="11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112" xfId="0" applyBorder="1" applyAlignment="1">
      <alignment horizontal="center" vertical="center" wrapText="1"/>
    </xf>
    <xf numFmtId="0" fontId="0" fillId="0" borderId="42" xfId="0" applyBorder="1" applyAlignment="1">
      <alignment horizontal="center" vertical="center" wrapText="1"/>
    </xf>
    <xf numFmtId="0" fontId="8" fillId="2" borderId="42" xfId="0" applyFont="1" applyFill="1" applyBorder="1" applyAlignment="1">
      <alignment horizontal="center" vertical="center" wrapText="1"/>
    </xf>
    <xf numFmtId="0" fontId="102" fillId="19" borderId="45" xfId="0" applyFont="1" applyFill="1" applyBorder="1" applyAlignment="1">
      <alignment horizontal="center" vertical="center"/>
    </xf>
    <xf numFmtId="0" fontId="8" fillId="2" borderId="24" xfId="0" applyFont="1" applyFill="1" applyBorder="1" applyAlignment="1" applyProtection="1">
      <alignment horizontal="center" vertical="center"/>
      <protection locked="0"/>
    </xf>
    <xf numFmtId="0" fontId="4" fillId="31" borderId="73" xfId="0" applyFont="1" applyFill="1" applyBorder="1" applyAlignment="1">
      <alignment horizontal="center" vertical="center"/>
    </xf>
    <xf numFmtId="0" fontId="4" fillId="36" borderId="122" xfId="0" applyFont="1" applyFill="1" applyBorder="1" applyAlignment="1">
      <alignment horizontal="center" vertical="center"/>
    </xf>
    <xf numFmtId="0" fontId="4" fillId="25" borderId="121" xfId="0" applyFont="1" applyFill="1" applyBorder="1" applyAlignment="1">
      <alignment horizontal="center" vertical="center"/>
    </xf>
    <xf numFmtId="0" fontId="80" fillId="35" borderId="123" xfId="0" applyFont="1" applyFill="1" applyBorder="1"/>
    <xf numFmtId="0" fontId="4" fillId="33" borderId="123" xfId="0" applyFont="1" applyFill="1" applyBorder="1" applyAlignment="1">
      <alignment horizontal="center" vertical="center"/>
    </xf>
    <xf numFmtId="0" fontId="4" fillId="34" borderId="122" xfId="0" applyFont="1" applyFill="1" applyBorder="1" applyAlignment="1">
      <alignment horizontal="center" vertical="center"/>
    </xf>
    <xf numFmtId="0" fontId="4" fillId="4" borderId="93" xfId="0" applyFont="1" applyFill="1" applyBorder="1" applyAlignment="1">
      <alignment horizontal="center" vertical="center"/>
    </xf>
    <xf numFmtId="0" fontId="103" fillId="19" borderId="124" xfId="0" applyFont="1" applyFill="1" applyBorder="1" applyAlignment="1">
      <alignment horizontal="center" vertical="center" wrapText="1"/>
    </xf>
    <xf numFmtId="0" fontId="8" fillId="2" borderId="125" xfId="0" applyFont="1" applyFill="1" applyBorder="1" applyAlignment="1" applyProtection="1">
      <alignment horizontal="center" vertical="center"/>
      <protection locked="0"/>
    </xf>
    <xf numFmtId="0" fontId="8" fillId="2" borderId="127" xfId="0" applyFont="1" applyFill="1" applyBorder="1" applyAlignment="1" applyProtection="1">
      <alignment horizontal="center" vertical="center"/>
      <protection locked="0"/>
    </xf>
    <xf numFmtId="166" fontId="8" fillId="3" borderId="127" xfId="0" applyNumberFormat="1" applyFont="1" applyFill="1" applyBorder="1" applyAlignment="1" applyProtection="1">
      <alignment horizontal="center" vertical="center"/>
      <protection locked="0"/>
    </xf>
    <xf numFmtId="0" fontId="102" fillId="19" borderId="128" xfId="0" applyFont="1" applyFill="1" applyBorder="1" applyAlignment="1">
      <alignment horizontal="center" vertical="center" wrapText="1"/>
    </xf>
    <xf numFmtId="0" fontId="102" fillId="19" borderId="129" xfId="0" applyFont="1" applyFill="1" applyBorder="1" applyAlignment="1">
      <alignment horizontal="center" vertical="center" wrapText="1"/>
    </xf>
    <xf numFmtId="0" fontId="103" fillId="19" borderId="130" xfId="0" applyFont="1" applyFill="1" applyBorder="1" applyAlignment="1">
      <alignment horizontal="center" vertical="center" wrapText="1"/>
    </xf>
    <xf numFmtId="0" fontId="4" fillId="31" borderId="130" xfId="0" applyFont="1" applyFill="1" applyBorder="1" applyAlignment="1">
      <alignment horizontal="center" vertical="center"/>
    </xf>
    <xf numFmtId="0" fontId="4" fillId="36" borderId="113" xfId="0" applyFont="1" applyFill="1" applyBorder="1" applyAlignment="1">
      <alignment horizontal="center" vertical="center"/>
    </xf>
    <xf numFmtId="0" fontId="4" fillId="25" borderId="131" xfId="0" applyFont="1" applyFill="1" applyBorder="1" applyAlignment="1">
      <alignment horizontal="center" vertical="center"/>
    </xf>
    <xf numFmtId="0" fontId="4" fillId="33" borderId="113" xfId="0" applyFont="1" applyFill="1" applyBorder="1" applyAlignment="1">
      <alignment horizontal="center" vertical="center"/>
    </xf>
    <xf numFmtId="0" fontId="4" fillId="34" borderId="131" xfId="0" applyFont="1" applyFill="1" applyBorder="1" applyAlignment="1">
      <alignment horizontal="center" vertical="center"/>
    </xf>
    <xf numFmtId="0" fontId="0" fillId="0" borderId="108" xfId="0" applyBorder="1"/>
    <xf numFmtId="0" fontId="102" fillId="19" borderId="39" xfId="0" applyFont="1" applyFill="1" applyBorder="1" applyAlignment="1">
      <alignment horizontal="center" vertical="center" wrapText="1"/>
    </xf>
    <xf numFmtId="0" fontId="102" fillId="19" borderId="132" xfId="0" applyFont="1" applyFill="1" applyBorder="1" applyAlignment="1">
      <alignment horizontal="center" vertical="center" wrapText="1"/>
    </xf>
    <xf numFmtId="0" fontId="4" fillId="4" borderId="73" xfId="0" applyFont="1" applyFill="1" applyBorder="1" applyAlignment="1">
      <alignment horizontal="center" vertical="center"/>
    </xf>
    <xf numFmtId="0" fontId="4" fillId="31" borderId="36" xfId="0" applyFont="1" applyFill="1" applyBorder="1" applyAlignment="1">
      <alignment horizontal="center" vertical="center"/>
    </xf>
    <xf numFmtId="0" fontId="4" fillId="36" borderId="134" xfId="0" applyFont="1" applyFill="1" applyBorder="1" applyAlignment="1">
      <alignment horizontal="center" vertical="center"/>
    </xf>
    <xf numFmtId="0" fontId="4" fillId="25" borderId="120" xfId="0" applyFont="1" applyFill="1" applyBorder="1" applyAlignment="1">
      <alignment horizontal="center" vertical="center"/>
    </xf>
    <xf numFmtId="0" fontId="4" fillId="33" borderId="121" xfId="0" applyFont="1" applyFill="1" applyBorder="1" applyAlignment="1">
      <alignment horizontal="center" vertical="center"/>
    </xf>
    <xf numFmtId="0" fontId="4" fillId="34" borderId="135" xfId="0" applyFont="1" applyFill="1" applyBorder="1" applyAlignment="1">
      <alignment horizontal="center" vertical="center"/>
    </xf>
    <xf numFmtId="0" fontId="0" fillId="2" borderId="102" xfId="0" applyFill="1" applyBorder="1" applyAlignment="1">
      <alignment horizontal="center" vertical="center" wrapText="1"/>
    </xf>
    <xf numFmtId="0" fontId="6" fillId="0" borderId="136" xfId="2" applyBorder="1" applyAlignment="1">
      <alignment horizontal="center" vertical="center" wrapText="1"/>
    </xf>
    <xf numFmtId="0" fontId="4" fillId="43" borderId="73" xfId="0" applyFont="1" applyFill="1" applyBorder="1" applyAlignment="1">
      <alignment horizontal="center" vertical="center" wrapText="1"/>
    </xf>
    <xf numFmtId="0" fontId="4" fillId="36" borderId="73" xfId="0" applyFont="1" applyFill="1" applyBorder="1" applyAlignment="1">
      <alignment horizontal="center" vertical="center"/>
    </xf>
    <xf numFmtId="0" fontId="4" fillId="25" borderId="73" xfId="0" applyFont="1" applyFill="1" applyBorder="1" applyAlignment="1">
      <alignment horizontal="center" vertical="center"/>
    </xf>
    <xf numFmtId="0" fontId="4" fillId="33" borderId="36" xfId="0" applyFont="1" applyFill="1" applyBorder="1" applyAlignment="1">
      <alignment horizontal="center" vertical="center"/>
    </xf>
    <xf numFmtId="0" fontId="4" fillId="34" borderId="137" xfId="0" applyFont="1" applyFill="1" applyBorder="1" applyAlignment="1">
      <alignment horizontal="center" vertical="center"/>
    </xf>
    <xf numFmtId="166" fontId="31" fillId="2" borderId="6" xfId="0" applyNumberFormat="1" applyFont="1" applyFill="1" applyBorder="1" applyAlignment="1" applyProtection="1">
      <alignment horizontal="center" vertical="center"/>
      <protection locked="0"/>
    </xf>
    <xf numFmtId="0" fontId="32" fillId="2" borderId="62" xfId="0" applyFont="1" applyFill="1" applyBorder="1" applyAlignment="1">
      <alignment horizontal="center"/>
    </xf>
    <xf numFmtId="0" fontId="0" fillId="35" borderId="0" xfId="0" applyFill="1"/>
    <xf numFmtId="0" fontId="8" fillId="35" borderId="0" xfId="0" applyFont="1" applyFill="1"/>
    <xf numFmtId="4" fontId="37" fillId="35" borderId="0" xfId="0" applyNumberFormat="1" applyFont="1" applyFill="1"/>
    <xf numFmtId="0" fontId="37" fillId="2" borderId="62" xfId="0" applyFont="1" applyFill="1" applyBorder="1" applyAlignment="1">
      <alignment wrapText="1"/>
    </xf>
    <xf numFmtId="0" fontId="55" fillId="2" borderId="62" xfId="0" applyFont="1" applyFill="1" applyBorder="1" applyAlignment="1"/>
    <xf numFmtId="0" fontId="55" fillId="2" borderId="62" xfId="0" applyFont="1" applyFill="1" applyBorder="1" applyAlignment="1">
      <alignment wrapText="1"/>
    </xf>
    <xf numFmtId="0" fontId="37" fillId="2" borderId="63" xfId="0" applyFont="1" applyFill="1" applyBorder="1" applyAlignment="1">
      <alignment wrapText="1"/>
    </xf>
    <xf numFmtId="0" fontId="55" fillId="2" borderId="63" xfId="0" applyFont="1" applyFill="1" applyBorder="1" applyAlignment="1"/>
    <xf numFmtId="0" fontId="0" fillId="0" borderId="62" xfId="0" applyBorder="1"/>
    <xf numFmtId="174" fontId="37" fillId="13" borderId="62" xfId="50" applyNumberFormat="1" applyFont="1" applyFill="1" applyBorder="1" applyAlignment="1">
      <alignment horizontal="center"/>
    </xf>
    <xf numFmtId="174" fontId="35" fillId="13" borderId="62" xfId="50" applyNumberFormat="1" applyFont="1" applyFill="1" applyBorder="1" applyAlignment="1">
      <alignment horizontal="center" vertical="center"/>
    </xf>
    <xf numFmtId="0" fontId="37" fillId="2" borderId="62" xfId="0" applyFont="1" applyFill="1" applyBorder="1" applyAlignment="1">
      <alignment horizontal="center" wrapText="1"/>
    </xf>
    <xf numFmtId="0" fontId="35" fillId="2" borderId="63" xfId="0" applyFont="1" applyFill="1" applyBorder="1" applyAlignment="1">
      <alignment horizontal="center"/>
    </xf>
    <xf numFmtId="0" fontId="35" fillId="2" borderId="46" xfId="0" applyFont="1" applyFill="1" applyBorder="1" applyAlignment="1">
      <alignment horizontal="center"/>
    </xf>
    <xf numFmtId="0" fontId="35" fillId="2" borderId="12" xfId="0" applyFont="1" applyFill="1" applyBorder="1" applyAlignment="1">
      <alignment horizontal="center"/>
    </xf>
    <xf numFmtId="0" fontId="59" fillId="35" borderId="9" xfId="0" applyFont="1" applyFill="1" applyBorder="1" applyAlignment="1">
      <alignment horizontal="center" vertical="center"/>
    </xf>
    <xf numFmtId="0" fontId="35" fillId="2" borderId="0" xfId="0" applyFont="1" applyFill="1" applyAlignment="1">
      <alignment horizontal="center" vertical="center"/>
    </xf>
    <xf numFmtId="0" fontId="33" fillId="2" borderId="138" xfId="35" applyFont="1" applyFill="1" applyBorder="1"/>
    <xf numFmtId="0" fontId="35" fillId="2" borderId="62" xfId="0" applyFont="1" applyFill="1" applyBorder="1" applyAlignment="1">
      <alignment horizontal="center"/>
    </xf>
    <xf numFmtId="0" fontId="37" fillId="2" borderId="0" xfId="0" applyFont="1" applyFill="1" applyAlignment="1">
      <alignment horizontal="center" vertical="center"/>
    </xf>
    <xf numFmtId="0" fontId="55" fillId="35" borderId="0" xfId="0" applyFont="1" applyFill="1"/>
    <xf numFmtId="0" fontId="59" fillId="35" borderId="0" xfId="0" applyFont="1" applyFill="1"/>
    <xf numFmtId="0" fontId="37" fillId="10" borderId="0" xfId="0" applyFont="1" applyFill="1" applyAlignment="1">
      <alignment horizontal="center" vertical="center"/>
    </xf>
    <xf numFmtId="172" fontId="55" fillId="2" borderId="0" xfId="0" applyNumberFormat="1" applyFont="1" applyFill="1" applyBorder="1" applyAlignment="1">
      <alignment horizontal="center"/>
    </xf>
    <xf numFmtId="2" fontId="55" fillId="2" borderId="0" xfId="0" applyNumberFormat="1" applyFont="1" applyFill="1" applyBorder="1" applyAlignment="1">
      <alignment horizontal="center"/>
    </xf>
    <xf numFmtId="0" fontId="6" fillId="2" borderId="0" xfId="2" applyFill="1"/>
    <xf numFmtId="0" fontId="35" fillId="2" borderId="63" xfId="0" applyFont="1" applyFill="1" applyBorder="1" applyAlignment="1"/>
    <xf numFmtId="0" fontId="35" fillId="2" borderId="46" xfId="0" applyFont="1" applyFill="1" applyBorder="1" applyAlignment="1"/>
    <xf numFmtId="0" fontId="35" fillId="2" borderId="12" xfId="0" applyFont="1" applyFill="1" applyBorder="1" applyAlignment="1"/>
    <xf numFmtId="176" fontId="55" fillId="2" borderId="0" xfId="0" applyNumberFormat="1" applyFont="1" applyFill="1"/>
    <xf numFmtId="0" fontId="35" fillId="2" borderId="63" xfId="0" applyFont="1" applyFill="1" applyBorder="1" applyAlignment="1">
      <alignment horizontal="center"/>
    </xf>
    <xf numFmtId="0" fontId="35" fillId="2" borderId="46" xfId="0" applyFont="1" applyFill="1" applyBorder="1" applyAlignment="1">
      <alignment horizontal="center"/>
    </xf>
    <xf numFmtId="0" fontId="35" fillId="2" borderId="12" xfId="0" applyFont="1" applyFill="1" applyBorder="1" applyAlignment="1">
      <alignment horizontal="center"/>
    </xf>
    <xf numFmtId="0" fontId="35" fillId="2" borderId="62" xfId="0" applyFont="1" applyFill="1" applyBorder="1" applyAlignment="1">
      <alignment horizontal="center"/>
    </xf>
    <xf numFmtId="0" fontId="37" fillId="2" borderId="0" xfId="0" applyFont="1" applyFill="1" applyAlignment="1">
      <alignment horizontal="center" vertical="center"/>
    </xf>
    <xf numFmtId="0" fontId="35" fillId="2" borderId="0" xfId="0" applyFont="1" applyFill="1" applyAlignment="1">
      <alignment horizontal="center" vertical="center"/>
    </xf>
    <xf numFmtId="174" fontId="35" fillId="8" borderId="62" xfId="50" applyNumberFormat="1" applyFont="1" applyFill="1" applyBorder="1" applyAlignment="1" applyProtection="1">
      <alignment horizontal="center"/>
    </xf>
    <xf numFmtId="176" fontId="63" fillId="2" borderId="0" xfId="0" applyNumberFormat="1" applyFont="1" applyFill="1"/>
    <xf numFmtId="0" fontId="59" fillId="25" borderId="0" xfId="0" applyFont="1" applyFill="1" applyBorder="1" applyAlignment="1">
      <alignment horizontal="center" vertical="center" wrapText="1"/>
    </xf>
    <xf numFmtId="174" fontId="105" fillId="2" borderId="62" xfId="50" applyNumberFormat="1" applyFont="1" applyFill="1" applyBorder="1" applyAlignment="1" applyProtection="1">
      <alignment horizontal="center"/>
    </xf>
    <xf numFmtId="0" fontId="37" fillId="2" borderId="0" xfId="0" applyFont="1" applyFill="1" applyBorder="1"/>
    <xf numFmtId="3" fontId="37" fillId="2" borderId="0" xfId="0" applyNumberFormat="1" applyFont="1" applyFill="1" applyBorder="1"/>
    <xf numFmtId="1" fontId="82" fillId="2" borderId="0" xfId="0" applyNumberFormat="1" applyFont="1" applyFill="1"/>
    <xf numFmtId="0" fontId="55" fillId="2" borderId="62" xfId="0" applyFont="1" applyFill="1" applyBorder="1" applyAlignment="1">
      <alignment horizontal="left" vertical="center" wrapText="1"/>
    </xf>
    <xf numFmtId="0" fontId="35" fillId="2" borderId="63" xfId="0" applyFont="1" applyFill="1" applyBorder="1"/>
    <xf numFmtId="0" fontId="31" fillId="26" borderId="0" xfId="0" applyFont="1" applyFill="1" applyBorder="1" applyAlignment="1">
      <alignment vertical="center"/>
    </xf>
    <xf numFmtId="2" fontId="55" fillId="27" borderId="3" xfId="0" applyNumberFormat="1" applyFont="1" applyFill="1" applyBorder="1"/>
    <xf numFmtId="175" fontId="55" fillId="27" borderId="3" xfId="0" applyNumberFormat="1" applyFont="1" applyFill="1" applyBorder="1"/>
    <xf numFmtId="0" fontId="107" fillId="2" borderId="0" xfId="0" applyFont="1" applyFill="1"/>
    <xf numFmtId="0" fontId="106" fillId="2" borderId="0" xfId="35" applyFont="1" applyFill="1" applyBorder="1"/>
    <xf numFmtId="0" fontId="91" fillId="2" borderId="0" xfId="0" applyFont="1" applyFill="1" applyBorder="1"/>
    <xf numFmtId="0" fontId="35" fillId="2" borderId="0" xfId="0" applyFont="1" applyFill="1" applyBorder="1"/>
    <xf numFmtId="10" fontId="37" fillId="2" borderId="62" xfId="0" applyNumberFormat="1" applyFont="1" applyFill="1" applyBorder="1"/>
    <xf numFmtId="175" fontId="55" fillId="11" borderId="3" xfId="0" applyNumberFormat="1" applyFont="1" applyFill="1" applyBorder="1"/>
    <xf numFmtId="0" fontId="35" fillId="2" borderId="62" xfId="0" applyFont="1" applyFill="1" applyBorder="1" applyAlignment="1">
      <alignment horizontal="center"/>
    </xf>
    <xf numFmtId="0" fontId="35" fillId="2" borderId="62" xfId="0" applyFont="1" applyFill="1" applyBorder="1" applyAlignment="1">
      <alignment horizontal="center"/>
    </xf>
    <xf numFmtId="0" fontId="35" fillId="2" borderId="62" xfId="0" applyFont="1" applyFill="1" applyBorder="1" applyAlignment="1">
      <alignment horizontal="center"/>
    </xf>
    <xf numFmtId="174" fontId="35" fillId="13" borderId="62" xfId="50" applyNumberFormat="1" applyFont="1" applyFill="1" applyBorder="1" applyAlignment="1" applyProtection="1">
      <alignment horizontal="center"/>
    </xf>
    <xf numFmtId="4" fontId="35" fillId="5" borderId="7" xfId="35" applyNumberFormat="1" applyFont="1" applyFill="1" applyBorder="1" applyAlignment="1">
      <alignment horizontal="center"/>
    </xf>
    <xf numFmtId="0" fontId="0" fillId="0" borderId="0" xfId="0" applyAlignment="1">
      <alignment horizontal="right"/>
    </xf>
    <xf numFmtId="0" fontId="0" fillId="25" borderId="140" xfId="0" applyFill="1" applyBorder="1"/>
    <xf numFmtId="0" fontId="0" fillId="25" borderId="142" xfId="0" applyFill="1" applyBorder="1"/>
    <xf numFmtId="0" fontId="0" fillId="2" borderId="143" xfId="0" applyFill="1" applyBorder="1"/>
    <xf numFmtId="0" fontId="0" fillId="2" borderId="144" xfId="0" applyFill="1" applyBorder="1"/>
    <xf numFmtId="0" fontId="0" fillId="2" borderId="145" xfId="0" applyFill="1" applyBorder="1"/>
    <xf numFmtId="0" fontId="0" fillId="2" borderId="146" xfId="0" applyFill="1" applyBorder="1"/>
    <xf numFmtId="0" fontId="0" fillId="2" borderId="147" xfId="0" applyFill="1" applyBorder="1"/>
    <xf numFmtId="0" fontId="1" fillId="25" borderId="141" xfId="0" applyFont="1" applyFill="1" applyBorder="1"/>
    <xf numFmtId="0" fontId="1" fillId="25" borderId="142" xfId="0" applyFont="1" applyFill="1" applyBorder="1"/>
    <xf numFmtId="0" fontId="1" fillId="25" borderId="140" xfId="0" applyFont="1" applyFill="1" applyBorder="1"/>
    <xf numFmtId="171" fontId="0" fillId="7" borderId="62" xfId="0" applyNumberFormat="1" applyFill="1" applyBorder="1" applyAlignment="1" applyProtection="1">
      <alignment horizontal="center" vertical="center"/>
      <protection locked="0"/>
    </xf>
    <xf numFmtId="0" fontId="35" fillId="2" borderId="62" xfId="0" applyFont="1" applyFill="1" applyBorder="1" applyAlignment="1">
      <alignment horizontal="center"/>
    </xf>
    <xf numFmtId="0" fontId="100" fillId="2" borderId="0" xfId="0" applyFont="1" applyFill="1"/>
    <xf numFmtId="0" fontId="0" fillId="2" borderId="0" xfId="0" applyFont="1" applyFill="1"/>
    <xf numFmtId="0" fontId="0" fillId="2" borderId="62" xfId="0" applyFill="1" applyBorder="1" applyAlignment="1">
      <alignment horizontal="left"/>
    </xf>
    <xf numFmtId="0" fontId="35" fillId="2" borderId="62" xfId="0" applyFont="1" applyFill="1" applyBorder="1" applyAlignment="1">
      <alignment horizontal="center"/>
    </xf>
    <xf numFmtId="0" fontId="108" fillId="0" borderId="0" xfId="0" applyFont="1" applyAlignment="1">
      <alignment horizontal="center" vertical="center" readingOrder="1"/>
    </xf>
    <xf numFmtId="0" fontId="79" fillId="2" borderId="0" xfId="0" applyFont="1" applyFill="1"/>
    <xf numFmtId="0" fontId="100" fillId="2" borderId="0" xfId="0" applyFont="1" applyFill="1" applyAlignment="1">
      <alignment horizontal="center"/>
    </xf>
    <xf numFmtId="0" fontId="37" fillId="0" borderId="0" xfId="0" applyFont="1" applyFill="1" applyBorder="1" applyAlignment="1">
      <alignment horizontal="center"/>
    </xf>
    <xf numFmtId="0" fontId="109" fillId="2" borderId="0" xfId="0" applyFont="1" applyFill="1" applyBorder="1"/>
    <xf numFmtId="174" fontId="37" fillId="5" borderId="62" xfId="50" applyNumberFormat="1" applyFont="1" applyFill="1" applyBorder="1" applyAlignment="1" applyProtection="1">
      <alignment horizontal="center"/>
    </xf>
    <xf numFmtId="174" fontId="35" fillId="5" borderId="62" xfId="50" applyNumberFormat="1" applyFont="1" applyFill="1" applyBorder="1" applyAlignment="1" applyProtection="1">
      <alignment horizontal="center" vertical="center"/>
    </xf>
    <xf numFmtId="3" fontId="55" fillId="5" borderId="62" xfId="0" applyNumberFormat="1" applyFont="1" applyFill="1" applyBorder="1" applyAlignment="1">
      <alignment horizontal="center"/>
    </xf>
    <xf numFmtId="171" fontId="55" fillId="5" borderId="62" xfId="0" applyNumberFormat="1" applyFont="1" applyFill="1" applyBorder="1"/>
    <xf numFmtId="0" fontId="37" fillId="5" borderId="62" xfId="0" applyFont="1" applyFill="1" applyBorder="1" applyAlignment="1">
      <alignment horizontal="center"/>
    </xf>
    <xf numFmtId="0" fontId="37" fillId="5" borderId="62" xfId="0" applyFont="1" applyFill="1" applyBorder="1" applyAlignment="1">
      <alignment horizontal="center" wrapText="1"/>
    </xf>
    <xf numFmtId="171" fontId="63" fillId="5" borderId="62" xfId="0" applyNumberFormat="1" applyFont="1" applyFill="1" applyBorder="1"/>
    <xf numFmtId="0" fontId="0" fillId="5" borderId="62" xfId="0" applyFill="1" applyBorder="1"/>
    <xf numFmtId="174" fontId="37" fillId="8" borderId="62" xfId="50" applyNumberFormat="1" applyFont="1" applyFill="1" applyBorder="1" applyAlignment="1">
      <alignment horizontal="center"/>
    </xf>
    <xf numFmtId="174" fontId="35" fillId="8" borderId="62" xfId="50" applyNumberFormat="1" applyFont="1" applyFill="1" applyBorder="1" applyAlignment="1">
      <alignment horizontal="center" vertical="center"/>
    </xf>
    <xf numFmtId="0" fontId="68" fillId="28" borderId="68" xfId="0" applyFont="1" applyFill="1" applyBorder="1" applyAlignment="1">
      <alignment horizontal="center"/>
    </xf>
    <xf numFmtId="0" fontId="69" fillId="29" borderId="148" xfId="0" applyFont="1" applyFill="1" applyBorder="1" applyAlignment="1">
      <alignment horizontal="center" vertical="center" wrapText="1"/>
    </xf>
    <xf numFmtId="0" fontId="69" fillId="29" borderId="149" xfId="0" applyFont="1" applyFill="1" applyBorder="1" applyAlignment="1">
      <alignment horizontal="center" vertical="center" wrapText="1"/>
    </xf>
    <xf numFmtId="0" fontId="69" fillId="29" borderId="150" xfId="0" applyFont="1" applyFill="1" applyBorder="1" applyAlignment="1">
      <alignment horizontal="center" vertical="center" wrapText="1"/>
    </xf>
    <xf numFmtId="0" fontId="110" fillId="29" borderId="148" xfId="0" applyFont="1" applyFill="1" applyBorder="1" applyAlignment="1">
      <alignment vertical="center" wrapText="1"/>
    </xf>
    <xf numFmtId="0" fontId="110" fillId="29" borderId="149" xfId="0" applyFont="1" applyFill="1" applyBorder="1" applyAlignment="1">
      <alignment vertical="center" wrapText="1"/>
    </xf>
    <xf numFmtId="0" fontId="110" fillId="29" borderId="149" xfId="0" quotePrefix="1" applyFont="1" applyFill="1" applyBorder="1" applyAlignment="1">
      <alignment vertical="center" wrapText="1"/>
    </xf>
    <xf numFmtId="0" fontId="110" fillId="29" borderId="150" xfId="0" applyFont="1" applyFill="1" applyBorder="1" applyAlignment="1">
      <alignment vertical="center" wrapText="1"/>
    </xf>
    <xf numFmtId="0" fontId="110" fillId="29" borderId="148" xfId="0" applyFont="1" applyFill="1" applyBorder="1" applyAlignment="1">
      <alignment horizontal="center" vertical="center" wrapText="1"/>
    </xf>
    <xf numFmtId="0" fontId="110" fillId="29" borderId="149" xfId="0" applyFont="1" applyFill="1" applyBorder="1" applyAlignment="1">
      <alignment horizontal="center" vertical="center" wrapText="1"/>
    </xf>
    <xf numFmtId="0" fontId="110" fillId="29" borderId="150" xfId="0" applyFont="1" applyFill="1" applyBorder="1" applyAlignment="1">
      <alignment horizontal="center" vertical="center" wrapText="1"/>
    </xf>
    <xf numFmtId="0" fontId="59" fillId="25" borderId="9" xfId="0" applyFont="1" applyFill="1" applyBorder="1" applyAlignment="1">
      <alignment horizontal="center" vertical="center"/>
    </xf>
    <xf numFmtId="0" fontId="59" fillId="35" borderId="9" xfId="0" applyFont="1" applyFill="1" applyBorder="1" applyAlignment="1">
      <alignment horizontal="center" vertical="center"/>
    </xf>
    <xf numFmtId="171" fontId="0" fillId="8" borderId="62" xfId="0" applyNumberFormat="1" applyFill="1" applyBorder="1" applyAlignment="1">
      <alignment horizontal="center"/>
    </xf>
    <xf numFmtId="171" fontId="0" fillId="8" borderId="63" xfId="0" applyNumberFormat="1" applyFill="1" applyBorder="1" applyAlignment="1">
      <alignment horizontal="center"/>
    </xf>
    <xf numFmtId="171" fontId="0" fillId="8" borderId="62" xfId="0" applyNumberFormat="1" applyFill="1" applyBorder="1" applyAlignment="1" applyProtection="1">
      <alignment horizontal="center"/>
      <protection locked="0"/>
    </xf>
    <xf numFmtId="171" fontId="0" fillId="8" borderId="63" xfId="0" applyNumberFormat="1" applyFill="1" applyBorder="1" applyAlignment="1" applyProtection="1">
      <alignment horizontal="center"/>
      <protection locked="0"/>
    </xf>
    <xf numFmtId="171" fontId="0" fillId="8" borderId="62" xfId="0" applyNumberFormat="1" applyFill="1" applyBorder="1"/>
    <xf numFmtId="171" fontId="0" fillId="8" borderId="63" xfId="0" applyNumberFormat="1" applyFill="1" applyBorder="1"/>
    <xf numFmtId="0" fontId="59" fillId="35" borderId="0" xfId="0" applyFont="1" applyFill="1" applyBorder="1" applyAlignment="1">
      <alignment horizontal="center" vertical="center"/>
    </xf>
    <xf numFmtId="0" fontId="59" fillId="32" borderId="9" xfId="0" applyFont="1" applyFill="1" applyBorder="1" applyAlignment="1">
      <alignment horizontal="left" vertical="center"/>
    </xf>
    <xf numFmtId="0" fontId="107" fillId="2" borderId="62" xfId="0" applyFont="1" applyFill="1" applyBorder="1"/>
    <xf numFmtId="0" fontId="55" fillId="27" borderId="62" xfId="0" applyFont="1" applyFill="1" applyBorder="1"/>
    <xf numFmtId="2" fontId="55" fillId="11" borderId="62" xfId="0" applyNumberFormat="1" applyFont="1" applyFill="1" applyBorder="1" applyAlignment="1">
      <alignment horizontal="center"/>
    </xf>
    <xf numFmtId="172" fontId="55" fillId="0" borderId="62" xfId="0" applyNumberFormat="1" applyFont="1" applyBorder="1" applyAlignment="1">
      <alignment horizontal="left"/>
    </xf>
    <xf numFmtId="0" fontId="6" fillId="0" borderId="62" xfId="2" quotePrefix="1" applyBorder="1"/>
    <xf numFmtId="0" fontId="107" fillId="27" borderId="62" xfId="0" applyFont="1" applyFill="1" applyBorder="1"/>
    <xf numFmtId="172" fontId="55" fillId="2" borderId="62" xfId="0" applyNumberFormat="1" applyFont="1" applyFill="1" applyBorder="1" applyAlignment="1">
      <alignment horizontal="left"/>
    </xf>
    <xf numFmtId="0" fontId="55" fillId="2" borderId="0" xfId="0" applyFont="1" applyFill="1" applyBorder="1" applyAlignment="1">
      <alignment horizontal="center"/>
    </xf>
    <xf numFmtId="0" fontId="6" fillId="2" borderId="0" xfId="2" applyFill="1" applyBorder="1"/>
    <xf numFmtId="0" fontId="43" fillId="2" borderId="62" xfId="0" applyFont="1" applyFill="1" applyBorder="1" applyAlignment="1">
      <alignment horizontal="left"/>
    </xf>
    <xf numFmtId="0" fontId="59" fillId="2" borderId="62" xfId="0" applyFont="1" applyFill="1" applyBorder="1" applyAlignment="1">
      <alignment horizontal="center" vertical="center"/>
    </xf>
    <xf numFmtId="0" fontId="59" fillId="2" borderId="9" xfId="0" applyFont="1" applyFill="1" applyBorder="1" applyAlignment="1">
      <alignment horizontal="center" vertical="center"/>
    </xf>
    <xf numFmtId="0" fontId="59" fillId="2" borderId="9" xfId="0" applyFont="1" applyFill="1" applyBorder="1" applyAlignment="1">
      <alignment horizontal="center" vertical="center" wrapText="1"/>
    </xf>
    <xf numFmtId="0" fontId="59" fillId="2" borderId="0" xfId="0" applyFont="1" applyFill="1" applyAlignment="1">
      <alignment horizontal="center" vertical="center"/>
    </xf>
    <xf numFmtId="1" fontId="55" fillId="2" borderId="3" xfId="0" applyNumberFormat="1" applyFont="1" applyFill="1" applyBorder="1" applyAlignment="1">
      <alignment horizontal="center"/>
    </xf>
    <xf numFmtId="49" fontId="0" fillId="8" borderId="62" xfId="0" applyNumberFormat="1" applyFill="1" applyBorder="1" applyAlignment="1" applyProtection="1">
      <alignment horizontal="center" vertical="center"/>
      <protection locked="0"/>
    </xf>
    <xf numFmtId="0" fontId="0" fillId="8" borderId="62" xfId="0" applyNumberFormat="1" applyFill="1" applyBorder="1" applyAlignment="1" applyProtection="1">
      <alignment horizontal="center" vertical="center"/>
      <protection locked="0"/>
    </xf>
    <xf numFmtId="0" fontId="0" fillId="2" borderId="0" xfId="0" applyFill="1" applyAlignment="1" applyProtection="1">
      <protection hidden="1"/>
    </xf>
    <xf numFmtId="177" fontId="8" fillId="3" borderId="6" xfId="67" applyNumberFormat="1" applyFont="1" applyFill="1" applyBorder="1" applyAlignment="1" applyProtection="1">
      <alignment horizontal="center" vertical="center"/>
      <protection locked="0"/>
    </xf>
    <xf numFmtId="171" fontId="0" fillId="0" borderId="0" xfId="0" applyNumberFormat="1"/>
    <xf numFmtId="178" fontId="8" fillId="3" borderId="6" xfId="50" applyNumberFormat="1" applyFont="1" applyFill="1" applyBorder="1" applyAlignment="1" applyProtection="1">
      <alignment horizontal="center" vertical="center"/>
      <protection locked="0"/>
    </xf>
    <xf numFmtId="177" fontId="0" fillId="2" borderId="0" xfId="67" applyNumberFormat="1" applyFont="1" applyFill="1"/>
    <xf numFmtId="0" fontId="112" fillId="2" borderId="0" xfId="0" applyFont="1" applyFill="1" applyBorder="1"/>
    <xf numFmtId="0" fontId="112" fillId="2" borderId="144" xfId="0" applyFont="1" applyFill="1" applyBorder="1"/>
    <xf numFmtId="0" fontId="112" fillId="2" borderId="143" xfId="0" applyFont="1" applyFill="1" applyBorder="1"/>
    <xf numFmtId="0" fontId="112" fillId="2" borderId="0" xfId="0" applyFont="1" applyFill="1"/>
    <xf numFmtId="10" fontId="0" fillId="2" borderId="0" xfId="67" applyNumberFormat="1" applyFont="1" applyFill="1"/>
    <xf numFmtId="2" fontId="8" fillId="3" borderId="6" xfId="67" applyNumberFormat="1" applyFont="1" applyFill="1" applyBorder="1" applyAlignment="1" applyProtection="1">
      <alignment horizontal="center" vertical="center"/>
      <protection locked="0"/>
    </xf>
    <xf numFmtId="2" fontId="8" fillId="3" borderId="6" xfId="0" applyNumberFormat="1" applyFont="1" applyFill="1" applyBorder="1" applyAlignment="1" applyProtection="1">
      <alignment horizontal="center" vertical="center"/>
      <protection locked="0"/>
    </xf>
    <xf numFmtId="0" fontId="47" fillId="25" borderId="11" xfId="0" applyFont="1" applyFill="1" applyBorder="1" applyAlignment="1">
      <alignment horizontal="center" vertical="center"/>
    </xf>
    <xf numFmtId="0" fontId="22" fillId="10" borderId="5" xfId="0" applyFont="1" applyFill="1" applyBorder="1" applyAlignment="1" applyProtection="1">
      <protection hidden="1"/>
    </xf>
    <xf numFmtId="0" fontId="79" fillId="10" borderId="5" xfId="0" applyFont="1" applyFill="1" applyBorder="1" applyAlignment="1" applyProtection="1">
      <protection hidden="1"/>
    </xf>
    <xf numFmtId="0" fontId="78" fillId="10" borderId="4" xfId="0" applyFont="1" applyFill="1" applyBorder="1" applyAlignment="1" applyProtection="1">
      <protection hidden="1"/>
    </xf>
    <xf numFmtId="0" fontId="25" fillId="2" borderId="0" xfId="0" applyFont="1" applyFill="1" applyAlignment="1" applyProtection="1">
      <alignment horizontal="center" vertical="center" wrapText="1"/>
      <protection hidden="1"/>
    </xf>
    <xf numFmtId="0" fontId="0" fillId="2" borderId="0" xfId="0" applyFill="1" applyAlignment="1" applyProtection="1">
      <alignment horizontal="left" vertical="top" wrapText="1"/>
      <protection hidden="1"/>
    </xf>
    <xf numFmtId="0" fontId="111" fillId="10" borderId="5" xfId="0" applyFont="1" applyFill="1" applyBorder="1" applyAlignment="1" applyProtection="1">
      <protection hidden="1"/>
    </xf>
    <xf numFmtId="0" fontId="111" fillId="10" borderId="5" xfId="0" applyFont="1" applyFill="1" applyBorder="1" applyAlignment="1" applyProtection="1">
      <alignment horizontal="left"/>
      <protection hidden="1"/>
    </xf>
    <xf numFmtId="0" fontId="0" fillId="2" borderId="48" xfId="0" applyFill="1" applyBorder="1" applyAlignment="1">
      <alignment horizontal="center" vertical="center"/>
    </xf>
    <xf numFmtId="0" fontId="0" fillId="2" borderId="50" xfId="0" applyFill="1" applyBorder="1" applyAlignment="1">
      <alignment horizontal="center" vertical="center"/>
    </xf>
    <xf numFmtId="0" fontId="0" fillId="2" borderId="16" xfId="0" applyFill="1" applyBorder="1" applyAlignment="1">
      <alignment horizontal="center" vertical="center"/>
    </xf>
    <xf numFmtId="0" fontId="0" fillId="2" borderId="62" xfId="0" applyFill="1" applyBorder="1" applyAlignment="1">
      <alignment horizontal="center" vertical="center" wrapText="1"/>
    </xf>
    <xf numFmtId="0" fontId="0" fillId="0" borderId="48" xfId="0" applyBorder="1" applyAlignment="1">
      <alignment horizontal="center"/>
    </xf>
    <xf numFmtId="0" fontId="0" fillId="0" borderId="50" xfId="0" applyBorder="1" applyAlignment="1">
      <alignment horizontal="center"/>
    </xf>
    <xf numFmtId="0" fontId="0" fillId="0" borderId="16" xfId="0" applyBorder="1" applyAlignment="1">
      <alignment horizontal="center"/>
    </xf>
    <xf numFmtId="0" fontId="0" fillId="2" borderId="48" xfId="0" applyFill="1" applyBorder="1" applyAlignment="1">
      <alignment horizontal="center"/>
    </xf>
    <xf numFmtId="0" fontId="0" fillId="2" borderId="50" xfId="0" applyFill="1" applyBorder="1" applyAlignment="1">
      <alignment horizontal="center"/>
    </xf>
    <xf numFmtId="0" fontId="0" fillId="2" borderId="16" xfId="0" applyFill="1" applyBorder="1" applyAlignment="1">
      <alignment horizontal="center"/>
    </xf>
    <xf numFmtId="0" fontId="0" fillId="0" borderId="48" xfId="0" applyBorder="1" applyAlignment="1">
      <alignment horizontal="center" vertical="center"/>
    </xf>
    <xf numFmtId="0" fontId="0" fillId="0" borderId="50" xfId="0" applyBorder="1" applyAlignment="1">
      <alignment horizontal="center" vertical="center"/>
    </xf>
    <xf numFmtId="0" fontId="0" fillId="0" borderId="16" xfId="0" applyBorder="1" applyAlignment="1">
      <alignment horizontal="center" vertical="center"/>
    </xf>
    <xf numFmtId="171" fontId="0" fillId="10" borderId="63" xfId="50" applyNumberFormat="1" applyFont="1" applyFill="1" applyBorder="1" applyAlignment="1" applyProtection="1">
      <alignment horizontal="center"/>
      <protection locked="0"/>
    </xf>
    <xf numFmtId="171" fontId="0" fillId="10" borderId="46" xfId="50" applyNumberFormat="1" applyFont="1" applyFill="1" applyBorder="1" applyAlignment="1" applyProtection="1">
      <alignment horizontal="center"/>
      <protection locked="0"/>
    </xf>
    <xf numFmtId="171" fontId="0" fillId="10" borderId="12" xfId="50" applyNumberFormat="1" applyFont="1" applyFill="1" applyBorder="1" applyAlignment="1" applyProtection="1">
      <alignment horizontal="center"/>
      <protection locked="0"/>
    </xf>
    <xf numFmtId="49" fontId="0" fillId="3" borderId="63" xfId="50" applyNumberFormat="1" applyFont="1" applyFill="1" applyBorder="1" applyAlignment="1" applyProtection="1">
      <alignment horizontal="center"/>
      <protection locked="0"/>
    </xf>
    <xf numFmtId="49" fontId="0" fillId="3" borderId="46" xfId="50" applyNumberFormat="1" applyFont="1" applyFill="1" applyBorder="1" applyAlignment="1" applyProtection="1">
      <alignment horizontal="center"/>
      <protection locked="0"/>
    </xf>
    <xf numFmtId="49" fontId="0" fillId="3" borderId="12" xfId="50" applyNumberFormat="1" applyFont="1" applyFill="1" applyBorder="1" applyAlignment="1" applyProtection="1">
      <alignment horizontal="center"/>
      <protection locked="0"/>
    </xf>
    <xf numFmtId="0" fontId="94" fillId="2" borderId="62" xfId="0" applyFont="1" applyFill="1" applyBorder="1" applyAlignment="1">
      <alignment horizontal="center"/>
    </xf>
    <xf numFmtId="171" fontId="0" fillId="26" borderId="62" xfId="50" applyNumberFormat="1" applyFont="1" applyFill="1" applyBorder="1" applyAlignment="1" applyProtection="1">
      <alignment horizontal="center" vertical="center"/>
    </xf>
    <xf numFmtId="0" fontId="0" fillId="2" borderId="62" xfId="0" applyFill="1" applyBorder="1" applyAlignment="1">
      <alignment horizontal="left"/>
    </xf>
    <xf numFmtId="171" fontId="0" fillId="26" borderId="62" xfId="50" applyNumberFormat="1" applyFont="1" applyFill="1" applyBorder="1" applyAlignment="1">
      <alignment horizontal="center" vertical="center"/>
    </xf>
    <xf numFmtId="0" fontId="1" fillId="32" borderId="62" xfId="0" applyFont="1" applyFill="1" applyBorder="1" applyAlignment="1">
      <alignment horizontal="center" vertical="center"/>
    </xf>
    <xf numFmtId="0" fontId="4" fillId="36" borderId="62" xfId="0" applyFont="1" applyFill="1" applyBorder="1" applyAlignment="1">
      <alignment horizontal="center" vertical="center"/>
    </xf>
    <xf numFmtId="0" fontId="4" fillId="25" borderId="62" xfId="0" applyFont="1" applyFill="1" applyBorder="1" applyAlignment="1">
      <alignment horizontal="center" vertical="center"/>
    </xf>
    <xf numFmtId="0" fontId="4" fillId="33" borderId="62" xfId="0" applyFont="1" applyFill="1" applyBorder="1" applyAlignment="1">
      <alignment horizontal="center" vertical="center"/>
    </xf>
    <xf numFmtId="0" fontId="4" fillId="34" borderId="62" xfId="0" applyFont="1" applyFill="1" applyBorder="1" applyAlignment="1">
      <alignment horizontal="center" vertical="center"/>
    </xf>
    <xf numFmtId="0" fontId="13" fillId="2" borderId="0" xfId="0" applyFont="1" applyFill="1" applyAlignment="1">
      <alignment horizontal="left" vertical="center"/>
    </xf>
    <xf numFmtId="0" fontId="0" fillId="2" borderId="0" xfId="0" applyFill="1" applyAlignment="1"/>
    <xf numFmtId="0" fontId="11" fillId="2" borderId="0" xfId="0" applyFont="1" applyFill="1" applyAlignment="1">
      <alignment horizontal="left" vertical="center"/>
    </xf>
    <xf numFmtId="0" fontId="55" fillId="2" borderId="63" xfId="0" applyFont="1" applyFill="1" applyBorder="1" applyAlignment="1">
      <alignment horizontal="center"/>
    </xf>
    <xf numFmtId="0" fontId="55" fillId="2" borderId="12" xfId="0" applyFont="1" applyFill="1" applyBorder="1" applyAlignment="1">
      <alignment horizontal="center"/>
    </xf>
    <xf numFmtId="0" fontId="35" fillId="2" borderId="63" xfId="0" applyFont="1" applyFill="1" applyBorder="1" applyAlignment="1">
      <alignment horizontal="center"/>
    </xf>
    <xf numFmtId="0" fontId="35" fillId="2" borderId="12" xfId="0" applyFont="1" applyFill="1" applyBorder="1" applyAlignment="1">
      <alignment horizontal="center"/>
    </xf>
    <xf numFmtId="0" fontId="35" fillId="2" borderId="46" xfId="0" applyFont="1" applyFill="1" applyBorder="1" applyAlignment="1">
      <alignment horizontal="center"/>
    </xf>
    <xf numFmtId="0" fontId="93" fillId="12" borderId="0" xfId="0" applyFont="1" applyFill="1" applyAlignment="1">
      <alignment horizontal="center" vertical="center"/>
    </xf>
    <xf numFmtId="0" fontId="104" fillId="2" borderId="0" xfId="0" applyFont="1" applyFill="1" applyBorder="1" applyAlignment="1">
      <alignment horizontal="center"/>
    </xf>
    <xf numFmtId="0" fontId="0" fillId="2" borderId="62" xfId="0" applyFill="1" applyBorder="1" applyAlignment="1">
      <alignment horizontal="center" vertical="center"/>
    </xf>
    <xf numFmtId="0" fontId="55" fillId="2" borderId="62" xfId="0" applyFont="1" applyFill="1" applyBorder="1" applyAlignment="1">
      <alignment horizontal="center"/>
    </xf>
    <xf numFmtId="0" fontId="63" fillId="2" borderId="62" xfId="0" applyFont="1" applyFill="1" applyBorder="1" applyAlignment="1">
      <alignment horizontal="center"/>
    </xf>
    <xf numFmtId="0" fontId="97" fillId="2" borderId="64" xfId="0" applyFont="1" applyFill="1" applyBorder="1" applyAlignment="1">
      <alignment horizontal="center" vertical="center"/>
    </xf>
    <xf numFmtId="0" fontId="97" fillId="2" borderId="65" xfId="0" applyFont="1" applyFill="1" applyBorder="1" applyAlignment="1">
      <alignment horizontal="center" vertical="center"/>
    </xf>
    <xf numFmtId="0" fontId="97" fillId="2" borderId="66" xfId="0" applyFont="1" applyFill="1" applyBorder="1" applyAlignment="1">
      <alignment horizontal="center" vertical="center"/>
    </xf>
    <xf numFmtId="0" fontId="66" fillId="2" borderId="0" xfId="2" applyFont="1" applyFill="1" applyBorder="1" applyAlignment="1" applyProtection="1">
      <alignment horizontal="left" wrapText="1"/>
    </xf>
    <xf numFmtId="0" fontId="66" fillId="2" borderId="0" xfId="2" applyFont="1" applyFill="1" applyBorder="1" applyAlignment="1" applyProtection="1">
      <alignment horizontal="left"/>
    </xf>
    <xf numFmtId="0" fontId="41" fillId="2" borderId="0" xfId="0" applyFont="1" applyFill="1" applyAlignment="1">
      <alignment horizontal="left" vertical="center"/>
    </xf>
    <xf numFmtId="0" fontId="8" fillId="2" borderId="0" xfId="0" applyFont="1" applyFill="1" applyAlignment="1"/>
    <xf numFmtId="0" fontId="8" fillId="2" borderId="0" xfId="0" applyFont="1" applyFill="1" applyAlignment="1">
      <alignment horizontal="left" vertical="center"/>
    </xf>
    <xf numFmtId="0" fontId="1" fillId="31" borderId="62" xfId="0" applyFont="1" applyFill="1" applyBorder="1" applyAlignment="1">
      <alignment horizontal="center" vertical="center"/>
    </xf>
    <xf numFmtId="0" fontId="1" fillId="36" borderId="62" xfId="0" applyFont="1" applyFill="1" applyBorder="1" applyAlignment="1">
      <alignment horizontal="center" vertical="center"/>
    </xf>
    <xf numFmtId="0" fontId="1" fillId="25" borderId="62" xfId="0" applyFont="1" applyFill="1" applyBorder="1" applyAlignment="1">
      <alignment horizontal="center" vertical="center"/>
    </xf>
    <xf numFmtId="0" fontId="1" fillId="33" borderId="62" xfId="0" applyFont="1" applyFill="1" applyBorder="1" applyAlignment="1">
      <alignment horizontal="center" vertical="center"/>
    </xf>
    <xf numFmtId="0" fontId="1" fillId="34" borderId="62" xfId="0" applyFont="1" applyFill="1" applyBorder="1" applyAlignment="1">
      <alignment horizontal="center" vertical="center"/>
    </xf>
    <xf numFmtId="49" fontId="0" fillId="12" borderId="0" xfId="0" applyNumberFormat="1" applyFill="1" applyAlignment="1">
      <alignment horizontal="left"/>
    </xf>
    <xf numFmtId="0" fontId="0" fillId="12" borderId="0" xfId="0" applyFill="1" applyAlignment="1">
      <alignment horizontal="left"/>
    </xf>
    <xf numFmtId="0" fontId="6" fillId="2" borderId="0" xfId="2" applyFill="1" applyAlignment="1">
      <alignment horizontal="center" vertical="center"/>
    </xf>
    <xf numFmtId="0" fontId="37" fillId="2" borderId="0" xfId="0" applyFont="1" applyFill="1" applyAlignment="1">
      <alignment horizontal="center" vertical="center"/>
    </xf>
    <xf numFmtId="0" fontId="35" fillId="2" borderId="0" xfId="0" applyFont="1" applyFill="1" applyAlignment="1">
      <alignment horizontal="center" vertical="center"/>
    </xf>
    <xf numFmtId="0" fontId="37" fillId="2" borderId="63" xfId="0" applyFont="1" applyFill="1" applyBorder="1" applyAlignment="1">
      <alignment horizontal="center"/>
    </xf>
    <xf numFmtId="0" fontId="37" fillId="2" borderId="46" xfId="0" applyFont="1" applyFill="1" applyBorder="1" applyAlignment="1">
      <alignment horizontal="center"/>
    </xf>
    <xf numFmtId="0" fontId="37" fillId="2" borderId="12" xfId="0" applyFont="1" applyFill="1" applyBorder="1" applyAlignment="1">
      <alignment horizontal="center"/>
    </xf>
    <xf numFmtId="0" fontId="59" fillId="35" borderId="9" xfId="0" applyFont="1" applyFill="1" applyBorder="1" applyAlignment="1">
      <alignment horizontal="center" vertical="center"/>
    </xf>
    <xf numFmtId="0" fontId="59" fillId="35" borderId="0" xfId="0" applyFont="1" applyFill="1" applyBorder="1" applyAlignment="1">
      <alignment horizontal="center" vertical="center"/>
    </xf>
    <xf numFmtId="0" fontId="35" fillId="2" borderId="62" xfId="0" applyFont="1" applyFill="1" applyBorder="1" applyAlignment="1">
      <alignment horizontal="center"/>
    </xf>
    <xf numFmtId="0" fontId="1" fillId="36" borderId="138" xfId="0" applyFont="1" applyFill="1" applyBorder="1" applyAlignment="1">
      <alignment horizontal="center" vertical="center"/>
    </xf>
    <xf numFmtId="0" fontId="1" fillId="36" borderId="7" xfId="0" applyFont="1" applyFill="1" applyBorder="1" applyAlignment="1">
      <alignment horizontal="center" vertical="center"/>
    </xf>
    <xf numFmtId="0" fontId="1" fillId="25" borderId="71" xfId="0" applyFont="1" applyFill="1" applyBorder="1" applyAlignment="1">
      <alignment horizontal="center" vertical="center"/>
    </xf>
    <xf numFmtId="0" fontId="1" fillId="25" borderId="7" xfId="0" applyFont="1" applyFill="1" applyBorder="1" applyAlignment="1">
      <alignment horizontal="center" vertical="center"/>
    </xf>
    <xf numFmtId="0" fontId="1" fillId="33" borderId="71" xfId="0" applyFont="1" applyFill="1" applyBorder="1" applyAlignment="1">
      <alignment horizontal="center" vertical="center"/>
    </xf>
    <xf numFmtId="0" fontId="1" fillId="33" borderId="7" xfId="0" applyFont="1" applyFill="1" applyBorder="1" applyAlignment="1">
      <alignment horizontal="center" vertical="center"/>
    </xf>
    <xf numFmtId="0" fontId="1" fillId="34" borderId="71" xfId="0" applyFont="1" applyFill="1" applyBorder="1" applyAlignment="1">
      <alignment horizontal="center" vertical="center"/>
    </xf>
    <xf numFmtId="0" fontId="1" fillId="34" borderId="138" xfId="0" applyFont="1" applyFill="1" applyBorder="1" applyAlignment="1">
      <alignment horizontal="center" vertical="center"/>
    </xf>
    <xf numFmtId="0" fontId="59" fillId="25" borderId="9" xfId="0" applyFont="1" applyFill="1" applyBorder="1" applyAlignment="1">
      <alignment horizontal="center" vertical="center"/>
    </xf>
    <xf numFmtId="0" fontId="59" fillId="35" borderId="29" xfId="0" applyFont="1" applyFill="1" applyBorder="1" applyAlignment="1">
      <alignment horizontal="center" vertical="center"/>
    </xf>
    <xf numFmtId="0" fontId="59" fillId="35" borderId="138" xfId="0" applyFont="1" applyFill="1" applyBorder="1" applyAlignment="1">
      <alignment horizontal="center" vertical="center"/>
    </xf>
    <xf numFmtId="0" fontId="68" fillId="39" borderId="0" xfId="0" applyFont="1" applyFill="1" applyBorder="1" applyAlignment="1">
      <alignment horizontal="center" vertical="center"/>
    </xf>
    <xf numFmtId="0" fontId="68" fillId="40" borderId="0" xfId="0" applyFont="1" applyFill="1" applyBorder="1" applyAlignment="1">
      <alignment horizontal="center" vertical="center" wrapText="1"/>
    </xf>
    <xf numFmtId="0" fontId="88" fillId="38" borderId="0" xfId="0" applyFont="1" applyFill="1" applyAlignment="1">
      <alignment horizontal="center" vertical="center" wrapText="1"/>
    </xf>
    <xf numFmtId="0" fontId="88" fillId="38" borderId="0" xfId="0" applyFont="1" applyFill="1" applyBorder="1" applyAlignment="1">
      <alignment horizontal="center" vertical="center" wrapText="1"/>
    </xf>
    <xf numFmtId="0" fontId="67" fillId="41" borderId="0" xfId="0" applyFont="1" applyFill="1" applyAlignment="1">
      <alignment horizontal="center" vertical="center"/>
    </xf>
    <xf numFmtId="0" fontId="0" fillId="23" borderId="51" xfId="0" applyFont="1" applyFill="1" applyBorder="1" applyAlignment="1">
      <alignment horizontal="center" vertical="center" wrapText="1"/>
    </xf>
    <xf numFmtId="0" fontId="0" fillId="23" borderId="38" xfId="0" applyFont="1" applyFill="1" applyBorder="1" applyAlignment="1">
      <alignment horizontal="center" vertical="center" wrapText="1"/>
    </xf>
    <xf numFmtId="0" fontId="0" fillId="23" borderId="20" xfId="0" applyFont="1" applyFill="1" applyBorder="1" applyAlignment="1">
      <alignment horizontal="center" vertical="center" wrapText="1"/>
    </xf>
    <xf numFmtId="0" fontId="0" fillId="23" borderId="126" xfId="0" applyFont="1" applyFill="1" applyBorder="1" applyAlignment="1">
      <alignment horizontal="center" vertical="center" wrapText="1"/>
    </xf>
    <xf numFmtId="0" fontId="102" fillId="20" borderId="133" xfId="0" applyFont="1" applyFill="1" applyBorder="1" applyAlignment="1" applyProtection="1">
      <alignment horizontal="center" vertical="center"/>
      <protection locked="0"/>
    </xf>
    <xf numFmtId="0" fontId="102" fillId="20" borderId="41" xfId="0" applyFont="1" applyFill="1" applyBorder="1" applyAlignment="1" applyProtection="1">
      <alignment horizontal="center" vertical="center"/>
      <protection locked="0"/>
    </xf>
    <xf numFmtId="0" fontId="69" fillId="42" borderId="42" xfId="0" applyFont="1" applyFill="1" applyBorder="1" applyAlignment="1">
      <alignment horizontal="center" vertical="center" wrapText="1"/>
    </xf>
    <xf numFmtId="0" fontId="69" fillId="42" borderId="43" xfId="0" applyFont="1" applyFill="1" applyBorder="1" applyAlignment="1">
      <alignment horizontal="center" vertical="center" wrapText="1"/>
    </xf>
    <xf numFmtId="0" fontId="6" fillId="0" borderId="0" xfId="2" applyBorder="1" applyAlignment="1">
      <alignment horizontal="center" vertical="center" wrapText="1"/>
    </xf>
    <xf numFmtId="0" fontId="6" fillId="0" borderId="117" xfId="2" applyBorder="1" applyAlignment="1">
      <alignment horizontal="center" vertical="center" wrapText="1"/>
    </xf>
    <xf numFmtId="0" fontId="6" fillId="0" borderId="102" xfId="2" applyBorder="1" applyAlignment="1">
      <alignment horizontal="center" vertical="center" wrapText="1"/>
    </xf>
    <xf numFmtId="0" fontId="6" fillId="0" borderId="96" xfId="2" applyBorder="1" applyAlignment="1">
      <alignment horizontal="center" vertical="center" wrapText="1"/>
    </xf>
    <xf numFmtId="0" fontId="6" fillId="0" borderId="110" xfId="2" applyBorder="1" applyAlignment="1">
      <alignment horizontal="center" vertical="center" wrapText="1"/>
    </xf>
    <xf numFmtId="0" fontId="6" fillId="0" borderId="111" xfId="2" applyBorder="1" applyAlignment="1">
      <alignment horizontal="center" vertical="center" wrapText="1"/>
    </xf>
    <xf numFmtId="0" fontId="6" fillId="0" borderId="116" xfId="2" applyBorder="1" applyAlignment="1">
      <alignment horizontal="center" vertical="center" wrapText="1"/>
    </xf>
    <xf numFmtId="0" fontId="6" fillId="0" borderId="123" xfId="2" applyBorder="1" applyAlignment="1">
      <alignment horizontal="center" vertical="center" wrapText="1"/>
    </xf>
    <xf numFmtId="0" fontId="4" fillId="43" borderId="42" xfId="0" applyFont="1" applyFill="1" applyBorder="1" applyAlignment="1">
      <alignment horizontal="center" vertical="center" wrapText="1"/>
    </xf>
    <xf numFmtId="0" fontId="4" fillId="43" borderId="43" xfId="0" applyFont="1" applyFill="1" applyBorder="1" applyAlignment="1">
      <alignment horizontal="center" vertical="center" wrapText="1"/>
    </xf>
    <xf numFmtId="0" fontId="4" fillId="31" borderId="124" xfId="0" applyFont="1" applyFill="1" applyBorder="1" applyAlignment="1">
      <alignment horizontal="center" vertical="center"/>
    </xf>
    <xf numFmtId="0" fontId="4" fillId="31" borderId="0" xfId="0" applyFont="1" applyFill="1" applyBorder="1" applyAlignment="1">
      <alignment horizontal="center" vertical="center"/>
    </xf>
    <xf numFmtId="0" fontId="4" fillId="31" borderId="123" xfId="0" applyFont="1" applyFill="1" applyBorder="1" applyAlignment="1">
      <alignment horizontal="center" vertical="center"/>
    </xf>
    <xf numFmtId="0" fontId="4" fillId="36" borderId="93" xfId="0" applyFont="1" applyFill="1" applyBorder="1" applyAlignment="1">
      <alignment horizontal="center" vertical="center"/>
    </xf>
    <xf numFmtId="0" fontId="4" fillId="36" borderId="108" xfId="0" applyFont="1" applyFill="1" applyBorder="1" applyAlignment="1">
      <alignment horizontal="center" vertical="center"/>
    </xf>
    <xf numFmtId="0" fontId="4" fillId="36" borderId="94" xfId="0" applyFont="1" applyFill="1" applyBorder="1" applyAlignment="1">
      <alignment horizontal="center" vertical="center"/>
    </xf>
    <xf numFmtId="0" fontId="4" fillId="25" borderId="93" xfId="0" applyFont="1" applyFill="1" applyBorder="1" applyAlignment="1">
      <alignment horizontal="center" vertical="center"/>
    </xf>
    <xf numFmtId="0" fontId="4" fillId="25" borderId="108" xfId="0" applyFont="1" applyFill="1" applyBorder="1" applyAlignment="1">
      <alignment horizontal="center" vertical="center"/>
    </xf>
    <xf numFmtId="0" fontId="4" fillId="25" borderId="94" xfId="0" applyFont="1" applyFill="1" applyBorder="1" applyAlignment="1">
      <alignment horizontal="center" vertical="center"/>
    </xf>
    <xf numFmtId="0" fontId="4" fillId="33" borderId="42" xfId="0" applyFont="1" applyFill="1" applyBorder="1" applyAlignment="1">
      <alignment horizontal="center" vertical="center"/>
    </xf>
    <xf numFmtId="0" fontId="4" fillId="33" borderId="112" xfId="0" applyFont="1" applyFill="1" applyBorder="1" applyAlignment="1">
      <alignment horizontal="center" vertical="center"/>
    </xf>
    <xf numFmtId="0" fontId="4" fillId="33" borderId="43" xfId="0" applyFont="1" applyFill="1" applyBorder="1" applyAlignment="1">
      <alignment horizontal="center" vertical="center"/>
    </xf>
    <xf numFmtId="0" fontId="4" fillId="34" borderId="118" xfId="0" applyFont="1" applyFill="1" applyBorder="1" applyAlignment="1">
      <alignment horizontal="center" vertical="center"/>
    </xf>
    <xf numFmtId="0" fontId="4" fillId="34" borderId="30" xfId="0" applyFont="1" applyFill="1" applyBorder="1" applyAlignment="1">
      <alignment horizontal="center" vertical="center"/>
    </xf>
    <xf numFmtId="0" fontId="4" fillId="34" borderId="119" xfId="0" applyFont="1" applyFill="1" applyBorder="1" applyAlignment="1">
      <alignment horizontal="center" vertical="center"/>
    </xf>
    <xf numFmtId="0" fontId="6" fillId="0" borderId="38" xfId="2" applyBorder="1" applyAlignment="1">
      <alignment horizontal="center" vertical="center" wrapText="1"/>
    </xf>
    <xf numFmtId="0" fontId="67" fillId="37" borderId="0" xfId="0" applyFont="1" applyFill="1" applyAlignment="1">
      <alignment horizontal="center" vertical="center"/>
    </xf>
    <xf numFmtId="0" fontId="67" fillId="37" borderId="0" xfId="0" applyFont="1" applyFill="1" applyBorder="1" applyAlignment="1">
      <alignment horizontal="center" vertical="center"/>
    </xf>
    <xf numFmtId="0" fontId="67" fillId="37" borderId="30" xfId="0" applyFont="1" applyFill="1" applyBorder="1" applyAlignment="1">
      <alignment horizontal="center" vertical="center"/>
    </xf>
    <xf numFmtId="0" fontId="88" fillId="38" borderId="30" xfId="0" applyFont="1" applyFill="1" applyBorder="1" applyAlignment="1">
      <alignment horizontal="center" vertical="center" wrapText="1"/>
    </xf>
    <xf numFmtId="0" fontId="68" fillId="39" borderId="30" xfId="0" applyFont="1" applyFill="1" applyBorder="1" applyAlignment="1">
      <alignment horizontal="center" vertical="center"/>
    </xf>
    <xf numFmtId="0" fontId="68" fillId="40" borderId="20" xfId="0" applyFont="1" applyFill="1" applyBorder="1" applyAlignment="1">
      <alignment horizontal="center" vertical="center" wrapText="1"/>
    </xf>
    <xf numFmtId="0" fontId="69" fillId="20" borderId="26" xfId="0" applyFont="1" applyFill="1" applyBorder="1" applyAlignment="1" applyProtection="1">
      <alignment horizontal="center" vertical="center"/>
      <protection locked="0"/>
    </xf>
    <xf numFmtId="0" fontId="69" fillId="20" borderId="27" xfId="0" applyFont="1" applyFill="1" applyBorder="1" applyAlignment="1" applyProtection="1">
      <alignment horizontal="center" vertical="center"/>
      <protection locked="0"/>
    </xf>
    <xf numFmtId="0" fontId="4" fillId="43" borderId="112" xfId="0" applyFont="1" applyFill="1" applyBorder="1" applyAlignment="1">
      <alignment horizontal="center" vertical="center" wrapText="1"/>
    </xf>
    <xf numFmtId="0" fontId="4" fillId="43" borderId="93" xfId="0" applyFont="1" applyFill="1" applyBorder="1" applyAlignment="1">
      <alignment horizontal="center" vertical="center" wrapText="1"/>
    </xf>
    <xf numFmtId="0" fontId="4" fillId="43" borderId="94" xfId="0" applyFont="1" applyFill="1" applyBorder="1" applyAlignment="1">
      <alignment horizontal="center" vertical="center" wrapText="1"/>
    </xf>
    <xf numFmtId="0" fontId="103" fillId="19" borderId="93" xfId="0" applyFont="1" applyFill="1" applyBorder="1" applyAlignment="1">
      <alignment horizontal="center" vertical="center" wrapText="1"/>
    </xf>
    <xf numFmtId="0" fontId="103" fillId="19" borderId="108" xfId="0" applyFont="1" applyFill="1" applyBorder="1" applyAlignment="1">
      <alignment horizontal="center" vertical="center" wrapText="1"/>
    </xf>
    <xf numFmtId="0" fontId="103" fillId="19" borderId="94" xfId="0" applyFont="1" applyFill="1" applyBorder="1" applyAlignment="1">
      <alignment horizontal="center" vertical="center" wrapText="1"/>
    </xf>
    <xf numFmtId="0" fontId="103" fillId="19" borderId="42" xfId="0" applyFont="1" applyFill="1" applyBorder="1" applyAlignment="1">
      <alignment horizontal="center" vertical="center" wrapText="1"/>
    </xf>
    <xf numFmtId="0" fontId="103" fillId="19" borderId="112" xfId="0" applyFont="1" applyFill="1" applyBorder="1" applyAlignment="1">
      <alignment horizontal="center" vertical="center" wrapText="1"/>
    </xf>
    <xf numFmtId="0" fontId="103" fillId="19" borderId="43" xfId="0" applyFont="1" applyFill="1" applyBorder="1" applyAlignment="1">
      <alignment horizontal="center" vertical="center" wrapText="1"/>
    </xf>
    <xf numFmtId="0" fontId="103" fillId="19" borderId="118" xfId="0" applyFont="1" applyFill="1" applyBorder="1" applyAlignment="1">
      <alignment horizontal="center" vertical="center" wrapText="1"/>
    </xf>
    <xf numFmtId="0" fontId="103" fillId="19" borderId="30" xfId="0" applyFont="1" applyFill="1" applyBorder="1" applyAlignment="1">
      <alignment horizontal="center" vertical="center" wrapText="1"/>
    </xf>
    <xf numFmtId="0" fontId="103" fillId="19" borderId="119" xfId="0" applyFont="1" applyFill="1" applyBorder="1" applyAlignment="1">
      <alignment horizontal="center" vertical="center" wrapText="1"/>
    </xf>
    <xf numFmtId="0" fontId="69" fillId="20" borderId="139" xfId="0" applyFont="1" applyFill="1" applyBorder="1" applyAlignment="1" applyProtection="1">
      <alignment horizontal="center" vertical="center"/>
      <protection locked="0"/>
    </xf>
    <xf numFmtId="0" fontId="69" fillId="20" borderId="41" xfId="0" applyFont="1" applyFill="1" applyBorder="1" applyAlignment="1" applyProtection="1">
      <alignment horizontal="center" vertical="center"/>
      <protection locked="0"/>
    </xf>
    <xf numFmtId="0" fontId="70" fillId="18" borderId="0" xfId="0" applyFont="1" applyFill="1" applyAlignment="1">
      <alignment horizontal="center" vertical="center" wrapText="1"/>
    </xf>
    <xf numFmtId="0" fontId="70" fillId="18" borderId="20" xfId="0" applyFont="1" applyFill="1" applyBorder="1" applyAlignment="1">
      <alignment horizontal="center" vertical="center" wrapText="1"/>
    </xf>
    <xf numFmtId="0" fontId="67" fillId="16" borderId="0" xfId="0" applyFont="1" applyFill="1" applyAlignment="1">
      <alignment horizontal="center" vertical="center"/>
    </xf>
    <xf numFmtId="0" fontId="68" fillId="21" borderId="20" xfId="0" applyFont="1" applyFill="1" applyBorder="1" applyAlignment="1">
      <alignment horizontal="center" vertical="center"/>
    </xf>
    <xf numFmtId="0" fontId="68" fillId="22" borderId="20" xfId="0" applyFont="1" applyFill="1" applyBorder="1" applyAlignment="1">
      <alignment horizontal="center" vertical="center" wrapText="1"/>
    </xf>
    <xf numFmtId="0" fontId="0" fillId="2" borderId="42" xfId="0" applyFill="1" applyBorder="1" applyAlignment="1" applyProtection="1">
      <alignment horizontal="center" vertical="center" wrapText="1"/>
      <protection hidden="1"/>
    </xf>
    <xf numFmtId="0" fontId="0" fillId="2" borderId="43" xfId="0" applyFill="1" applyBorder="1" applyAlignment="1" applyProtection="1">
      <alignment horizontal="center" vertical="center" wrapText="1"/>
      <protection hidden="1"/>
    </xf>
    <xf numFmtId="0" fontId="67" fillId="17" borderId="0" xfId="0" applyFont="1" applyFill="1" applyAlignment="1">
      <alignment horizontal="center" vertical="center"/>
    </xf>
    <xf numFmtId="0" fontId="73" fillId="18" borderId="37" xfId="0" applyFont="1" applyFill="1" applyBorder="1" applyAlignment="1">
      <alignment horizontal="center" vertical="center" wrapText="1"/>
    </xf>
    <xf numFmtId="0" fontId="73" fillId="18" borderId="40" xfId="0" applyFont="1" applyFill="1" applyBorder="1" applyAlignment="1">
      <alignment horizontal="center" vertical="center" wrapText="1"/>
    </xf>
    <xf numFmtId="0" fontId="68" fillId="39" borderId="0" xfId="0" applyFont="1" applyFill="1" applyAlignment="1">
      <alignment horizontal="center" vertical="center"/>
    </xf>
    <xf numFmtId="0" fontId="31" fillId="2" borderId="19" xfId="0" applyFont="1" applyFill="1" applyBorder="1" applyAlignment="1" applyProtection="1">
      <alignment horizontal="center" vertical="center"/>
      <protection locked="0"/>
    </xf>
    <xf numFmtId="0" fontId="31" fillId="2" borderId="26" xfId="0" applyFont="1" applyFill="1" applyBorder="1" applyAlignment="1" applyProtection="1">
      <alignment horizontal="center" vertical="center"/>
      <protection locked="0"/>
    </xf>
    <xf numFmtId="0" fontId="31" fillId="2" borderId="27" xfId="0" applyFont="1" applyFill="1" applyBorder="1" applyAlignment="1" applyProtection="1">
      <alignment horizontal="center" vertical="center"/>
      <protection locked="0"/>
    </xf>
    <xf numFmtId="0" fontId="68" fillId="19" borderId="19" xfId="0" applyFont="1" applyFill="1" applyBorder="1" applyAlignment="1">
      <alignment horizontal="center" vertical="center"/>
    </xf>
    <xf numFmtId="0" fontId="68" fillId="19" borderId="26" xfId="0" applyFont="1" applyFill="1" applyBorder="1" applyAlignment="1">
      <alignment horizontal="center" vertical="center"/>
    </xf>
    <xf numFmtId="0" fontId="68" fillId="19" borderId="27" xfId="0" applyFont="1" applyFill="1" applyBorder="1" applyAlignment="1">
      <alignment horizontal="center" vertical="center"/>
    </xf>
    <xf numFmtId="0" fontId="68" fillId="19" borderId="37" xfId="0" applyFont="1" applyFill="1" applyBorder="1" applyAlignment="1">
      <alignment horizontal="center" vertical="center"/>
    </xf>
    <xf numFmtId="0" fontId="68" fillId="19" borderId="20" xfId="0" applyFont="1" applyFill="1" applyBorder="1" applyAlignment="1">
      <alignment horizontal="center" vertical="center"/>
    </xf>
    <xf numFmtId="0" fontId="68" fillId="19" borderId="38" xfId="0" applyFont="1" applyFill="1" applyBorder="1" applyAlignment="1">
      <alignment horizontal="center" vertical="center"/>
    </xf>
    <xf numFmtId="0" fontId="68" fillId="40" borderId="0" xfId="0" applyFont="1" applyFill="1" applyAlignment="1">
      <alignment horizontal="center" vertical="center" wrapText="1"/>
    </xf>
  </cellXfs>
  <cellStyles count="68">
    <cellStyle name="Bold" xfId="1" xr:uid="{00000000-0005-0000-0000-000000000000}"/>
    <cellStyle name="Coma 2" xfId="24" xr:uid="{00000000-0005-0000-0000-000001000000}"/>
    <cellStyle name="Enllaç 2" xfId="19" xr:uid="{00000000-0005-0000-0000-000002000000}"/>
    <cellStyle name="Hipervínculo" xfId="2" builtinId="8"/>
    <cellStyle name="Hipervínculo 2" xfId="3" xr:uid="{00000000-0005-0000-0000-000004000000}"/>
    <cellStyle name="Hipervínculo 3" xfId="17" xr:uid="{00000000-0005-0000-0000-000005000000}"/>
    <cellStyle name="Hipervínculo 4" xfId="52" xr:uid="{00000000-0005-0000-0000-000006000000}"/>
    <cellStyle name="Hipervínculo 5" xfId="53" xr:uid="{00000000-0005-0000-0000-000007000000}"/>
    <cellStyle name="Hipervínculo 6" xfId="55" xr:uid="{00000000-0005-0000-0000-000008000000}"/>
    <cellStyle name="Input" xfId="4" xr:uid="{00000000-0005-0000-0000-000009000000}"/>
    <cellStyle name="Millares" xfId="50" builtinId="3"/>
    <cellStyle name="Millares 10" xfId="25" xr:uid="{00000000-0005-0000-0000-00000B000000}"/>
    <cellStyle name="Millares 10 2" xfId="43" xr:uid="{00000000-0005-0000-0000-00000C000000}"/>
    <cellStyle name="Millares 2" xfId="5" xr:uid="{00000000-0005-0000-0000-00000D000000}"/>
    <cellStyle name="Millares 2 2" xfId="6" xr:uid="{00000000-0005-0000-0000-00000E000000}"/>
    <cellStyle name="Millares 2 2 2" xfId="27" xr:uid="{00000000-0005-0000-0000-00000F000000}"/>
    <cellStyle name="Millares 2 3" xfId="26" xr:uid="{00000000-0005-0000-0000-000010000000}"/>
    <cellStyle name="Millares 2 4" xfId="56" xr:uid="{00000000-0005-0000-0000-000011000000}"/>
    <cellStyle name="Millares 2 5" xfId="60" xr:uid="{00000000-0005-0000-0000-000012000000}"/>
    <cellStyle name="Millares 3" xfId="7" xr:uid="{00000000-0005-0000-0000-000013000000}"/>
    <cellStyle name="Millares 3 2" xfId="8" xr:uid="{00000000-0005-0000-0000-000014000000}"/>
    <cellStyle name="Millares 3 3" xfId="22" xr:uid="{00000000-0005-0000-0000-000015000000}"/>
    <cellStyle name="Millares 4" xfId="41" xr:uid="{00000000-0005-0000-0000-000016000000}"/>
    <cellStyle name="Monetari [0]_Full1" xfId="28" xr:uid="{00000000-0005-0000-0000-000017000000}"/>
    <cellStyle name="Monetari_Full1" xfId="29" xr:uid="{00000000-0005-0000-0000-000018000000}"/>
    <cellStyle name="No-definido" xfId="30" xr:uid="{00000000-0005-0000-0000-000019000000}"/>
    <cellStyle name="Normal" xfId="0" builtinId="0"/>
    <cellStyle name="Normal 10" xfId="35" xr:uid="{00000000-0005-0000-0000-00001B000000}"/>
    <cellStyle name="Normal 11" xfId="36" xr:uid="{00000000-0005-0000-0000-00001C000000}"/>
    <cellStyle name="Normal 12" xfId="46" xr:uid="{00000000-0005-0000-0000-00001D000000}"/>
    <cellStyle name="Normal 13" xfId="48" xr:uid="{00000000-0005-0000-0000-00001E000000}"/>
    <cellStyle name="Normal 14" xfId="51" xr:uid="{00000000-0005-0000-0000-00001F000000}"/>
    <cellStyle name="Normal 15" xfId="54" xr:uid="{00000000-0005-0000-0000-000020000000}"/>
    <cellStyle name="Normal 16" xfId="63" xr:uid="{00000000-0005-0000-0000-000021000000}"/>
    <cellStyle name="Normal 2" xfId="9" xr:uid="{00000000-0005-0000-0000-000022000000}"/>
    <cellStyle name="Normal 2 2" xfId="10" xr:uid="{00000000-0005-0000-0000-000023000000}"/>
    <cellStyle name="Normal 2 2 2" xfId="21" xr:uid="{00000000-0005-0000-0000-000024000000}"/>
    <cellStyle name="Normal 2 2 3" xfId="58" xr:uid="{00000000-0005-0000-0000-000025000000}"/>
    <cellStyle name="Normal 2 3" xfId="11" xr:uid="{00000000-0005-0000-0000-000026000000}"/>
    <cellStyle name="Normal 2 4" xfId="12" xr:uid="{00000000-0005-0000-0000-000027000000}"/>
    <cellStyle name="Normal 2 5" xfId="57" xr:uid="{00000000-0005-0000-0000-000028000000}"/>
    <cellStyle name="Normal 2 6" xfId="62" xr:uid="{00000000-0005-0000-0000-000029000000}"/>
    <cellStyle name="Normal 3" xfId="15" xr:uid="{00000000-0005-0000-0000-00002A000000}"/>
    <cellStyle name="Normal 3 2" xfId="38" xr:uid="{00000000-0005-0000-0000-00002B000000}"/>
    <cellStyle name="Normal 3 3" xfId="59" xr:uid="{00000000-0005-0000-0000-00002C000000}"/>
    <cellStyle name="Normal 3 4" xfId="61" xr:uid="{00000000-0005-0000-0000-00002D000000}"/>
    <cellStyle name="Normal 4" xfId="13" xr:uid="{00000000-0005-0000-0000-00002E000000}"/>
    <cellStyle name="Normal 4 2" xfId="40" xr:uid="{00000000-0005-0000-0000-00002F000000}"/>
    <cellStyle name="Normal 4 3" xfId="18" xr:uid="{00000000-0005-0000-0000-000030000000}"/>
    <cellStyle name="Normal 5" xfId="20" xr:uid="{00000000-0005-0000-0000-000031000000}"/>
    <cellStyle name="Normal 6" xfId="23" xr:uid="{00000000-0005-0000-0000-000032000000}"/>
    <cellStyle name="Normal 6 2" xfId="42" xr:uid="{00000000-0005-0000-0000-000033000000}"/>
    <cellStyle name="Normal 7" xfId="32" xr:uid="{00000000-0005-0000-0000-000034000000}"/>
    <cellStyle name="Normal 7 2" xfId="44" xr:uid="{00000000-0005-0000-0000-000035000000}"/>
    <cellStyle name="Normal 8" xfId="33" xr:uid="{00000000-0005-0000-0000-000036000000}"/>
    <cellStyle name="Normal 8 2" xfId="45" xr:uid="{00000000-0005-0000-0000-000037000000}"/>
    <cellStyle name="Normal 9" xfId="34" xr:uid="{00000000-0005-0000-0000-000038000000}"/>
    <cellStyle name="Porcentaje" xfId="67" builtinId="5"/>
    <cellStyle name="Porcentaje 2" xfId="16" xr:uid="{00000000-0005-0000-0000-000039000000}"/>
    <cellStyle name="Porcentaje 2 2" xfId="39" xr:uid="{00000000-0005-0000-0000-00003A000000}"/>
    <cellStyle name="Porcentaje 3" xfId="37" xr:uid="{00000000-0005-0000-0000-00003B000000}"/>
    <cellStyle name="Porcentaje 4" xfId="47" xr:uid="{00000000-0005-0000-0000-00003C000000}"/>
    <cellStyle name="Porcentaje 5" xfId="49" xr:uid="{00000000-0005-0000-0000-00003D000000}"/>
    <cellStyle name="Porcentaje 6" xfId="14" xr:uid="{00000000-0005-0000-0000-00003E000000}"/>
    <cellStyle name="Porcentaje 7" xfId="65" xr:uid="{00000000-0005-0000-0000-00003F000000}"/>
    <cellStyle name="Porcentual 2" xfId="31" xr:uid="{00000000-0005-0000-0000-000040000000}"/>
    <cellStyle name="style1485862128157" xfId="64" xr:uid="{00000000-0005-0000-0000-000041000000}"/>
    <cellStyle name="style1485862128304" xfId="66" xr:uid="{00000000-0005-0000-0000-000042000000}"/>
  </cellStyles>
  <dxfs count="306">
    <dxf>
      <font>
        <color theme="0" tint="-0.24994659260841701"/>
      </font>
    </dxf>
    <dxf>
      <fill>
        <patternFill patternType="none">
          <bgColor auto="1"/>
        </patternFill>
      </fill>
    </dxf>
    <dxf>
      <font>
        <color theme="0" tint="-0.24994659260841701"/>
      </font>
    </dxf>
    <dxf>
      <fill>
        <patternFill patternType="none">
          <bgColor auto="1"/>
        </patternFill>
      </fill>
    </dxf>
    <dxf>
      <font>
        <color theme="0" tint="-0.24994659260841701"/>
      </font>
    </dxf>
    <dxf>
      <fill>
        <patternFill patternType="none">
          <bgColor auto="1"/>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24994659260841701"/>
      </font>
    </dxf>
    <dxf>
      <fill>
        <patternFill>
          <bgColor theme="0"/>
        </patternFill>
      </fill>
    </dxf>
    <dxf>
      <fill>
        <patternFill>
          <bgColor theme="0"/>
        </patternFill>
      </fill>
    </dxf>
    <dxf>
      <fill>
        <patternFill patternType="none">
          <bgColor auto="1"/>
        </patternFill>
      </fill>
    </dxf>
    <dxf>
      <font>
        <color theme="0" tint="-0.24994659260841701"/>
      </font>
    </dxf>
    <dxf>
      <fill>
        <patternFill patternType="none">
          <bgColor auto="1"/>
        </patternFill>
      </fill>
    </dxf>
    <dxf>
      <font>
        <color theme="0" tint="-0.24994659260841701"/>
      </font>
    </dxf>
    <dxf>
      <fill>
        <patternFill patternType="none">
          <bgColor auto="1"/>
        </patternFill>
      </fill>
    </dxf>
    <dxf>
      <font>
        <color theme="0" tint="-0.24994659260841701"/>
      </font>
    </dxf>
    <dxf>
      <font>
        <color theme="0" tint="-0.24994659260841701"/>
      </font>
    </dxf>
    <dxf>
      <fill>
        <patternFill patternType="none">
          <bgColor auto="1"/>
        </patternFill>
      </fill>
    </dxf>
    <dxf>
      <font>
        <color theme="0" tint="-0.24994659260841701"/>
      </font>
    </dxf>
    <dxf>
      <fill>
        <patternFill patternType="none">
          <bgColor auto="1"/>
        </patternFill>
      </fill>
    </dxf>
    <dxf>
      <fill>
        <patternFill>
          <bgColor theme="0"/>
        </patternFill>
      </fill>
    </dxf>
    <dxf>
      <fill>
        <patternFill>
          <bgColor theme="0"/>
        </patternFill>
      </fill>
    </dxf>
    <dxf>
      <fill>
        <patternFill>
          <bgColor theme="0"/>
        </patternFill>
      </fill>
    </dxf>
    <dxf>
      <font>
        <color theme="0" tint="-0.24994659260841701"/>
      </font>
    </dxf>
    <dxf>
      <fill>
        <patternFill patternType="none">
          <bgColor auto="1"/>
        </patternFill>
      </fill>
    </dxf>
    <dxf>
      <font>
        <color theme="0" tint="-0.24994659260841701"/>
      </font>
    </dxf>
    <dxf>
      <fill>
        <patternFill patternType="none">
          <bgColor auto="1"/>
        </patternFill>
      </fill>
    </dxf>
    <dxf>
      <font>
        <color theme="0" tint="-0.24994659260841701"/>
      </font>
    </dxf>
    <dxf>
      <fill>
        <patternFill patternType="none">
          <bgColor auto="1"/>
        </patternFill>
      </fill>
    </dxf>
    <dxf>
      <font>
        <color theme="0" tint="-0.24994659260841701"/>
      </font>
    </dxf>
    <dxf>
      <font>
        <color theme="0" tint="-0.24994659260841701"/>
      </font>
    </dxf>
    <dxf>
      <font>
        <color theme="0" tint="-0.24994659260841701"/>
      </font>
    </dxf>
    <dxf>
      <fill>
        <patternFill patternType="none">
          <bgColor auto="1"/>
        </patternFill>
      </fill>
    </dxf>
    <dxf>
      <fill>
        <patternFill patternType="none">
          <bgColor auto="1"/>
        </patternFill>
      </fill>
    </dxf>
    <dxf>
      <font>
        <color theme="0" tint="-0.24994659260841701"/>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theme="0" tint="-0.24994659260841701"/>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fgColor theme="0" tint="-4.9989318521683403E-2"/>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14996795556505021"/>
      </font>
      <fill>
        <patternFill>
          <bgColor theme="0"/>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auto="1"/>
      </font>
      <fill>
        <patternFill>
          <bgColor theme="7" tint="0.79998168889431442"/>
        </patternFill>
      </fill>
    </dxf>
    <dxf>
      <font>
        <color theme="2" tint="-0.24994659260841701"/>
      </font>
      <fill>
        <patternFill>
          <fgColor theme="0" tint="-4.9989318521683403E-2"/>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theme="0" tint="-0.24994659260841701"/>
      </font>
    </dxf>
    <dxf>
      <font>
        <color theme="0" tint="-0.14996795556505021"/>
      </font>
      <fill>
        <patternFill>
          <bgColor theme="0" tint="-4.9989318521683403E-2"/>
        </patternFill>
      </fill>
    </dxf>
    <dxf>
      <font>
        <color theme="0" tint="-0.14996795556505021"/>
      </font>
      <fill>
        <patternFill>
          <bgColor theme="0" tint="-4.9989318521683403E-2"/>
        </patternFill>
      </fill>
    </dxf>
    <dxf>
      <font>
        <strike val="0"/>
        <color theme="0" tint="-0.24994659260841701"/>
      </font>
      <fill>
        <patternFill patternType="solid">
          <fgColor theme="0" tint="-4.9989318521683403E-2"/>
          <bgColor theme="0" tint="-4.9989318521683403E-2"/>
        </patternFill>
      </fill>
    </dxf>
    <dxf>
      <font>
        <color theme="0" tint="-0.24994659260841701"/>
      </font>
    </dxf>
    <dxf>
      <font>
        <color theme="0" tint="-0.24994659260841701"/>
      </font>
    </dxf>
    <dxf>
      <font>
        <color theme="0" tint="-0.24994659260841701"/>
      </font>
    </dxf>
    <dxf>
      <font>
        <color theme="0" tint="-0.34998626667073579"/>
      </font>
      <fill>
        <patternFill>
          <bgColor theme="0" tint="-4.9989318521683403E-2"/>
        </patternFill>
      </fill>
    </dxf>
    <dxf>
      <font>
        <color theme="0" tint="-0.499984740745262"/>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ill>
        <patternFill>
          <bgColor theme="7" tint="0.79998168889431442"/>
        </patternFill>
      </fill>
    </dxf>
    <dxf>
      <fill>
        <patternFill>
          <bgColor theme="7" tint="0.79998168889431442"/>
        </patternFill>
      </fill>
    </dxf>
    <dxf>
      <font>
        <color theme="6" tint="-0.499984740745262"/>
      </font>
      <fill>
        <patternFill>
          <bgColor theme="0" tint="-4.9989318521683403E-2"/>
        </patternFill>
      </fill>
    </dxf>
    <dxf>
      <font>
        <color theme="6" tint="-0.499984740745262"/>
      </font>
      <fill>
        <patternFill>
          <bgColor theme="0" tint="-4.9989318521683403E-2"/>
        </patternFill>
      </fill>
    </dxf>
    <dxf>
      <font>
        <color theme="6" tint="-0.499984740745262"/>
      </font>
      <fill>
        <patternFill>
          <bgColor theme="0" tint="-4.9989318521683403E-2"/>
        </patternFill>
      </fill>
    </dxf>
    <dxf>
      <font>
        <color theme="6" tint="-0.499984740745262"/>
      </font>
      <fill>
        <patternFill>
          <bgColor theme="0" tint="-4.9989318521683403E-2"/>
        </patternFill>
      </fill>
    </dxf>
    <dxf>
      <font>
        <color theme="6" tint="-0.499984740745262"/>
      </font>
      <fill>
        <patternFill>
          <bgColor theme="0" tint="-4.9989318521683403E-2"/>
        </patternFill>
      </fill>
    </dxf>
    <dxf>
      <font>
        <color theme="6" tint="-0.499984740745262"/>
      </font>
      <fill>
        <patternFill>
          <bgColor theme="0" tint="-4.9989318521683403E-2"/>
        </patternFill>
      </fill>
    </dxf>
    <dxf>
      <font>
        <color theme="6" tint="-0.499984740745262"/>
      </font>
      <fill>
        <patternFill>
          <bgColor theme="0" tint="-4.9989318521683403E-2"/>
        </patternFill>
      </fill>
    </dxf>
    <dxf>
      <font>
        <color theme="6" tint="-0.499984740745262"/>
      </font>
      <fill>
        <patternFill>
          <bgColor theme="0" tint="-4.9989318521683403E-2"/>
        </patternFill>
      </fill>
    </dxf>
    <dxf>
      <font>
        <color theme="6" tint="-0.499984740745262"/>
      </font>
      <fill>
        <patternFill>
          <bgColor theme="0" tint="-4.9989318521683403E-2"/>
        </patternFill>
      </fill>
    </dxf>
    <dxf>
      <font>
        <color theme="6" tint="-0.499984740745262"/>
      </font>
      <fill>
        <patternFill>
          <bgColor theme="0" tint="-4.9989318521683403E-2"/>
        </patternFill>
      </fill>
    </dxf>
    <dxf>
      <font>
        <color theme="0" tint="-0.499984740745262"/>
      </font>
      <fill>
        <patternFill>
          <bgColor theme="0" tint="-0.14996795556505021"/>
        </patternFill>
      </fill>
    </dxf>
    <dxf>
      <font>
        <color theme="6" tint="-0.499984740745262"/>
      </font>
      <fill>
        <patternFill>
          <bgColor theme="0" tint="-4.9989318521683403E-2"/>
        </patternFill>
      </fill>
    </dxf>
    <dxf>
      <font>
        <color rgb="FFC00000"/>
      </font>
      <fill>
        <patternFill>
          <bgColor theme="5" tint="0.59996337778862885"/>
        </patternFill>
      </fill>
    </dxf>
    <dxf>
      <font>
        <color theme="9" tint="-0.499984740745262"/>
      </font>
      <fill>
        <patternFill>
          <bgColor theme="9" tint="0.59996337778862885"/>
        </patternFill>
      </fill>
    </dxf>
    <dxf>
      <fill>
        <patternFill>
          <bgColor theme="7" tint="0.79998168889431442"/>
        </patternFill>
      </fill>
    </dxf>
  </dxfs>
  <tableStyles count="0" defaultTableStyle="TableStyleMedium2" defaultPivotStyle="PivotStyleLight16"/>
  <colors>
    <mruColors>
      <color rgb="FFB00000"/>
      <color rgb="FF3A0000"/>
      <color rgb="FF680000"/>
      <color rgb="FFFF8585"/>
      <color rgb="FFEADBF5"/>
      <color rgb="FFFFCBCB"/>
      <color rgb="FFFF6969"/>
      <color rgb="FFEE1B16"/>
      <color rgb="FFFFA3A3"/>
      <color rgb="FFD5B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0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0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0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0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0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0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0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0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0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0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1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1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1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1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1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1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1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1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1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19.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2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21.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2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2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24.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25.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26.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27.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28.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29.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30.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7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8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8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8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8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8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9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9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9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9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9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9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9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9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9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9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827346214582285"/>
          <c:y val="0.20708336352551077"/>
          <c:w val="0.61063795046184777"/>
          <c:h val="0.6561827699714331"/>
        </c:manualLayout>
      </c:layout>
      <c:doughnutChart>
        <c:varyColors val="1"/>
        <c:ser>
          <c:idx val="1"/>
          <c:order val="0"/>
          <c:tx>
            <c:strRef>
              <c:f>M_A0!$Q$96:$Q$100</c:f>
              <c:strCache>
                <c:ptCount val="5"/>
                <c:pt idx="0">
                  <c:v>Bosque</c:v>
                </c:pt>
                <c:pt idx="1">
                  <c:v>Garriga/Matorral (arbustivas)/Prado</c:v>
                </c:pt>
                <c:pt idx="2">
                  <c:v>Cultivo</c:v>
                </c:pt>
                <c:pt idx="3">
                  <c:v>Marismas y humedales</c:v>
                </c:pt>
                <c:pt idx="4">
                  <c:v>Otras tierras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E5E4-4054-B0B0-80F6377AF7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E5E4-4054-B0B0-80F6377AF7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E5E4-4054-B0B0-80F6377AF75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E5E4-4054-B0B0-80F6377AF75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E5E4-4054-B0B0-80F6377AF75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784-4775-8F52-010373D56861}"/>
              </c:ext>
            </c:extLst>
          </c:dPt>
          <c:cat>
            <c:strRef>
              <c:f>M_A0!$Q$96:$Q$101</c:f>
              <c:strCache>
                <c:ptCount val="6"/>
                <c:pt idx="0">
                  <c:v>Bosque</c:v>
                </c:pt>
                <c:pt idx="1">
                  <c:v>Garriga/Matorral (arbustivas)/Prado</c:v>
                </c:pt>
                <c:pt idx="2">
                  <c:v>Cultivo</c:v>
                </c:pt>
                <c:pt idx="3">
                  <c:v>Marismas y humedales</c:v>
                </c:pt>
                <c:pt idx="4">
                  <c:v>Otras tierras</c:v>
                </c:pt>
                <c:pt idx="5">
                  <c:v>Asentamientos</c:v>
                </c:pt>
              </c:strCache>
            </c:strRef>
          </c:cat>
          <c:val>
            <c:numRef>
              <c:f>M_A0!$S$96:$S$101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5045-46B0-AE43-372ABAAAC9F2}"/>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2.8739915115776902E-3"/>
          <c:y val="0.17777839928445457"/>
          <c:w val="0.4126302248015235"/>
          <c:h val="0.66605014513557304"/>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E3-4E92-93CF-F15A151BEC2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E3-4E92-93CF-F15A151BEC2C}"/>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2809429195182379"/>
                      <c:h val="0.17837894926609721"/>
                    </c:manualLayout>
                  </c15:layout>
                </c:ext>
                <c:ext xmlns:c16="http://schemas.microsoft.com/office/drawing/2014/chart" uri="{C3380CC4-5D6E-409C-BE32-E72D297353CC}">
                  <c16:uniqueId val="{00000001-46E3-4E92-93CF-F15A151BEC2C}"/>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6111282818619636"/>
                      <c:h val="0.23287743836365257"/>
                    </c:manualLayout>
                  </c15:layout>
                </c:ext>
                <c:ext xmlns:c16="http://schemas.microsoft.com/office/drawing/2014/chart" uri="{C3380CC4-5D6E-409C-BE32-E72D297353CC}">
                  <c16:uniqueId val="{00000003-46E3-4E92-93CF-F15A151BEC2C}"/>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(M_A0!$D$11,M_A0!$G$11)</c:f>
              <c:strCache>
                <c:ptCount val="2"/>
                <c:pt idx="0">
                  <c:v>Vivienda Unifamiliar</c:v>
                </c:pt>
                <c:pt idx="1">
                  <c:v>Vivienda Plurifamiliar</c:v>
                </c:pt>
              </c:strCache>
            </c:strRef>
          </c:cat>
          <c:val>
            <c:numRef>
              <c:f>(M_A0!$F$22,M_A0!$I$22)</c:f>
              <c:numCache>
                <c:formatCode>_-* #,##0.0\ _€_-;\-* #,##0.0\ _€_-;_-* "-"??\ _€_-;_-@_-</c:formatCode>
                <c:ptCount val="2"/>
                <c:pt idx="0">
                  <c:v>#N/A</c:v>
                </c:pt>
                <c:pt idx="1">
                  <c:v>#N/A</c:v>
                </c:pt>
              </c:numCache>
            </c:numRef>
          </c:val>
          <c:extLst>
            <c:ext xmlns:c16="http://schemas.microsoft.com/office/drawing/2014/chart" uri="{C3380CC4-5D6E-409C-BE32-E72D297353CC}">
              <c16:uniqueId val="{00000004-46E3-4E92-93CF-F15A151BEC2C}"/>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8657070980932"/>
          <c:y val="0.13235299630343103"/>
          <c:w val="0.69471348261255683"/>
          <c:h val="0.82351767584734736"/>
        </c:manualLayout>
      </c:layout>
      <c:barChart>
        <c:barDir val="col"/>
        <c:grouping val="clustered"/>
        <c:varyColors val="0"/>
        <c:ser>
          <c:idx val="0"/>
          <c:order val="0"/>
          <c:tx>
            <c:strRef>
              <c:f>'M_Nuevos Desarrollos'!$D$18:$E$18</c:f>
              <c:strCache>
                <c:ptCount val="1"/>
                <c:pt idx="0">
                  <c:v>Alternativa 1</c:v>
                </c:pt>
              </c:strCache>
            </c:strRef>
          </c:tx>
          <c:spPr>
            <a:solidFill>
              <a:srgbClr val="FF8585"/>
            </a:solidFill>
            <a:ln w="19050">
              <a:solidFill>
                <a:schemeClr val="lt1"/>
              </a:solidFill>
            </a:ln>
            <a:effectLst/>
          </c:spPr>
          <c:invertIfNegative val="0"/>
          <c:dPt>
            <c:idx val="1"/>
            <c:invertIfNegative val="0"/>
            <c:bubble3D val="0"/>
            <c:spPr>
              <a:solidFill>
                <a:srgbClr val="FF8585"/>
              </a:solidFill>
              <a:ln w="19050">
                <a:solidFill>
                  <a:schemeClr val="lt1"/>
                </a:solidFill>
              </a:ln>
              <a:effectLst/>
            </c:spPr>
            <c:extLst>
              <c:ext xmlns:c16="http://schemas.microsoft.com/office/drawing/2014/chart" uri="{C3380CC4-5D6E-409C-BE32-E72D297353CC}">
                <c16:uniqueId val="{00000001-B267-462D-99BC-9F7DD6685568}"/>
              </c:ext>
            </c:extLst>
          </c:dPt>
          <c:dPt>
            <c:idx val="2"/>
            <c:invertIfNegative val="0"/>
            <c:bubble3D val="0"/>
            <c:spPr>
              <a:solidFill>
                <a:srgbClr val="FF8585"/>
              </a:solidFill>
              <a:ln w="19050">
                <a:solidFill>
                  <a:schemeClr val="lt1"/>
                </a:solidFill>
              </a:ln>
              <a:effectLst/>
            </c:spPr>
            <c:extLst>
              <c:ext xmlns:c16="http://schemas.microsoft.com/office/drawing/2014/chart" uri="{C3380CC4-5D6E-409C-BE32-E72D297353CC}">
                <c16:uniqueId val="{00000003-B267-462D-99BC-9F7DD6685568}"/>
              </c:ext>
            </c:extLst>
          </c:dPt>
          <c:dPt>
            <c:idx val="3"/>
            <c:invertIfNegative val="0"/>
            <c:bubble3D val="0"/>
            <c:spPr>
              <a:solidFill>
                <a:srgbClr val="FF8585"/>
              </a:solidFill>
              <a:ln w="19050">
                <a:solidFill>
                  <a:schemeClr val="lt1"/>
                </a:solidFill>
              </a:ln>
              <a:effectLst/>
            </c:spPr>
            <c:extLst>
              <c:ext xmlns:c16="http://schemas.microsoft.com/office/drawing/2014/chart" uri="{C3380CC4-5D6E-409C-BE32-E72D297353CC}">
                <c16:uniqueId val="{00000005-B267-462D-99BC-9F7DD6685568}"/>
              </c:ext>
            </c:extLst>
          </c:dPt>
          <c:val>
            <c:numRef>
              <c:f>'M_Nuevos Desarrollos'!$D$24</c:f>
              <c:numCache>
                <c:formatCode>#,##0.0</c:formatCode>
                <c:ptCount val="1"/>
                <c:pt idx="0">
                  <c:v>#N/A</c:v>
                </c:pt>
              </c:numCache>
            </c:numRef>
          </c:val>
          <c:extLst>
            <c:ext xmlns:c16="http://schemas.microsoft.com/office/drawing/2014/chart" uri="{C3380CC4-5D6E-409C-BE32-E72D297353CC}">
              <c16:uniqueId val="{00000006-B267-462D-99BC-9F7DD6685568}"/>
            </c:ext>
          </c:extLst>
        </c:ser>
        <c:ser>
          <c:idx val="1"/>
          <c:order val="1"/>
          <c:tx>
            <c:strRef>
              <c:f>'M_Nuevos Desarrollos'!$F$18:$G$18</c:f>
              <c:strCache>
                <c:ptCount val="1"/>
                <c:pt idx="0">
                  <c:v>Alternativa 2</c:v>
                </c:pt>
              </c:strCache>
            </c:strRef>
          </c:tx>
          <c:spPr>
            <a:solidFill>
              <a:srgbClr val="B00000"/>
            </a:solidFill>
            <a:ln w="19050">
              <a:solidFill>
                <a:schemeClr val="lt1"/>
              </a:solidFill>
            </a:ln>
            <a:effectLst/>
          </c:spPr>
          <c:invertIfNegative val="0"/>
          <c:val>
            <c:numRef>
              <c:f>'M_Nuevos Desarrollos'!$F$24</c:f>
              <c:numCache>
                <c:formatCode>#,##0.0</c:formatCode>
                <c:ptCount val="1"/>
                <c:pt idx="0">
                  <c:v>#N/A</c:v>
                </c:pt>
              </c:numCache>
            </c:numRef>
          </c:val>
          <c:extLst>
            <c:ext xmlns:c16="http://schemas.microsoft.com/office/drawing/2014/chart" uri="{C3380CC4-5D6E-409C-BE32-E72D297353CC}">
              <c16:uniqueId val="{00000007-B267-462D-99BC-9F7DD6685568}"/>
            </c:ext>
          </c:extLst>
        </c:ser>
        <c:ser>
          <c:idx val="2"/>
          <c:order val="2"/>
          <c:tx>
            <c:strRef>
              <c:f>'M_Nuevos Desarrollos'!$H$18</c:f>
              <c:strCache>
                <c:ptCount val="1"/>
                <c:pt idx="0">
                  <c:v>Alternativa 3</c:v>
                </c:pt>
              </c:strCache>
            </c:strRef>
          </c:tx>
          <c:spPr>
            <a:solidFill>
              <a:srgbClr val="680000"/>
            </a:solidFill>
            <a:ln w="19050">
              <a:solidFill>
                <a:schemeClr val="lt1"/>
              </a:solidFill>
            </a:ln>
            <a:effectLst/>
          </c:spPr>
          <c:invertIfNegative val="0"/>
          <c:val>
            <c:numRef>
              <c:f>'M_Nuevos Desarrollos'!$H$24</c:f>
              <c:numCache>
                <c:formatCode>#,##0.0</c:formatCode>
                <c:ptCount val="1"/>
                <c:pt idx="0">
                  <c:v>#N/A</c:v>
                </c:pt>
              </c:numCache>
            </c:numRef>
          </c:val>
          <c:extLst>
            <c:ext xmlns:c16="http://schemas.microsoft.com/office/drawing/2014/chart" uri="{C3380CC4-5D6E-409C-BE32-E72D297353CC}">
              <c16:uniqueId val="{00000008-B267-462D-99BC-9F7DD6685568}"/>
            </c:ext>
          </c:extLst>
        </c:ser>
        <c:ser>
          <c:idx val="3"/>
          <c:order val="3"/>
          <c:tx>
            <c:strRef>
              <c:f>'M_Nuevos Desarrollos'!$J$18</c:f>
              <c:strCache>
                <c:ptCount val="1"/>
                <c:pt idx="0">
                  <c:v>Alternativa 4</c:v>
                </c:pt>
              </c:strCache>
            </c:strRef>
          </c:tx>
          <c:spPr>
            <a:solidFill>
              <a:srgbClr val="3A0000"/>
            </a:solidFill>
            <a:ln w="19050">
              <a:solidFill>
                <a:schemeClr val="lt1"/>
              </a:solidFill>
            </a:ln>
            <a:effectLst/>
          </c:spPr>
          <c:invertIfNegative val="0"/>
          <c:val>
            <c:numRef>
              <c:f>'M_Nuevos Desarrollos'!$J$24</c:f>
              <c:numCache>
                <c:formatCode>#,##0.0</c:formatCode>
                <c:ptCount val="1"/>
                <c:pt idx="0">
                  <c:v>#N/A</c:v>
                </c:pt>
              </c:numCache>
            </c:numRef>
          </c:val>
          <c:extLst>
            <c:ext xmlns:c16="http://schemas.microsoft.com/office/drawing/2014/chart" uri="{C3380CC4-5D6E-409C-BE32-E72D297353CC}">
              <c16:uniqueId val="{00000009-B267-462D-99BC-9F7DD6685568}"/>
            </c:ext>
          </c:extLst>
        </c:ser>
        <c:dLbls>
          <c:showLegendKey val="0"/>
          <c:showVal val="0"/>
          <c:showCatName val="0"/>
          <c:showSerName val="0"/>
          <c:showPercent val="0"/>
          <c:showBubbleSize val="0"/>
        </c:dLbls>
        <c:gapWidth val="100"/>
        <c:axId val="705767256"/>
        <c:axId val="705763648"/>
      </c:barChart>
      <c:valAx>
        <c:axId val="705763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05767256"/>
        <c:crosses val="autoZero"/>
        <c:crossBetween val="between"/>
      </c:valAx>
      <c:catAx>
        <c:axId val="705767256"/>
        <c:scaling>
          <c:orientation val="minMax"/>
        </c:scaling>
        <c:delete val="1"/>
        <c:axPos val="b"/>
        <c:majorTickMark val="out"/>
        <c:minorTickMark val="none"/>
        <c:tickLblPos val="nextTo"/>
        <c:crossAx val="70576364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 Alternativa 1</a:t>
            </a:r>
          </a:p>
        </c:rich>
      </c:tx>
      <c:layout>
        <c:manualLayout>
          <c:xMode val="edge"/>
          <c:yMode val="edge"/>
          <c:x val="0.57998514753554387"/>
          <c:y val="3.950603678016468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43980823410419378"/>
          <c:y val="0.1538642369935595"/>
          <c:w val="0.75995272491967536"/>
          <c:h val="0.79925965326130521"/>
        </c:manualLayout>
      </c:layout>
      <c:doughnutChart>
        <c:varyColors val="1"/>
        <c:ser>
          <c:idx val="2"/>
          <c:order val="0"/>
          <c:tx>
            <c:v>Alternativa 1</c:v>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9428-4612-8B70-BD90E97D3AA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E6C-4EFE-911E-20803AD73B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E6C-4EFE-911E-20803AD73B8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E6C-4EFE-911E-20803AD73B8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'M_Nuevos Desarrollos'!$C$20:$C$23</c:f>
              <c:strCache>
                <c:ptCount val="4"/>
                <c:pt idx="0">
                  <c:v>Residencial</c:v>
                </c:pt>
                <c:pt idx="1">
                  <c:v>Industrial</c:v>
                </c:pt>
                <c:pt idx="2">
                  <c:v>Usos terciarios</c:v>
                </c:pt>
                <c:pt idx="3">
                  <c:v>Equipamientos</c:v>
                </c:pt>
              </c:strCache>
            </c:strRef>
          </c:cat>
          <c:val>
            <c:numRef>
              <c:f>'M_Nuevos Desarrollos'!$D$20:$D$23</c:f>
              <c:numCache>
                <c:formatCode>#,##0.00</c:formatCode>
                <c:ptCount val="4"/>
                <c:pt idx="0">
                  <c:v>#N/A</c:v>
                </c:pt>
                <c:pt idx="1">
                  <c:v>0</c:v>
                </c:pt>
                <c:pt idx="2">
                  <c:v>0</c:v>
                </c:pt>
                <c:pt idx="3">
                  <c:v>#N/A</c:v>
                </c:pt>
              </c:numCache>
            </c:numRef>
          </c:val>
          <c:extLst xmlns:c15="http://schemas.microsoft.com/office/drawing/2012/chart">
            <c:ext xmlns:c16="http://schemas.microsoft.com/office/drawing/2014/chart" uri="{C3380CC4-5D6E-409C-BE32-E72D297353CC}">
              <c16:uniqueId val="{00000002-9428-4612-8B70-BD90E97D3AA2}"/>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0"/>
          <c:tx>
            <c:strRef>
              <c:f>'M_Nuevos Desarrollos'!$F$18:$G$18</c:f>
              <c:strCache>
                <c:ptCount val="1"/>
                <c:pt idx="0">
                  <c:v>Alternativa 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3E29-4013-A851-F6AF2946A98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105-4FE1-A981-27269FF741B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105-4FE1-A981-27269FF741B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105-4FE1-A981-27269FF741B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'M_Nuevos Desarrollos'!$C$20:$C$23</c:f>
              <c:strCache>
                <c:ptCount val="4"/>
                <c:pt idx="0">
                  <c:v>Residencial</c:v>
                </c:pt>
                <c:pt idx="1">
                  <c:v>Industrial</c:v>
                </c:pt>
                <c:pt idx="2">
                  <c:v>Usos terciarios</c:v>
                </c:pt>
                <c:pt idx="3">
                  <c:v>Equipamientos</c:v>
                </c:pt>
              </c:strCache>
            </c:strRef>
          </c:cat>
          <c:val>
            <c:numRef>
              <c:f>'M_Nuevos Desarrollos'!$F$20:$F$23</c:f>
              <c:numCache>
                <c:formatCode>#,##0.00</c:formatCode>
                <c:ptCount val="4"/>
                <c:pt idx="0">
                  <c:v>#N/A</c:v>
                </c:pt>
                <c:pt idx="1">
                  <c:v>0</c:v>
                </c:pt>
                <c:pt idx="2">
                  <c:v>0</c:v>
                </c:pt>
                <c:pt idx="3">
                  <c:v>#N/A</c:v>
                </c:pt>
              </c:numCache>
            </c:numRef>
          </c:val>
          <c:extLst xmlns:c15="http://schemas.microsoft.com/office/drawing/2012/chart">
            <c:ext xmlns:c16="http://schemas.microsoft.com/office/drawing/2014/chart" uri="{C3380CC4-5D6E-409C-BE32-E72D297353CC}">
              <c16:uniqueId val="{0000000C-3E29-4013-A851-F6AF2946A981}"/>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3</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2384093268800568"/>
          <c:y val="0.14365829216802359"/>
          <c:w val="0.75995272491967536"/>
          <c:h val="0.79925965326130521"/>
        </c:manualLayout>
      </c:layout>
      <c:doughnutChart>
        <c:varyColors val="1"/>
        <c:ser>
          <c:idx val="2"/>
          <c:order val="0"/>
          <c:tx>
            <c:strRef>
              <c:f>'M_Nuevos Desarrollos'!$H$18</c:f>
              <c:strCache>
                <c:ptCount val="1"/>
                <c:pt idx="0">
                  <c:v>Alternativa 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D52-48D9-B185-BAEF358FC7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FE-46E5-A453-B8D6743DE76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FE-46E5-A453-B8D6743DE76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FE-46E5-A453-B8D6743DE7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'M_Nuevos Desarrollos'!$C$20:$C$23</c:f>
              <c:strCache>
                <c:ptCount val="4"/>
                <c:pt idx="0">
                  <c:v>Residencial</c:v>
                </c:pt>
                <c:pt idx="1">
                  <c:v>Industrial</c:v>
                </c:pt>
                <c:pt idx="2">
                  <c:v>Usos terciarios</c:v>
                </c:pt>
                <c:pt idx="3">
                  <c:v>Equipamientos</c:v>
                </c:pt>
              </c:strCache>
            </c:strRef>
          </c:cat>
          <c:val>
            <c:numRef>
              <c:f>'M_Nuevos Desarrollos'!$H$20:$H$23</c:f>
              <c:numCache>
                <c:formatCode>#,##0.00</c:formatCode>
                <c:ptCount val="4"/>
                <c:pt idx="0">
                  <c:v>#N/A</c:v>
                </c:pt>
                <c:pt idx="1">
                  <c:v>0</c:v>
                </c:pt>
                <c:pt idx="2">
                  <c:v>0</c:v>
                </c:pt>
                <c:pt idx="3">
                  <c:v>#N/A</c:v>
                </c:pt>
              </c:numCache>
            </c:numRef>
          </c:val>
          <c:extLst>
            <c:ext xmlns:c16="http://schemas.microsoft.com/office/drawing/2014/chart" uri="{C3380CC4-5D6E-409C-BE32-E72D297353CC}">
              <c16:uniqueId val="{0000000C-CD52-48D9-B185-BAEF358FC722}"/>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'M_Nuevos Desarrollos'!$C$20</c:f>
              <c:strCache>
                <c:ptCount val="1"/>
                <c:pt idx="0">
                  <c:v>Residencial</c:v>
                </c:pt>
              </c:strCache>
            </c:strRef>
          </c:tx>
          <c:spPr>
            <a:solidFill>
              <a:schemeClr val="accent1"/>
            </a:solidFill>
            <a:ln>
              <a:noFill/>
            </a:ln>
            <a:effectLst/>
          </c:spPr>
          <c:invertIfNegative val="0"/>
          <c:cat>
            <c:strRef>
              <c:f>M_Lista!$I$4:$I$7</c:f>
              <c:strCache>
                <c:ptCount val="4"/>
                <c:pt idx="0">
                  <c:v>Alternativa 1</c:v>
                </c:pt>
                <c:pt idx="1">
                  <c:v>Alternativa 2</c:v>
                </c:pt>
                <c:pt idx="2">
                  <c:v>Alternativa 3</c:v>
                </c:pt>
                <c:pt idx="3">
                  <c:v>Alternativa 4</c:v>
                </c:pt>
              </c:strCache>
            </c:strRef>
          </c:cat>
          <c:val>
            <c:numRef>
              <c:f>('M_Nuevos Desarrollos'!$D$20,'M_Nuevos Desarrollos'!$F$20,'M_Nuevos Desarrollos'!$H$20,'M_Nuevos Desarrollos'!$J$20)</c:f>
              <c:numCache>
                <c:formatCode>#,##0.00</c:formatCode>
                <c:ptCount val="4"/>
                <c:pt idx="0">
                  <c:v>#N/A</c:v>
                </c:pt>
                <c:pt idx="1">
                  <c:v>#N/A</c:v>
                </c:pt>
                <c:pt idx="2">
                  <c:v>#N/A</c:v>
                </c:pt>
                <c:pt idx="3">
                  <c:v>#N/A</c:v>
                </c:pt>
              </c:numCache>
            </c:numRef>
          </c:val>
          <c:extLst>
            <c:ext xmlns:c16="http://schemas.microsoft.com/office/drawing/2014/chart" uri="{C3380CC4-5D6E-409C-BE32-E72D297353CC}">
              <c16:uniqueId val="{00000000-4C77-4677-890B-F2DCAECE07E7}"/>
            </c:ext>
          </c:extLst>
        </c:ser>
        <c:ser>
          <c:idx val="1"/>
          <c:order val="1"/>
          <c:tx>
            <c:strRef>
              <c:f>'M_Nuevos Desarrollos'!$C$21</c:f>
              <c:strCache>
                <c:ptCount val="1"/>
                <c:pt idx="0">
                  <c:v>Industrial</c:v>
                </c:pt>
              </c:strCache>
            </c:strRef>
          </c:tx>
          <c:spPr>
            <a:solidFill>
              <a:schemeClr val="accent2"/>
            </a:solidFill>
            <a:ln>
              <a:noFill/>
            </a:ln>
            <a:effectLst/>
          </c:spPr>
          <c:invertIfNegative val="0"/>
          <c:cat>
            <c:strRef>
              <c:f>M_Lista!$I$4:$I$7</c:f>
              <c:strCache>
                <c:ptCount val="4"/>
                <c:pt idx="0">
                  <c:v>Alternativa 1</c:v>
                </c:pt>
                <c:pt idx="1">
                  <c:v>Alternativa 2</c:v>
                </c:pt>
                <c:pt idx="2">
                  <c:v>Alternativa 3</c:v>
                </c:pt>
                <c:pt idx="3">
                  <c:v>Alternativa 4</c:v>
                </c:pt>
              </c:strCache>
            </c:strRef>
          </c:cat>
          <c:val>
            <c:numRef>
              <c:f>('M_Nuevos Desarrollos'!$D$21,'M_Nuevos Desarrollos'!$F$21,'M_Nuevos Desarrollos'!$H$21,'M_Nuevos Desarrollos'!$J$21)</c:f>
              <c:numCache>
                <c:formatCode>#,##0.00</c:formatCode>
                <c:ptCount val="4"/>
                <c:pt idx="0">
                  <c:v>0</c:v>
                </c:pt>
                <c:pt idx="1">
                  <c:v>0</c:v>
                </c:pt>
                <c:pt idx="2">
                  <c:v>0</c:v>
                </c:pt>
                <c:pt idx="3">
                  <c:v>0</c:v>
                </c:pt>
              </c:numCache>
            </c:numRef>
          </c:val>
          <c:extLst>
            <c:ext xmlns:c16="http://schemas.microsoft.com/office/drawing/2014/chart" uri="{C3380CC4-5D6E-409C-BE32-E72D297353CC}">
              <c16:uniqueId val="{00000001-4C77-4677-890B-F2DCAECE07E7}"/>
            </c:ext>
          </c:extLst>
        </c:ser>
        <c:ser>
          <c:idx val="2"/>
          <c:order val="2"/>
          <c:tx>
            <c:strRef>
              <c:f>'M_Nuevos Desarrollos'!$C$22</c:f>
              <c:strCache>
                <c:ptCount val="1"/>
                <c:pt idx="0">
                  <c:v>Usos terciarios</c:v>
                </c:pt>
              </c:strCache>
            </c:strRef>
          </c:tx>
          <c:spPr>
            <a:solidFill>
              <a:schemeClr val="accent3"/>
            </a:solidFill>
            <a:ln>
              <a:noFill/>
            </a:ln>
            <a:effectLst/>
          </c:spPr>
          <c:invertIfNegative val="0"/>
          <c:cat>
            <c:strRef>
              <c:f>M_Lista!$I$4:$I$7</c:f>
              <c:strCache>
                <c:ptCount val="4"/>
                <c:pt idx="0">
                  <c:v>Alternativa 1</c:v>
                </c:pt>
                <c:pt idx="1">
                  <c:v>Alternativa 2</c:v>
                </c:pt>
                <c:pt idx="2">
                  <c:v>Alternativa 3</c:v>
                </c:pt>
                <c:pt idx="3">
                  <c:v>Alternativa 4</c:v>
                </c:pt>
              </c:strCache>
            </c:strRef>
          </c:cat>
          <c:val>
            <c:numRef>
              <c:f>('M_Nuevos Desarrollos'!$D$22,'M_Nuevos Desarrollos'!$F$22,'M_Nuevos Desarrollos'!$H$22,'M_Nuevos Desarrollos'!$J$22)</c:f>
              <c:numCache>
                <c:formatCode>#,##0.00</c:formatCode>
                <c:ptCount val="4"/>
                <c:pt idx="0">
                  <c:v>0</c:v>
                </c:pt>
                <c:pt idx="1">
                  <c:v>0</c:v>
                </c:pt>
                <c:pt idx="2">
                  <c:v>0</c:v>
                </c:pt>
                <c:pt idx="3">
                  <c:v>0</c:v>
                </c:pt>
              </c:numCache>
            </c:numRef>
          </c:val>
          <c:extLst>
            <c:ext xmlns:c16="http://schemas.microsoft.com/office/drawing/2014/chart" uri="{C3380CC4-5D6E-409C-BE32-E72D297353CC}">
              <c16:uniqueId val="{00000002-4C77-4677-890B-F2DCAECE07E7}"/>
            </c:ext>
          </c:extLst>
        </c:ser>
        <c:ser>
          <c:idx val="3"/>
          <c:order val="3"/>
          <c:tx>
            <c:strRef>
              <c:f>'M_Nuevos Desarrollos'!$C$23</c:f>
              <c:strCache>
                <c:ptCount val="1"/>
                <c:pt idx="0">
                  <c:v>Equipamientos</c:v>
                </c:pt>
              </c:strCache>
            </c:strRef>
          </c:tx>
          <c:spPr>
            <a:solidFill>
              <a:schemeClr val="accent4"/>
            </a:solidFill>
            <a:ln>
              <a:noFill/>
            </a:ln>
            <a:effectLst/>
          </c:spPr>
          <c:invertIfNegative val="0"/>
          <c:cat>
            <c:strRef>
              <c:f>M_Lista!$I$4:$I$7</c:f>
              <c:strCache>
                <c:ptCount val="4"/>
                <c:pt idx="0">
                  <c:v>Alternativa 1</c:v>
                </c:pt>
                <c:pt idx="1">
                  <c:v>Alternativa 2</c:v>
                </c:pt>
                <c:pt idx="2">
                  <c:v>Alternativa 3</c:v>
                </c:pt>
                <c:pt idx="3">
                  <c:v>Alternativa 4</c:v>
                </c:pt>
              </c:strCache>
            </c:strRef>
          </c:cat>
          <c:val>
            <c:numRef>
              <c:f>('M_Nuevos Desarrollos'!$D$23,'M_Nuevos Desarrollos'!$F$23,'M_Nuevos Desarrollos'!$H$23,'M_Nuevos Desarrollos'!$J$23)</c:f>
              <c:numCache>
                <c:formatCode>#,##0.00</c:formatCode>
                <c:ptCount val="4"/>
                <c:pt idx="0">
                  <c:v>#N/A</c:v>
                </c:pt>
                <c:pt idx="1">
                  <c:v>#N/A</c:v>
                </c:pt>
                <c:pt idx="2">
                  <c:v>#N/A</c:v>
                </c:pt>
                <c:pt idx="3">
                  <c:v>#N/A</c:v>
                </c:pt>
              </c:numCache>
            </c:numRef>
          </c:val>
          <c:extLst>
            <c:ext xmlns:c16="http://schemas.microsoft.com/office/drawing/2014/chart" uri="{C3380CC4-5D6E-409C-BE32-E72D297353CC}">
              <c16:uniqueId val="{00000003-4C77-4677-890B-F2DCAECE07E7}"/>
            </c:ext>
          </c:extLst>
        </c:ser>
        <c:ser>
          <c:idx val="4"/>
          <c:order val="4"/>
          <c:tx>
            <c:strRef>
              <c:f>'M_Nuevos Desarrollos'!$C$24</c:f>
              <c:strCache>
                <c:ptCount val="1"/>
                <c:pt idx="0">
                  <c:v>Total Demanda (MW/año)</c:v>
                </c:pt>
              </c:strCache>
            </c:strRef>
          </c:tx>
          <c:spPr>
            <a:solidFill>
              <a:schemeClr val="accent5"/>
            </a:solidFill>
            <a:ln>
              <a:noFill/>
            </a:ln>
            <a:effectLst/>
          </c:spPr>
          <c:invertIfNegative val="0"/>
          <c:cat>
            <c:strRef>
              <c:f>M_Lista!$I$4:$I$7</c:f>
              <c:strCache>
                <c:ptCount val="4"/>
                <c:pt idx="0">
                  <c:v>Alternativa 1</c:v>
                </c:pt>
                <c:pt idx="1">
                  <c:v>Alternativa 2</c:v>
                </c:pt>
                <c:pt idx="2">
                  <c:v>Alternativa 3</c:v>
                </c:pt>
                <c:pt idx="3">
                  <c:v>Alternativa 4</c:v>
                </c:pt>
              </c:strCache>
            </c:strRef>
          </c:cat>
          <c:val>
            <c:numRef>
              <c:f>('M_Nuevos Desarrollos'!$D$24,'M_Nuevos Desarrollos'!$F$24,'M_Nuevos Desarrollos'!$H$24,'M_Nuevos Desarrollos'!$J$24)</c:f>
              <c:numCache>
                <c:formatCode>#,##0.0</c:formatCode>
                <c:ptCount val="4"/>
                <c:pt idx="0">
                  <c:v>#N/A</c:v>
                </c:pt>
                <c:pt idx="1">
                  <c:v>#N/A</c:v>
                </c:pt>
                <c:pt idx="2">
                  <c:v>#N/A</c:v>
                </c:pt>
                <c:pt idx="3">
                  <c:v>#N/A</c:v>
                </c:pt>
              </c:numCache>
            </c:numRef>
          </c:val>
          <c:extLst>
            <c:ext xmlns:c16="http://schemas.microsoft.com/office/drawing/2014/chart" uri="{C3380CC4-5D6E-409C-BE32-E72D297353CC}">
              <c16:uniqueId val="{00000004-4C77-4677-890B-F2DCAECE07E7}"/>
            </c:ext>
          </c:extLst>
        </c:ser>
        <c:dLbls>
          <c:showLegendKey val="0"/>
          <c:showVal val="0"/>
          <c:showCatName val="0"/>
          <c:showSerName val="0"/>
          <c:showPercent val="0"/>
          <c:showBubbleSize val="0"/>
        </c:dLbls>
        <c:gapWidth val="150"/>
        <c:axId val="426588384"/>
        <c:axId val="426585760"/>
      </c:barChart>
      <c:catAx>
        <c:axId val="42658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26585760"/>
        <c:crosses val="autoZero"/>
        <c:auto val="1"/>
        <c:lblAlgn val="ctr"/>
        <c:lblOffset val="100"/>
        <c:noMultiLvlLbl val="0"/>
      </c:catAx>
      <c:valAx>
        <c:axId val="426585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26588384"/>
        <c:crosses val="autoZero"/>
        <c:crossBetween val="between"/>
      </c:valAx>
      <c:spPr>
        <a:noFill/>
        <a:ln>
          <a:noFill/>
        </a:ln>
        <a:effectLst/>
      </c:spPr>
    </c:plotArea>
    <c:legend>
      <c:legendPos val="b"/>
      <c:layout>
        <c:manualLayout>
          <c:xMode val="edge"/>
          <c:yMode val="edge"/>
          <c:x val="0.20890671332938859"/>
          <c:y val="0.92392706986955364"/>
          <c:w val="0.68067054061662902"/>
          <c:h val="5.611947771183653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 Alternativa 4</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0"/>
          <c:tx>
            <c:strRef>
              <c:f>'M_Nuevos Desarrollos'!$J$18</c:f>
              <c:strCache>
                <c:ptCount val="1"/>
                <c:pt idx="0">
                  <c:v>Alternativa 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D51-4D16-B7AB-C1E407A3147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D51-4D16-B7AB-C1E407A3147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D51-4D16-B7AB-C1E407A3147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D51-4D16-B7AB-C1E407A3147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D51-4D16-B7AB-C1E407A3147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D51-4D16-B7AB-C1E407A3147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'M_Nuevos Desarrollos'!$C$20:$C$23</c:f>
              <c:strCache>
                <c:ptCount val="4"/>
                <c:pt idx="0">
                  <c:v>Residencial</c:v>
                </c:pt>
                <c:pt idx="1">
                  <c:v>Industrial</c:v>
                </c:pt>
                <c:pt idx="2">
                  <c:v>Usos terciarios</c:v>
                </c:pt>
                <c:pt idx="3">
                  <c:v>Equipamientos</c:v>
                </c:pt>
              </c:strCache>
            </c:strRef>
          </c:cat>
          <c:val>
            <c:numRef>
              <c:f>'M_Nuevos Desarrollos'!$J$20:$J$23</c:f>
              <c:numCache>
                <c:formatCode>#,##0.00</c:formatCode>
                <c:ptCount val="4"/>
                <c:pt idx="0">
                  <c:v>#N/A</c:v>
                </c:pt>
                <c:pt idx="1">
                  <c:v>0</c:v>
                </c:pt>
                <c:pt idx="2">
                  <c:v>0</c:v>
                </c:pt>
                <c:pt idx="3">
                  <c:v>#N/A</c:v>
                </c:pt>
              </c:numCache>
            </c:numRef>
          </c:val>
          <c:extLst>
            <c:ext xmlns:c16="http://schemas.microsoft.com/office/drawing/2014/chart" uri="{C3380CC4-5D6E-409C-BE32-E72D297353CC}">
              <c16:uniqueId val="{0000000C-BD51-4D16-B7AB-C1E407A31479}"/>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B_Resultados!$D$8</c:f>
              <c:strCache>
                <c:ptCount val="1"/>
                <c:pt idx="0">
                  <c:v>Inundaciones fluviales</c:v>
                </c:pt>
              </c:strCache>
            </c:strRef>
          </c:tx>
          <c:spPr>
            <a:solidFill>
              <a:schemeClr val="accent1"/>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07-9433-4FD3-A51C-4B0841A011EE}"/>
              </c:ext>
            </c:extLst>
          </c:dPt>
          <c:dPt>
            <c:idx val="1"/>
            <c:invertIfNegative val="0"/>
            <c:bubble3D val="0"/>
            <c:spPr>
              <a:solidFill>
                <a:srgbClr val="FF8585"/>
              </a:solidFill>
              <a:ln>
                <a:noFill/>
              </a:ln>
              <a:effectLst/>
            </c:spPr>
            <c:extLst>
              <c:ext xmlns:c16="http://schemas.microsoft.com/office/drawing/2014/chart" uri="{C3380CC4-5D6E-409C-BE32-E72D297353CC}">
                <c16:uniqueId val="{00000001-C6FA-4F1F-9FF2-D9CEB2D36061}"/>
              </c:ext>
            </c:extLst>
          </c:dPt>
          <c:dPt>
            <c:idx val="2"/>
            <c:invertIfNegative val="0"/>
            <c:bubble3D val="0"/>
            <c:spPr>
              <a:solidFill>
                <a:srgbClr val="B00000"/>
              </a:solidFill>
              <a:ln>
                <a:noFill/>
              </a:ln>
              <a:effectLst/>
            </c:spPr>
            <c:extLst>
              <c:ext xmlns:c16="http://schemas.microsoft.com/office/drawing/2014/chart" uri="{C3380CC4-5D6E-409C-BE32-E72D297353CC}">
                <c16:uniqueId val="{00000003-C6FA-4F1F-9FF2-D9CEB2D36061}"/>
              </c:ext>
            </c:extLst>
          </c:dPt>
          <c:dPt>
            <c:idx val="3"/>
            <c:invertIfNegative val="0"/>
            <c:bubble3D val="0"/>
            <c:spPr>
              <a:solidFill>
                <a:srgbClr val="680000"/>
              </a:solidFill>
              <a:ln>
                <a:noFill/>
              </a:ln>
              <a:effectLst/>
            </c:spPr>
            <c:extLst>
              <c:ext xmlns:c16="http://schemas.microsoft.com/office/drawing/2014/chart" uri="{C3380CC4-5D6E-409C-BE32-E72D297353CC}">
                <c16:uniqueId val="{00000005-C6FA-4F1F-9FF2-D9CEB2D36061}"/>
              </c:ext>
            </c:extLst>
          </c:dPt>
          <c:dPt>
            <c:idx val="4"/>
            <c:invertIfNegative val="0"/>
            <c:bubble3D val="0"/>
            <c:spPr>
              <a:solidFill>
                <a:srgbClr val="3A0000"/>
              </a:solidFill>
              <a:ln>
                <a:noFill/>
              </a:ln>
              <a:effectLst/>
            </c:spPr>
            <c:extLst>
              <c:ext xmlns:c16="http://schemas.microsoft.com/office/drawing/2014/chart" uri="{C3380CC4-5D6E-409C-BE32-E72D297353CC}">
                <c16:uniqueId val="{00000008-BACA-4B23-8420-C11D628260D2}"/>
              </c:ext>
            </c:extLst>
          </c:dPt>
          <c:cat>
            <c:strRef>
              <c:f>B_Resultados!$E$7:$I$7</c:f>
              <c:strCache>
                <c:ptCount val="5"/>
                <c:pt idx="0">
                  <c:v>Actual (Alt 0)</c:v>
                </c:pt>
                <c:pt idx="1">
                  <c:v>Alternativa 1</c:v>
                </c:pt>
                <c:pt idx="2">
                  <c:v>Alternativa 2</c:v>
                </c:pt>
                <c:pt idx="3">
                  <c:v>Alternativa 3</c:v>
                </c:pt>
                <c:pt idx="4">
                  <c:v>Alternativa 4</c:v>
                </c:pt>
              </c:strCache>
            </c:strRef>
          </c:cat>
          <c:val>
            <c:numRef>
              <c:f>B_Resultados!$E$8:$I$8</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6-C6FA-4F1F-9FF2-D9CEB2D36061}"/>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t>Alternativa</a:t>
            </a:r>
            <a:r>
              <a:rPr lang="es-ES" b="1" baseline="0"/>
              <a:t> 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tx>
            <c:strRef>
              <c:f>B_Resultados!$D$5</c:f>
              <c:strCache>
                <c:ptCount val="1"/>
                <c:pt idx="0">
                  <c:v>ÍNDICE DE RIESGO</c:v>
                </c:pt>
              </c:strCache>
            </c:strRef>
          </c:tx>
          <c:spPr>
            <a:ln w="28575" cap="rnd">
              <a:solidFill>
                <a:schemeClr val="accent1"/>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B_Resultados!$E$8:$E$12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F927-4913-B072-390C849E617B}"/>
            </c:ext>
          </c:extLst>
        </c:ser>
        <c:ser>
          <c:idx val="1"/>
          <c:order val="1"/>
          <c:tx>
            <c:strRef>
              <c:f>B_Resultados!$L$5</c:f>
              <c:strCache>
                <c:ptCount val="1"/>
                <c:pt idx="0">
                  <c:v>ÍNDICE DE VULNERABILIDAD</c:v>
                </c:pt>
              </c:strCache>
            </c:strRef>
          </c:tx>
          <c:spPr>
            <a:ln w="28575" cap="rnd">
              <a:solidFill>
                <a:schemeClr val="accent2"/>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B_Resultados!$M$8:$M$12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E40E-427E-824B-E0DDE58F90D6}"/>
            </c:ext>
          </c:extLst>
        </c:ser>
        <c:dLbls>
          <c:showLegendKey val="0"/>
          <c:showVal val="0"/>
          <c:showCatName val="0"/>
          <c:showSerName val="0"/>
          <c:showPercent val="0"/>
          <c:showBubbleSize val="0"/>
        </c:dLbls>
        <c:axId val="1334967544"/>
        <c:axId val="1212798784"/>
      </c:radarChart>
      <c:catAx>
        <c:axId val="133496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12798784"/>
        <c:crosses val="autoZero"/>
        <c:auto val="1"/>
        <c:lblAlgn val="ctr"/>
        <c:lblOffset val="100"/>
        <c:noMultiLvlLbl val="0"/>
      </c:catAx>
      <c:valAx>
        <c:axId val="1212798784"/>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334967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t>Alternativa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tx>
            <c:strRef>
              <c:f>B_Resultados!$D$5</c:f>
              <c:strCache>
                <c:ptCount val="1"/>
                <c:pt idx="0">
                  <c:v>ÍNDICE DE RIESGO</c:v>
                </c:pt>
              </c:strCache>
            </c:strRef>
          </c:tx>
          <c:spPr>
            <a:ln w="28575" cap="rnd">
              <a:solidFill>
                <a:schemeClr val="accent1"/>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B_Resultados!$F$8:$F$12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87C4-470E-98AE-03E1DF94D7BE}"/>
            </c:ext>
          </c:extLst>
        </c:ser>
        <c:ser>
          <c:idx val="1"/>
          <c:order val="1"/>
          <c:tx>
            <c:strRef>
              <c:f>B_Resultados!$L$5</c:f>
              <c:strCache>
                <c:ptCount val="1"/>
                <c:pt idx="0">
                  <c:v>ÍNDICE DE VULNERABILIDAD</c:v>
                </c:pt>
              </c:strCache>
            </c:strRef>
          </c:tx>
          <c:spPr>
            <a:ln w="28575" cap="rnd">
              <a:solidFill>
                <a:schemeClr val="accent2"/>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B_Resultados!$N$8:$N$12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9ABD-4150-A51B-5E72C6B4F83B}"/>
            </c:ext>
          </c:extLst>
        </c:ser>
        <c:dLbls>
          <c:showLegendKey val="0"/>
          <c:showVal val="0"/>
          <c:showCatName val="0"/>
          <c:showSerName val="0"/>
          <c:showPercent val="0"/>
          <c:showBubbleSize val="0"/>
        </c:dLbls>
        <c:axId val="1334967544"/>
        <c:axId val="1212798784"/>
      </c:radarChart>
      <c:catAx>
        <c:axId val="133496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12798784"/>
        <c:crosses val="autoZero"/>
        <c:auto val="1"/>
        <c:lblAlgn val="ctr"/>
        <c:lblOffset val="100"/>
        <c:noMultiLvlLbl val="0"/>
      </c:catAx>
      <c:valAx>
        <c:axId val="1212798784"/>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334967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t>Alternativa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tx>
            <c:strRef>
              <c:f>B_Resultados!$D$5</c:f>
              <c:strCache>
                <c:ptCount val="1"/>
                <c:pt idx="0">
                  <c:v>ÍNDICE DE RIESGO</c:v>
                </c:pt>
              </c:strCache>
            </c:strRef>
          </c:tx>
          <c:spPr>
            <a:ln w="28575" cap="rnd">
              <a:solidFill>
                <a:schemeClr val="accent1"/>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B_Resultados!$G$8:$G$12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588D-4CE5-B159-9CBCC32C96D3}"/>
            </c:ext>
          </c:extLst>
        </c:ser>
        <c:ser>
          <c:idx val="1"/>
          <c:order val="1"/>
          <c:tx>
            <c:strRef>
              <c:f>B_Resultados!$L$5</c:f>
              <c:strCache>
                <c:ptCount val="1"/>
                <c:pt idx="0">
                  <c:v>ÍNDICE DE VULNERABILIDAD</c:v>
                </c:pt>
              </c:strCache>
            </c:strRef>
          </c:tx>
          <c:spPr>
            <a:ln w="28575" cap="rnd">
              <a:solidFill>
                <a:schemeClr val="accent2"/>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B_Resultados!$O$8:$O$12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30F8-4154-856B-FF933DDAECFA}"/>
            </c:ext>
          </c:extLst>
        </c:ser>
        <c:dLbls>
          <c:showLegendKey val="0"/>
          <c:showVal val="0"/>
          <c:showCatName val="0"/>
          <c:showSerName val="0"/>
          <c:showPercent val="0"/>
          <c:showBubbleSize val="0"/>
        </c:dLbls>
        <c:axId val="1334967544"/>
        <c:axId val="1212798784"/>
      </c:radarChart>
      <c:catAx>
        <c:axId val="133496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12798784"/>
        <c:crosses val="autoZero"/>
        <c:auto val="1"/>
        <c:lblAlgn val="ctr"/>
        <c:lblOffset val="100"/>
        <c:noMultiLvlLbl val="0"/>
      </c:catAx>
      <c:valAx>
        <c:axId val="1212798784"/>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334967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14954546073796701"/>
          <c:w val="0.48629109997613928"/>
          <c:h val="0.71859241714462541"/>
        </c:manualLayout>
      </c:layout>
      <c:barChart>
        <c:barDir val="col"/>
        <c:grouping val="clustered"/>
        <c:varyColors val="0"/>
        <c:ser>
          <c:idx val="0"/>
          <c:order val="0"/>
          <c:tx>
            <c:strRef>
              <c:f>M_A0!$C$13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(M_A0!$E$13,M_A0!$H$13)</c:f>
              <c:numCache>
                <c:formatCode>_-* #,##0.0\ _€_-;\-* #,##0.0\ _€_-;_-* "-"??\ _€_-;_-@_-</c:formatCode>
                <c:ptCount val="2"/>
                <c:pt idx="0">
                  <c:v>#N/A</c:v>
                </c:pt>
                <c:pt idx="1">
                  <c:v>#N/A</c:v>
                </c:pt>
              </c:numCache>
            </c:numRef>
          </c:val>
          <c:extLst>
            <c:ext xmlns:c16="http://schemas.microsoft.com/office/drawing/2014/chart" uri="{C3380CC4-5D6E-409C-BE32-E72D297353CC}">
              <c16:uniqueId val="{00000000-83AC-4302-A985-3D2065B568A7}"/>
            </c:ext>
          </c:extLst>
        </c:ser>
        <c:ser>
          <c:idx val="1"/>
          <c:order val="1"/>
          <c:tx>
            <c:strRef>
              <c:f>M_A0!$C$14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(M_A0!$E$14,M_A0!$H$14)</c:f>
              <c:numCache>
                <c:formatCode>_-* #,##0.0\ _€_-;\-* #,##0.0\ _€_-;_-* "-"??\ _€_-;_-@_-</c:formatCode>
                <c:ptCount val="2"/>
                <c:pt idx="0">
                  <c:v>#N/A</c:v>
                </c:pt>
                <c:pt idx="1">
                  <c:v>#N/A</c:v>
                </c:pt>
              </c:numCache>
            </c:numRef>
          </c:val>
          <c:extLst>
            <c:ext xmlns:c16="http://schemas.microsoft.com/office/drawing/2014/chart" uri="{C3380CC4-5D6E-409C-BE32-E72D297353CC}">
              <c16:uniqueId val="{00000001-83AC-4302-A985-3D2065B568A7}"/>
            </c:ext>
          </c:extLst>
        </c:ser>
        <c:ser>
          <c:idx val="2"/>
          <c:order val="2"/>
          <c:tx>
            <c:strRef>
              <c:f>M_A0!$C$15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(M_A0!$E$15,M_A0!$H$15)</c:f>
              <c:numCache>
                <c:formatCode>_-* #,##0.0\ _€_-;\-* #,##0.0\ _€_-;_-* "-"??\ _€_-;_-@_-</c:formatCode>
                <c:ptCount val="2"/>
                <c:pt idx="0">
                  <c:v>#N/A</c:v>
                </c:pt>
                <c:pt idx="1">
                  <c:v>#N/A</c:v>
                </c:pt>
              </c:numCache>
            </c:numRef>
          </c:val>
          <c:extLst>
            <c:ext xmlns:c16="http://schemas.microsoft.com/office/drawing/2014/chart" uri="{C3380CC4-5D6E-409C-BE32-E72D297353CC}">
              <c16:uniqueId val="{00000002-83AC-4302-A985-3D2065B568A7}"/>
            </c:ext>
          </c:extLst>
        </c:ser>
        <c:ser>
          <c:idx val="3"/>
          <c:order val="3"/>
          <c:tx>
            <c:strRef>
              <c:f>M_A0!$C$16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(M_A0!$E$16,M_A0!$H$16)</c:f>
              <c:numCache>
                <c:formatCode>_-* #,##0.0\ _€_-;\-* #,##0.0\ _€_-;_-* "-"??\ _€_-;_-@_-</c:formatCode>
                <c:ptCount val="2"/>
                <c:pt idx="0">
                  <c:v>#N/A</c:v>
                </c:pt>
                <c:pt idx="1">
                  <c:v>#N/A</c:v>
                </c:pt>
              </c:numCache>
            </c:numRef>
          </c:val>
          <c:extLst>
            <c:ext xmlns:c16="http://schemas.microsoft.com/office/drawing/2014/chart" uri="{C3380CC4-5D6E-409C-BE32-E72D297353CC}">
              <c16:uniqueId val="{00000003-83AC-4302-A985-3D2065B568A7}"/>
            </c:ext>
          </c:extLst>
        </c:ser>
        <c:ser>
          <c:idx val="4"/>
          <c:order val="4"/>
          <c:tx>
            <c:strRef>
              <c:f>M_A0!$C$17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(M_A0!$E$17,M_A0!$H$17)</c:f>
              <c:numCache>
                <c:formatCode>_-* #,##0.0\ _€_-;\-* #,##0.0\ _€_-;_-* "-"??\ _€_-;_-@_-</c:formatCode>
                <c:ptCount val="2"/>
                <c:pt idx="0">
                  <c:v>#N/A</c:v>
                </c:pt>
                <c:pt idx="1">
                  <c:v>#N/A</c:v>
                </c:pt>
              </c:numCache>
            </c:numRef>
          </c:val>
          <c:extLst>
            <c:ext xmlns:c16="http://schemas.microsoft.com/office/drawing/2014/chart" uri="{C3380CC4-5D6E-409C-BE32-E72D297353CC}">
              <c16:uniqueId val="{00000004-83AC-4302-A985-3D2065B568A7}"/>
            </c:ext>
          </c:extLst>
        </c:ser>
        <c:ser>
          <c:idx val="5"/>
          <c:order val="5"/>
          <c:tx>
            <c:strRef>
              <c:f>M_A0!$C$18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(M_A0!$E$18,M_A0!$H$18)</c:f>
              <c:numCache>
                <c:formatCode>_-* #,##0.0\ _€_-;\-* #,##0.0\ _€_-;_-* "-"??\ _€_-;_-@_-</c:formatCode>
                <c:ptCount val="2"/>
                <c:pt idx="0">
                  <c:v>#N/A</c:v>
                </c:pt>
                <c:pt idx="1">
                  <c:v>#N/A</c:v>
                </c:pt>
              </c:numCache>
            </c:numRef>
          </c:val>
          <c:extLst>
            <c:ext xmlns:c16="http://schemas.microsoft.com/office/drawing/2014/chart" uri="{C3380CC4-5D6E-409C-BE32-E72D297353CC}">
              <c16:uniqueId val="{00000005-83AC-4302-A985-3D2065B568A7}"/>
            </c:ext>
          </c:extLst>
        </c:ser>
        <c:ser>
          <c:idx val="6"/>
          <c:order val="6"/>
          <c:tx>
            <c:strRef>
              <c:f>M_A0!$C$19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(M_A0!$E$19,M_A0!$H$19)</c:f>
              <c:numCache>
                <c:formatCode>_-* #,##0.0\ _€_-;\-* #,##0.0\ _€_-;_-* "-"??\ _€_-;_-@_-</c:formatCode>
                <c:ptCount val="2"/>
                <c:pt idx="0">
                  <c:v>#N/A</c:v>
                </c:pt>
                <c:pt idx="1">
                  <c:v>#N/A</c:v>
                </c:pt>
              </c:numCache>
            </c:numRef>
          </c:val>
          <c:extLst>
            <c:ext xmlns:c16="http://schemas.microsoft.com/office/drawing/2014/chart" uri="{C3380CC4-5D6E-409C-BE32-E72D297353CC}">
              <c16:uniqueId val="{00000006-83AC-4302-A985-3D2065B568A7}"/>
            </c:ext>
          </c:extLst>
        </c:ser>
        <c:ser>
          <c:idx val="7"/>
          <c:order val="7"/>
          <c:tx>
            <c:strRef>
              <c:f>M_A0!$C$20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(M_A0!$E$20,M_A0!$H$20)</c:f>
              <c:numCache>
                <c:formatCode>_-* #,##0.0\ _€_-;\-* #,##0.0\ _€_-;_-* "-"??\ _€_-;_-@_-</c:formatCode>
                <c:ptCount val="2"/>
                <c:pt idx="0">
                  <c:v>#N/A</c:v>
                </c:pt>
                <c:pt idx="1">
                  <c:v>#N/A</c:v>
                </c:pt>
              </c:numCache>
            </c:numRef>
          </c:val>
          <c:extLst>
            <c:ext xmlns:c16="http://schemas.microsoft.com/office/drawing/2014/chart" uri="{C3380CC4-5D6E-409C-BE32-E72D297353CC}">
              <c16:uniqueId val="{00000007-83AC-4302-A985-3D2065B568A7}"/>
            </c:ext>
          </c:extLst>
        </c:ser>
        <c:ser>
          <c:idx val="8"/>
          <c:order val="8"/>
          <c:tx>
            <c:strRef>
              <c:f>M_A0!$C$21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(M_A0!$E$21,M_A0!$H$21)</c:f>
              <c:numCache>
                <c:formatCode>_-* #,##0.0\ _€_-;\-* #,##0.0\ _€_-;_-* "-"??\ _€_-;_-@_-</c:formatCode>
                <c:ptCount val="2"/>
                <c:pt idx="0">
                  <c:v>#N/A</c:v>
                </c:pt>
                <c:pt idx="1">
                  <c:v>#N/A</c:v>
                </c:pt>
              </c:numCache>
            </c:numRef>
          </c:val>
          <c:extLst>
            <c:ext xmlns:c16="http://schemas.microsoft.com/office/drawing/2014/chart" uri="{C3380CC4-5D6E-409C-BE32-E72D297353CC}">
              <c16:uniqueId val="{00000008-83AC-4302-A985-3D2065B568A7}"/>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layout>
        <c:manualLayout>
          <c:xMode val="edge"/>
          <c:yMode val="edge"/>
          <c:x val="0.73370006357028306"/>
          <c:y val="0.16478370055227184"/>
          <c:w val="0.25184869665747756"/>
          <c:h val="0.67043227452575527"/>
        </c:manualLayout>
      </c:layout>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t>Alternativa 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tx>
            <c:strRef>
              <c:f>B_Resultados!$D$5</c:f>
              <c:strCache>
                <c:ptCount val="1"/>
                <c:pt idx="0">
                  <c:v>ÍNDICE DE RIESGO</c:v>
                </c:pt>
              </c:strCache>
            </c:strRef>
          </c:tx>
          <c:spPr>
            <a:ln w="28575" cap="rnd">
              <a:solidFill>
                <a:schemeClr val="accent1"/>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B_Resultados!$I$8:$I$12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F345-49C8-82C6-BB235413F079}"/>
            </c:ext>
          </c:extLst>
        </c:ser>
        <c:ser>
          <c:idx val="1"/>
          <c:order val="1"/>
          <c:tx>
            <c:strRef>
              <c:f>B_Resultados!$L$5</c:f>
              <c:strCache>
                <c:ptCount val="1"/>
                <c:pt idx="0">
                  <c:v>ÍNDICE DE VULNERABILIDAD</c:v>
                </c:pt>
              </c:strCache>
            </c:strRef>
          </c:tx>
          <c:spPr>
            <a:ln w="28575" cap="rnd">
              <a:solidFill>
                <a:schemeClr val="accent2"/>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B_Resultados!$Q$8:$Q$12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04D9-44D9-92B8-148BE6C7CB82}"/>
            </c:ext>
          </c:extLst>
        </c:ser>
        <c:dLbls>
          <c:showLegendKey val="0"/>
          <c:showVal val="0"/>
          <c:showCatName val="0"/>
          <c:showSerName val="0"/>
          <c:showPercent val="0"/>
          <c:showBubbleSize val="0"/>
        </c:dLbls>
        <c:axId val="1334967544"/>
        <c:axId val="1212798784"/>
      </c:radarChart>
      <c:catAx>
        <c:axId val="133496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12798784"/>
        <c:crosses val="autoZero"/>
        <c:auto val="1"/>
        <c:lblAlgn val="ctr"/>
        <c:lblOffset val="100"/>
        <c:noMultiLvlLbl val="0"/>
      </c:catAx>
      <c:valAx>
        <c:axId val="1212798784"/>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334967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t>Alternativa 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tx>
            <c:strRef>
              <c:f>B_Resultados!$D$5</c:f>
              <c:strCache>
                <c:ptCount val="1"/>
                <c:pt idx="0">
                  <c:v>ÍNDICE DE RIESGO</c:v>
                </c:pt>
              </c:strCache>
            </c:strRef>
          </c:tx>
          <c:spPr>
            <a:ln w="28575" cap="rnd">
              <a:solidFill>
                <a:schemeClr val="accent1"/>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B_Resultados!$H$8:$H$12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EA85-4AD7-81DF-11F64D1BF66F}"/>
            </c:ext>
          </c:extLst>
        </c:ser>
        <c:ser>
          <c:idx val="1"/>
          <c:order val="1"/>
          <c:tx>
            <c:strRef>
              <c:f>B_Resultados!$L$5</c:f>
              <c:strCache>
                <c:ptCount val="1"/>
                <c:pt idx="0">
                  <c:v>ÍNDICE DE VULNERABILIDAD</c:v>
                </c:pt>
              </c:strCache>
            </c:strRef>
          </c:tx>
          <c:spPr>
            <a:ln w="28575" cap="rnd">
              <a:solidFill>
                <a:schemeClr val="accent2"/>
              </a:solidFill>
              <a:round/>
            </a:ln>
            <a:effectLst/>
          </c:spPr>
          <c:marker>
            <c:symbol val="none"/>
          </c:marker>
          <c:cat>
            <c:strRef>
              <c:f>B_Resultados!$L$8:$L$12</c:f>
              <c:strCache>
                <c:ptCount val="5"/>
                <c:pt idx="0">
                  <c:v>Inundaciones fluviales</c:v>
                </c:pt>
                <c:pt idx="1">
                  <c:v>Inundaciones costeras</c:v>
                </c:pt>
                <c:pt idx="2">
                  <c:v>Deslizamientos</c:v>
                </c:pt>
                <c:pt idx="3">
                  <c:v>Olas de Calor</c:v>
                </c:pt>
                <c:pt idx="4">
                  <c:v>Sequías y estés hídrico</c:v>
                </c:pt>
              </c:strCache>
            </c:strRef>
          </c:cat>
          <c:val>
            <c:numRef>
              <c:f>B_Resultados!$P$8:$P$12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3479-4BD4-AE41-881D13A875FD}"/>
            </c:ext>
          </c:extLst>
        </c:ser>
        <c:dLbls>
          <c:showLegendKey val="0"/>
          <c:showVal val="0"/>
          <c:showCatName val="0"/>
          <c:showSerName val="0"/>
          <c:showPercent val="0"/>
          <c:showBubbleSize val="0"/>
        </c:dLbls>
        <c:axId val="1334967544"/>
        <c:axId val="1212798784"/>
      </c:radarChart>
      <c:catAx>
        <c:axId val="133496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12798784"/>
        <c:crosses val="autoZero"/>
        <c:auto val="1"/>
        <c:lblAlgn val="ctr"/>
        <c:lblOffset val="100"/>
        <c:noMultiLvlLbl val="0"/>
      </c:catAx>
      <c:valAx>
        <c:axId val="1212798784"/>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334967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B_Resultados!$D$9</c:f>
              <c:strCache>
                <c:ptCount val="1"/>
                <c:pt idx="0">
                  <c:v>Inundaciones costeras</c:v>
                </c:pt>
              </c:strCache>
            </c:strRef>
          </c:tx>
          <c:spPr>
            <a:solidFill>
              <a:schemeClr val="accent1"/>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06-8629-44B7-B6CB-6BFD0BB60E69}"/>
              </c:ext>
            </c:extLst>
          </c:dPt>
          <c:dPt>
            <c:idx val="1"/>
            <c:invertIfNegative val="0"/>
            <c:bubble3D val="0"/>
            <c:spPr>
              <a:solidFill>
                <a:srgbClr val="FF8585"/>
              </a:solidFill>
              <a:ln>
                <a:solidFill>
                  <a:schemeClr val="accent2"/>
                </a:solidFill>
              </a:ln>
              <a:effectLst/>
            </c:spPr>
            <c:extLst>
              <c:ext xmlns:c16="http://schemas.microsoft.com/office/drawing/2014/chart" uri="{C3380CC4-5D6E-409C-BE32-E72D297353CC}">
                <c16:uniqueId val="{00000000-F27B-42C3-BAF6-09D3C92301F9}"/>
              </c:ext>
            </c:extLst>
          </c:dPt>
          <c:dPt>
            <c:idx val="2"/>
            <c:invertIfNegative val="0"/>
            <c:bubble3D val="0"/>
            <c:spPr>
              <a:solidFill>
                <a:srgbClr val="B00000"/>
              </a:solidFill>
              <a:ln>
                <a:noFill/>
              </a:ln>
              <a:effectLst/>
            </c:spPr>
            <c:extLst>
              <c:ext xmlns:c16="http://schemas.microsoft.com/office/drawing/2014/chart" uri="{C3380CC4-5D6E-409C-BE32-E72D297353CC}">
                <c16:uniqueId val="{00000001-F27B-42C3-BAF6-09D3C92301F9}"/>
              </c:ext>
            </c:extLst>
          </c:dPt>
          <c:dPt>
            <c:idx val="3"/>
            <c:invertIfNegative val="0"/>
            <c:bubble3D val="0"/>
            <c:spPr>
              <a:solidFill>
                <a:srgbClr val="680000"/>
              </a:solidFill>
              <a:ln>
                <a:noFill/>
              </a:ln>
              <a:effectLst/>
            </c:spPr>
            <c:extLst>
              <c:ext xmlns:c16="http://schemas.microsoft.com/office/drawing/2014/chart" uri="{C3380CC4-5D6E-409C-BE32-E72D297353CC}">
                <c16:uniqueId val="{00000002-F27B-42C3-BAF6-09D3C92301F9}"/>
              </c:ext>
            </c:extLst>
          </c:dPt>
          <c:dPt>
            <c:idx val="4"/>
            <c:invertIfNegative val="0"/>
            <c:bubble3D val="0"/>
            <c:spPr>
              <a:solidFill>
                <a:srgbClr val="3A0000"/>
              </a:solidFill>
              <a:ln>
                <a:noFill/>
              </a:ln>
              <a:effectLst/>
            </c:spPr>
            <c:extLst>
              <c:ext xmlns:c16="http://schemas.microsoft.com/office/drawing/2014/chart" uri="{C3380CC4-5D6E-409C-BE32-E72D297353CC}">
                <c16:uniqueId val="{00000007-8629-44B7-B6CB-6BFD0BB60E69}"/>
              </c:ext>
            </c:extLst>
          </c:dPt>
          <c:cat>
            <c:strRef>
              <c:f>B_Resultados!$E$7:$I$7</c:f>
              <c:strCache>
                <c:ptCount val="5"/>
                <c:pt idx="0">
                  <c:v>Actual (Alt 0)</c:v>
                </c:pt>
                <c:pt idx="1">
                  <c:v>Alternativa 1</c:v>
                </c:pt>
                <c:pt idx="2">
                  <c:v>Alternativa 2</c:v>
                </c:pt>
                <c:pt idx="3">
                  <c:v>Alternativa 3</c:v>
                </c:pt>
                <c:pt idx="4">
                  <c:v>Alternativa 4</c:v>
                </c:pt>
              </c:strCache>
            </c:strRef>
          </c:cat>
          <c:val>
            <c:numRef>
              <c:f>B_Resultados!$E$9:$I$9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6-58FD-40D7-9CEB-B6FDBA36E017}"/>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solidFill>
            <a:srgbClr val="FFFFFF"/>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B_Resultados!$D$10</c:f>
              <c:strCache>
                <c:ptCount val="1"/>
                <c:pt idx="0">
                  <c:v>Deslizamientos</c:v>
                </c:pt>
              </c:strCache>
            </c:strRef>
          </c:tx>
          <c:spPr>
            <a:solidFill>
              <a:schemeClr val="accent1"/>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06-8072-4BC5-BCDD-D0CDA59BB71C}"/>
              </c:ext>
            </c:extLst>
          </c:dPt>
          <c:dPt>
            <c:idx val="1"/>
            <c:invertIfNegative val="0"/>
            <c:bubble3D val="0"/>
            <c:spPr>
              <a:solidFill>
                <a:srgbClr val="FF8585"/>
              </a:solidFill>
              <a:ln>
                <a:noFill/>
              </a:ln>
              <a:effectLst/>
            </c:spPr>
            <c:extLst>
              <c:ext xmlns:c16="http://schemas.microsoft.com/office/drawing/2014/chart" uri="{C3380CC4-5D6E-409C-BE32-E72D297353CC}">
                <c16:uniqueId val="{00000000-404B-47A9-8899-4998CC813C47}"/>
              </c:ext>
            </c:extLst>
          </c:dPt>
          <c:dPt>
            <c:idx val="2"/>
            <c:invertIfNegative val="0"/>
            <c:bubble3D val="0"/>
            <c:spPr>
              <a:solidFill>
                <a:srgbClr val="B00000"/>
              </a:solidFill>
              <a:ln>
                <a:noFill/>
              </a:ln>
              <a:effectLst/>
            </c:spPr>
            <c:extLst>
              <c:ext xmlns:c16="http://schemas.microsoft.com/office/drawing/2014/chart" uri="{C3380CC4-5D6E-409C-BE32-E72D297353CC}">
                <c16:uniqueId val="{00000001-404B-47A9-8899-4998CC813C47}"/>
              </c:ext>
            </c:extLst>
          </c:dPt>
          <c:dPt>
            <c:idx val="3"/>
            <c:invertIfNegative val="0"/>
            <c:bubble3D val="0"/>
            <c:spPr>
              <a:solidFill>
                <a:srgbClr val="680000"/>
              </a:solidFill>
              <a:ln>
                <a:noFill/>
              </a:ln>
              <a:effectLst/>
            </c:spPr>
            <c:extLst>
              <c:ext xmlns:c16="http://schemas.microsoft.com/office/drawing/2014/chart" uri="{C3380CC4-5D6E-409C-BE32-E72D297353CC}">
                <c16:uniqueId val="{00000002-404B-47A9-8899-4998CC813C47}"/>
              </c:ext>
            </c:extLst>
          </c:dPt>
          <c:dPt>
            <c:idx val="4"/>
            <c:invertIfNegative val="0"/>
            <c:bubble3D val="0"/>
            <c:spPr>
              <a:solidFill>
                <a:srgbClr val="3A0000"/>
              </a:solidFill>
              <a:ln>
                <a:noFill/>
              </a:ln>
              <a:effectLst/>
            </c:spPr>
            <c:extLst>
              <c:ext xmlns:c16="http://schemas.microsoft.com/office/drawing/2014/chart" uri="{C3380CC4-5D6E-409C-BE32-E72D297353CC}">
                <c16:uniqueId val="{00000008-68AC-4309-B9A2-5BB8FA97C26D}"/>
              </c:ext>
            </c:extLst>
          </c:dPt>
          <c:cat>
            <c:strRef>
              <c:f>B_Resultados!$E$7:$I$7</c:f>
              <c:strCache>
                <c:ptCount val="5"/>
                <c:pt idx="0">
                  <c:v>Actual (Alt 0)</c:v>
                </c:pt>
                <c:pt idx="1">
                  <c:v>Alternativa 1</c:v>
                </c:pt>
                <c:pt idx="2">
                  <c:v>Alternativa 2</c:v>
                </c:pt>
                <c:pt idx="3">
                  <c:v>Alternativa 3</c:v>
                </c:pt>
                <c:pt idx="4">
                  <c:v>Alternativa 4</c:v>
                </c:pt>
              </c:strCache>
            </c:strRef>
          </c:cat>
          <c:val>
            <c:numRef>
              <c:f>B_Resultados!$E$10:$I$10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FEC2-4C08-A878-1C77962A6AB3}"/>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5295343379725058E-2"/>
          <c:y val="0.1911131831746691"/>
          <c:w val="0.8977908945175106"/>
          <c:h val="0.72625605247342062"/>
        </c:manualLayout>
      </c:layout>
      <c:barChart>
        <c:barDir val="col"/>
        <c:grouping val="clustered"/>
        <c:varyColors val="0"/>
        <c:ser>
          <c:idx val="0"/>
          <c:order val="0"/>
          <c:tx>
            <c:strRef>
              <c:f>B_Resultados!$D$11</c:f>
              <c:strCache>
                <c:ptCount val="1"/>
                <c:pt idx="0">
                  <c:v>Olas de Calor</c:v>
                </c:pt>
              </c:strCache>
            </c:strRef>
          </c:tx>
          <c:spPr>
            <a:solidFill>
              <a:schemeClr val="accent1"/>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06-BA44-4A96-8824-EC7C524B1AD8}"/>
              </c:ext>
            </c:extLst>
          </c:dPt>
          <c:dPt>
            <c:idx val="1"/>
            <c:invertIfNegative val="0"/>
            <c:bubble3D val="0"/>
            <c:spPr>
              <a:solidFill>
                <a:srgbClr val="FF8585"/>
              </a:solidFill>
              <a:ln>
                <a:noFill/>
              </a:ln>
              <a:effectLst/>
            </c:spPr>
            <c:extLst>
              <c:ext xmlns:c16="http://schemas.microsoft.com/office/drawing/2014/chart" uri="{C3380CC4-5D6E-409C-BE32-E72D297353CC}">
                <c16:uniqueId val="{00000000-C4FA-498F-AACB-2E54ACE8C2BA}"/>
              </c:ext>
            </c:extLst>
          </c:dPt>
          <c:dPt>
            <c:idx val="2"/>
            <c:invertIfNegative val="0"/>
            <c:bubble3D val="0"/>
            <c:spPr>
              <a:solidFill>
                <a:srgbClr val="B00000"/>
              </a:solidFill>
              <a:ln>
                <a:noFill/>
              </a:ln>
              <a:effectLst/>
            </c:spPr>
            <c:extLst>
              <c:ext xmlns:c16="http://schemas.microsoft.com/office/drawing/2014/chart" uri="{C3380CC4-5D6E-409C-BE32-E72D297353CC}">
                <c16:uniqueId val="{00000001-C4FA-498F-AACB-2E54ACE8C2BA}"/>
              </c:ext>
            </c:extLst>
          </c:dPt>
          <c:dPt>
            <c:idx val="3"/>
            <c:invertIfNegative val="0"/>
            <c:bubble3D val="0"/>
            <c:spPr>
              <a:solidFill>
                <a:srgbClr val="680000"/>
              </a:solidFill>
              <a:ln>
                <a:noFill/>
              </a:ln>
              <a:effectLst/>
            </c:spPr>
            <c:extLst>
              <c:ext xmlns:c16="http://schemas.microsoft.com/office/drawing/2014/chart" uri="{C3380CC4-5D6E-409C-BE32-E72D297353CC}">
                <c16:uniqueId val="{00000002-C4FA-498F-AACB-2E54ACE8C2BA}"/>
              </c:ext>
            </c:extLst>
          </c:dPt>
          <c:dPt>
            <c:idx val="4"/>
            <c:invertIfNegative val="0"/>
            <c:bubble3D val="0"/>
            <c:spPr>
              <a:solidFill>
                <a:srgbClr val="3A0000"/>
              </a:solidFill>
              <a:ln>
                <a:noFill/>
              </a:ln>
              <a:effectLst/>
            </c:spPr>
            <c:extLst>
              <c:ext xmlns:c16="http://schemas.microsoft.com/office/drawing/2014/chart" uri="{C3380CC4-5D6E-409C-BE32-E72D297353CC}">
                <c16:uniqueId val="{00000008-08BD-40A9-A94E-9E958BD05095}"/>
              </c:ext>
            </c:extLst>
          </c:dPt>
          <c:cat>
            <c:strRef>
              <c:f>B_Resultados!$E$7:$I$7</c:f>
              <c:strCache>
                <c:ptCount val="5"/>
                <c:pt idx="0">
                  <c:v>Actual (Alt 0)</c:v>
                </c:pt>
                <c:pt idx="1">
                  <c:v>Alternativa 1</c:v>
                </c:pt>
                <c:pt idx="2">
                  <c:v>Alternativa 2</c:v>
                </c:pt>
                <c:pt idx="3">
                  <c:v>Alternativa 3</c:v>
                </c:pt>
                <c:pt idx="4">
                  <c:v>Alternativa 4</c:v>
                </c:pt>
              </c:strCache>
            </c:strRef>
          </c:cat>
          <c:val>
            <c:numRef>
              <c:f>B_Resultados!$E$11:$I$11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6-1A2F-43B6-982C-73E47B2852F5}"/>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B_Resultados!$D$12</c:f>
              <c:strCache>
                <c:ptCount val="1"/>
                <c:pt idx="0">
                  <c:v>Sequías y estés hídrico</c:v>
                </c:pt>
              </c:strCache>
            </c:strRef>
          </c:tx>
          <c:spPr>
            <a:solidFill>
              <a:schemeClr val="accent1"/>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06-B300-4D1E-B42A-13EB9F509C32}"/>
              </c:ext>
            </c:extLst>
          </c:dPt>
          <c:dPt>
            <c:idx val="1"/>
            <c:invertIfNegative val="0"/>
            <c:bubble3D val="0"/>
            <c:spPr>
              <a:solidFill>
                <a:srgbClr val="FF8585"/>
              </a:solidFill>
              <a:ln>
                <a:noFill/>
              </a:ln>
              <a:effectLst/>
            </c:spPr>
            <c:extLst>
              <c:ext xmlns:c16="http://schemas.microsoft.com/office/drawing/2014/chart" uri="{C3380CC4-5D6E-409C-BE32-E72D297353CC}">
                <c16:uniqueId val="{00000000-4C7D-4C3B-832E-94C6F0A4AD80}"/>
              </c:ext>
            </c:extLst>
          </c:dPt>
          <c:dPt>
            <c:idx val="2"/>
            <c:invertIfNegative val="0"/>
            <c:bubble3D val="0"/>
            <c:spPr>
              <a:solidFill>
                <a:srgbClr val="B00000"/>
              </a:solidFill>
              <a:ln>
                <a:noFill/>
              </a:ln>
              <a:effectLst/>
            </c:spPr>
            <c:extLst>
              <c:ext xmlns:c16="http://schemas.microsoft.com/office/drawing/2014/chart" uri="{C3380CC4-5D6E-409C-BE32-E72D297353CC}">
                <c16:uniqueId val="{00000001-4C7D-4C3B-832E-94C6F0A4AD80}"/>
              </c:ext>
            </c:extLst>
          </c:dPt>
          <c:dPt>
            <c:idx val="3"/>
            <c:invertIfNegative val="0"/>
            <c:bubble3D val="0"/>
            <c:spPr>
              <a:solidFill>
                <a:srgbClr val="680000"/>
              </a:solidFill>
              <a:ln>
                <a:noFill/>
              </a:ln>
              <a:effectLst/>
            </c:spPr>
            <c:extLst>
              <c:ext xmlns:c16="http://schemas.microsoft.com/office/drawing/2014/chart" uri="{C3380CC4-5D6E-409C-BE32-E72D297353CC}">
                <c16:uniqueId val="{00000002-4C7D-4C3B-832E-94C6F0A4AD80}"/>
              </c:ext>
            </c:extLst>
          </c:dPt>
          <c:dPt>
            <c:idx val="4"/>
            <c:invertIfNegative val="0"/>
            <c:bubble3D val="0"/>
            <c:spPr>
              <a:solidFill>
                <a:srgbClr val="3A0000"/>
              </a:solidFill>
              <a:ln>
                <a:noFill/>
              </a:ln>
              <a:effectLst/>
            </c:spPr>
            <c:extLst>
              <c:ext xmlns:c16="http://schemas.microsoft.com/office/drawing/2014/chart" uri="{C3380CC4-5D6E-409C-BE32-E72D297353CC}">
                <c16:uniqueId val="{00000008-5B34-4315-86CC-CA7429F90F1E}"/>
              </c:ext>
            </c:extLst>
          </c:dPt>
          <c:cat>
            <c:strRef>
              <c:f>B_Resultados!$E$7:$I$7</c:f>
              <c:strCache>
                <c:ptCount val="5"/>
                <c:pt idx="0">
                  <c:v>Actual (Alt 0)</c:v>
                </c:pt>
                <c:pt idx="1">
                  <c:v>Alternativa 1</c:v>
                </c:pt>
                <c:pt idx="2">
                  <c:v>Alternativa 2</c:v>
                </c:pt>
                <c:pt idx="3">
                  <c:v>Alternativa 3</c:v>
                </c:pt>
                <c:pt idx="4">
                  <c:v>Alternativa 4</c:v>
                </c:pt>
              </c:strCache>
            </c:strRef>
          </c:cat>
          <c:val>
            <c:numRef>
              <c:f>B_Resultados!$E$12:$I$12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1AA5-4FB8-A055-EBA1A89B07F5}"/>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M_Resultados!$C$20</c:f>
              <c:strCache>
                <c:ptCount val="1"/>
                <c:pt idx="0">
                  <c:v>Emisiones energia</c:v>
                </c:pt>
              </c:strCache>
            </c:strRef>
          </c:tx>
          <c:spPr>
            <a:solidFill>
              <a:schemeClr val="bg1">
                <a:lumMod val="85000"/>
              </a:schemeClr>
            </a:solidFill>
            <a:ln>
              <a:noFill/>
            </a:ln>
            <a:effectLst/>
          </c:spPr>
          <c:invertIfNegative val="0"/>
          <c:cat>
            <c:strRef>
              <c:f>M_Resultados!$C$20:$C$25</c:f>
              <c:strCache>
                <c:ptCount val="6"/>
                <c:pt idx="0">
                  <c:v>Emisiones energia</c:v>
                </c:pt>
                <c:pt idx="1">
                  <c:v>Emisiones movilidad</c:v>
                </c:pt>
                <c:pt idx="2">
                  <c:v>Emisiones agua</c:v>
                </c:pt>
                <c:pt idx="3">
                  <c:v>Emisiones residuos</c:v>
                </c:pt>
                <c:pt idx="4">
                  <c:v>Sumideros de CO2</c:v>
                </c:pt>
                <c:pt idx="5">
                  <c:v>Cambio de usos del suelo</c:v>
                </c:pt>
              </c:strCache>
            </c:strRef>
          </c:cat>
          <c:val>
            <c:numRef>
              <c:f>M_Resultados!$E$20:$E$25</c:f>
              <c:numCache>
                <c:formatCode>#,##0.00</c:formatCode>
                <c:ptCount val="6"/>
                <c:pt idx="0">
                  <c:v>#N/A</c:v>
                </c:pt>
                <c:pt idx="1">
                  <c:v>0</c:v>
                </c:pt>
                <c:pt idx="2">
                  <c:v>0</c:v>
                </c:pt>
                <c:pt idx="3">
                  <c:v>0</c:v>
                </c:pt>
                <c:pt idx="4">
                  <c:v>0</c:v>
                </c:pt>
                <c:pt idx="5">
                  <c:v>0</c:v>
                </c:pt>
              </c:numCache>
            </c:numRef>
          </c:val>
          <c:extLst>
            <c:ext xmlns:c16="http://schemas.microsoft.com/office/drawing/2014/chart" uri="{C3380CC4-5D6E-409C-BE32-E72D297353CC}">
              <c16:uniqueId val="{00000000-D490-4642-B04E-BEBB42AAEEC2}"/>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t CO2e/año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M_Resultados!$C$20</c:f>
              <c:strCache>
                <c:ptCount val="1"/>
                <c:pt idx="0">
                  <c:v>Emisiones energia</c:v>
                </c:pt>
              </c:strCache>
            </c:strRef>
          </c:tx>
          <c:spPr>
            <a:solidFill>
              <a:srgbClr val="FF8585"/>
            </a:solidFill>
            <a:ln>
              <a:noFill/>
            </a:ln>
            <a:effectLst/>
          </c:spPr>
          <c:invertIfNegative val="0"/>
          <c:cat>
            <c:strRef>
              <c:f>M_Resultados!$C$20:$C$25</c:f>
              <c:strCache>
                <c:ptCount val="6"/>
                <c:pt idx="0">
                  <c:v>Emisiones energia</c:v>
                </c:pt>
                <c:pt idx="1">
                  <c:v>Emisiones movilidad</c:v>
                </c:pt>
                <c:pt idx="2">
                  <c:v>Emisiones agua</c:v>
                </c:pt>
                <c:pt idx="3">
                  <c:v>Emisiones residuos</c:v>
                </c:pt>
                <c:pt idx="4">
                  <c:v>Sumideros de CO2</c:v>
                </c:pt>
                <c:pt idx="5">
                  <c:v>Cambio de usos del suelo</c:v>
                </c:pt>
              </c:strCache>
            </c:strRef>
          </c:cat>
          <c:val>
            <c:numRef>
              <c:f>M_Resultados!$G$20:$G$25</c:f>
              <c:numCache>
                <c:formatCode>#,##0.00</c:formatCode>
                <c:ptCount val="6"/>
                <c:pt idx="0">
                  <c:v>#N/A</c:v>
                </c:pt>
                <c:pt idx="1">
                  <c:v>0</c:v>
                </c:pt>
                <c:pt idx="2">
                  <c:v>0</c:v>
                </c:pt>
                <c:pt idx="3">
                  <c:v>0</c:v>
                </c:pt>
                <c:pt idx="4">
                  <c:v>0</c:v>
                </c:pt>
                <c:pt idx="5">
                  <c:v>0</c:v>
                </c:pt>
              </c:numCache>
            </c:numRef>
          </c:val>
          <c:extLst>
            <c:ext xmlns:c16="http://schemas.microsoft.com/office/drawing/2014/chart" uri="{C3380CC4-5D6E-409C-BE32-E72D297353CC}">
              <c16:uniqueId val="{00000000-C7D0-499B-8812-084105998316}"/>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t CO2e/año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M_Resultados!$C$20</c:f>
              <c:strCache>
                <c:ptCount val="1"/>
                <c:pt idx="0">
                  <c:v>Emisiones energia</c:v>
                </c:pt>
              </c:strCache>
            </c:strRef>
          </c:tx>
          <c:spPr>
            <a:solidFill>
              <a:srgbClr val="B00000"/>
            </a:solidFill>
            <a:ln>
              <a:noFill/>
            </a:ln>
            <a:effectLst/>
          </c:spPr>
          <c:invertIfNegative val="0"/>
          <c:cat>
            <c:strRef>
              <c:f>M_Resultados!$C$20:$C$25</c:f>
              <c:strCache>
                <c:ptCount val="6"/>
                <c:pt idx="0">
                  <c:v>Emisiones energia</c:v>
                </c:pt>
                <c:pt idx="1">
                  <c:v>Emisiones movilidad</c:v>
                </c:pt>
                <c:pt idx="2">
                  <c:v>Emisiones agua</c:v>
                </c:pt>
                <c:pt idx="3">
                  <c:v>Emisiones residuos</c:v>
                </c:pt>
                <c:pt idx="4">
                  <c:v>Sumideros de CO2</c:v>
                </c:pt>
                <c:pt idx="5">
                  <c:v>Cambio de usos del suelo</c:v>
                </c:pt>
              </c:strCache>
            </c:strRef>
          </c:cat>
          <c:val>
            <c:numRef>
              <c:f>M_Resultados!$I$20:$I$25</c:f>
              <c:numCache>
                <c:formatCode>#,##0.00</c:formatCode>
                <c:ptCount val="6"/>
                <c:pt idx="0">
                  <c:v>#N/A</c:v>
                </c:pt>
                <c:pt idx="1">
                  <c:v>0</c:v>
                </c:pt>
                <c:pt idx="2">
                  <c:v>0</c:v>
                </c:pt>
                <c:pt idx="3">
                  <c:v>0</c:v>
                </c:pt>
                <c:pt idx="4">
                  <c:v>0</c:v>
                </c:pt>
                <c:pt idx="5">
                  <c:v>0</c:v>
                </c:pt>
              </c:numCache>
            </c:numRef>
          </c:val>
          <c:extLst>
            <c:ext xmlns:c16="http://schemas.microsoft.com/office/drawing/2014/chart" uri="{C3380CC4-5D6E-409C-BE32-E72D297353CC}">
              <c16:uniqueId val="{00000000-A5FD-47D5-9B07-09D80CE10EF9}"/>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t CO2e/año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3</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M_Resultados!$C$20</c:f>
              <c:strCache>
                <c:ptCount val="1"/>
                <c:pt idx="0">
                  <c:v>Emisiones energia</c:v>
                </c:pt>
              </c:strCache>
            </c:strRef>
          </c:tx>
          <c:spPr>
            <a:solidFill>
              <a:srgbClr val="680000"/>
            </a:solidFill>
            <a:ln>
              <a:noFill/>
            </a:ln>
            <a:effectLst/>
          </c:spPr>
          <c:invertIfNegative val="0"/>
          <c:cat>
            <c:strRef>
              <c:f>M_Resultados!$C$20:$C$25</c:f>
              <c:strCache>
                <c:ptCount val="6"/>
                <c:pt idx="0">
                  <c:v>Emisiones energia</c:v>
                </c:pt>
                <c:pt idx="1">
                  <c:v>Emisiones movilidad</c:v>
                </c:pt>
                <c:pt idx="2">
                  <c:v>Emisiones agua</c:v>
                </c:pt>
                <c:pt idx="3">
                  <c:v>Emisiones residuos</c:v>
                </c:pt>
                <c:pt idx="4">
                  <c:v>Sumideros de CO2</c:v>
                </c:pt>
                <c:pt idx="5">
                  <c:v>Cambio de usos del suelo</c:v>
                </c:pt>
              </c:strCache>
            </c:strRef>
          </c:cat>
          <c:val>
            <c:numRef>
              <c:f>M_Resultados!$K$20:$K$25</c:f>
              <c:numCache>
                <c:formatCode>#,##0.00</c:formatCode>
                <c:ptCount val="6"/>
                <c:pt idx="0">
                  <c:v>#N/A</c:v>
                </c:pt>
                <c:pt idx="1">
                  <c:v>0</c:v>
                </c:pt>
                <c:pt idx="2">
                  <c:v>0</c:v>
                </c:pt>
                <c:pt idx="3">
                  <c:v>0</c:v>
                </c:pt>
                <c:pt idx="4">
                  <c:v>0</c:v>
                </c:pt>
                <c:pt idx="5">
                  <c:v>0</c:v>
                </c:pt>
              </c:numCache>
            </c:numRef>
          </c:val>
          <c:extLst>
            <c:ext xmlns:c16="http://schemas.microsoft.com/office/drawing/2014/chart" uri="{C3380CC4-5D6E-409C-BE32-E72D297353CC}">
              <c16:uniqueId val="{00000000-FA77-48EA-A201-3437A9C28D61}"/>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t CO2e/año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131620722488018E-2"/>
          <c:y val="0.15774818024506868"/>
          <c:w val="0.52456924246092562"/>
          <c:h val="0.67324748701325177"/>
        </c:manualLayout>
      </c:layout>
      <c:doughnutChart>
        <c:varyColors val="1"/>
        <c:ser>
          <c:idx val="0"/>
          <c:order val="0"/>
          <c:tx>
            <c:v>Demanda asociadas a terciario</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M_A0!$C$38:$C$42</c:f>
              <c:strCache>
                <c:ptCount val="5"/>
                <c:pt idx="0">
                  <c:v>Sin especificar</c:v>
                </c:pt>
                <c:pt idx="1">
                  <c:v>Oficinas</c:v>
                </c:pt>
                <c:pt idx="2">
                  <c:v>Comercio</c:v>
                </c:pt>
                <c:pt idx="3">
                  <c:v>Hotel</c:v>
                </c:pt>
                <c:pt idx="4">
                  <c:v>Restauración</c:v>
                </c:pt>
              </c:strCache>
            </c:strRef>
          </c:cat>
          <c:val>
            <c:numRef>
              <c:f>M_A0!$E$38:$E$42</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FF9C-4770-AAA4-79855A28765F}"/>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M_Resultados!$C$20</c:f>
              <c:strCache>
                <c:ptCount val="1"/>
                <c:pt idx="0">
                  <c:v>Emisiones energia</c:v>
                </c:pt>
              </c:strCache>
            </c:strRef>
          </c:tx>
          <c:spPr>
            <a:solidFill>
              <a:srgbClr val="3A0000"/>
            </a:solidFill>
            <a:ln>
              <a:noFill/>
            </a:ln>
            <a:effectLst/>
          </c:spPr>
          <c:invertIfNegative val="0"/>
          <c:cat>
            <c:strRef>
              <c:f>M_Resultados!$C$20:$C$25</c:f>
              <c:strCache>
                <c:ptCount val="6"/>
                <c:pt idx="0">
                  <c:v>Emisiones energia</c:v>
                </c:pt>
                <c:pt idx="1">
                  <c:v>Emisiones movilidad</c:v>
                </c:pt>
                <c:pt idx="2">
                  <c:v>Emisiones agua</c:v>
                </c:pt>
                <c:pt idx="3">
                  <c:v>Emisiones residuos</c:v>
                </c:pt>
                <c:pt idx="4">
                  <c:v>Sumideros de CO2</c:v>
                </c:pt>
                <c:pt idx="5">
                  <c:v>Cambio de usos del suelo</c:v>
                </c:pt>
              </c:strCache>
            </c:strRef>
          </c:cat>
          <c:val>
            <c:numRef>
              <c:f>M_Resultados!$M$20:$M$25</c:f>
              <c:numCache>
                <c:formatCode>#,##0.00</c:formatCode>
                <c:ptCount val="6"/>
                <c:pt idx="0">
                  <c:v>#N/A</c:v>
                </c:pt>
                <c:pt idx="1">
                  <c:v>0</c:v>
                </c:pt>
                <c:pt idx="2">
                  <c:v>0</c:v>
                </c:pt>
                <c:pt idx="3">
                  <c:v>0</c:v>
                </c:pt>
                <c:pt idx="4">
                  <c:v>0</c:v>
                </c:pt>
                <c:pt idx="5">
                  <c:v>0</c:v>
                </c:pt>
              </c:numCache>
            </c:numRef>
          </c:val>
          <c:extLst>
            <c:ext xmlns:c16="http://schemas.microsoft.com/office/drawing/2014/chart" uri="{C3380CC4-5D6E-409C-BE32-E72D297353CC}">
              <c16:uniqueId val="{00000000-B05E-43E1-A786-9ED0FB31DCE7}"/>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t CO2e/año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Situación actual (Alternativa 0)</a:t>
            </a:r>
            <a:endParaRPr lang="en-US"/>
          </a:p>
        </c:rich>
      </c:tx>
      <c:layout>
        <c:manualLayout>
          <c:xMode val="edge"/>
          <c:yMode val="edge"/>
          <c:x val="0.27023792839262356"/>
          <c:y val="2.86796386717214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B_Resultados!$E$7</c:f>
              <c:strCache>
                <c:ptCount val="1"/>
                <c:pt idx="0">
                  <c:v>Actual (Alt 0)</c:v>
                </c:pt>
              </c:strCache>
            </c:strRef>
          </c:tx>
          <c:spPr>
            <a:solidFill>
              <a:schemeClr val="bg1">
                <a:lumMod val="85000"/>
              </a:schemeClr>
            </a:solidFill>
            <a:ln>
              <a:noFill/>
            </a:ln>
            <a:effectLst/>
          </c:spPr>
          <c:invertIfNegative val="0"/>
          <c:cat>
            <c:strRef>
              <c:f>B_Resultados!$D$8:$D$12</c:f>
              <c:strCache>
                <c:ptCount val="5"/>
                <c:pt idx="0">
                  <c:v>Inundaciones fluviales</c:v>
                </c:pt>
                <c:pt idx="1">
                  <c:v>Inundaciones costeras</c:v>
                </c:pt>
                <c:pt idx="2">
                  <c:v>Deslizamientos</c:v>
                </c:pt>
                <c:pt idx="3">
                  <c:v>Olas de Calor</c:v>
                </c:pt>
                <c:pt idx="4">
                  <c:v>Sequías y estés hídrico</c:v>
                </c:pt>
              </c:strCache>
            </c:strRef>
          </c:cat>
          <c:val>
            <c:numRef>
              <c:f>B_Resultados!$E$8:$E$12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EEE9-41E8-BC89-F7AA73A73790}"/>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Índice</a:t>
                </a:r>
                <a:r>
                  <a:rPr lang="es-ES" baseline="0"/>
                  <a:t> de riesgo</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M_Resultados!$E$87</c:f>
              <c:strCache>
                <c:ptCount val="1"/>
                <c:pt idx="0">
                  <c:v>Alternativa 0</c:v>
                </c:pt>
              </c:strCache>
            </c:strRef>
          </c:tx>
          <c:spPr>
            <a:solidFill>
              <a:schemeClr val="bg1">
                <a:lumMod val="85000"/>
              </a:schemeClr>
            </a:solidFill>
            <a:ln>
              <a:noFill/>
            </a:ln>
            <a:effectLst/>
          </c:spPr>
          <c:invertIfNegative val="0"/>
          <c:cat>
            <c:strRef>
              <c:f>M_Resultados!$C$89:$C$92</c:f>
              <c:strCache>
                <c:ptCount val="4"/>
                <c:pt idx="0">
                  <c:v>Residencial</c:v>
                </c:pt>
                <c:pt idx="1">
                  <c:v>Industrial</c:v>
                </c:pt>
                <c:pt idx="2">
                  <c:v>Usos terciarios</c:v>
                </c:pt>
                <c:pt idx="3">
                  <c:v>Equipamientos</c:v>
                </c:pt>
              </c:strCache>
            </c:strRef>
          </c:cat>
          <c:val>
            <c:numRef>
              <c:f>M_Resultados!$E$89:$E$92</c:f>
              <c:numCache>
                <c:formatCode>#,##0.00</c:formatCode>
                <c:ptCount val="4"/>
                <c:pt idx="0">
                  <c:v>#N/A</c:v>
                </c:pt>
                <c:pt idx="1">
                  <c:v>0</c:v>
                </c:pt>
                <c:pt idx="2">
                  <c:v>0</c:v>
                </c:pt>
                <c:pt idx="3">
                  <c:v>#N/A</c:v>
                </c:pt>
              </c:numCache>
            </c:numRef>
          </c:val>
          <c:extLst>
            <c:ext xmlns:c16="http://schemas.microsoft.com/office/drawing/2014/chart" uri="{C3380CC4-5D6E-409C-BE32-E72D297353CC}">
              <c16:uniqueId val="{00000000-045F-4215-9A79-5DCDDB99822B}"/>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MWh/año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1</a:t>
            </a:r>
            <a:endParaRPr lang="en-US"/>
          </a:p>
        </c:rich>
      </c:tx>
      <c:layout>
        <c:manualLayout>
          <c:xMode val="edge"/>
          <c:yMode val="edge"/>
          <c:x val="0.40090007825877522"/>
          <c:y val="2.14170979832232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B_Resultados!$F$7</c:f>
              <c:strCache>
                <c:ptCount val="1"/>
                <c:pt idx="0">
                  <c:v>Alternativa 1</c:v>
                </c:pt>
              </c:strCache>
            </c:strRef>
          </c:tx>
          <c:spPr>
            <a:solidFill>
              <a:srgbClr val="FF8585"/>
            </a:solidFill>
            <a:ln>
              <a:noFill/>
            </a:ln>
            <a:effectLst/>
          </c:spPr>
          <c:invertIfNegative val="0"/>
          <c:cat>
            <c:strRef>
              <c:f>B_Resultados!$D$8:$D$12</c:f>
              <c:strCache>
                <c:ptCount val="5"/>
                <c:pt idx="0">
                  <c:v>Inundaciones fluviales</c:v>
                </c:pt>
                <c:pt idx="1">
                  <c:v>Inundaciones costeras</c:v>
                </c:pt>
                <c:pt idx="2">
                  <c:v>Deslizamientos</c:v>
                </c:pt>
                <c:pt idx="3">
                  <c:v>Olas de Calor</c:v>
                </c:pt>
                <c:pt idx="4">
                  <c:v>Sequías y estés hídrico</c:v>
                </c:pt>
              </c:strCache>
            </c:strRef>
          </c:cat>
          <c:val>
            <c:numRef>
              <c:f>B_Resultados!$F$8:$F$12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660A-4E87-890A-9B12DC5A7865}"/>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índice de riesgo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2</a:t>
            </a:r>
            <a:endParaRPr lang="en-US"/>
          </a:p>
        </c:rich>
      </c:tx>
      <c:layout>
        <c:manualLayout>
          <c:xMode val="edge"/>
          <c:yMode val="edge"/>
          <c:x val="0.40090007825877522"/>
          <c:y val="2.14170979832232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B_Resultados!$G$7</c:f>
              <c:strCache>
                <c:ptCount val="1"/>
                <c:pt idx="0">
                  <c:v>Alternativa 2</c:v>
                </c:pt>
              </c:strCache>
            </c:strRef>
          </c:tx>
          <c:spPr>
            <a:solidFill>
              <a:srgbClr val="B00000"/>
            </a:solidFill>
            <a:ln>
              <a:noFill/>
            </a:ln>
            <a:effectLst/>
          </c:spPr>
          <c:invertIfNegative val="0"/>
          <c:cat>
            <c:strRef>
              <c:f>B_Resultados!$D$8:$D$12</c:f>
              <c:strCache>
                <c:ptCount val="5"/>
                <c:pt idx="0">
                  <c:v>Inundaciones fluviales</c:v>
                </c:pt>
                <c:pt idx="1">
                  <c:v>Inundaciones costeras</c:v>
                </c:pt>
                <c:pt idx="2">
                  <c:v>Deslizamientos</c:v>
                </c:pt>
                <c:pt idx="3">
                  <c:v>Olas de Calor</c:v>
                </c:pt>
                <c:pt idx="4">
                  <c:v>Sequías y estés hídrico</c:v>
                </c:pt>
              </c:strCache>
            </c:strRef>
          </c:cat>
          <c:val>
            <c:numRef>
              <c:f>B_Resultados!$G$8:$G$12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BB07-4DE8-918D-98BCEE83336D}"/>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Índice de riesgo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3</a:t>
            </a:r>
            <a:endParaRPr lang="en-US"/>
          </a:p>
        </c:rich>
      </c:tx>
      <c:layout>
        <c:manualLayout>
          <c:xMode val="edge"/>
          <c:yMode val="edge"/>
          <c:x val="0.40090007825877522"/>
          <c:y val="2.14170979832232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B_Resultados!$H$7</c:f>
              <c:strCache>
                <c:ptCount val="1"/>
                <c:pt idx="0">
                  <c:v>Alternativa 3</c:v>
                </c:pt>
              </c:strCache>
            </c:strRef>
          </c:tx>
          <c:spPr>
            <a:solidFill>
              <a:srgbClr val="680000"/>
            </a:solidFill>
            <a:ln>
              <a:noFill/>
            </a:ln>
            <a:effectLst/>
          </c:spPr>
          <c:invertIfNegative val="0"/>
          <c:cat>
            <c:strRef>
              <c:f>B_Resultados!$D$8:$D$12</c:f>
              <c:strCache>
                <c:ptCount val="5"/>
                <c:pt idx="0">
                  <c:v>Inundaciones fluviales</c:v>
                </c:pt>
                <c:pt idx="1">
                  <c:v>Inundaciones costeras</c:v>
                </c:pt>
                <c:pt idx="2">
                  <c:v>Deslizamientos</c:v>
                </c:pt>
                <c:pt idx="3">
                  <c:v>Olas de Calor</c:v>
                </c:pt>
                <c:pt idx="4">
                  <c:v>Sequías y estés hídrico</c:v>
                </c:pt>
              </c:strCache>
            </c:strRef>
          </c:cat>
          <c:val>
            <c:numRef>
              <c:f>B_Resultados!$H$8:$H$12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FD8F-4D76-8285-FCF7757A218A}"/>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Índice</a:t>
                </a:r>
                <a:r>
                  <a:rPr lang="es-ES" baseline="0"/>
                  <a:t> de riesgo</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4</a:t>
            </a:r>
            <a:endParaRPr lang="en-US"/>
          </a:p>
        </c:rich>
      </c:tx>
      <c:layout>
        <c:manualLayout>
          <c:xMode val="edge"/>
          <c:yMode val="edge"/>
          <c:x val="0.40090007825877522"/>
          <c:y val="2.14170979832232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B_Resultados!$I$7</c:f>
              <c:strCache>
                <c:ptCount val="1"/>
                <c:pt idx="0">
                  <c:v>Alternativa 4</c:v>
                </c:pt>
              </c:strCache>
            </c:strRef>
          </c:tx>
          <c:spPr>
            <a:solidFill>
              <a:srgbClr val="3A0000"/>
            </a:solidFill>
            <a:ln>
              <a:noFill/>
            </a:ln>
            <a:effectLst/>
          </c:spPr>
          <c:invertIfNegative val="0"/>
          <c:cat>
            <c:strRef>
              <c:f>B_Resultados!$D$8:$D$12</c:f>
              <c:strCache>
                <c:ptCount val="5"/>
                <c:pt idx="0">
                  <c:v>Inundaciones fluviales</c:v>
                </c:pt>
                <c:pt idx="1">
                  <c:v>Inundaciones costeras</c:v>
                </c:pt>
                <c:pt idx="2">
                  <c:v>Deslizamientos</c:v>
                </c:pt>
                <c:pt idx="3">
                  <c:v>Olas de Calor</c:v>
                </c:pt>
                <c:pt idx="4">
                  <c:v>Sequías y estés hídrico</c:v>
                </c:pt>
              </c:strCache>
            </c:strRef>
          </c:cat>
          <c:val>
            <c:numRef>
              <c:f>B_Resultados!$I$8:$I$12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8494-4ED2-BEDE-20510A6E8553}"/>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Índice</a:t>
                </a:r>
                <a:r>
                  <a:rPr lang="es-ES" baseline="0"/>
                  <a:t> de riesgo</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M_Resultados!$G$87</c:f>
              <c:strCache>
                <c:ptCount val="1"/>
                <c:pt idx="0">
                  <c:v>Alternativa 1</c:v>
                </c:pt>
              </c:strCache>
            </c:strRef>
          </c:tx>
          <c:spPr>
            <a:solidFill>
              <a:srgbClr val="FF8585"/>
            </a:solidFill>
            <a:ln>
              <a:noFill/>
            </a:ln>
            <a:effectLst/>
          </c:spPr>
          <c:invertIfNegative val="0"/>
          <c:cat>
            <c:strRef>
              <c:f>M_Resultados!$C$89:$C$92</c:f>
              <c:strCache>
                <c:ptCount val="4"/>
                <c:pt idx="0">
                  <c:v>Residencial</c:v>
                </c:pt>
                <c:pt idx="1">
                  <c:v>Industrial</c:v>
                </c:pt>
                <c:pt idx="2">
                  <c:v>Usos terciarios</c:v>
                </c:pt>
                <c:pt idx="3">
                  <c:v>Equipamientos</c:v>
                </c:pt>
              </c:strCache>
            </c:strRef>
          </c:cat>
          <c:val>
            <c:numRef>
              <c:f>M_Resultados!$G$89:$G$92</c:f>
              <c:numCache>
                <c:formatCode>#,##0.00</c:formatCode>
                <c:ptCount val="4"/>
                <c:pt idx="0">
                  <c:v>#N/A</c:v>
                </c:pt>
                <c:pt idx="1">
                  <c:v>0</c:v>
                </c:pt>
                <c:pt idx="2">
                  <c:v>0</c:v>
                </c:pt>
                <c:pt idx="3">
                  <c:v>#N/A</c:v>
                </c:pt>
              </c:numCache>
            </c:numRef>
          </c:val>
          <c:extLst>
            <c:ext xmlns:c16="http://schemas.microsoft.com/office/drawing/2014/chart" uri="{C3380CC4-5D6E-409C-BE32-E72D297353CC}">
              <c16:uniqueId val="{00000000-7BA2-48CA-AC71-E0A33A1974E0}"/>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MWh/año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M_Resultados!$I$87</c:f>
              <c:strCache>
                <c:ptCount val="1"/>
                <c:pt idx="0">
                  <c:v>Alternativa 2</c:v>
                </c:pt>
              </c:strCache>
            </c:strRef>
          </c:tx>
          <c:spPr>
            <a:solidFill>
              <a:srgbClr val="B00000"/>
            </a:solidFill>
            <a:ln>
              <a:noFill/>
            </a:ln>
            <a:effectLst/>
          </c:spPr>
          <c:invertIfNegative val="0"/>
          <c:cat>
            <c:strRef>
              <c:f>M_Resultados!$C$89:$C$92</c:f>
              <c:strCache>
                <c:ptCount val="4"/>
                <c:pt idx="0">
                  <c:v>Residencial</c:v>
                </c:pt>
                <c:pt idx="1">
                  <c:v>Industrial</c:v>
                </c:pt>
                <c:pt idx="2">
                  <c:v>Usos terciarios</c:v>
                </c:pt>
                <c:pt idx="3">
                  <c:v>Equipamientos</c:v>
                </c:pt>
              </c:strCache>
            </c:strRef>
          </c:cat>
          <c:val>
            <c:numRef>
              <c:f>M_Resultados!$I$89:$I$92</c:f>
              <c:numCache>
                <c:formatCode>#,##0.00</c:formatCode>
                <c:ptCount val="4"/>
                <c:pt idx="0">
                  <c:v>#N/A</c:v>
                </c:pt>
                <c:pt idx="1">
                  <c:v>0</c:v>
                </c:pt>
                <c:pt idx="2">
                  <c:v>0</c:v>
                </c:pt>
                <c:pt idx="3">
                  <c:v>#N/A</c:v>
                </c:pt>
              </c:numCache>
            </c:numRef>
          </c:val>
          <c:extLst>
            <c:ext xmlns:c16="http://schemas.microsoft.com/office/drawing/2014/chart" uri="{C3380CC4-5D6E-409C-BE32-E72D297353CC}">
              <c16:uniqueId val="{00000000-6582-400A-AC4A-094A638275F3}"/>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MWh/año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3</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M_Resultados!$K$87</c:f>
              <c:strCache>
                <c:ptCount val="1"/>
                <c:pt idx="0">
                  <c:v>Alternativa 3</c:v>
                </c:pt>
              </c:strCache>
            </c:strRef>
          </c:tx>
          <c:spPr>
            <a:solidFill>
              <a:srgbClr val="680000"/>
            </a:solidFill>
            <a:ln>
              <a:noFill/>
            </a:ln>
            <a:effectLst/>
          </c:spPr>
          <c:invertIfNegative val="0"/>
          <c:cat>
            <c:strRef>
              <c:f>M_Resultados!$C$89:$C$92</c:f>
              <c:strCache>
                <c:ptCount val="4"/>
                <c:pt idx="0">
                  <c:v>Residencial</c:v>
                </c:pt>
                <c:pt idx="1">
                  <c:v>Industrial</c:v>
                </c:pt>
                <c:pt idx="2">
                  <c:v>Usos terciarios</c:v>
                </c:pt>
                <c:pt idx="3">
                  <c:v>Equipamientos</c:v>
                </c:pt>
              </c:strCache>
            </c:strRef>
          </c:cat>
          <c:val>
            <c:numRef>
              <c:f>M_Resultados!$K$89:$K$92</c:f>
              <c:numCache>
                <c:formatCode>#,##0.00</c:formatCode>
                <c:ptCount val="4"/>
                <c:pt idx="0">
                  <c:v>#N/A</c:v>
                </c:pt>
                <c:pt idx="1">
                  <c:v>0</c:v>
                </c:pt>
                <c:pt idx="2">
                  <c:v>0</c:v>
                </c:pt>
                <c:pt idx="3">
                  <c:v>#N/A</c:v>
                </c:pt>
              </c:numCache>
            </c:numRef>
          </c:val>
          <c:extLst>
            <c:ext xmlns:c16="http://schemas.microsoft.com/office/drawing/2014/chart" uri="{C3380CC4-5D6E-409C-BE32-E72D297353CC}">
              <c16:uniqueId val="{00000000-CC14-4D98-9A24-941365D8E145}"/>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MWh/año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664496926290457E-2"/>
          <c:y val="0.1323565142660825"/>
          <c:w val="0.60829393710222945"/>
          <c:h val="0.69207057754500978"/>
        </c:manualLayout>
      </c:layout>
      <c:doughnutChart>
        <c:varyColors val="1"/>
        <c:ser>
          <c:idx val="0"/>
          <c:order val="0"/>
          <c:tx>
            <c:v>Emisiones asociadas a actividades económicas</c:v>
          </c:tx>
          <c:dLbls>
            <c:delete val="1"/>
          </c:dLbls>
          <c:cat>
            <c:strRef>
              <c:f>(M_A0!$D$27,M_A0!$D$36)</c:f>
              <c:strCache>
                <c:ptCount val="2"/>
                <c:pt idx="0">
                  <c:v>Industria</c:v>
                </c:pt>
                <c:pt idx="1">
                  <c:v>Terciario</c:v>
                </c:pt>
              </c:strCache>
            </c:strRef>
          </c:cat>
          <c:val>
            <c:numRef>
              <c:f>(M_A0!$F$29,M_A0!$F$43)</c:f>
              <c:numCache>
                <c:formatCode>_-* #,##0.0\ _€_-;\-* #,##0.0\ _€_-;_-* "-"??\ _€_-;_-@_-</c:formatCode>
                <c:ptCount val="2"/>
                <c:pt idx="0">
                  <c:v>0</c:v>
                </c:pt>
                <c:pt idx="1">
                  <c:v>0</c:v>
                </c:pt>
              </c:numCache>
            </c:numRef>
          </c:val>
          <c:extLst>
            <c:ext xmlns:c16="http://schemas.microsoft.com/office/drawing/2014/chart" uri="{C3380CC4-5D6E-409C-BE32-E72D297353CC}">
              <c16:uniqueId val="{00000000-C1CA-48D3-BF6D-11BEC3CFEE22}"/>
            </c:ext>
          </c:extLst>
        </c:ser>
        <c:dLbls>
          <c:showLegendKey val="0"/>
          <c:showVal val="1"/>
          <c:showCatName val="0"/>
          <c:showSerName val="0"/>
          <c:showPercent val="0"/>
          <c:showBubbleSize val="0"/>
          <c:showLeaderLines val="1"/>
        </c:dLbls>
        <c:firstSliceAng val="0"/>
        <c:holeSize val="60"/>
      </c:doughnutChart>
    </c:plotArea>
    <c:legend>
      <c:legendPos val="r"/>
      <c:layout>
        <c:manualLayout>
          <c:xMode val="edge"/>
          <c:yMode val="edge"/>
          <c:x val="0.715126719067537"/>
          <c:y val="0.37448691682505025"/>
          <c:w val="0.26211366902864847"/>
          <c:h val="0.20355320824168149"/>
        </c:manualLayout>
      </c:layout>
      <c:overlay val="0"/>
      <c:txPr>
        <a:bodyPr/>
        <a:lstStyle/>
        <a:p>
          <a:pPr>
            <a:defRPr sz="1100"/>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Alternativa</a:t>
            </a:r>
            <a:r>
              <a:rPr lang="en-US" baseline="0"/>
              <a:t> 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M_Resultados!$M$87</c:f>
              <c:strCache>
                <c:ptCount val="1"/>
                <c:pt idx="0">
                  <c:v>Alternativa 4</c:v>
                </c:pt>
              </c:strCache>
            </c:strRef>
          </c:tx>
          <c:spPr>
            <a:solidFill>
              <a:srgbClr val="3A0000"/>
            </a:solidFill>
            <a:ln>
              <a:noFill/>
            </a:ln>
            <a:effectLst/>
          </c:spPr>
          <c:invertIfNegative val="0"/>
          <c:cat>
            <c:strRef>
              <c:f>M_Resultados!$C$89:$C$92</c:f>
              <c:strCache>
                <c:ptCount val="4"/>
                <c:pt idx="0">
                  <c:v>Residencial</c:v>
                </c:pt>
                <c:pt idx="1">
                  <c:v>Industrial</c:v>
                </c:pt>
                <c:pt idx="2">
                  <c:v>Usos terciarios</c:v>
                </c:pt>
                <c:pt idx="3">
                  <c:v>Equipamientos</c:v>
                </c:pt>
              </c:strCache>
            </c:strRef>
          </c:cat>
          <c:val>
            <c:numRef>
              <c:f>M_Resultados!$M$89:$M$92</c:f>
              <c:numCache>
                <c:formatCode>#,##0.00</c:formatCode>
                <c:ptCount val="4"/>
                <c:pt idx="0">
                  <c:v>#N/A</c:v>
                </c:pt>
                <c:pt idx="1">
                  <c:v>0</c:v>
                </c:pt>
                <c:pt idx="2">
                  <c:v>0</c:v>
                </c:pt>
                <c:pt idx="3">
                  <c:v>#N/A</c:v>
                </c:pt>
              </c:numCache>
            </c:numRef>
          </c:val>
          <c:extLst>
            <c:ext xmlns:c16="http://schemas.microsoft.com/office/drawing/2014/chart" uri="{C3380CC4-5D6E-409C-BE32-E72D297353CC}">
              <c16:uniqueId val="{00000000-9B62-4B78-8423-87CA1EEB74C6}"/>
            </c:ext>
          </c:extLst>
        </c:ser>
        <c:dLbls>
          <c:showLegendKey val="0"/>
          <c:showVal val="0"/>
          <c:showCatName val="0"/>
          <c:showSerName val="0"/>
          <c:showPercent val="0"/>
          <c:showBubbleSize val="0"/>
        </c:dLbls>
        <c:gapWidth val="219"/>
        <c:overlap val="-27"/>
        <c:axId val="355873920"/>
        <c:axId val="355905536"/>
      </c:barChart>
      <c:catAx>
        <c:axId val="3558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905536"/>
        <c:crosses val="autoZero"/>
        <c:auto val="1"/>
        <c:lblAlgn val="ctr"/>
        <c:lblOffset val="100"/>
        <c:noMultiLvlLbl val="0"/>
      </c:catAx>
      <c:valAx>
        <c:axId val="35590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MWh/año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587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980928503185671E-2"/>
          <c:y val="0.11808961798243955"/>
          <c:w val="0.58933631689505572"/>
          <c:h val="0.77708987437006405"/>
        </c:manualLayout>
      </c:layout>
      <c:doughnutChart>
        <c:varyColors val="1"/>
        <c:ser>
          <c:idx val="0"/>
          <c:order val="0"/>
          <c:tx>
            <c:strRef>
              <c:f>M_A0!$D$50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M_A0!$C$52:$C$55</c:f>
              <c:strCache>
                <c:ptCount val="4"/>
                <c:pt idx="0">
                  <c:v>Equipamientos - Sin especificar</c:v>
                </c:pt>
                <c:pt idx="1">
                  <c:v>Sanitario</c:v>
                </c:pt>
                <c:pt idx="2">
                  <c:v>Educativo</c:v>
                </c:pt>
                <c:pt idx="3">
                  <c:v>Deportivo</c:v>
                </c:pt>
              </c:strCache>
            </c:strRef>
          </c:cat>
          <c:val>
            <c:numRef>
              <c:f>M_A0!$F$52:$F$55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DCA2-411C-92EB-D9112E7CC306}"/>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38371617368711E-2"/>
          <c:y val="0.12053996026560836"/>
          <c:w val="0.53243329085086422"/>
          <c:h val="0.77303016024909288"/>
        </c:manualLayout>
      </c:layout>
      <c:doughnutChart>
        <c:varyColors val="1"/>
        <c:ser>
          <c:idx val="0"/>
          <c:order val="0"/>
          <c:tx>
            <c:strRef>
              <c:f>M_A0!$D$27</c:f>
              <c:strCache>
                <c:ptCount val="1"/>
                <c:pt idx="0">
                  <c:v>Industria</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M_A0!$C$29:$C$33</c:f>
              <c:strCache>
                <c:ptCount val="5"/>
                <c:pt idx="0">
                  <c:v>Sin especificar</c:v>
                </c:pt>
                <c:pt idx="1">
                  <c:v>Cerámica</c:v>
                </c:pt>
                <c:pt idx="2">
                  <c:v>Agroalimentaria</c:v>
                </c:pt>
                <c:pt idx="3">
                  <c:v>Logística</c:v>
                </c:pt>
                <c:pt idx="4">
                  <c:v>Textil</c:v>
                </c:pt>
              </c:strCache>
            </c:strRef>
          </c:cat>
          <c:val>
            <c:numRef>
              <c:f>M_A0!$C$29:$C$33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DB03-45E6-BDF5-24C9BB927100}"/>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131620722488018E-2"/>
          <c:y val="0.15774818024506868"/>
          <c:w val="0.52456924246092562"/>
          <c:h val="0.67324748701325177"/>
        </c:manualLayout>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M_A0!$C$38:$C$42</c:f>
              <c:strCache>
                <c:ptCount val="5"/>
                <c:pt idx="0">
                  <c:v>Sin especificar</c:v>
                </c:pt>
                <c:pt idx="1">
                  <c:v>Oficinas</c:v>
                </c:pt>
                <c:pt idx="2">
                  <c:v>Comercio</c:v>
                </c:pt>
                <c:pt idx="3">
                  <c:v>Hotel</c:v>
                </c:pt>
                <c:pt idx="4">
                  <c:v>Restauración</c:v>
                </c:pt>
              </c:strCache>
            </c:strRef>
          </c:cat>
          <c:val>
            <c:numRef>
              <c:f>M_A0!$F$38:$F$42</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4E08-46F3-824F-29DC1456A37B}"/>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38371617368711E-2"/>
          <c:y val="0.12053996026560836"/>
          <c:w val="0.53243329085086422"/>
          <c:h val="0.77303016024909288"/>
        </c:manualLayout>
      </c:layout>
      <c:doughnutChart>
        <c:varyColors val="1"/>
        <c:ser>
          <c:idx val="0"/>
          <c:order val="0"/>
          <c:tx>
            <c:strRef>
              <c:f>M_A0!$D$27</c:f>
              <c:strCache>
                <c:ptCount val="1"/>
                <c:pt idx="0">
                  <c:v>Industria</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M_A0!$C$29:$C$33</c:f>
              <c:strCache>
                <c:ptCount val="5"/>
                <c:pt idx="0">
                  <c:v>Sin especificar</c:v>
                </c:pt>
                <c:pt idx="1">
                  <c:v>Cerámica</c:v>
                </c:pt>
                <c:pt idx="2">
                  <c:v>Agroalimentaria</c:v>
                </c:pt>
                <c:pt idx="3">
                  <c:v>Logística</c:v>
                </c:pt>
                <c:pt idx="4">
                  <c:v>Textil</c:v>
                </c:pt>
              </c:strCache>
            </c:strRef>
          </c:cat>
          <c:val>
            <c:numRef>
              <c:f>M_A0!$F$29:$F$33</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13EF-43E5-B64A-13A79175412C}"/>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930760917329"/>
          <c:y val="0.11242908128808361"/>
          <c:w val="0.43025599822000271"/>
          <c:h val="0.82390828946649997"/>
        </c:manualLayout>
      </c:layout>
      <c:doughnutChart>
        <c:varyColors val="1"/>
        <c:ser>
          <c:idx val="0"/>
          <c:order val="0"/>
          <c:tx>
            <c:v>Consumo de agua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14-4EBD-8463-0617797C219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14-4EBD-8463-0617797C219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14-4EBD-8463-0617797C2196}"/>
              </c:ext>
            </c:extLst>
          </c:dPt>
          <c:cat>
            <c:strRef>
              <c:f>M_A1!$C$89:$C$91</c:f>
              <c:strCache>
                <c:ptCount val="3"/>
                <c:pt idx="0">
                  <c:v>Residencial </c:v>
                </c:pt>
                <c:pt idx="1">
                  <c:v>Actividades económicas</c:v>
                </c:pt>
                <c:pt idx="2">
                  <c:v>Dotacional</c:v>
                </c:pt>
              </c:strCache>
            </c:strRef>
          </c:cat>
          <c:val>
            <c:numRef>
              <c:f>M_A1!$F$89:$F$91</c:f>
              <c:numCache>
                <c:formatCode>#,##0.000</c:formatCode>
                <c:ptCount val="3"/>
                <c:pt idx="0">
                  <c:v>0</c:v>
                </c:pt>
                <c:pt idx="1">
                  <c:v>0</c:v>
                </c:pt>
                <c:pt idx="2">
                  <c:v>0</c:v>
                </c:pt>
              </c:numCache>
            </c:numRef>
          </c:val>
          <c:extLst>
            <c:ext xmlns:c16="http://schemas.microsoft.com/office/drawing/2014/chart" uri="{C3380CC4-5D6E-409C-BE32-E72D297353CC}">
              <c16:uniqueId val="{00000006-E314-4EBD-8463-0617797C2196}"/>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0.66462164756877928"/>
          <c:y val="0.2985779092210985"/>
          <c:w val="0.32281948272949396"/>
          <c:h val="0.3027587861303198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3732927715202"/>
          <c:y val="0.16014504558127879"/>
          <c:w val="0.58299536882637504"/>
          <c:h val="0.79138920007373903"/>
        </c:manualLayout>
      </c:layout>
      <c:doughnutChart>
        <c:varyColors val="1"/>
        <c:ser>
          <c:idx val="0"/>
          <c:order val="0"/>
          <c:tx>
            <c:strRef>
              <c:f>M_A1!$I$86</c:f>
              <c:strCache>
                <c:ptCount val="1"/>
                <c:pt idx="0">
                  <c:v>D. Emisiones asociadas a gestión de residuos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655-4043-BB9B-6DE70E16D78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BCE-43BA-90D8-26F07707B4AA}"/>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M_A1!$I$89:$J$90</c:f>
              <c:strCache>
                <c:ptCount val="2"/>
                <c:pt idx="0">
                  <c:v>Industrial</c:v>
                </c:pt>
                <c:pt idx="1">
                  <c:v>Residencial, Terciario y Equipamientos</c:v>
                </c:pt>
              </c:strCache>
            </c:strRef>
          </c:cat>
          <c:val>
            <c:numRef>
              <c:f>M_A1!$K$89:$K$90</c:f>
              <c:numCache>
                <c:formatCode>#,##0.000</c:formatCode>
                <c:ptCount val="2"/>
                <c:pt idx="0">
                  <c:v>0</c:v>
                </c:pt>
                <c:pt idx="1">
                  <c:v>0</c:v>
                </c:pt>
              </c:numCache>
            </c:numRef>
          </c:val>
          <c:extLst>
            <c:ext xmlns:c16="http://schemas.microsoft.com/office/drawing/2014/chart" uri="{C3380CC4-5D6E-409C-BE32-E72D297353CC}">
              <c16:uniqueId val="{00000002-3655-4043-BB9B-6DE70E16D78D}"/>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557802883743564"/>
          <c:y val="4.1576045202257113E-2"/>
          <c:w val="0.45409751915517538"/>
          <c:h val="0.89625023891586542"/>
        </c:manualLayout>
      </c:layout>
      <c:doughnutChart>
        <c:varyColors val="1"/>
        <c:ser>
          <c:idx val="0"/>
          <c:order val="0"/>
          <c:tx>
            <c:v>Consumo de agua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6AB-47BA-BDD2-8A1DEE14CD9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CC1-41C5-A49F-AB85CD9D057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CC1-41C5-A49F-AB85CD9D057D}"/>
              </c:ext>
            </c:extLst>
          </c:dPt>
          <c:cat>
            <c:strRef>
              <c:f>M_A0!$C$89:$C$91</c:f>
              <c:strCache>
                <c:ptCount val="3"/>
                <c:pt idx="0">
                  <c:v>Residencial </c:v>
                </c:pt>
                <c:pt idx="1">
                  <c:v>Actividades económicas</c:v>
                </c:pt>
                <c:pt idx="2">
                  <c:v>Dotacional</c:v>
                </c:pt>
              </c:strCache>
            </c:strRef>
          </c:cat>
          <c:val>
            <c:numRef>
              <c:f>M_A0!$F$89:$F$91</c:f>
              <c:numCache>
                <c:formatCode>#,##0.000</c:formatCode>
                <c:ptCount val="3"/>
                <c:pt idx="0">
                  <c:v>0</c:v>
                </c:pt>
                <c:pt idx="1">
                  <c:v>0</c:v>
                </c:pt>
                <c:pt idx="2">
                  <c:v>0</c:v>
                </c:pt>
              </c:numCache>
            </c:numRef>
          </c:val>
          <c:extLst>
            <c:ext xmlns:c16="http://schemas.microsoft.com/office/drawing/2014/chart" uri="{C3380CC4-5D6E-409C-BE32-E72D297353CC}">
              <c16:uniqueId val="{00000004-56AB-47BA-BDD2-8A1DEE14CD99}"/>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0.73828085016188116"/>
          <c:y val="0.33534881700618646"/>
          <c:w val="0.21156016494538629"/>
          <c:h val="0.375537451028246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222591791972"/>
          <c:y val="0.19932019503928039"/>
          <c:w val="0.50855105798342382"/>
          <c:h val="0.67594059323456024"/>
        </c:manualLayout>
      </c:layout>
      <c:doughnutChart>
        <c:varyColors val="1"/>
        <c:ser>
          <c:idx val="0"/>
          <c:order val="0"/>
          <c:tx>
            <c:v>Modos de transporte</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D49-4198-A6E9-1A5C61BA65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D49-4198-A6E9-1A5C61BA65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D49-4198-A6E9-1A5C61BA65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D49-4198-A6E9-1A5C61BA65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D49-4198-A6E9-1A5C61BA653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D49-4198-A6E9-1A5C61BA6530}"/>
              </c:ext>
            </c:extLst>
          </c:dPt>
          <c:cat>
            <c:strRef>
              <c:f>M_A1!$C$78:$C$83</c:f>
              <c:strCache>
                <c:ptCount val="6"/>
                <c:pt idx="0">
                  <c:v>Andando</c:v>
                </c:pt>
                <c:pt idx="1">
                  <c:v>Bici</c:v>
                </c:pt>
                <c:pt idx="2">
                  <c:v>Automóvil/Vehículo privado</c:v>
                </c:pt>
                <c:pt idx="3">
                  <c:v>Autobus discrecional</c:v>
                </c:pt>
                <c:pt idx="4">
                  <c:v>Autobús urbano e interurbano</c:v>
                </c:pt>
                <c:pt idx="5">
                  <c:v>Ferrocarril</c:v>
                </c:pt>
              </c:strCache>
            </c:strRef>
          </c:cat>
          <c:val>
            <c:numRef>
              <c:f>M_A1!$O$78:$O$83</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0-2D49-4198-A6E9-1A5C61BA6530}"/>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69039101041951734"/>
          <c:y val="0.22807414777426951"/>
          <c:w val="0.30321455510853434"/>
          <c:h val="0.67665913708090897"/>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11653524428044991"/>
          <c:w val="0.48629109997613928"/>
          <c:h val="0.75160266883603477"/>
        </c:manualLayout>
      </c:layout>
      <c:barChart>
        <c:barDir val="col"/>
        <c:grouping val="clustered"/>
        <c:varyColors val="0"/>
        <c:ser>
          <c:idx val="0"/>
          <c:order val="0"/>
          <c:tx>
            <c:strRef>
              <c:f>M_A1!$C$13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(M_A1!$E$13,M_A1!$H$13)</c:f>
              <c:numCache>
                <c:formatCode>_-* #,##0.0\ _€_-;\-* #,##0.0\ _€_-;_-* "-"??\ _€_-;_-@_-</c:formatCode>
                <c:ptCount val="2"/>
                <c:pt idx="0">
                  <c:v>#N/A</c:v>
                </c:pt>
                <c:pt idx="1">
                  <c:v>#N/A</c:v>
                </c:pt>
              </c:numCache>
            </c:numRef>
          </c:val>
          <c:extLst>
            <c:ext xmlns:c16="http://schemas.microsoft.com/office/drawing/2014/chart" uri="{C3380CC4-5D6E-409C-BE32-E72D297353CC}">
              <c16:uniqueId val="{00000000-11C3-4747-9629-9A3A0525AA3E}"/>
            </c:ext>
          </c:extLst>
        </c:ser>
        <c:ser>
          <c:idx val="1"/>
          <c:order val="1"/>
          <c:tx>
            <c:strRef>
              <c:f>M_A1!$C$14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(M_A1!$E$14,M_A1!$H$14)</c:f>
              <c:numCache>
                <c:formatCode>_-* #,##0.0\ _€_-;\-* #,##0.0\ _€_-;_-* "-"??\ _€_-;_-@_-</c:formatCode>
                <c:ptCount val="2"/>
                <c:pt idx="0">
                  <c:v>#N/A</c:v>
                </c:pt>
                <c:pt idx="1">
                  <c:v>#N/A</c:v>
                </c:pt>
              </c:numCache>
            </c:numRef>
          </c:val>
          <c:extLst>
            <c:ext xmlns:c16="http://schemas.microsoft.com/office/drawing/2014/chart" uri="{C3380CC4-5D6E-409C-BE32-E72D297353CC}">
              <c16:uniqueId val="{00000001-11C3-4747-9629-9A3A0525AA3E}"/>
            </c:ext>
          </c:extLst>
        </c:ser>
        <c:ser>
          <c:idx val="2"/>
          <c:order val="2"/>
          <c:tx>
            <c:strRef>
              <c:f>M_A1!$C$15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(M_A1!$E$15,M_A1!$H$15)</c:f>
              <c:numCache>
                <c:formatCode>_-* #,##0.0\ _€_-;\-* #,##0.0\ _€_-;_-* "-"??\ _€_-;_-@_-</c:formatCode>
                <c:ptCount val="2"/>
                <c:pt idx="0">
                  <c:v>#N/A</c:v>
                </c:pt>
                <c:pt idx="1">
                  <c:v>#N/A</c:v>
                </c:pt>
              </c:numCache>
            </c:numRef>
          </c:val>
          <c:extLst>
            <c:ext xmlns:c16="http://schemas.microsoft.com/office/drawing/2014/chart" uri="{C3380CC4-5D6E-409C-BE32-E72D297353CC}">
              <c16:uniqueId val="{00000002-11C3-4747-9629-9A3A0525AA3E}"/>
            </c:ext>
          </c:extLst>
        </c:ser>
        <c:ser>
          <c:idx val="3"/>
          <c:order val="3"/>
          <c:tx>
            <c:strRef>
              <c:f>M_A1!$C$16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(M_A1!$E$16,M_A1!$H$16)</c:f>
              <c:numCache>
                <c:formatCode>_-* #,##0.0\ _€_-;\-* #,##0.0\ _€_-;_-* "-"??\ _€_-;_-@_-</c:formatCode>
                <c:ptCount val="2"/>
                <c:pt idx="0">
                  <c:v>#N/A</c:v>
                </c:pt>
                <c:pt idx="1">
                  <c:v>#N/A</c:v>
                </c:pt>
              </c:numCache>
            </c:numRef>
          </c:val>
          <c:extLst>
            <c:ext xmlns:c16="http://schemas.microsoft.com/office/drawing/2014/chart" uri="{C3380CC4-5D6E-409C-BE32-E72D297353CC}">
              <c16:uniqueId val="{00000003-11C3-4747-9629-9A3A0525AA3E}"/>
            </c:ext>
          </c:extLst>
        </c:ser>
        <c:ser>
          <c:idx val="4"/>
          <c:order val="4"/>
          <c:tx>
            <c:strRef>
              <c:f>M_A1!$C$17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(M_A1!$E$17,M_A1!$H$17)</c:f>
              <c:numCache>
                <c:formatCode>_-* #,##0.0\ _€_-;\-* #,##0.0\ _€_-;_-* "-"??\ _€_-;_-@_-</c:formatCode>
                <c:ptCount val="2"/>
                <c:pt idx="0">
                  <c:v>#N/A</c:v>
                </c:pt>
                <c:pt idx="1">
                  <c:v>#N/A</c:v>
                </c:pt>
              </c:numCache>
            </c:numRef>
          </c:val>
          <c:extLst>
            <c:ext xmlns:c16="http://schemas.microsoft.com/office/drawing/2014/chart" uri="{C3380CC4-5D6E-409C-BE32-E72D297353CC}">
              <c16:uniqueId val="{00000004-11C3-4747-9629-9A3A0525AA3E}"/>
            </c:ext>
          </c:extLst>
        </c:ser>
        <c:ser>
          <c:idx val="5"/>
          <c:order val="5"/>
          <c:tx>
            <c:strRef>
              <c:f>M_A1!$C$18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(M_A1!$E$18,M_A1!$H$18)</c:f>
              <c:numCache>
                <c:formatCode>_-* #,##0.0\ _€_-;\-* #,##0.0\ _€_-;_-* "-"??\ _€_-;_-@_-</c:formatCode>
                <c:ptCount val="2"/>
                <c:pt idx="0">
                  <c:v>#N/A</c:v>
                </c:pt>
                <c:pt idx="1">
                  <c:v>#N/A</c:v>
                </c:pt>
              </c:numCache>
            </c:numRef>
          </c:val>
          <c:extLst>
            <c:ext xmlns:c16="http://schemas.microsoft.com/office/drawing/2014/chart" uri="{C3380CC4-5D6E-409C-BE32-E72D297353CC}">
              <c16:uniqueId val="{00000005-11C3-4747-9629-9A3A0525AA3E}"/>
            </c:ext>
          </c:extLst>
        </c:ser>
        <c:ser>
          <c:idx val="6"/>
          <c:order val="6"/>
          <c:tx>
            <c:strRef>
              <c:f>M_A1!$C$19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(M_A1!$E$19,M_A1!$H$19)</c:f>
              <c:numCache>
                <c:formatCode>_-* #,##0.0\ _€_-;\-* #,##0.0\ _€_-;_-* "-"??\ _€_-;_-@_-</c:formatCode>
                <c:ptCount val="2"/>
                <c:pt idx="0">
                  <c:v>#N/A</c:v>
                </c:pt>
                <c:pt idx="1">
                  <c:v>#N/A</c:v>
                </c:pt>
              </c:numCache>
            </c:numRef>
          </c:val>
          <c:extLst>
            <c:ext xmlns:c16="http://schemas.microsoft.com/office/drawing/2014/chart" uri="{C3380CC4-5D6E-409C-BE32-E72D297353CC}">
              <c16:uniqueId val="{00000006-11C3-4747-9629-9A3A0525AA3E}"/>
            </c:ext>
          </c:extLst>
        </c:ser>
        <c:ser>
          <c:idx val="7"/>
          <c:order val="7"/>
          <c:tx>
            <c:strRef>
              <c:f>M_A1!$C$20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(M_A1!$E$20,M_A1!$H$20)</c:f>
              <c:numCache>
                <c:formatCode>_-* #,##0.0\ _€_-;\-* #,##0.0\ _€_-;_-* "-"??\ _€_-;_-@_-</c:formatCode>
                <c:ptCount val="2"/>
                <c:pt idx="0">
                  <c:v>#N/A</c:v>
                </c:pt>
                <c:pt idx="1">
                  <c:v>#N/A</c:v>
                </c:pt>
              </c:numCache>
            </c:numRef>
          </c:val>
          <c:extLst>
            <c:ext xmlns:c16="http://schemas.microsoft.com/office/drawing/2014/chart" uri="{C3380CC4-5D6E-409C-BE32-E72D297353CC}">
              <c16:uniqueId val="{00000007-11C3-4747-9629-9A3A0525AA3E}"/>
            </c:ext>
          </c:extLst>
        </c:ser>
        <c:ser>
          <c:idx val="8"/>
          <c:order val="8"/>
          <c:tx>
            <c:strRef>
              <c:f>M_A1!$C$21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(M_A1!$E$21,M_A1!$H$21)</c:f>
              <c:numCache>
                <c:formatCode>_-* #,##0.0\ _€_-;\-* #,##0.0\ _€_-;_-* "-"??\ _€_-;_-@_-</c:formatCode>
                <c:ptCount val="2"/>
                <c:pt idx="0">
                  <c:v>#N/A</c:v>
                </c:pt>
                <c:pt idx="1">
                  <c:v>#N/A</c:v>
                </c:pt>
              </c:numCache>
            </c:numRef>
          </c:val>
          <c:extLst>
            <c:ext xmlns:c16="http://schemas.microsoft.com/office/drawing/2014/chart" uri="{C3380CC4-5D6E-409C-BE32-E72D297353CC}">
              <c16:uniqueId val="{00000008-11C3-4747-9629-9A3A0525AA3E}"/>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57831376040105E-2"/>
          <c:y val="0.15549425947276699"/>
          <c:w val="0.54664292724811869"/>
          <c:h val="0.72903775377592361"/>
        </c:manualLayout>
      </c:layout>
      <c:doughnutChart>
        <c:varyColors val="1"/>
        <c:ser>
          <c:idx val="0"/>
          <c:order val="0"/>
          <c:tx>
            <c:v>Por uso del suelo</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113-42EB-99A5-2A5C8ABC0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113-42EB-99A5-2A5C8ABC0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113-42EB-99A5-2A5C8ABC0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113-42EB-99A5-2A5C8ABC079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113-42EB-99A5-2A5C8ABC079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113-42EB-99A5-2A5C8ABC0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113-42EB-99A5-2A5C8ABC0794}"/>
              </c:ext>
            </c:extLst>
          </c:dPt>
          <c:cat>
            <c:strRef>
              <c:f>M_A1!$D$77:$J$77</c:f>
              <c:strCache>
                <c:ptCount val="7"/>
                <c:pt idx="0">
                  <c:v>Uso residencial</c:v>
                </c:pt>
                <c:pt idx="1">
                  <c:v>Uso comercial/terciario</c:v>
                </c:pt>
                <c:pt idx="2">
                  <c:v>Uso de oficinas</c:v>
                </c:pt>
                <c:pt idx="3">
                  <c:v>Uso industrial</c:v>
                </c:pt>
                <c:pt idx="4">
                  <c:v>Equipamientos</c:v>
                </c:pt>
                <c:pt idx="5">
                  <c:v>Zonas verdes</c:v>
                </c:pt>
                <c:pt idx="6">
                  <c:v>Franja costera</c:v>
                </c:pt>
              </c:strCache>
            </c:strRef>
          </c:cat>
          <c:val>
            <c:numRef>
              <c:f>M_A1!$D$84:$J$84</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A113-42EB-99A5-2A5C8ABC0794}"/>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65784447795310685"/>
          <c:y val="0.3905572924910829"/>
          <c:w val="0.33275723909938387"/>
          <c:h val="0.42827504251756343"/>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58856074867256"/>
          <c:y val="0.23623178318179844"/>
          <c:w val="0.61063795046184777"/>
          <c:h val="0.6561827699714331"/>
        </c:manualLayout>
      </c:layout>
      <c:doughnutChart>
        <c:varyColors val="1"/>
        <c:ser>
          <c:idx val="1"/>
          <c:order val="0"/>
          <c:tx>
            <c:strRef>
              <c:f>M_A1!$T$95</c:f>
              <c:strCache>
                <c:ptCount val="1"/>
                <c:pt idx="0">
                  <c:v>t CO2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4-FDA8-4812-B1FC-23EFF449087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6-FDA8-4812-B1FC-23EFF449087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8-FDA8-4812-B1FC-23EFF449087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A-FDA8-4812-B1FC-23EFF449087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C-FDA8-4812-B1FC-23EFF449087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988-439D-A2F0-F2FF21322D1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M_A1!$Q$96:$Q$101</c:f>
              <c:strCache>
                <c:ptCount val="6"/>
                <c:pt idx="0">
                  <c:v>Bosque</c:v>
                </c:pt>
                <c:pt idx="1">
                  <c:v>Garriga/Matorral (arbustivas)/Prado</c:v>
                </c:pt>
                <c:pt idx="2">
                  <c:v>Cultivo</c:v>
                </c:pt>
                <c:pt idx="3">
                  <c:v>Marismas y humedales</c:v>
                </c:pt>
                <c:pt idx="4">
                  <c:v>Otras tierras</c:v>
                </c:pt>
                <c:pt idx="5">
                  <c:v>Asentamientos</c:v>
                </c:pt>
              </c:strCache>
            </c:strRef>
          </c:cat>
          <c:val>
            <c:numRef>
              <c:f>M_A1!$T$96:$T$101</c:f>
              <c:numCache>
                <c:formatCode>General</c:formatCode>
                <c:ptCount val="6"/>
                <c:pt idx="0">
                  <c:v>0</c:v>
                </c:pt>
              </c:numCache>
            </c:numRef>
          </c:val>
          <c:extLst>
            <c:ext xmlns:c16="http://schemas.microsoft.com/office/drawing/2014/chart" uri="{C3380CC4-5D6E-409C-BE32-E72D297353CC}">
              <c16:uniqueId val="{0000000D-FDA8-4812-B1FC-23EFF449087C}"/>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1.0255787435310946E-4"/>
          <c:y val="0.18871952486420004"/>
          <c:w val="0.27801192816291909"/>
          <c:h val="0.8112800867752755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87-416A-A897-57577D49E5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87-416A-A897-57577D49E5B7}"/>
              </c:ext>
            </c:extLst>
          </c:dPt>
          <c:dLbls>
            <c:dLbl>
              <c:idx val="0"/>
              <c:layout>
                <c:manualLayout>
                  <c:x val="7.0656691604322447E-2"/>
                  <c:y val="1.47504388352340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587-416A-A897-57577D49E5B7}"/>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7374444466262166"/>
                      <c:h val="0.23304919058418702"/>
                    </c:manualLayout>
                  </c15:layout>
                </c:ext>
                <c:ext xmlns:c16="http://schemas.microsoft.com/office/drawing/2014/chart" uri="{C3380CC4-5D6E-409C-BE32-E72D297353CC}">
                  <c16:uniqueId val="{00000003-7587-416A-A897-57577D49E5B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(M_A1!$D$11,M_A1!$G$11)</c:f>
              <c:strCache>
                <c:ptCount val="2"/>
                <c:pt idx="0">
                  <c:v>Vivienda Unifamiliar</c:v>
                </c:pt>
                <c:pt idx="1">
                  <c:v>Vivienda Plurifamiliar</c:v>
                </c:pt>
              </c:strCache>
            </c:strRef>
          </c:cat>
          <c:val>
            <c:numRef>
              <c:f>(M_A1!$E$22,M_A1!$H$22)</c:f>
              <c:numCache>
                <c:formatCode>_-* #,##0.0\ _€_-;\-* #,##0.0\ _€_-;_-* "-"??\ _€_-;_-@_-</c:formatCode>
                <c:ptCount val="2"/>
                <c:pt idx="0">
                  <c:v>#N/A</c:v>
                </c:pt>
                <c:pt idx="1">
                  <c:v>#N/A</c:v>
                </c:pt>
              </c:numCache>
            </c:numRef>
          </c:val>
          <c:extLst>
            <c:ext xmlns:c16="http://schemas.microsoft.com/office/drawing/2014/chart" uri="{C3380CC4-5D6E-409C-BE32-E72D297353CC}">
              <c16:uniqueId val="{00000004-7587-416A-A897-57577D49E5B7}"/>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M_A1!$D$50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M_A1!$C$52:$C$55</c:f>
              <c:strCache>
                <c:ptCount val="4"/>
                <c:pt idx="0">
                  <c:v>Equipamientos - Sin especificar</c:v>
                </c:pt>
                <c:pt idx="1">
                  <c:v>Sanitario</c:v>
                </c:pt>
                <c:pt idx="2">
                  <c:v>Educativo</c:v>
                </c:pt>
                <c:pt idx="3">
                  <c:v>Deportivo</c:v>
                </c:pt>
              </c:strCache>
            </c:strRef>
          </c:cat>
          <c:val>
            <c:numRef>
              <c:f>M_A1!$E$52:$E$55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5FA9-495C-9860-1EB683FB6108}"/>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1379018581834688"/>
          <c:w val="0.60966628053980931"/>
          <c:h val="0.6001191020653921"/>
        </c:manualLayout>
      </c:layout>
      <c:doughnutChart>
        <c:varyColors val="1"/>
        <c:ser>
          <c:idx val="0"/>
          <c:order val="0"/>
          <c:tx>
            <c:v>Demanda asociadas a actividades económicas</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(M_A1!$D$27,M_A1!$D$36)</c:f>
              <c:strCache>
                <c:ptCount val="2"/>
                <c:pt idx="0">
                  <c:v>Industria</c:v>
                </c:pt>
                <c:pt idx="1">
                  <c:v>Terciario</c:v>
                </c:pt>
              </c:strCache>
            </c:strRef>
          </c:cat>
          <c:val>
            <c:numRef>
              <c:f>(M_A1!$E$29,M_A1!$E$43)</c:f>
              <c:numCache>
                <c:formatCode>_-* #,##0.0\ _€_-;\-* #,##0.0\ _€_-;_-* "-"??\ _€_-;_-@_-</c:formatCode>
                <c:ptCount val="2"/>
                <c:pt idx="0">
                  <c:v>0</c:v>
                </c:pt>
                <c:pt idx="1">
                  <c:v>0</c:v>
                </c:pt>
              </c:numCache>
            </c:numRef>
          </c:val>
          <c:extLst>
            <c:ext xmlns:c16="http://schemas.microsoft.com/office/drawing/2014/chart" uri="{C3380CC4-5D6E-409C-BE32-E72D297353CC}">
              <c16:uniqueId val="{00000000-203E-4FD3-9B57-3CB4DDCF6F27}"/>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A20-449E-AEF6-D8E38318D5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A20-449E-AEF6-D8E38318D5E6}"/>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2809429195182379"/>
                      <c:h val="0.17837894926609721"/>
                    </c:manualLayout>
                  </c15:layout>
                </c:ext>
                <c:ext xmlns:c16="http://schemas.microsoft.com/office/drawing/2014/chart" uri="{C3380CC4-5D6E-409C-BE32-E72D297353CC}">
                  <c16:uniqueId val="{00000001-7A20-449E-AEF6-D8E38318D5E6}"/>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6111282818619636"/>
                      <c:h val="0.23287743836365257"/>
                    </c:manualLayout>
                  </c15:layout>
                </c:ext>
                <c:ext xmlns:c16="http://schemas.microsoft.com/office/drawing/2014/chart" uri="{C3380CC4-5D6E-409C-BE32-E72D297353CC}">
                  <c16:uniqueId val="{00000003-7A20-449E-AEF6-D8E38318D5E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(M_A1!$D$11,M_A1!$G$11)</c:f>
              <c:strCache>
                <c:ptCount val="2"/>
                <c:pt idx="0">
                  <c:v>Vivienda Unifamiliar</c:v>
                </c:pt>
                <c:pt idx="1">
                  <c:v>Vivienda Plurifamiliar</c:v>
                </c:pt>
              </c:strCache>
            </c:strRef>
          </c:cat>
          <c:val>
            <c:numRef>
              <c:f>(M_A1!$F$22,M_A1!$I$22)</c:f>
              <c:numCache>
                <c:formatCode>_-* #,##0.0\ _€_-;\-* #,##0.0\ _€_-;_-* "-"??\ _€_-;_-@_-</c:formatCode>
                <c:ptCount val="2"/>
                <c:pt idx="0">
                  <c:v>#N/A</c:v>
                </c:pt>
                <c:pt idx="1">
                  <c:v>#N/A</c:v>
                </c:pt>
              </c:numCache>
            </c:numRef>
          </c:val>
          <c:extLst>
            <c:ext xmlns:c16="http://schemas.microsoft.com/office/drawing/2014/chart" uri="{C3380CC4-5D6E-409C-BE32-E72D297353CC}">
              <c16:uniqueId val="{00000004-7A20-449E-AEF6-D8E38318D5E6}"/>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sz="1200" b="1">
              <a:solidFill>
                <a:sysClr val="windowText" lastClr="000000"/>
              </a:solidFill>
            </a:endParaRPr>
          </a:p>
          <a:p>
            <a:pPr>
              <a:defRPr sz="1200" b="1" i="0" u="none" strike="noStrike" kern="1200" spc="0" baseline="0">
                <a:solidFill>
                  <a:schemeClr val="accent5">
                    <a:lumMod val="50000"/>
                  </a:schemeClr>
                </a:solidFill>
                <a:latin typeface="+mn-lt"/>
                <a:ea typeface="+mn-ea"/>
                <a:cs typeface="+mn-cs"/>
              </a:defRPr>
            </a:pPr>
            <a:endParaRPr lang="es-ES" sz="1200" b="1">
              <a:solidFill>
                <a:sysClr val="windowText" lastClr="000000"/>
              </a:solidFill>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66503891373477442"/>
        </c:manualLayout>
      </c:layout>
      <c:barChart>
        <c:barDir val="col"/>
        <c:grouping val="clustered"/>
        <c:varyColors val="0"/>
        <c:ser>
          <c:idx val="0"/>
          <c:order val="0"/>
          <c:tx>
            <c:strRef>
              <c:f>M_A1!$C$13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(M_A1!$E$13,M_A1!$H$13)</c:f>
              <c:numCache>
                <c:formatCode>_-* #,##0.0\ _€_-;\-* #,##0.0\ _€_-;_-* "-"??\ _€_-;_-@_-</c:formatCode>
                <c:ptCount val="2"/>
                <c:pt idx="0">
                  <c:v>#N/A</c:v>
                </c:pt>
                <c:pt idx="1">
                  <c:v>#N/A</c:v>
                </c:pt>
              </c:numCache>
            </c:numRef>
          </c:val>
          <c:extLst>
            <c:ext xmlns:c16="http://schemas.microsoft.com/office/drawing/2014/chart" uri="{C3380CC4-5D6E-409C-BE32-E72D297353CC}">
              <c16:uniqueId val="{00000000-451F-46D9-9E20-92A3528C0E2F}"/>
            </c:ext>
          </c:extLst>
        </c:ser>
        <c:ser>
          <c:idx val="1"/>
          <c:order val="1"/>
          <c:tx>
            <c:strRef>
              <c:f>M_A1!$C$14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(M_A1!$E$14,M_A1!$H$14)</c:f>
              <c:numCache>
                <c:formatCode>_-* #,##0.0\ _€_-;\-* #,##0.0\ _€_-;_-* "-"??\ _€_-;_-@_-</c:formatCode>
                <c:ptCount val="2"/>
                <c:pt idx="0">
                  <c:v>#N/A</c:v>
                </c:pt>
                <c:pt idx="1">
                  <c:v>#N/A</c:v>
                </c:pt>
              </c:numCache>
            </c:numRef>
          </c:val>
          <c:extLst>
            <c:ext xmlns:c16="http://schemas.microsoft.com/office/drawing/2014/chart" uri="{C3380CC4-5D6E-409C-BE32-E72D297353CC}">
              <c16:uniqueId val="{00000001-451F-46D9-9E20-92A3528C0E2F}"/>
            </c:ext>
          </c:extLst>
        </c:ser>
        <c:ser>
          <c:idx val="2"/>
          <c:order val="2"/>
          <c:tx>
            <c:strRef>
              <c:f>M_A1!$C$15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(M_A1!$E$15,M_A1!$H$15)</c:f>
              <c:numCache>
                <c:formatCode>_-* #,##0.0\ _€_-;\-* #,##0.0\ _€_-;_-* "-"??\ _€_-;_-@_-</c:formatCode>
                <c:ptCount val="2"/>
                <c:pt idx="0">
                  <c:v>#N/A</c:v>
                </c:pt>
                <c:pt idx="1">
                  <c:v>#N/A</c:v>
                </c:pt>
              </c:numCache>
            </c:numRef>
          </c:val>
          <c:extLst>
            <c:ext xmlns:c16="http://schemas.microsoft.com/office/drawing/2014/chart" uri="{C3380CC4-5D6E-409C-BE32-E72D297353CC}">
              <c16:uniqueId val="{00000002-451F-46D9-9E20-92A3528C0E2F}"/>
            </c:ext>
          </c:extLst>
        </c:ser>
        <c:ser>
          <c:idx val="3"/>
          <c:order val="3"/>
          <c:tx>
            <c:strRef>
              <c:f>M_A1!$C$16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(M_A1!$E$16,M_A1!$H$16)</c:f>
              <c:numCache>
                <c:formatCode>_-* #,##0.0\ _€_-;\-* #,##0.0\ _€_-;_-* "-"??\ _€_-;_-@_-</c:formatCode>
                <c:ptCount val="2"/>
                <c:pt idx="0">
                  <c:v>#N/A</c:v>
                </c:pt>
                <c:pt idx="1">
                  <c:v>#N/A</c:v>
                </c:pt>
              </c:numCache>
            </c:numRef>
          </c:val>
          <c:extLst>
            <c:ext xmlns:c16="http://schemas.microsoft.com/office/drawing/2014/chart" uri="{C3380CC4-5D6E-409C-BE32-E72D297353CC}">
              <c16:uniqueId val="{00000003-451F-46D9-9E20-92A3528C0E2F}"/>
            </c:ext>
          </c:extLst>
        </c:ser>
        <c:ser>
          <c:idx val="4"/>
          <c:order val="4"/>
          <c:tx>
            <c:strRef>
              <c:f>M_A1!$C$17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(M_A1!$E$17,M_A1!$H$17)</c:f>
              <c:numCache>
                <c:formatCode>_-* #,##0.0\ _€_-;\-* #,##0.0\ _€_-;_-* "-"??\ _€_-;_-@_-</c:formatCode>
                <c:ptCount val="2"/>
                <c:pt idx="0">
                  <c:v>#N/A</c:v>
                </c:pt>
                <c:pt idx="1">
                  <c:v>#N/A</c:v>
                </c:pt>
              </c:numCache>
            </c:numRef>
          </c:val>
          <c:extLst>
            <c:ext xmlns:c16="http://schemas.microsoft.com/office/drawing/2014/chart" uri="{C3380CC4-5D6E-409C-BE32-E72D297353CC}">
              <c16:uniqueId val="{00000004-451F-46D9-9E20-92A3528C0E2F}"/>
            </c:ext>
          </c:extLst>
        </c:ser>
        <c:ser>
          <c:idx val="5"/>
          <c:order val="5"/>
          <c:tx>
            <c:strRef>
              <c:f>M_A1!$C$18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(M_A1!$E$18,M_A1!$H$18)</c:f>
              <c:numCache>
                <c:formatCode>_-* #,##0.0\ _€_-;\-* #,##0.0\ _€_-;_-* "-"??\ _€_-;_-@_-</c:formatCode>
                <c:ptCount val="2"/>
                <c:pt idx="0">
                  <c:v>#N/A</c:v>
                </c:pt>
                <c:pt idx="1">
                  <c:v>#N/A</c:v>
                </c:pt>
              </c:numCache>
            </c:numRef>
          </c:val>
          <c:extLst>
            <c:ext xmlns:c16="http://schemas.microsoft.com/office/drawing/2014/chart" uri="{C3380CC4-5D6E-409C-BE32-E72D297353CC}">
              <c16:uniqueId val="{00000005-451F-46D9-9E20-92A3528C0E2F}"/>
            </c:ext>
          </c:extLst>
        </c:ser>
        <c:ser>
          <c:idx val="6"/>
          <c:order val="6"/>
          <c:tx>
            <c:strRef>
              <c:f>M_A1!$C$19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(M_A1!$E$19,M_A1!$H$19)</c:f>
              <c:numCache>
                <c:formatCode>_-* #,##0.0\ _€_-;\-* #,##0.0\ _€_-;_-* "-"??\ _€_-;_-@_-</c:formatCode>
                <c:ptCount val="2"/>
                <c:pt idx="0">
                  <c:v>#N/A</c:v>
                </c:pt>
                <c:pt idx="1">
                  <c:v>#N/A</c:v>
                </c:pt>
              </c:numCache>
            </c:numRef>
          </c:val>
          <c:extLst>
            <c:ext xmlns:c16="http://schemas.microsoft.com/office/drawing/2014/chart" uri="{C3380CC4-5D6E-409C-BE32-E72D297353CC}">
              <c16:uniqueId val="{00000006-451F-46D9-9E20-92A3528C0E2F}"/>
            </c:ext>
          </c:extLst>
        </c:ser>
        <c:ser>
          <c:idx val="7"/>
          <c:order val="7"/>
          <c:tx>
            <c:strRef>
              <c:f>M_A1!$C$20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(M_A1!$E$20,M_A1!$H$20)</c:f>
              <c:numCache>
                <c:formatCode>_-* #,##0.0\ _€_-;\-* #,##0.0\ _€_-;_-* "-"??\ _€_-;_-@_-</c:formatCode>
                <c:ptCount val="2"/>
                <c:pt idx="0">
                  <c:v>#N/A</c:v>
                </c:pt>
                <c:pt idx="1">
                  <c:v>#N/A</c:v>
                </c:pt>
              </c:numCache>
            </c:numRef>
          </c:val>
          <c:extLst>
            <c:ext xmlns:c16="http://schemas.microsoft.com/office/drawing/2014/chart" uri="{C3380CC4-5D6E-409C-BE32-E72D297353CC}">
              <c16:uniqueId val="{00000007-451F-46D9-9E20-92A3528C0E2F}"/>
            </c:ext>
          </c:extLst>
        </c:ser>
        <c:ser>
          <c:idx val="8"/>
          <c:order val="8"/>
          <c:tx>
            <c:strRef>
              <c:f>M_A1!$C$21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(M_A1!$D$11,M_A1!$G$11)</c:f>
              <c:strCache>
                <c:ptCount val="2"/>
                <c:pt idx="0">
                  <c:v>Vivienda Unifamiliar</c:v>
                </c:pt>
                <c:pt idx="1">
                  <c:v>Vivienda Plurifamiliar</c:v>
                </c:pt>
              </c:strCache>
            </c:strRef>
          </c:cat>
          <c:val>
            <c:numRef>
              <c:f>(M_A1!$E$21,M_A1!$H$21)</c:f>
              <c:numCache>
                <c:formatCode>_-* #,##0.0\ _€_-;\-* #,##0.0\ _€_-;_-* "-"??\ _€_-;_-@_-</c:formatCode>
                <c:ptCount val="2"/>
                <c:pt idx="0">
                  <c:v>#N/A</c:v>
                </c:pt>
                <c:pt idx="1">
                  <c:v>#N/A</c:v>
                </c:pt>
              </c:numCache>
            </c:numRef>
          </c:val>
          <c:extLst>
            <c:ext xmlns:c16="http://schemas.microsoft.com/office/drawing/2014/chart" uri="{C3380CC4-5D6E-409C-BE32-E72D297353CC}">
              <c16:uniqueId val="{00000008-451F-46D9-9E20-92A3528C0E2F}"/>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v>Demanda asociadas a terciario</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M_A1!$C$38:$C$42</c:f>
              <c:strCache>
                <c:ptCount val="5"/>
                <c:pt idx="0">
                  <c:v>Sin especificar</c:v>
                </c:pt>
                <c:pt idx="1">
                  <c:v>Oficinas</c:v>
                </c:pt>
                <c:pt idx="2">
                  <c:v>Comercio</c:v>
                </c:pt>
                <c:pt idx="3">
                  <c:v>Hotel</c:v>
                </c:pt>
                <c:pt idx="4">
                  <c:v>Restauración</c:v>
                </c:pt>
              </c:strCache>
            </c:strRef>
          </c:cat>
          <c:val>
            <c:numRef>
              <c:f>M_A1!$E$38:$E$42</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A956-4C64-A9E9-449377E35560}"/>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0238364229229"/>
          <c:y val="0.11827313126113227"/>
          <c:w val="0.47547274920169541"/>
          <c:h val="0.83114394133669933"/>
        </c:manualLayout>
      </c:layout>
      <c:doughnutChart>
        <c:varyColors val="1"/>
        <c:ser>
          <c:idx val="0"/>
          <c:order val="0"/>
          <c:tx>
            <c:strRef>
              <c:f>M_A0!$I$92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154-4035-97C8-11097EE5EC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308-40CE-A150-4206C2CBDF6C}"/>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M_A0!$I$90:$J$91</c:f>
              <c:strCache>
                <c:ptCount val="2"/>
                <c:pt idx="0">
                  <c:v>Industrial</c:v>
                </c:pt>
                <c:pt idx="1">
                  <c:v>Residencial, Terciario y Equipamientos</c:v>
                </c:pt>
              </c:strCache>
            </c:strRef>
          </c:cat>
          <c:val>
            <c:numRef>
              <c:f>M_A0!$K$90:$K$91</c:f>
              <c:numCache>
                <c:formatCode>#,##0.000</c:formatCode>
                <c:ptCount val="2"/>
                <c:pt idx="0">
                  <c:v>0</c:v>
                </c:pt>
                <c:pt idx="1">
                  <c:v>0</c:v>
                </c:pt>
              </c:numCache>
            </c:numRef>
          </c:val>
          <c:extLst>
            <c:ext xmlns:c16="http://schemas.microsoft.com/office/drawing/2014/chart" uri="{C3380CC4-5D6E-409C-BE32-E72D297353CC}">
              <c16:uniqueId val="{00000004-1154-4035-97C8-11097EE5ECAD}"/>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0.63920548358064799"/>
          <c:y val="0.32121884906905013"/>
          <c:w val="0.33567526356278671"/>
          <c:h val="0.4372353337785975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259238386603334"/>
          <c:w val="0.59254906630024495"/>
          <c:h val="0.63083419123755757"/>
        </c:manualLayout>
      </c:layout>
      <c:doughnutChart>
        <c:varyColors val="1"/>
        <c:ser>
          <c:idx val="0"/>
          <c:order val="0"/>
          <c:tx>
            <c:v>Emisiones asociadas a actividades económicas</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(M_A1!$D$27,M_A1!$D$36)</c:f>
              <c:strCache>
                <c:ptCount val="2"/>
                <c:pt idx="0">
                  <c:v>Industria</c:v>
                </c:pt>
                <c:pt idx="1">
                  <c:v>Terciario</c:v>
                </c:pt>
              </c:strCache>
            </c:strRef>
          </c:cat>
          <c:val>
            <c:numRef>
              <c:f>(M_A1!$F$29,M_A1!$F$43)</c:f>
              <c:numCache>
                <c:formatCode>_-* #,##0.0\ _€_-;\-* #,##0.0\ _€_-;_-* "-"??\ _€_-;_-@_-</c:formatCode>
                <c:ptCount val="2"/>
                <c:pt idx="0">
                  <c:v>0</c:v>
                </c:pt>
                <c:pt idx="1">
                  <c:v>0</c:v>
                </c:pt>
              </c:numCache>
            </c:numRef>
          </c:val>
          <c:extLst>
            <c:ext xmlns:c16="http://schemas.microsoft.com/office/drawing/2014/chart" uri="{C3380CC4-5D6E-409C-BE32-E72D297353CC}">
              <c16:uniqueId val="{00000000-6378-4DE3-9F81-53E5C8F41F2D}"/>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M_A1!$D$50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M_A1!$C$52:$C$55</c:f>
              <c:strCache>
                <c:ptCount val="4"/>
                <c:pt idx="0">
                  <c:v>Equipamientos - Sin especificar</c:v>
                </c:pt>
                <c:pt idx="1">
                  <c:v>Sanitario</c:v>
                </c:pt>
                <c:pt idx="2">
                  <c:v>Educativo</c:v>
                </c:pt>
                <c:pt idx="3">
                  <c:v>Deportivo</c:v>
                </c:pt>
              </c:strCache>
            </c:strRef>
          </c:cat>
          <c:val>
            <c:numRef>
              <c:f>M_A1!$F$52:$F$55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171E-40C5-B894-A484D12C7B62}"/>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v>Demanda asociadas a terciario</c:v>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M_A1!$C$38:$C$42</c:f>
              <c:strCache>
                <c:ptCount val="5"/>
                <c:pt idx="0">
                  <c:v>Sin especificar</c:v>
                </c:pt>
                <c:pt idx="1">
                  <c:v>Oficinas</c:v>
                </c:pt>
                <c:pt idx="2">
                  <c:v>Comercio</c:v>
                </c:pt>
                <c:pt idx="3">
                  <c:v>Hotel</c:v>
                </c:pt>
                <c:pt idx="4">
                  <c:v>Restauración</c:v>
                </c:pt>
              </c:strCache>
            </c:strRef>
          </c:cat>
          <c:val>
            <c:numRef>
              <c:f>M_A1!$F$38:$F$42</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CB10-41EF-8B7C-411F7BEC019A}"/>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M_A1!$D$27</c:f>
              <c:strCache>
                <c:ptCount val="1"/>
                <c:pt idx="0">
                  <c:v>Industria</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M_A1!$C$29:$C$33</c:f>
              <c:strCache>
                <c:ptCount val="5"/>
                <c:pt idx="0">
                  <c:v>Sin especificar</c:v>
                </c:pt>
                <c:pt idx="1">
                  <c:v>Cerámica</c:v>
                </c:pt>
                <c:pt idx="2">
                  <c:v>Agroalimentaria</c:v>
                </c:pt>
                <c:pt idx="3">
                  <c:v>Logística</c:v>
                </c:pt>
                <c:pt idx="4">
                  <c:v>Textil</c:v>
                </c:pt>
              </c:strCache>
            </c:strRef>
          </c:cat>
          <c:val>
            <c:numRef>
              <c:f>M_A1!$E$29:$E$33</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9FA3-4123-97C1-F3976783B650}"/>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M_A1!$D$27</c:f>
              <c:strCache>
                <c:ptCount val="1"/>
                <c:pt idx="0">
                  <c:v>Industria</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M_A1!$C$29:$C$33</c:f>
              <c:strCache>
                <c:ptCount val="5"/>
                <c:pt idx="0">
                  <c:v>Sin especificar</c:v>
                </c:pt>
                <c:pt idx="1">
                  <c:v>Cerámica</c:v>
                </c:pt>
                <c:pt idx="2">
                  <c:v>Agroalimentaria</c:v>
                </c:pt>
                <c:pt idx="3">
                  <c:v>Logística</c:v>
                </c:pt>
                <c:pt idx="4">
                  <c:v>Textil</c:v>
                </c:pt>
              </c:strCache>
            </c:strRef>
          </c:cat>
          <c:val>
            <c:numRef>
              <c:f>M_A1!$F$29:$F$33</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5F80-45BC-81BD-31E952FFC8FF}"/>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92645129993019"/>
          <c:y val="0.11905209667093469"/>
          <c:w val="0.45421423681743117"/>
          <c:h val="0.84134974609629309"/>
        </c:manualLayout>
      </c:layout>
      <c:doughnutChart>
        <c:varyColors val="1"/>
        <c:ser>
          <c:idx val="0"/>
          <c:order val="0"/>
          <c:tx>
            <c:v>Consumo de agua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746-482E-999E-58E8790B50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746-482E-999E-58E8790B50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746-482E-999E-58E8790B50E4}"/>
              </c:ext>
            </c:extLst>
          </c:dPt>
          <c:cat>
            <c:strRef>
              <c:f>M_A2!$C$89:$C$91</c:f>
              <c:strCache>
                <c:ptCount val="3"/>
                <c:pt idx="0">
                  <c:v>Residencial </c:v>
                </c:pt>
                <c:pt idx="1">
                  <c:v>Actividades económicas</c:v>
                </c:pt>
                <c:pt idx="2">
                  <c:v>Dotacional</c:v>
                </c:pt>
              </c:strCache>
            </c:strRef>
          </c:cat>
          <c:val>
            <c:numRef>
              <c:f>M_A2!$F$89:$F$91</c:f>
              <c:numCache>
                <c:formatCode>#,##0.000</c:formatCode>
                <c:ptCount val="3"/>
                <c:pt idx="0">
                  <c:v>0</c:v>
                </c:pt>
                <c:pt idx="1">
                  <c:v>0</c:v>
                </c:pt>
                <c:pt idx="2">
                  <c:v>0</c:v>
                </c:pt>
              </c:numCache>
            </c:numRef>
          </c:val>
          <c:extLst>
            <c:ext xmlns:c16="http://schemas.microsoft.com/office/drawing/2014/chart" uri="{C3380CC4-5D6E-409C-BE32-E72D297353CC}">
              <c16:uniqueId val="{00000006-9746-482E-999E-58E8790B50E4}"/>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2841894786626"/>
          <c:y val="0.1677119394971491"/>
          <c:w val="0.49452925568588135"/>
          <c:h val="0.79975592001027707"/>
        </c:manualLayout>
      </c:layout>
      <c:doughnutChart>
        <c:varyColors val="1"/>
        <c:ser>
          <c:idx val="0"/>
          <c:order val="0"/>
          <c:tx>
            <c:strRef>
              <c:f>M_A2!$I$86</c:f>
              <c:strCache>
                <c:ptCount val="1"/>
                <c:pt idx="0">
                  <c:v>D. Emisiones asociadas a gestión de residuos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5FC-43F4-81D5-4873A51400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DF-4767-836D-EEC0EC86C614}"/>
              </c:ext>
            </c:extLst>
          </c:dPt>
          <c:cat>
            <c:strRef>
              <c:f>M_A2!$I$89:$J$90</c:f>
              <c:strCache>
                <c:ptCount val="2"/>
                <c:pt idx="0">
                  <c:v>Industrial</c:v>
                </c:pt>
                <c:pt idx="1">
                  <c:v>Residencial, Terciario y Equipamientos</c:v>
                </c:pt>
              </c:strCache>
            </c:strRef>
          </c:cat>
          <c:val>
            <c:numRef>
              <c:f>M_A2!$K$89:$K$90</c:f>
              <c:numCache>
                <c:formatCode>#,##0.000</c:formatCode>
                <c:ptCount val="2"/>
                <c:pt idx="0">
                  <c:v>0</c:v>
                </c:pt>
                <c:pt idx="1">
                  <c:v>0</c:v>
                </c:pt>
              </c:numCache>
            </c:numRef>
          </c:val>
          <c:extLst>
            <c:ext xmlns:c16="http://schemas.microsoft.com/office/drawing/2014/chart" uri="{C3380CC4-5D6E-409C-BE32-E72D297353CC}">
              <c16:uniqueId val="{00000002-E5FC-43F4-81D5-4873A514005A}"/>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222591791972"/>
          <c:y val="0.16386455567411967"/>
          <c:w val="0.4024934067895457"/>
          <c:h val="0.71139600962850835"/>
        </c:manualLayout>
      </c:layout>
      <c:doughnutChart>
        <c:varyColors val="1"/>
        <c:ser>
          <c:idx val="0"/>
          <c:order val="0"/>
          <c:tx>
            <c:v>Modos de transporte</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8B9-4DEA-9745-FA52EFEE0B9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8B9-4DEA-9745-FA52EFEE0B9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8B9-4DEA-9745-FA52EFEE0B9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8B9-4DEA-9745-FA52EFEE0B9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8B9-4DEA-9745-FA52EFEE0B9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8B9-4DEA-9745-FA52EFEE0B91}"/>
              </c:ext>
            </c:extLst>
          </c:dPt>
          <c:cat>
            <c:strRef>
              <c:f>M_A2!$C$78:$C$83</c:f>
              <c:strCache>
                <c:ptCount val="6"/>
                <c:pt idx="0">
                  <c:v>Andando</c:v>
                </c:pt>
                <c:pt idx="1">
                  <c:v>Bici</c:v>
                </c:pt>
                <c:pt idx="2">
                  <c:v>Automóvil/Vehículo privado</c:v>
                </c:pt>
                <c:pt idx="3">
                  <c:v>Autobus discrecional</c:v>
                </c:pt>
                <c:pt idx="4">
                  <c:v>Autobús urbano e interurbano</c:v>
                </c:pt>
                <c:pt idx="5">
                  <c:v>Ferrocarril</c:v>
                </c:pt>
              </c:strCache>
            </c:strRef>
          </c:cat>
          <c:val>
            <c:numRef>
              <c:f>M_A2!$O$78:$O$83</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A8B9-4DEA-9745-FA52EFEE0B91}"/>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69039101041951734"/>
          <c:y val="0.22807414777426951"/>
          <c:w val="0.30321455510853434"/>
          <c:h val="0.67665913708090897"/>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7.2917819845750784E-2"/>
          <c:w val="0.48629109997613928"/>
          <c:h val="0.795219995817804"/>
        </c:manualLayout>
      </c:layout>
      <c:barChart>
        <c:barDir val="col"/>
        <c:grouping val="clustered"/>
        <c:varyColors val="0"/>
        <c:ser>
          <c:idx val="0"/>
          <c:order val="0"/>
          <c:tx>
            <c:strRef>
              <c:f>M_A2!$C$13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(M_A2!$E$13,M_A2!$H$13)</c:f>
              <c:numCache>
                <c:formatCode>_-* #,##0.0\ _€_-;\-* #,##0.0\ _€_-;_-* "-"??\ _€_-;_-@_-</c:formatCode>
                <c:ptCount val="2"/>
                <c:pt idx="0">
                  <c:v>#N/A</c:v>
                </c:pt>
                <c:pt idx="1">
                  <c:v>#N/A</c:v>
                </c:pt>
              </c:numCache>
            </c:numRef>
          </c:val>
          <c:extLst>
            <c:ext xmlns:c16="http://schemas.microsoft.com/office/drawing/2014/chart" uri="{C3380CC4-5D6E-409C-BE32-E72D297353CC}">
              <c16:uniqueId val="{00000000-7803-4B3F-A367-37DD6B099F48}"/>
            </c:ext>
          </c:extLst>
        </c:ser>
        <c:ser>
          <c:idx val="1"/>
          <c:order val="1"/>
          <c:tx>
            <c:strRef>
              <c:f>M_A2!$C$14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(M_A2!$E$14,M_A2!$H$14)</c:f>
              <c:numCache>
                <c:formatCode>_-* #,##0.0\ _€_-;\-* #,##0.0\ _€_-;_-* "-"??\ _€_-;_-@_-</c:formatCode>
                <c:ptCount val="2"/>
                <c:pt idx="0">
                  <c:v>#N/A</c:v>
                </c:pt>
                <c:pt idx="1">
                  <c:v>#N/A</c:v>
                </c:pt>
              </c:numCache>
            </c:numRef>
          </c:val>
          <c:extLst>
            <c:ext xmlns:c16="http://schemas.microsoft.com/office/drawing/2014/chart" uri="{C3380CC4-5D6E-409C-BE32-E72D297353CC}">
              <c16:uniqueId val="{00000001-7803-4B3F-A367-37DD6B099F48}"/>
            </c:ext>
          </c:extLst>
        </c:ser>
        <c:ser>
          <c:idx val="2"/>
          <c:order val="2"/>
          <c:tx>
            <c:strRef>
              <c:f>M_A2!$C$15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(M_A2!$E$15,M_A2!$H$15)</c:f>
              <c:numCache>
                <c:formatCode>_-* #,##0.0\ _€_-;\-* #,##0.0\ _€_-;_-* "-"??\ _€_-;_-@_-</c:formatCode>
                <c:ptCount val="2"/>
                <c:pt idx="0">
                  <c:v>#N/A</c:v>
                </c:pt>
                <c:pt idx="1">
                  <c:v>#N/A</c:v>
                </c:pt>
              </c:numCache>
            </c:numRef>
          </c:val>
          <c:extLst>
            <c:ext xmlns:c16="http://schemas.microsoft.com/office/drawing/2014/chart" uri="{C3380CC4-5D6E-409C-BE32-E72D297353CC}">
              <c16:uniqueId val="{00000002-7803-4B3F-A367-37DD6B099F48}"/>
            </c:ext>
          </c:extLst>
        </c:ser>
        <c:ser>
          <c:idx val="3"/>
          <c:order val="3"/>
          <c:tx>
            <c:strRef>
              <c:f>M_A2!$C$16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(M_A2!$E$16,M_A2!$H$16)</c:f>
              <c:numCache>
                <c:formatCode>_-* #,##0.0\ _€_-;\-* #,##0.0\ _€_-;_-* "-"??\ _€_-;_-@_-</c:formatCode>
                <c:ptCount val="2"/>
                <c:pt idx="0">
                  <c:v>#N/A</c:v>
                </c:pt>
                <c:pt idx="1">
                  <c:v>#N/A</c:v>
                </c:pt>
              </c:numCache>
            </c:numRef>
          </c:val>
          <c:extLst>
            <c:ext xmlns:c16="http://schemas.microsoft.com/office/drawing/2014/chart" uri="{C3380CC4-5D6E-409C-BE32-E72D297353CC}">
              <c16:uniqueId val="{00000003-7803-4B3F-A367-37DD6B099F48}"/>
            </c:ext>
          </c:extLst>
        </c:ser>
        <c:ser>
          <c:idx val="4"/>
          <c:order val="4"/>
          <c:tx>
            <c:strRef>
              <c:f>M_A2!$C$17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(M_A2!$E$17,M_A2!$H$17)</c:f>
              <c:numCache>
                <c:formatCode>_-* #,##0.0\ _€_-;\-* #,##0.0\ _€_-;_-* "-"??\ _€_-;_-@_-</c:formatCode>
                <c:ptCount val="2"/>
                <c:pt idx="0">
                  <c:v>#N/A</c:v>
                </c:pt>
                <c:pt idx="1">
                  <c:v>#N/A</c:v>
                </c:pt>
              </c:numCache>
            </c:numRef>
          </c:val>
          <c:extLst>
            <c:ext xmlns:c16="http://schemas.microsoft.com/office/drawing/2014/chart" uri="{C3380CC4-5D6E-409C-BE32-E72D297353CC}">
              <c16:uniqueId val="{00000004-7803-4B3F-A367-37DD6B099F48}"/>
            </c:ext>
          </c:extLst>
        </c:ser>
        <c:ser>
          <c:idx val="5"/>
          <c:order val="5"/>
          <c:tx>
            <c:strRef>
              <c:f>M_A2!$C$18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(M_A2!$E$18,M_A2!$H$18)</c:f>
              <c:numCache>
                <c:formatCode>_-* #,##0.0\ _€_-;\-* #,##0.0\ _€_-;_-* "-"??\ _€_-;_-@_-</c:formatCode>
                <c:ptCount val="2"/>
                <c:pt idx="0">
                  <c:v>#N/A</c:v>
                </c:pt>
                <c:pt idx="1">
                  <c:v>#N/A</c:v>
                </c:pt>
              </c:numCache>
            </c:numRef>
          </c:val>
          <c:extLst>
            <c:ext xmlns:c16="http://schemas.microsoft.com/office/drawing/2014/chart" uri="{C3380CC4-5D6E-409C-BE32-E72D297353CC}">
              <c16:uniqueId val="{00000005-7803-4B3F-A367-37DD6B099F48}"/>
            </c:ext>
          </c:extLst>
        </c:ser>
        <c:ser>
          <c:idx val="6"/>
          <c:order val="6"/>
          <c:tx>
            <c:strRef>
              <c:f>M_A2!$C$19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(M_A2!$E$19,M_A2!$H$19)</c:f>
              <c:numCache>
                <c:formatCode>_-* #,##0.0\ _€_-;\-* #,##0.0\ _€_-;_-* "-"??\ _€_-;_-@_-</c:formatCode>
                <c:ptCount val="2"/>
                <c:pt idx="0">
                  <c:v>#N/A</c:v>
                </c:pt>
                <c:pt idx="1">
                  <c:v>#N/A</c:v>
                </c:pt>
              </c:numCache>
            </c:numRef>
          </c:val>
          <c:extLst>
            <c:ext xmlns:c16="http://schemas.microsoft.com/office/drawing/2014/chart" uri="{C3380CC4-5D6E-409C-BE32-E72D297353CC}">
              <c16:uniqueId val="{00000006-7803-4B3F-A367-37DD6B099F48}"/>
            </c:ext>
          </c:extLst>
        </c:ser>
        <c:ser>
          <c:idx val="7"/>
          <c:order val="7"/>
          <c:tx>
            <c:strRef>
              <c:f>M_A2!$C$20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(M_A2!$E$20,M_A2!$H$20)</c:f>
              <c:numCache>
                <c:formatCode>_-* #,##0.0\ _€_-;\-* #,##0.0\ _€_-;_-* "-"??\ _€_-;_-@_-</c:formatCode>
                <c:ptCount val="2"/>
                <c:pt idx="0">
                  <c:v>#N/A</c:v>
                </c:pt>
                <c:pt idx="1">
                  <c:v>#N/A</c:v>
                </c:pt>
              </c:numCache>
            </c:numRef>
          </c:val>
          <c:extLst>
            <c:ext xmlns:c16="http://schemas.microsoft.com/office/drawing/2014/chart" uri="{C3380CC4-5D6E-409C-BE32-E72D297353CC}">
              <c16:uniqueId val="{00000007-7803-4B3F-A367-37DD6B099F48}"/>
            </c:ext>
          </c:extLst>
        </c:ser>
        <c:ser>
          <c:idx val="8"/>
          <c:order val="8"/>
          <c:tx>
            <c:strRef>
              <c:f>M_A2!$C$21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(M_A2!$E$21,M_A2!$H$21)</c:f>
              <c:numCache>
                <c:formatCode>_-* #,##0.0\ _€_-;\-* #,##0.0\ _€_-;_-* "-"??\ _€_-;_-@_-</c:formatCode>
                <c:ptCount val="2"/>
                <c:pt idx="0">
                  <c:v>#N/A</c:v>
                </c:pt>
                <c:pt idx="1">
                  <c:v>#N/A</c:v>
                </c:pt>
              </c:numCache>
            </c:numRef>
          </c:val>
          <c:extLst>
            <c:ext xmlns:c16="http://schemas.microsoft.com/office/drawing/2014/chart" uri="{C3380CC4-5D6E-409C-BE32-E72D297353CC}">
              <c16:uniqueId val="{00000008-7803-4B3F-A367-37DD6B099F48}"/>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253432732479674E-2"/>
          <c:y val="0.19621616363076924"/>
          <c:w val="0.51555832404039625"/>
          <c:h val="0.66563372889444816"/>
        </c:manualLayout>
      </c:layout>
      <c:doughnutChart>
        <c:varyColors val="1"/>
        <c:ser>
          <c:idx val="0"/>
          <c:order val="0"/>
          <c:tx>
            <c:v>Por uso del suelo</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51-418E-AAD9-82F0A0254F8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51-418E-AAD9-82F0A0254F8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51-418E-AAD9-82F0A0254F8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51-418E-AAD9-82F0A0254F8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51-418E-AAD9-82F0A0254F8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751-418E-AAD9-82F0A0254F8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751-418E-AAD9-82F0A0254F8D}"/>
              </c:ext>
            </c:extLst>
          </c:dPt>
          <c:cat>
            <c:strRef>
              <c:f>M_A2!$D$77:$J$77</c:f>
              <c:strCache>
                <c:ptCount val="7"/>
                <c:pt idx="0">
                  <c:v>Uso residencial</c:v>
                </c:pt>
                <c:pt idx="1">
                  <c:v>Uso comercial/terciario</c:v>
                </c:pt>
                <c:pt idx="2">
                  <c:v>Uso de oficinas</c:v>
                </c:pt>
                <c:pt idx="3">
                  <c:v>Uso industrial</c:v>
                </c:pt>
                <c:pt idx="4">
                  <c:v>Equipamientos</c:v>
                </c:pt>
                <c:pt idx="5">
                  <c:v>Zonas verdes</c:v>
                </c:pt>
                <c:pt idx="6">
                  <c:v>Franja costera</c:v>
                </c:pt>
              </c:strCache>
            </c:strRef>
          </c:cat>
          <c:val>
            <c:numRef>
              <c:f>M_A2!$D$84:$J$84</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6751-418E-AAD9-82F0A0254F8D}"/>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60980781411213347"/>
          <c:y val="0.34238067826003943"/>
          <c:w val="0.36445518579990249"/>
          <c:h val="0.42827504251756343"/>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222591791972"/>
          <c:y val="9.7509236071584723E-2"/>
          <c:w val="0.46076449453858104"/>
          <c:h val="0.77775153533695396"/>
        </c:manualLayout>
      </c:layout>
      <c:doughnutChart>
        <c:varyColors val="1"/>
        <c:ser>
          <c:idx val="0"/>
          <c:order val="0"/>
          <c:tx>
            <c:v>Modos de transporte</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5AF-4057-AA40-DEC8223D36F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69E-4147-9057-FDE7E73F8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69E-4147-9057-FDE7E73F8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69E-4147-9057-FDE7E73F8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69E-4147-9057-FDE7E73F8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69E-4147-9057-FDE7E73F8B17}"/>
              </c:ext>
            </c:extLst>
          </c:dPt>
          <c:cat>
            <c:strRef>
              <c:f>M_A0!$C$78:$C$83</c:f>
              <c:strCache>
                <c:ptCount val="6"/>
                <c:pt idx="0">
                  <c:v>Andando</c:v>
                </c:pt>
                <c:pt idx="1">
                  <c:v>Bici</c:v>
                </c:pt>
                <c:pt idx="2">
                  <c:v>Automóvil/Vehículo privado</c:v>
                </c:pt>
                <c:pt idx="3">
                  <c:v>Autobus discrecional</c:v>
                </c:pt>
                <c:pt idx="4">
                  <c:v>Autobús urbano e interurbano</c:v>
                </c:pt>
                <c:pt idx="5">
                  <c:v>Ferrocarril</c:v>
                </c:pt>
              </c:strCache>
            </c:strRef>
          </c:cat>
          <c:val>
            <c:numRef>
              <c:f>M_A0!$O$78:$O$83</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0-F5AF-4057-AA40-DEC8223D36FC}"/>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6509536134213707"/>
          <c:y val="0.14947580521699705"/>
          <c:w val="0.30321455510853434"/>
          <c:h val="0.67665913708090897"/>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58856074867256"/>
          <c:y val="0.23623178318179844"/>
          <c:w val="0.61063795046184777"/>
          <c:h val="0.6561827699714331"/>
        </c:manualLayout>
      </c:layout>
      <c:doughnutChart>
        <c:varyColors val="1"/>
        <c:ser>
          <c:idx val="1"/>
          <c:order val="0"/>
          <c:tx>
            <c:strRef>
              <c:f>M_A2!$T$95</c:f>
              <c:strCache>
                <c:ptCount val="1"/>
                <c:pt idx="0">
                  <c:v>t CO2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A0-4855-BA8B-71B94E83B53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A0-4855-BA8B-71B94E83B53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A0-4855-BA8B-71B94E83B53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A0-4855-BA8B-71B94E83B5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6A0-4855-BA8B-71B94E83B53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6A0-4855-BA8B-71B94E83B5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M_A2!$Q$96:$Q$101</c:f>
              <c:strCache>
                <c:ptCount val="6"/>
                <c:pt idx="0">
                  <c:v>Bosque</c:v>
                </c:pt>
                <c:pt idx="1">
                  <c:v>Garriga/Matorral (arbustivas)/Prado</c:v>
                </c:pt>
                <c:pt idx="2">
                  <c:v>Cultivo</c:v>
                </c:pt>
                <c:pt idx="3">
                  <c:v>Marismas y humedales</c:v>
                </c:pt>
                <c:pt idx="4">
                  <c:v>Otras tierras</c:v>
                </c:pt>
                <c:pt idx="5">
                  <c:v>Asentamientos</c:v>
                </c:pt>
              </c:strCache>
            </c:strRef>
          </c:cat>
          <c:val>
            <c:numRef>
              <c:f>M_A2!$T$96:$T$101</c:f>
              <c:numCache>
                <c:formatCode>General</c:formatCode>
                <c:ptCount val="6"/>
                <c:pt idx="0">
                  <c:v>0</c:v>
                </c:pt>
              </c:numCache>
            </c:numRef>
          </c:val>
          <c:extLst>
            <c:ext xmlns:c16="http://schemas.microsoft.com/office/drawing/2014/chart" uri="{C3380CC4-5D6E-409C-BE32-E72D297353CC}">
              <c16:uniqueId val="{0000000C-A6A0-4855-BA8B-71B94E83B536}"/>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1.0255787435310946E-4"/>
          <c:y val="0.18871952486420004"/>
          <c:w val="0.27801192816291909"/>
          <c:h val="0.8112800867752755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511-4CDA-9AE6-2CAB83BDF9B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511-4CDA-9AE6-2CAB83BDF9B3}"/>
              </c:ext>
            </c:extLst>
          </c:dPt>
          <c:dLbls>
            <c:dLbl>
              <c:idx val="0"/>
              <c:layout>
                <c:manualLayout>
                  <c:x val="7.0656691604322447E-2"/>
                  <c:y val="1.47504388352340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11-4CDA-9AE6-2CAB83BDF9B3}"/>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7374444466262166"/>
                      <c:h val="0.23304919058418702"/>
                    </c:manualLayout>
                  </c15:layout>
                </c:ext>
                <c:ext xmlns:c16="http://schemas.microsoft.com/office/drawing/2014/chart" uri="{C3380CC4-5D6E-409C-BE32-E72D297353CC}">
                  <c16:uniqueId val="{00000003-F511-4CDA-9AE6-2CAB83BDF9B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(M_A2!$D$11,M_A2!$G$11)</c:f>
              <c:strCache>
                <c:ptCount val="2"/>
                <c:pt idx="0">
                  <c:v>Vivienda Unifamiliar</c:v>
                </c:pt>
                <c:pt idx="1">
                  <c:v>Vivienda Plurifamiliar</c:v>
                </c:pt>
              </c:strCache>
            </c:strRef>
          </c:cat>
          <c:val>
            <c:numRef>
              <c:f>(M_A2!$E$22,M_A2!$H$22)</c:f>
              <c:numCache>
                <c:formatCode>_-* #,##0.0\ _€_-;\-* #,##0.0\ _€_-;_-* "-"??\ _€_-;_-@_-</c:formatCode>
                <c:ptCount val="2"/>
                <c:pt idx="0">
                  <c:v>#N/A</c:v>
                </c:pt>
                <c:pt idx="1">
                  <c:v>#N/A</c:v>
                </c:pt>
              </c:numCache>
            </c:numRef>
          </c:val>
          <c:extLst>
            <c:ext xmlns:c16="http://schemas.microsoft.com/office/drawing/2014/chart" uri="{C3380CC4-5D6E-409C-BE32-E72D297353CC}">
              <c16:uniqueId val="{00000004-F511-4CDA-9AE6-2CAB83BDF9B3}"/>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M_A2!$D$50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M_A2!$C$52:$C$55</c:f>
              <c:strCache>
                <c:ptCount val="4"/>
                <c:pt idx="0">
                  <c:v>Equipamientos - Sin especificar</c:v>
                </c:pt>
                <c:pt idx="1">
                  <c:v>Sanitario</c:v>
                </c:pt>
                <c:pt idx="2">
                  <c:v>Educativo</c:v>
                </c:pt>
                <c:pt idx="3">
                  <c:v>Deportivo</c:v>
                </c:pt>
              </c:strCache>
            </c:strRef>
          </c:cat>
          <c:val>
            <c:numRef>
              <c:f>M_A2!$E$52:$E$55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3F0B-4D1D-A347-15A95376E722}"/>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797425591622808E-2"/>
          <c:y val="0.14167045804775674"/>
          <c:w val="0.68049388430743019"/>
          <c:h val="0.66633536879016997"/>
        </c:manualLayout>
      </c:layout>
      <c:doughnutChart>
        <c:varyColors val="1"/>
        <c:ser>
          <c:idx val="0"/>
          <c:order val="0"/>
          <c:tx>
            <c:v>Demanda asociadas a actividades económicas</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(M_A2!$D$27,M_A2!$D$36)</c:f>
              <c:strCache>
                <c:ptCount val="2"/>
                <c:pt idx="0">
                  <c:v>Industria</c:v>
                </c:pt>
                <c:pt idx="1">
                  <c:v>Terciario</c:v>
                </c:pt>
              </c:strCache>
            </c:strRef>
          </c:cat>
          <c:val>
            <c:numRef>
              <c:f>(M_A2!$E$29,M_A2!$E$43)</c:f>
              <c:numCache>
                <c:formatCode>_-* #,##0.0\ _€_-;\-* #,##0.0\ _€_-;_-* "-"??\ _€_-;_-@_-</c:formatCode>
                <c:ptCount val="2"/>
                <c:pt idx="0">
                  <c:v>0</c:v>
                </c:pt>
                <c:pt idx="1">
                  <c:v>0</c:v>
                </c:pt>
              </c:numCache>
            </c:numRef>
          </c:val>
          <c:extLst>
            <c:ext xmlns:c16="http://schemas.microsoft.com/office/drawing/2014/chart" uri="{C3380CC4-5D6E-409C-BE32-E72D297353CC}">
              <c16:uniqueId val="{00000000-9DE8-4AA1-B189-013B24DE89DC}"/>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856-4F49-AFB3-5361B0BACE7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856-4F49-AFB3-5361B0BACE77}"/>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2809429195182379"/>
                      <c:h val="0.17837894926609721"/>
                    </c:manualLayout>
                  </c15:layout>
                </c:ext>
                <c:ext xmlns:c16="http://schemas.microsoft.com/office/drawing/2014/chart" uri="{C3380CC4-5D6E-409C-BE32-E72D297353CC}">
                  <c16:uniqueId val="{00000001-8856-4F49-AFB3-5361B0BACE77}"/>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6111282818619636"/>
                      <c:h val="0.23287743836365257"/>
                    </c:manualLayout>
                  </c15:layout>
                </c:ext>
                <c:ext xmlns:c16="http://schemas.microsoft.com/office/drawing/2014/chart" uri="{C3380CC4-5D6E-409C-BE32-E72D297353CC}">
                  <c16:uniqueId val="{00000003-8856-4F49-AFB3-5361B0BACE7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(M_A2!$D$11,M_A2!$G$11)</c:f>
              <c:strCache>
                <c:ptCount val="2"/>
                <c:pt idx="0">
                  <c:v>Vivienda Unifamiliar</c:v>
                </c:pt>
                <c:pt idx="1">
                  <c:v>Vivienda Plurifamiliar</c:v>
                </c:pt>
              </c:strCache>
            </c:strRef>
          </c:cat>
          <c:val>
            <c:numRef>
              <c:f>(M_A2!$F$22,M_A2!$I$22)</c:f>
              <c:numCache>
                <c:formatCode>_-* #,##0.0\ _€_-;\-* #,##0.0\ _€_-;_-* "-"??\ _€_-;_-@_-</c:formatCode>
                <c:ptCount val="2"/>
                <c:pt idx="0">
                  <c:v>#N/A</c:v>
                </c:pt>
                <c:pt idx="1">
                  <c:v>#N/A</c:v>
                </c:pt>
              </c:numCache>
            </c:numRef>
          </c:val>
          <c:extLst>
            <c:ext xmlns:c16="http://schemas.microsoft.com/office/drawing/2014/chart" uri="{C3380CC4-5D6E-409C-BE32-E72D297353CC}">
              <c16:uniqueId val="{00000004-8856-4F49-AFB3-5361B0BACE77}"/>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12440313570429908"/>
          <c:w val="0.48629109997613928"/>
          <c:h val="0.74281174563353025"/>
        </c:manualLayout>
      </c:layout>
      <c:barChart>
        <c:barDir val="col"/>
        <c:grouping val="clustered"/>
        <c:varyColors val="0"/>
        <c:ser>
          <c:idx val="0"/>
          <c:order val="0"/>
          <c:tx>
            <c:strRef>
              <c:f>M_A2!$C$13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(M_A2!$E$13,M_A2!$H$13)</c:f>
              <c:numCache>
                <c:formatCode>_-* #,##0.0\ _€_-;\-* #,##0.0\ _€_-;_-* "-"??\ _€_-;_-@_-</c:formatCode>
                <c:ptCount val="2"/>
                <c:pt idx="0">
                  <c:v>#N/A</c:v>
                </c:pt>
                <c:pt idx="1">
                  <c:v>#N/A</c:v>
                </c:pt>
              </c:numCache>
            </c:numRef>
          </c:val>
          <c:extLst>
            <c:ext xmlns:c16="http://schemas.microsoft.com/office/drawing/2014/chart" uri="{C3380CC4-5D6E-409C-BE32-E72D297353CC}">
              <c16:uniqueId val="{00000000-5D7C-4B4A-AA8B-D64E35BDD896}"/>
            </c:ext>
          </c:extLst>
        </c:ser>
        <c:ser>
          <c:idx val="1"/>
          <c:order val="1"/>
          <c:tx>
            <c:strRef>
              <c:f>M_A2!$C$14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(M_A2!$E$14,M_A2!$H$14)</c:f>
              <c:numCache>
                <c:formatCode>_-* #,##0.0\ _€_-;\-* #,##0.0\ _€_-;_-* "-"??\ _€_-;_-@_-</c:formatCode>
                <c:ptCount val="2"/>
                <c:pt idx="0">
                  <c:v>#N/A</c:v>
                </c:pt>
                <c:pt idx="1">
                  <c:v>#N/A</c:v>
                </c:pt>
              </c:numCache>
            </c:numRef>
          </c:val>
          <c:extLst>
            <c:ext xmlns:c16="http://schemas.microsoft.com/office/drawing/2014/chart" uri="{C3380CC4-5D6E-409C-BE32-E72D297353CC}">
              <c16:uniqueId val="{00000001-5D7C-4B4A-AA8B-D64E35BDD896}"/>
            </c:ext>
          </c:extLst>
        </c:ser>
        <c:ser>
          <c:idx val="2"/>
          <c:order val="2"/>
          <c:tx>
            <c:strRef>
              <c:f>M_A2!$C$15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(M_A2!$E$15,M_A2!$H$15)</c:f>
              <c:numCache>
                <c:formatCode>_-* #,##0.0\ _€_-;\-* #,##0.0\ _€_-;_-* "-"??\ _€_-;_-@_-</c:formatCode>
                <c:ptCount val="2"/>
                <c:pt idx="0">
                  <c:v>#N/A</c:v>
                </c:pt>
                <c:pt idx="1">
                  <c:v>#N/A</c:v>
                </c:pt>
              </c:numCache>
            </c:numRef>
          </c:val>
          <c:extLst>
            <c:ext xmlns:c16="http://schemas.microsoft.com/office/drawing/2014/chart" uri="{C3380CC4-5D6E-409C-BE32-E72D297353CC}">
              <c16:uniqueId val="{00000002-5D7C-4B4A-AA8B-D64E35BDD896}"/>
            </c:ext>
          </c:extLst>
        </c:ser>
        <c:ser>
          <c:idx val="3"/>
          <c:order val="3"/>
          <c:tx>
            <c:strRef>
              <c:f>M_A2!$C$16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(M_A2!$E$16,M_A2!$H$16)</c:f>
              <c:numCache>
                <c:formatCode>_-* #,##0.0\ _€_-;\-* #,##0.0\ _€_-;_-* "-"??\ _€_-;_-@_-</c:formatCode>
                <c:ptCount val="2"/>
                <c:pt idx="0">
                  <c:v>#N/A</c:v>
                </c:pt>
                <c:pt idx="1">
                  <c:v>#N/A</c:v>
                </c:pt>
              </c:numCache>
            </c:numRef>
          </c:val>
          <c:extLst>
            <c:ext xmlns:c16="http://schemas.microsoft.com/office/drawing/2014/chart" uri="{C3380CC4-5D6E-409C-BE32-E72D297353CC}">
              <c16:uniqueId val="{00000003-5D7C-4B4A-AA8B-D64E35BDD896}"/>
            </c:ext>
          </c:extLst>
        </c:ser>
        <c:ser>
          <c:idx val="4"/>
          <c:order val="4"/>
          <c:tx>
            <c:strRef>
              <c:f>M_A2!$C$17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(M_A2!$E$17,M_A2!$H$17)</c:f>
              <c:numCache>
                <c:formatCode>_-* #,##0.0\ _€_-;\-* #,##0.0\ _€_-;_-* "-"??\ _€_-;_-@_-</c:formatCode>
                <c:ptCount val="2"/>
                <c:pt idx="0">
                  <c:v>#N/A</c:v>
                </c:pt>
                <c:pt idx="1">
                  <c:v>#N/A</c:v>
                </c:pt>
              </c:numCache>
            </c:numRef>
          </c:val>
          <c:extLst>
            <c:ext xmlns:c16="http://schemas.microsoft.com/office/drawing/2014/chart" uri="{C3380CC4-5D6E-409C-BE32-E72D297353CC}">
              <c16:uniqueId val="{00000004-5D7C-4B4A-AA8B-D64E35BDD896}"/>
            </c:ext>
          </c:extLst>
        </c:ser>
        <c:ser>
          <c:idx val="5"/>
          <c:order val="5"/>
          <c:tx>
            <c:strRef>
              <c:f>M_A2!$C$18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(M_A2!$E$18,M_A2!$H$18)</c:f>
              <c:numCache>
                <c:formatCode>_-* #,##0.0\ _€_-;\-* #,##0.0\ _€_-;_-* "-"??\ _€_-;_-@_-</c:formatCode>
                <c:ptCount val="2"/>
                <c:pt idx="0">
                  <c:v>#N/A</c:v>
                </c:pt>
                <c:pt idx="1">
                  <c:v>#N/A</c:v>
                </c:pt>
              </c:numCache>
            </c:numRef>
          </c:val>
          <c:extLst>
            <c:ext xmlns:c16="http://schemas.microsoft.com/office/drawing/2014/chart" uri="{C3380CC4-5D6E-409C-BE32-E72D297353CC}">
              <c16:uniqueId val="{00000005-5D7C-4B4A-AA8B-D64E35BDD896}"/>
            </c:ext>
          </c:extLst>
        </c:ser>
        <c:ser>
          <c:idx val="6"/>
          <c:order val="6"/>
          <c:tx>
            <c:strRef>
              <c:f>M_A2!$C$19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(M_A2!$E$19,M_A2!$H$19)</c:f>
              <c:numCache>
                <c:formatCode>_-* #,##0.0\ _€_-;\-* #,##0.0\ _€_-;_-* "-"??\ _€_-;_-@_-</c:formatCode>
                <c:ptCount val="2"/>
                <c:pt idx="0">
                  <c:v>#N/A</c:v>
                </c:pt>
                <c:pt idx="1">
                  <c:v>#N/A</c:v>
                </c:pt>
              </c:numCache>
            </c:numRef>
          </c:val>
          <c:extLst>
            <c:ext xmlns:c16="http://schemas.microsoft.com/office/drawing/2014/chart" uri="{C3380CC4-5D6E-409C-BE32-E72D297353CC}">
              <c16:uniqueId val="{00000006-5D7C-4B4A-AA8B-D64E35BDD896}"/>
            </c:ext>
          </c:extLst>
        </c:ser>
        <c:ser>
          <c:idx val="7"/>
          <c:order val="7"/>
          <c:tx>
            <c:strRef>
              <c:f>M_A2!$C$20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(M_A2!$E$20,M_A2!$H$20)</c:f>
              <c:numCache>
                <c:formatCode>_-* #,##0.0\ _€_-;\-* #,##0.0\ _€_-;_-* "-"??\ _€_-;_-@_-</c:formatCode>
                <c:ptCount val="2"/>
                <c:pt idx="0">
                  <c:v>#N/A</c:v>
                </c:pt>
                <c:pt idx="1">
                  <c:v>#N/A</c:v>
                </c:pt>
              </c:numCache>
            </c:numRef>
          </c:val>
          <c:extLst>
            <c:ext xmlns:c16="http://schemas.microsoft.com/office/drawing/2014/chart" uri="{C3380CC4-5D6E-409C-BE32-E72D297353CC}">
              <c16:uniqueId val="{00000007-5D7C-4B4A-AA8B-D64E35BDD896}"/>
            </c:ext>
          </c:extLst>
        </c:ser>
        <c:ser>
          <c:idx val="8"/>
          <c:order val="8"/>
          <c:tx>
            <c:strRef>
              <c:f>M_A2!$C$21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(M_A2!$D$11,M_A2!$G$11)</c:f>
              <c:strCache>
                <c:ptCount val="2"/>
                <c:pt idx="0">
                  <c:v>Vivienda Unifamiliar</c:v>
                </c:pt>
                <c:pt idx="1">
                  <c:v>Vivienda Plurifamiliar</c:v>
                </c:pt>
              </c:strCache>
            </c:strRef>
          </c:cat>
          <c:val>
            <c:numRef>
              <c:f>(M_A2!$E$21,M_A2!$H$21)</c:f>
              <c:numCache>
                <c:formatCode>_-* #,##0.0\ _€_-;\-* #,##0.0\ _€_-;_-* "-"??\ _€_-;_-@_-</c:formatCode>
                <c:ptCount val="2"/>
                <c:pt idx="0">
                  <c:v>#N/A</c:v>
                </c:pt>
                <c:pt idx="1">
                  <c:v>#N/A</c:v>
                </c:pt>
              </c:numCache>
            </c:numRef>
          </c:val>
          <c:extLst>
            <c:ext xmlns:c16="http://schemas.microsoft.com/office/drawing/2014/chart" uri="{C3380CC4-5D6E-409C-BE32-E72D297353CC}">
              <c16:uniqueId val="{00000008-5D7C-4B4A-AA8B-D64E35BDD896}"/>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128686658686"/>
          <c:y val="0.30055416477014107"/>
          <c:w val="0.48629109997613928"/>
          <c:h val="0.74294473607465727"/>
        </c:manualLayout>
      </c:layout>
      <c:doughnutChart>
        <c:varyColors val="1"/>
        <c:ser>
          <c:idx val="0"/>
          <c:order val="0"/>
          <c:tx>
            <c:v>Demanda asociadas a terciario</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M_A2!$C$38:$C$42</c:f>
              <c:strCache>
                <c:ptCount val="5"/>
                <c:pt idx="0">
                  <c:v>Sin especificar</c:v>
                </c:pt>
                <c:pt idx="1">
                  <c:v>Oficinas</c:v>
                </c:pt>
                <c:pt idx="2">
                  <c:v>Comercio</c:v>
                </c:pt>
                <c:pt idx="3">
                  <c:v>Hotel</c:v>
                </c:pt>
                <c:pt idx="4">
                  <c:v>Restauración</c:v>
                </c:pt>
              </c:strCache>
            </c:strRef>
          </c:cat>
          <c:val>
            <c:numRef>
              <c:f>M_A2!$E$38:$E$42</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8E9F-47F8-BC28-E2C4C08DD4C9}"/>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259238386603334"/>
          <c:w val="0.59254906630024495"/>
          <c:h val="0.63083419123755757"/>
        </c:manualLayout>
      </c:layout>
      <c:doughnutChart>
        <c:varyColors val="1"/>
        <c:ser>
          <c:idx val="0"/>
          <c:order val="0"/>
          <c:tx>
            <c:v>Emisiones asociadas a actividades económicas</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(M_A2!$D$27,M_A2!$D$36)</c:f>
              <c:strCache>
                <c:ptCount val="2"/>
                <c:pt idx="0">
                  <c:v>Industria</c:v>
                </c:pt>
                <c:pt idx="1">
                  <c:v>Terciario</c:v>
                </c:pt>
              </c:strCache>
            </c:strRef>
          </c:cat>
          <c:val>
            <c:numRef>
              <c:f>(M_A2!$F$29,M_A2!$F$43)</c:f>
              <c:numCache>
                <c:formatCode>_-* #,##0.0\ _€_-;\-* #,##0.0\ _€_-;_-* "-"??\ _€_-;_-@_-</c:formatCode>
                <c:ptCount val="2"/>
                <c:pt idx="0">
                  <c:v>0</c:v>
                </c:pt>
                <c:pt idx="1">
                  <c:v>0</c:v>
                </c:pt>
              </c:numCache>
            </c:numRef>
          </c:val>
          <c:extLst>
            <c:ext xmlns:c16="http://schemas.microsoft.com/office/drawing/2014/chart" uri="{C3380CC4-5D6E-409C-BE32-E72D297353CC}">
              <c16:uniqueId val="{00000000-B2CD-4628-8F71-00D27B8F6F2D}"/>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M_A2!$D$50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M_A2!$C$52:$C$55</c:f>
              <c:strCache>
                <c:ptCount val="4"/>
                <c:pt idx="0">
                  <c:v>Equipamientos - Sin especificar</c:v>
                </c:pt>
                <c:pt idx="1">
                  <c:v>Sanitario</c:v>
                </c:pt>
                <c:pt idx="2">
                  <c:v>Educativo</c:v>
                </c:pt>
                <c:pt idx="3">
                  <c:v>Deportivo</c:v>
                </c:pt>
              </c:strCache>
            </c:strRef>
          </c:cat>
          <c:val>
            <c:numRef>
              <c:f>M_A2!$F$52:$F$55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5D28-4D60-A914-AEAF8F274D98}"/>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M_A2!$D$27</c:f>
              <c:strCache>
                <c:ptCount val="1"/>
                <c:pt idx="0">
                  <c:v>Industria</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M_A2!$C$29:$C$33</c:f>
              <c:strCache>
                <c:ptCount val="5"/>
                <c:pt idx="0">
                  <c:v>Sin especificar</c:v>
                </c:pt>
                <c:pt idx="1">
                  <c:v>Cerámica</c:v>
                </c:pt>
                <c:pt idx="2">
                  <c:v>Agroalimentaria</c:v>
                </c:pt>
                <c:pt idx="3">
                  <c:v>Logística</c:v>
                </c:pt>
                <c:pt idx="4">
                  <c:v>Textil</c:v>
                </c:pt>
              </c:strCache>
            </c:strRef>
          </c:cat>
          <c:val>
            <c:numRef>
              <c:f>M_A2!$E$29:$E$33</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C5F0-4D13-8FB4-A268A2B4F065}"/>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9533643375"/>
          <c:y val="0.13436330446700018"/>
          <c:w val="0.48629109997613928"/>
          <c:h val="0.74141173718477038"/>
        </c:manualLayout>
      </c:layout>
      <c:barChart>
        <c:barDir val="col"/>
        <c:grouping val="clustered"/>
        <c:varyColors val="0"/>
        <c:ser>
          <c:idx val="0"/>
          <c:order val="0"/>
          <c:tx>
            <c:strRef>
              <c:f>M_A0!$C$13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(M_A0!$E$13,M_A0!$H$13)</c:f>
              <c:numCache>
                <c:formatCode>_-* #,##0.0\ _€_-;\-* #,##0.0\ _€_-;_-* "-"??\ _€_-;_-@_-</c:formatCode>
                <c:ptCount val="2"/>
                <c:pt idx="0">
                  <c:v>#N/A</c:v>
                </c:pt>
                <c:pt idx="1">
                  <c:v>#N/A</c:v>
                </c:pt>
              </c:numCache>
            </c:numRef>
          </c:val>
          <c:extLst>
            <c:ext xmlns:c16="http://schemas.microsoft.com/office/drawing/2014/chart" uri="{C3380CC4-5D6E-409C-BE32-E72D297353CC}">
              <c16:uniqueId val="{00000007-3973-4D70-A02E-35BD002BE5C5}"/>
            </c:ext>
          </c:extLst>
        </c:ser>
        <c:ser>
          <c:idx val="1"/>
          <c:order val="1"/>
          <c:tx>
            <c:strRef>
              <c:f>M_A0!$C$14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(M_A0!$E$14,M_A0!$H$14)</c:f>
              <c:numCache>
                <c:formatCode>_-* #,##0.0\ _€_-;\-* #,##0.0\ _€_-;_-* "-"??\ _€_-;_-@_-</c:formatCode>
                <c:ptCount val="2"/>
                <c:pt idx="0">
                  <c:v>#N/A</c:v>
                </c:pt>
                <c:pt idx="1">
                  <c:v>#N/A</c:v>
                </c:pt>
              </c:numCache>
            </c:numRef>
          </c:val>
          <c:extLst>
            <c:ext xmlns:c16="http://schemas.microsoft.com/office/drawing/2014/chart" uri="{C3380CC4-5D6E-409C-BE32-E72D297353CC}">
              <c16:uniqueId val="{00000011-3973-4D70-A02E-35BD002BE5C5}"/>
            </c:ext>
          </c:extLst>
        </c:ser>
        <c:ser>
          <c:idx val="2"/>
          <c:order val="2"/>
          <c:tx>
            <c:strRef>
              <c:f>M_A0!$C$15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(M_A0!$E$15,M_A0!$H$15)</c:f>
              <c:numCache>
                <c:formatCode>_-* #,##0.0\ _€_-;\-* #,##0.0\ _€_-;_-* "-"??\ _€_-;_-@_-</c:formatCode>
                <c:ptCount val="2"/>
                <c:pt idx="0">
                  <c:v>#N/A</c:v>
                </c:pt>
                <c:pt idx="1">
                  <c:v>#N/A</c:v>
                </c:pt>
              </c:numCache>
            </c:numRef>
          </c:val>
          <c:extLst>
            <c:ext xmlns:c16="http://schemas.microsoft.com/office/drawing/2014/chart" uri="{C3380CC4-5D6E-409C-BE32-E72D297353CC}">
              <c16:uniqueId val="{00000000-5C18-4D43-859E-02EE00338AEB}"/>
            </c:ext>
          </c:extLst>
        </c:ser>
        <c:ser>
          <c:idx val="3"/>
          <c:order val="3"/>
          <c:tx>
            <c:strRef>
              <c:f>M_A0!$C$16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(M_A0!$E$16,M_A0!$H$16)</c:f>
              <c:numCache>
                <c:formatCode>_-* #,##0.0\ _€_-;\-* #,##0.0\ _€_-;_-* "-"??\ _€_-;_-@_-</c:formatCode>
                <c:ptCount val="2"/>
                <c:pt idx="0">
                  <c:v>#N/A</c:v>
                </c:pt>
                <c:pt idx="1">
                  <c:v>#N/A</c:v>
                </c:pt>
              </c:numCache>
            </c:numRef>
          </c:val>
          <c:extLst>
            <c:ext xmlns:c16="http://schemas.microsoft.com/office/drawing/2014/chart" uri="{C3380CC4-5D6E-409C-BE32-E72D297353CC}">
              <c16:uniqueId val="{00000001-5C18-4D43-859E-02EE00338AEB}"/>
            </c:ext>
          </c:extLst>
        </c:ser>
        <c:ser>
          <c:idx val="4"/>
          <c:order val="4"/>
          <c:tx>
            <c:strRef>
              <c:f>M_A0!$C$17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(M_A0!$E$17,M_A0!$H$17)</c:f>
              <c:numCache>
                <c:formatCode>_-* #,##0.0\ _€_-;\-* #,##0.0\ _€_-;_-* "-"??\ _€_-;_-@_-</c:formatCode>
                <c:ptCount val="2"/>
                <c:pt idx="0">
                  <c:v>#N/A</c:v>
                </c:pt>
                <c:pt idx="1">
                  <c:v>#N/A</c:v>
                </c:pt>
              </c:numCache>
            </c:numRef>
          </c:val>
          <c:extLst>
            <c:ext xmlns:c16="http://schemas.microsoft.com/office/drawing/2014/chart" uri="{C3380CC4-5D6E-409C-BE32-E72D297353CC}">
              <c16:uniqueId val="{00000002-5C18-4D43-859E-02EE00338AEB}"/>
            </c:ext>
          </c:extLst>
        </c:ser>
        <c:ser>
          <c:idx val="5"/>
          <c:order val="5"/>
          <c:tx>
            <c:strRef>
              <c:f>M_A0!$C$18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(M_A0!$E$18,M_A0!$H$18)</c:f>
              <c:numCache>
                <c:formatCode>_-* #,##0.0\ _€_-;\-* #,##0.0\ _€_-;_-* "-"??\ _€_-;_-@_-</c:formatCode>
                <c:ptCount val="2"/>
                <c:pt idx="0">
                  <c:v>#N/A</c:v>
                </c:pt>
                <c:pt idx="1">
                  <c:v>#N/A</c:v>
                </c:pt>
              </c:numCache>
            </c:numRef>
          </c:val>
          <c:extLst>
            <c:ext xmlns:c16="http://schemas.microsoft.com/office/drawing/2014/chart" uri="{C3380CC4-5D6E-409C-BE32-E72D297353CC}">
              <c16:uniqueId val="{00000003-5C18-4D43-859E-02EE00338AEB}"/>
            </c:ext>
          </c:extLst>
        </c:ser>
        <c:ser>
          <c:idx val="6"/>
          <c:order val="6"/>
          <c:tx>
            <c:strRef>
              <c:f>M_A0!$C$19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(M_A0!$E$19,M_A0!$H$19)</c:f>
              <c:numCache>
                <c:formatCode>_-* #,##0.0\ _€_-;\-* #,##0.0\ _€_-;_-* "-"??\ _€_-;_-@_-</c:formatCode>
                <c:ptCount val="2"/>
                <c:pt idx="0">
                  <c:v>#N/A</c:v>
                </c:pt>
                <c:pt idx="1">
                  <c:v>#N/A</c:v>
                </c:pt>
              </c:numCache>
            </c:numRef>
          </c:val>
          <c:extLst>
            <c:ext xmlns:c16="http://schemas.microsoft.com/office/drawing/2014/chart" uri="{C3380CC4-5D6E-409C-BE32-E72D297353CC}">
              <c16:uniqueId val="{00000004-5C18-4D43-859E-02EE00338AEB}"/>
            </c:ext>
          </c:extLst>
        </c:ser>
        <c:ser>
          <c:idx val="7"/>
          <c:order val="7"/>
          <c:tx>
            <c:strRef>
              <c:f>M_A0!$C$20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(M_A0!$E$20,M_A0!$H$20)</c:f>
              <c:numCache>
                <c:formatCode>_-* #,##0.0\ _€_-;\-* #,##0.0\ _€_-;_-* "-"??\ _€_-;_-@_-</c:formatCode>
                <c:ptCount val="2"/>
                <c:pt idx="0">
                  <c:v>#N/A</c:v>
                </c:pt>
                <c:pt idx="1">
                  <c:v>#N/A</c:v>
                </c:pt>
              </c:numCache>
            </c:numRef>
          </c:val>
          <c:extLst>
            <c:ext xmlns:c16="http://schemas.microsoft.com/office/drawing/2014/chart" uri="{C3380CC4-5D6E-409C-BE32-E72D297353CC}">
              <c16:uniqueId val="{00000005-5C18-4D43-859E-02EE00338AEB}"/>
            </c:ext>
          </c:extLst>
        </c:ser>
        <c:ser>
          <c:idx val="8"/>
          <c:order val="8"/>
          <c:tx>
            <c:strRef>
              <c:f>M_A0!$C$21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(M_A0!$D$11,M_A0!$G$11)</c:f>
              <c:strCache>
                <c:ptCount val="2"/>
                <c:pt idx="0">
                  <c:v>Vivienda Unifamiliar</c:v>
                </c:pt>
                <c:pt idx="1">
                  <c:v>Vivienda Plurifamiliar</c:v>
                </c:pt>
              </c:strCache>
            </c:strRef>
          </c:cat>
          <c:val>
            <c:numRef>
              <c:f>(M_A0!$E$21,M_A0!$H$21)</c:f>
              <c:numCache>
                <c:formatCode>_-* #,##0.0\ _€_-;\-* #,##0.0\ _€_-;_-* "-"??\ _€_-;_-@_-</c:formatCode>
                <c:ptCount val="2"/>
                <c:pt idx="0">
                  <c:v>#N/A</c:v>
                </c:pt>
                <c:pt idx="1">
                  <c:v>#N/A</c:v>
                </c:pt>
              </c:numCache>
            </c:numRef>
          </c:val>
          <c:extLst>
            <c:ext xmlns:c16="http://schemas.microsoft.com/office/drawing/2014/chart" uri="{C3380CC4-5D6E-409C-BE32-E72D297353CC}">
              <c16:uniqueId val="{00000006-5C18-4D43-859E-02EE00338AEB}"/>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M_A2!$D$27</c:f>
              <c:strCache>
                <c:ptCount val="1"/>
                <c:pt idx="0">
                  <c:v>Industria</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M_A2!$C$29:$C$33</c:f>
              <c:strCache>
                <c:ptCount val="5"/>
                <c:pt idx="0">
                  <c:v>Sin especificar</c:v>
                </c:pt>
                <c:pt idx="1">
                  <c:v>Cerámica</c:v>
                </c:pt>
                <c:pt idx="2">
                  <c:v>Agroalimentaria</c:v>
                </c:pt>
                <c:pt idx="3">
                  <c:v>Logística</c:v>
                </c:pt>
                <c:pt idx="4">
                  <c:v>Textil</c:v>
                </c:pt>
              </c:strCache>
            </c:strRef>
          </c:cat>
          <c:val>
            <c:numRef>
              <c:f>M_A2!$F$29:$F$33</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17AE-4D81-85FE-B69110D0EFDE}"/>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128686658686"/>
          <c:y val="0.30055416477014107"/>
          <c:w val="0.48629109997613928"/>
          <c:h val="0.74294473607465727"/>
        </c:manualLayout>
      </c:layout>
      <c:doughnutChart>
        <c:varyColors val="1"/>
        <c:ser>
          <c:idx val="0"/>
          <c:order val="0"/>
          <c:tx>
            <c:v>Demanda asociadas a terciario</c:v>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M_A2!$C$38:$C$42</c:f>
              <c:strCache>
                <c:ptCount val="5"/>
                <c:pt idx="0">
                  <c:v>Sin especificar</c:v>
                </c:pt>
                <c:pt idx="1">
                  <c:v>Oficinas</c:v>
                </c:pt>
                <c:pt idx="2">
                  <c:v>Comercio</c:v>
                </c:pt>
                <c:pt idx="3">
                  <c:v>Hotel</c:v>
                </c:pt>
                <c:pt idx="4">
                  <c:v>Restauración</c:v>
                </c:pt>
              </c:strCache>
            </c:strRef>
          </c:cat>
          <c:val>
            <c:numRef>
              <c:f>M_A2!$F$38:$F$42</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6AD2-457C-896E-ECE528F62C28}"/>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930760917329"/>
          <c:y val="0.15659919151273197"/>
          <c:w val="0.57048358803757027"/>
          <c:h val="0.7812270915301277"/>
        </c:manualLayout>
      </c:layout>
      <c:doughnutChart>
        <c:varyColors val="1"/>
        <c:ser>
          <c:idx val="0"/>
          <c:order val="0"/>
          <c:tx>
            <c:v>Consumo de agua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73D-4B44-BC24-92C46244DB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73D-4B44-BC24-92C46244DB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73D-4B44-BC24-92C46244DBE2}"/>
              </c:ext>
            </c:extLst>
          </c:dPt>
          <c:cat>
            <c:strRef>
              <c:f>M_A3!$C$89:$C$91</c:f>
              <c:strCache>
                <c:ptCount val="3"/>
                <c:pt idx="0">
                  <c:v>Residencial </c:v>
                </c:pt>
                <c:pt idx="1">
                  <c:v>Actividades económicas</c:v>
                </c:pt>
                <c:pt idx="2">
                  <c:v>Dotacional</c:v>
                </c:pt>
              </c:strCache>
            </c:strRef>
          </c:cat>
          <c:val>
            <c:numRef>
              <c:f>M_A3!$F$89:$F$91</c:f>
              <c:numCache>
                <c:formatCode>#,##0.000</c:formatCode>
                <c:ptCount val="3"/>
                <c:pt idx="0">
                  <c:v>0</c:v>
                </c:pt>
                <c:pt idx="1">
                  <c:v>0</c:v>
                </c:pt>
                <c:pt idx="2">
                  <c:v>0</c:v>
                </c:pt>
              </c:numCache>
            </c:numRef>
          </c:val>
          <c:extLst>
            <c:ext xmlns:c16="http://schemas.microsoft.com/office/drawing/2014/chart" uri="{C3380CC4-5D6E-409C-BE32-E72D297353CC}">
              <c16:uniqueId val="{00000006-173D-4B44-BC24-92C46244DBE2}"/>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147238679006"/>
          <c:y val="0.1720950729074206"/>
          <c:w val="0.58299536882637504"/>
          <c:h val="0.79138920007373903"/>
        </c:manualLayout>
      </c:layout>
      <c:doughnutChart>
        <c:varyColors val="1"/>
        <c:ser>
          <c:idx val="0"/>
          <c:order val="0"/>
          <c:tx>
            <c:strRef>
              <c:f>M_A3!$I$86</c:f>
              <c:strCache>
                <c:ptCount val="1"/>
                <c:pt idx="0">
                  <c:v>D. Emisiones asociadas a gestión de residuos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1CE-4405-982F-F8C92AB45BF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B3A-4680-A8E5-35C9E523B463}"/>
              </c:ext>
            </c:extLst>
          </c:dPt>
          <c:cat>
            <c:strRef>
              <c:f>M_A3!$I$89:$J$90</c:f>
              <c:strCache>
                <c:ptCount val="2"/>
                <c:pt idx="0">
                  <c:v>Industrial</c:v>
                </c:pt>
                <c:pt idx="1">
                  <c:v>Residencial, Terciario y Equipamientos</c:v>
                </c:pt>
              </c:strCache>
            </c:strRef>
          </c:cat>
          <c:val>
            <c:numRef>
              <c:f>M_A3!$K$89:$K$90</c:f>
              <c:numCache>
                <c:formatCode>#,##0.000</c:formatCode>
                <c:ptCount val="2"/>
                <c:pt idx="0">
                  <c:v>0</c:v>
                </c:pt>
                <c:pt idx="1">
                  <c:v>0</c:v>
                </c:pt>
              </c:numCache>
            </c:numRef>
          </c:val>
          <c:extLst>
            <c:ext xmlns:c16="http://schemas.microsoft.com/office/drawing/2014/chart" uri="{C3380CC4-5D6E-409C-BE32-E72D297353CC}">
              <c16:uniqueId val="{00000002-A1CE-4405-982F-F8C92AB45BF3}"/>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222591791972"/>
          <c:y val="0.19932019503928039"/>
          <c:w val="0.50855105798342382"/>
          <c:h val="0.67594059323456024"/>
        </c:manualLayout>
      </c:layout>
      <c:doughnutChart>
        <c:varyColors val="1"/>
        <c:ser>
          <c:idx val="0"/>
          <c:order val="0"/>
          <c:tx>
            <c:v>Modos de transporte</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49-4EBE-95BC-BD3DE96378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49-4EBE-95BC-BD3DE96378C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49-4EBE-95BC-BD3DE96378C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49-4EBE-95BC-BD3DE96378C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49-4EBE-95BC-BD3DE96378C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A49-4EBE-95BC-BD3DE96378C7}"/>
              </c:ext>
            </c:extLst>
          </c:dPt>
          <c:cat>
            <c:strRef>
              <c:f>M_A3!$C$78:$C$83</c:f>
              <c:strCache>
                <c:ptCount val="6"/>
                <c:pt idx="0">
                  <c:v>Andando</c:v>
                </c:pt>
                <c:pt idx="1">
                  <c:v>Bici</c:v>
                </c:pt>
                <c:pt idx="2">
                  <c:v>Automóvil/Vehículo privado</c:v>
                </c:pt>
                <c:pt idx="3">
                  <c:v>Autobus discrecional</c:v>
                </c:pt>
                <c:pt idx="4">
                  <c:v>Autobús urbano e interurbano</c:v>
                </c:pt>
                <c:pt idx="5">
                  <c:v>Ferrocarril</c:v>
                </c:pt>
              </c:strCache>
            </c:strRef>
          </c:cat>
          <c:val>
            <c:numRef>
              <c:f>M_A3!$O$78:$O$83</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1A49-4EBE-95BC-BD3DE96378C7}"/>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69039101041951734"/>
          <c:y val="0.22807414777426951"/>
          <c:w val="0.30321455510853434"/>
          <c:h val="0.67665913708090897"/>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7.8842344988133653E-2"/>
          <c:w val="0.48629109997613928"/>
          <c:h val="0.78929552972654071"/>
        </c:manualLayout>
      </c:layout>
      <c:barChart>
        <c:barDir val="col"/>
        <c:grouping val="clustered"/>
        <c:varyColors val="0"/>
        <c:ser>
          <c:idx val="0"/>
          <c:order val="0"/>
          <c:tx>
            <c:strRef>
              <c:f>M_A3!$C$13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(M_A3!$E$13,M_A3!$H$13)</c:f>
              <c:numCache>
                <c:formatCode>_-* #,##0.0\ _€_-;\-* #,##0.0\ _€_-;_-* "-"??\ _€_-;_-@_-</c:formatCode>
                <c:ptCount val="2"/>
                <c:pt idx="0">
                  <c:v>#N/A</c:v>
                </c:pt>
                <c:pt idx="1">
                  <c:v>#N/A</c:v>
                </c:pt>
              </c:numCache>
            </c:numRef>
          </c:val>
          <c:extLst>
            <c:ext xmlns:c16="http://schemas.microsoft.com/office/drawing/2014/chart" uri="{C3380CC4-5D6E-409C-BE32-E72D297353CC}">
              <c16:uniqueId val="{00000000-F73C-4E7A-8F82-A003BEBF189A}"/>
            </c:ext>
          </c:extLst>
        </c:ser>
        <c:ser>
          <c:idx val="1"/>
          <c:order val="1"/>
          <c:tx>
            <c:strRef>
              <c:f>M_A3!$C$14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(M_A3!$E$14,M_A3!$H$14)</c:f>
              <c:numCache>
                <c:formatCode>_-* #,##0.0\ _€_-;\-* #,##0.0\ _€_-;_-* "-"??\ _€_-;_-@_-</c:formatCode>
                <c:ptCount val="2"/>
                <c:pt idx="0">
                  <c:v>#N/A</c:v>
                </c:pt>
                <c:pt idx="1">
                  <c:v>#N/A</c:v>
                </c:pt>
              </c:numCache>
            </c:numRef>
          </c:val>
          <c:extLst>
            <c:ext xmlns:c16="http://schemas.microsoft.com/office/drawing/2014/chart" uri="{C3380CC4-5D6E-409C-BE32-E72D297353CC}">
              <c16:uniqueId val="{00000001-F73C-4E7A-8F82-A003BEBF189A}"/>
            </c:ext>
          </c:extLst>
        </c:ser>
        <c:ser>
          <c:idx val="2"/>
          <c:order val="2"/>
          <c:tx>
            <c:strRef>
              <c:f>M_A3!$C$15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(M_A3!$E$15,M_A3!$H$15)</c:f>
              <c:numCache>
                <c:formatCode>_-* #,##0.0\ _€_-;\-* #,##0.0\ _€_-;_-* "-"??\ _€_-;_-@_-</c:formatCode>
                <c:ptCount val="2"/>
                <c:pt idx="0">
                  <c:v>#N/A</c:v>
                </c:pt>
                <c:pt idx="1">
                  <c:v>#N/A</c:v>
                </c:pt>
              </c:numCache>
            </c:numRef>
          </c:val>
          <c:extLst>
            <c:ext xmlns:c16="http://schemas.microsoft.com/office/drawing/2014/chart" uri="{C3380CC4-5D6E-409C-BE32-E72D297353CC}">
              <c16:uniqueId val="{00000002-F73C-4E7A-8F82-A003BEBF189A}"/>
            </c:ext>
          </c:extLst>
        </c:ser>
        <c:ser>
          <c:idx val="3"/>
          <c:order val="3"/>
          <c:tx>
            <c:strRef>
              <c:f>M_A3!$C$16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(M_A3!$E$16,M_A3!$H$16)</c:f>
              <c:numCache>
                <c:formatCode>_-* #,##0.0\ _€_-;\-* #,##0.0\ _€_-;_-* "-"??\ _€_-;_-@_-</c:formatCode>
                <c:ptCount val="2"/>
                <c:pt idx="0">
                  <c:v>#N/A</c:v>
                </c:pt>
                <c:pt idx="1">
                  <c:v>#N/A</c:v>
                </c:pt>
              </c:numCache>
            </c:numRef>
          </c:val>
          <c:extLst>
            <c:ext xmlns:c16="http://schemas.microsoft.com/office/drawing/2014/chart" uri="{C3380CC4-5D6E-409C-BE32-E72D297353CC}">
              <c16:uniqueId val="{00000003-F73C-4E7A-8F82-A003BEBF189A}"/>
            </c:ext>
          </c:extLst>
        </c:ser>
        <c:ser>
          <c:idx val="4"/>
          <c:order val="4"/>
          <c:tx>
            <c:strRef>
              <c:f>M_A3!$C$17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(M_A3!$E$17,M_A3!$H$17)</c:f>
              <c:numCache>
                <c:formatCode>_-* #,##0.0\ _€_-;\-* #,##0.0\ _€_-;_-* "-"??\ _€_-;_-@_-</c:formatCode>
                <c:ptCount val="2"/>
                <c:pt idx="0">
                  <c:v>#N/A</c:v>
                </c:pt>
                <c:pt idx="1">
                  <c:v>#N/A</c:v>
                </c:pt>
              </c:numCache>
            </c:numRef>
          </c:val>
          <c:extLst>
            <c:ext xmlns:c16="http://schemas.microsoft.com/office/drawing/2014/chart" uri="{C3380CC4-5D6E-409C-BE32-E72D297353CC}">
              <c16:uniqueId val="{00000004-F73C-4E7A-8F82-A003BEBF189A}"/>
            </c:ext>
          </c:extLst>
        </c:ser>
        <c:ser>
          <c:idx val="5"/>
          <c:order val="5"/>
          <c:tx>
            <c:strRef>
              <c:f>M_A3!$C$18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(M_A3!$E$18,M_A3!$H$18)</c:f>
              <c:numCache>
                <c:formatCode>_-* #,##0.0\ _€_-;\-* #,##0.0\ _€_-;_-* "-"??\ _€_-;_-@_-</c:formatCode>
                <c:ptCount val="2"/>
                <c:pt idx="0">
                  <c:v>#N/A</c:v>
                </c:pt>
                <c:pt idx="1">
                  <c:v>#N/A</c:v>
                </c:pt>
              </c:numCache>
            </c:numRef>
          </c:val>
          <c:extLst>
            <c:ext xmlns:c16="http://schemas.microsoft.com/office/drawing/2014/chart" uri="{C3380CC4-5D6E-409C-BE32-E72D297353CC}">
              <c16:uniqueId val="{00000005-F73C-4E7A-8F82-A003BEBF189A}"/>
            </c:ext>
          </c:extLst>
        </c:ser>
        <c:ser>
          <c:idx val="6"/>
          <c:order val="6"/>
          <c:tx>
            <c:strRef>
              <c:f>M_A3!$C$19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(M_A3!$E$19,M_A3!$H$19)</c:f>
              <c:numCache>
                <c:formatCode>_-* #,##0.0\ _€_-;\-* #,##0.0\ _€_-;_-* "-"??\ _€_-;_-@_-</c:formatCode>
                <c:ptCount val="2"/>
                <c:pt idx="0">
                  <c:v>#N/A</c:v>
                </c:pt>
                <c:pt idx="1">
                  <c:v>#N/A</c:v>
                </c:pt>
              </c:numCache>
            </c:numRef>
          </c:val>
          <c:extLst>
            <c:ext xmlns:c16="http://schemas.microsoft.com/office/drawing/2014/chart" uri="{C3380CC4-5D6E-409C-BE32-E72D297353CC}">
              <c16:uniqueId val="{00000006-F73C-4E7A-8F82-A003BEBF189A}"/>
            </c:ext>
          </c:extLst>
        </c:ser>
        <c:ser>
          <c:idx val="7"/>
          <c:order val="7"/>
          <c:tx>
            <c:strRef>
              <c:f>M_A3!$C$20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(M_A3!$E$20,M_A3!$H$20)</c:f>
              <c:numCache>
                <c:formatCode>_-* #,##0.0\ _€_-;\-* #,##0.0\ _€_-;_-* "-"??\ _€_-;_-@_-</c:formatCode>
                <c:ptCount val="2"/>
                <c:pt idx="0">
                  <c:v>#N/A</c:v>
                </c:pt>
                <c:pt idx="1">
                  <c:v>#N/A</c:v>
                </c:pt>
              </c:numCache>
            </c:numRef>
          </c:val>
          <c:extLst>
            <c:ext xmlns:c16="http://schemas.microsoft.com/office/drawing/2014/chart" uri="{C3380CC4-5D6E-409C-BE32-E72D297353CC}">
              <c16:uniqueId val="{00000007-F73C-4E7A-8F82-A003BEBF189A}"/>
            </c:ext>
          </c:extLst>
        </c:ser>
        <c:ser>
          <c:idx val="8"/>
          <c:order val="8"/>
          <c:tx>
            <c:strRef>
              <c:f>M_A3!$C$21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(M_A3!$E$21,M_A3!$H$21)</c:f>
              <c:numCache>
                <c:formatCode>_-* #,##0.0\ _€_-;\-* #,##0.0\ _€_-;_-* "-"??\ _€_-;_-@_-</c:formatCode>
                <c:ptCount val="2"/>
                <c:pt idx="0">
                  <c:v>#N/A</c:v>
                </c:pt>
                <c:pt idx="1">
                  <c:v>#N/A</c:v>
                </c:pt>
              </c:numCache>
            </c:numRef>
          </c:val>
          <c:extLst>
            <c:ext xmlns:c16="http://schemas.microsoft.com/office/drawing/2014/chart" uri="{C3380CC4-5D6E-409C-BE32-E72D297353CC}">
              <c16:uniqueId val="{00000008-F73C-4E7A-8F82-A003BEBF189A}"/>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2286106010061399"/>
          <c:w val="0.51555832404039625"/>
          <c:h val="0.66563372889444816"/>
        </c:manualLayout>
      </c:layout>
      <c:doughnutChart>
        <c:varyColors val="1"/>
        <c:ser>
          <c:idx val="0"/>
          <c:order val="0"/>
          <c:tx>
            <c:v>Por uso del suelo</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D6A-4F52-8E97-79F8327D807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D6A-4F52-8E97-79F8327D807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D6A-4F52-8E97-79F8327D807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D6A-4F52-8E97-79F8327D807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D6A-4F52-8E97-79F8327D807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D6A-4F52-8E97-79F8327D807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D6A-4F52-8E97-79F8327D8072}"/>
              </c:ext>
            </c:extLst>
          </c:dPt>
          <c:cat>
            <c:strRef>
              <c:f>M_A3!$D$77:$J$77</c:f>
              <c:strCache>
                <c:ptCount val="7"/>
                <c:pt idx="0">
                  <c:v>Uso residencial</c:v>
                </c:pt>
                <c:pt idx="1">
                  <c:v>Uso comercial/terciario</c:v>
                </c:pt>
                <c:pt idx="2">
                  <c:v>Uso de oficinas</c:v>
                </c:pt>
                <c:pt idx="3">
                  <c:v>Uso industrial</c:v>
                </c:pt>
                <c:pt idx="4">
                  <c:v>Equipamientos</c:v>
                </c:pt>
                <c:pt idx="5">
                  <c:v>Zonas verdes</c:v>
                </c:pt>
                <c:pt idx="6">
                  <c:v>Franja costera</c:v>
                </c:pt>
              </c:strCache>
            </c:strRef>
          </c:cat>
          <c:val>
            <c:numRef>
              <c:f>M_A3!$D$84:$J$84</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8D6A-4F52-8E97-79F8327D8072}"/>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70538577237799849"/>
          <c:y val="0.3905572924910829"/>
          <c:w val="0.28521596109738395"/>
          <c:h val="0.42827504251756343"/>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58856074867256"/>
          <c:y val="0.23623178318179844"/>
          <c:w val="0.61063795046184777"/>
          <c:h val="0.6561827699714331"/>
        </c:manualLayout>
      </c:layout>
      <c:doughnutChart>
        <c:varyColors val="1"/>
        <c:ser>
          <c:idx val="1"/>
          <c:order val="0"/>
          <c:tx>
            <c:strRef>
              <c:f>M_A3!$T$95</c:f>
              <c:strCache>
                <c:ptCount val="1"/>
                <c:pt idx="0">
                  <c:v>t CO2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3FE-4E8D-BB48-74A94A3DDB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3FE-4E8D-BB48-74A94A3DDB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3FE-4E8D-BB48-74A94A3DDB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3FE-4E8D-BB48-74A94A3DDB5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3FE-4E8D-BB48-74A94A3DDB5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3FE-4E8D-BB48-74A94A3DDB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M_A3!$Q$96:$Q$101</c:f>
              <c:strCache>
                <c:ptCount val="6"/>
                <c:pt idx="0">
                  <c:v>Bosque</c:v>
                </c:pt>
                <c:pt idx="1">
                  <c:v>Garriga/Matorral (arbustivas)/Prado</c:v>
                </c:pt>
                <c:pt idx="2">
                  <c:v>Cultivo</c:v>
                </c:pt>
                <c:pt idx="3">
                  <c:v>Marismas y humedales</c:v>
                </c:pt>
                <c:pt idx="4">
                  <c:v>Otras tierras</c:v>
                </c:pt>
                <c:pt idx="5">
                  <c:v>Asentamientos</c:v>
                </c:pt>
              </c:strCache>
            </c:strRef>
          </c:cat>
          <c:val>
            <c:numRef>
              <c:f>M_A3!$T$96:$T$101</c:f>
              <c:numCache>
                <c:formatCode>General</c:formatCode>
                <c:ptCount val="6"/>
                <c:pt idx="0">
                  <c:v>0</c:v>
                </c:pt>
              </c:numCache>
            </c:numRef>
          </c:val>
          <c:extLst>
            <c:ext xmlns:c16="http://schemas.microsoft.com/office/drawing/2014/chart" uri="{C3380CC4-5D6E-409C-BE32-E72D297353CC}">
              <c16:uniqueId val="{0000000C-D3FE-4E8D-BB48-74A94A3DDB5D}"/>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1.0255787435310946E-4"/>
          <c:y val="0.18871952486420004"/>
          <c:w val="0.27801192816291909"/>
          <c:h val="0.8112800867752755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69D-4515-957B-89578111D4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69D-4515-957B-89578111D410}"/>
              </c:ext>
            </c:extLst>
          </c:dPt>
          <c:dLbls>
            <c:dLbl>
              <c:idx val="0"/>
              <c:layout>
                <c:manualLayout>
                  <c:x val="7.0656691604322447E-2"/>
                  <c:y val="1.47504388352340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9D-4515-957B-89578111D410}"/>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7374444466262166"/>
                      <c:h val="0.23304919058418702"/>
                    </c:manualLayout>
                  </c15:layout>
                </c:ext>
                <c:ext xmlns:c16="http://schemas.microsoft.com/office/drawing/2014/chart" uri="{C3380CC4-5D6E-409C-BE32-E72D297353CC}">
                  <c16:uniqueId val="{00000003-D69D-4515-957B-89578111D41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(M_A3!$D$11,M_A3!$G$11)</c:f>
              <c:strCache>
                <c:ptCount val="2"/>
                <c:pt idx="0">
                  <c:v>Vivienda Unifamiliar</c:v>
                </c:pt>
                <c:pt idx="1">
                  <c:v>Vivienda Plurifamiliar</c:v>
                </c:pt>
              </c:strCache>
            </c:strRef>
          </c:cat>
          <c:val>
            <c:numRef>
              <c:f>(M_A3!$E$22,M_A3!$H$22)</c:f>
              <c:numCache>
                <c:formatCode>_-* #,##0.0\ _€_-;\-* #,##0.0\ _€_-;_-* "-"??\ _€_-;_-@_-</c:formatCode>
                <c:ptCount val="2"/>
                <c:pt idx="0">
                  <c:v>#N/A</c:v>
                </c:pt>
                <c:pt idx="1">
                  <c:v>#N/A</c:v>
                </c:pt>
              </c:numCache>
            </c:numRef>
          </c:val>
          <c:extLst>
            <c:ext xmlns:c16="http://schemas.microsoft.com/office/drawing/2014/chart" uri="{C3380CC4-5D6E-409C-BE32-E72D297353CC}">
              <c16:uniqueId val="{00000004-D69D-4515-957B-89578111D410}"/>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M_A3!$D$50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M_A3!$C$52:$C$55</c:f>
              <c:strCache>
                <c:ptCount val="4"/>
                <c:pt idx="0">
                  <c:v>Equipamientos - Sin especificar</c:v>
                </c:pt>
                <c:pt idx="1">
                  <c:v>Sanitario</c:v>
                </c:pt>
                <c:pt idx="2">
                  <c:v>Educativo</c:v>
                </c:pt>
                <c:pt idx="3">
                  <c:v>Deportivo</c:v>
                </c:pt>
              </c:strCache>
            </c:strRef>
          </c:cat>
          <c:val>
            <c:numRef>
              <c:f>M_A3!$E$52:$E$55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1FF4-4731-8CE5-132E2C213A46}"/>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86440797699865"/>
          <c:y val="9.7077646819355379E-2"/>
          <c:w val="0.46063723447091987"/>
          <c:h val="0.83475683541836621"/>
        </c:manualLayout>
      </c:layout>
      <c:doughnutChart>
        <c:varyColors val="1"/>
        <c:ser>
          <c:idx val="0"/>
          <c:order val="0"/>
          <c:tx>
            <c:v>Por uso del suelo</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6CB-4B9F-B0B9-DE1D32E7E42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686-471D-9C41-CE1EC68550D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686-471D-9C41-CE1EC68550D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86-471D-9C41-CE1EC68550D3}"/>
              </c:ext>
            </c:extLst>
          </c:dPt>
          <c:dPt>
            <c:idx val="4"/>
            <c:bubble3D val="0"/>
            <c:spPr>
              <a:solidFill>
                <a:srgbClr val="B00000"/>
              </a:solidFill>
              <a:ln w="19050">
                <a:solidFill>
                  <a:schemeClr val="lt1"/>
                </a:solidFill>
              </a:ln>
              <a:effectLst/>
            </c:spPr>
            <c:extLst>
              <c:ext xmlns:c16="http://schemas.microsoft.com/office/drawing/2014/chart" uri="{C3380CC4-5D6E-409C-BE32-E72D297353CC}">
                <c16:uniqueId val="{00000009-D686-471D-9C41-CE1EC68550D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686-471D-9C41-CE1EC68550D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686-471D-9C41-CE1EC68550D3}"/>
              </c:ext>
            </c:extLst>
          </c:dPt>
          <c:dLbls>
            <c:dLbl>
              <c:idx val="4"/>
              <c:layout>
                <c:manualLayout>
                  <c:x val="-2.2502728677336091E-3"/>
                  <c:y val="5.32677729973366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86-471D-9C41-CE1EC68550D3}"/>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M_A0!$D$77:$J$77</c:f>
              <c:strCache>
                <c:ptCount val="7"/>
                <c:pt idx="0">
                  <c:v>Uso residencial</c:v>
                </c:pt>
                <c:pt idx="1">
                  <c:v>Uso comercial/terciario</c:v>
                </c:pt>
                <c:pt idx="2">
                  <c:v>Uso de oficinas</c:v>
                </c:pt>
                <c:pt idx="3">
                  <c:v>Uso industrial</c:v>
                </c:pt>
                <c:pt idx="4">
                  <c:v>Equipamientos</c:v>
                </c:pt>
                <c:pt idx="5">
                  <c:v>Zonas verdes</c:v>
                </c:pt>
                <c:pt idx="6">
                  <c:v>Franja costera</c:v>
                </c:pt>
              </c:strCache>
            </c:strRef>
          </c:cat>
          <c:val>
            <c:numRef>
              <c:f>M_A0!$D$84:$J$84</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A-C6CB-4B9F-B0B9-DE1D32E7E426}"/>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6335467231856633"/>
          <c:y val="0.20495681312474406"/>
          <c:w val="0.35929995872439835"/>
          <c:h val="0.61749096417603855"/>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1379018581834688"/>
          <c:w val="0.60966628053980931"/>
          <c:h val="0.6001191020653921"/>
        </c:manualLayout>
      </c:layout>
      <c:doughnutChart>
        <c:varyColors val="1"/>
        <c:ser>
          <c:idx val="0"/>
          <c:order val="0"/>
          <c:tx>
            <c:v>Demanda asociadas a actividades económicas</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(M_A3!$D$27,M_A3!$D$36)</c:f>
              <c:strCache>
                <c:ptCount val="2"/>
                <c:pt idx="0">
                  <c:v>Industria</c:v>
                </c:pt>
                <c:pt idx="1">
                  <c:v>Terciario</c:v>
                </c:pt>
              </c:strCache>
            </c:strRef>
          </c:cat>
          <c:val>
            <c:numRef>
              <c:f>(M_A3!$E$29,M_A3!$E$43)</c:f>
              <c:numCache>
                <c:formatCode>_-* #,##0.0\ _€_-;\-* #,##0.0\ _€_-;_-* "-"??\ _€_-;_-@_-</c:formatCode>
                <c:ptCount val="2"/>
                <c:pt idx="0">
                  <c:v>0</c:v>
                </c:pt>
                <c:pt idx="1">
                  <c:v>0</c:v>
                </c:pt>
              </c:numCache>
            </c:numRef>
          </c:val>
          <c:extLst>
            <c:ext xmlns:c16="http://schemas.microsoft.com/office/drawing/2014/chart" uri="{C3380CC4-5D6E-409C-BE32-E72D297353CC}">
              <c16:uniqueId val="{00000000-A73E-4FAB-BBFE-CDE98844AF0A}"/>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DC-42DF-A49B-98595DFF6D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DC-42DF-A49B-98595DFF6D01}"/>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2809429195182379"/>
                      <c:h val="0.17837894926609721"/>
                    </c:manualLayout>
                  </c15:layout>
                </c:ext>
                <c:ext xmlns:c16="http://schemas.microsoft.com/office/drawing/2014/chart" uri="{C3380CC4-5D6E-409C-BE32-E72D297353CC}">
                  <c16:uniqueId val="{00000001-83DC-42DF-A49B-98595DFF6D01}"/>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6111282818619636"/>
                      <c:h val="0.23287743836365257"/>
                    </c:manualLayout>
                  </c15:layout>
                </c:ext>
                <c:ext xmlns:c16="http://schemas.microsoft.com/office/drawing/2014/chart" uri="{C3380CC4-5D6E-409C-BE32-E72D297353CC}">
                  <c16:uniqueId val="{00000003-83DC-42DF-A49B-98595DFF6D01}"/>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(M_A3!$D$11,M_A3!$G$11)</c:f>
              <c:strCache>
                <c:ptCount val="2"/>
                <c:pt idx="0">
                  <c:v>Vivienda Unifamiliar</c:v>
                </c:pt>
                <c:pt idx="1">
                  <c:v>Vivienda Plurifamiliar</c:v>
                </c:pt>
              </c:strCache>
            </c:strRef>
          </c:cat>
          <c:val>
            <c:numRef>
              <c:f>(M_A3!$F$22,M_A3!$I$22)</c:f>
              <c:numCache>
                <c:formatCode>_-* #,##0.0\ _€_-;\-* #,##0.0\ _€_-;_-* "-"??\ _€_-;_-@_-</c:formatCode>
                <c:ptCount val="2"/>
                <c:pt idx="0">
                  <c:v>#N/A</c:v>
                </c:pt>
                <c:pt idx="1">
                  <c:v>#N/A</c:v>
                </c:pt>
              </c:numCache>
            </c:numRef>
          </c:val>
          <c:extLst>
            <c:ext xmlns:c16="http://schemas.microsoft.com/office/drawing/2014/chart" uri="{C3380CC4-5D6E-409C-BE32-E72D297353CC}">
              <c16:uniqueId val="{00000004-83DC-42DF-A49B-98595DFF6D01}"/>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10783557544387527"/>
          <c:w val="0.48629109997613928"/>
          <c:h val="0.76077495620573254"/>
        </c:manualLayout>
      </c:layout>
      <c:barChart>
        <c:barDir val="col"/>
        <c:grouping val="clustered"/>
        <c:varyColors val="0"/>
        <c:ser>
          <c:idx val="0"/>
          <c:order val="0"/>
          <c:tx>
            <c:strRef>
              <c:f>M_A3!$C$13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(M_A3!$E$13,M_A3!$H$13)</c:f>
              <c:numCache>
                <c:formatCode>_-* #,##0.0\ _€_-;\-* #,##0.0\ _€_-;_-* "-"??\ _€_-;_-@_-</c:formatCode>
                <c:ptCount val="2"/>
                <c:pt idx="0">
                  <c:v>#N/A</c:v>
                </c:pt>
                <c:pt idx="1">
                  <c:v>#N/A</c:v>
                </c:pt>
              </c:numCache>
            </c:numRef>
          </c:val>
          <c:extLst>
            <c:ext xmlns:c16="http://schemas.microsoft.com/office/drawing/2014/chart" uri="{C3380CC4-5D6E-409C-BE32-E72D297353CC}">
              <c16:uniqueId val="{00000000-E459-477F-A979-9CE4F949D770}"/>
            </c:ext>
          </c:extLst>
        </c:ser>
        <c:ser>
          <c:idx val="1"/>
          <c:order val="1"/>
          <c:tx>
            <c:strRef>
              <c:f>M_A3!$C$14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(M_A3!$E$14,M_A3!$H$14)</c:f>
              <c:numCache>
                <c:formatCode>_-* #,##0.0\ _€_-;\-* #,##0.0\ _€_-;_-* "-"??\ _€_-;_-@_-</c:formatCode>
                <c:ptCount val="2"/>
                <c:pt idx="0">
                  <c:v>#N/A</c:v>
                </c:pt>
                <c:pt idx="1">
                  <c:v>#N/A</c:v>
                </c:pt>
              </c:numCache>
            </c:numRef>
          </c:val>
          <c:extLst>
            <c:ext xmlns:c16="http://schemas.microsoft.com/office/drawing/2014/chart" uri="{C3380CC4-5D6E-409C-BE32-E72D297353CC}">
              <c16:uniqueId val="{00000001-E459-477F-A979-9CE4F949D770}"/>
            </c:ext>
          </c:extLst>
        </c:ser>
        <c:ser>
          <c:idx val="2"/>
          <c:order val="2"/>
          <c:tx>
            <c:strRef>
              <c:f>M_A3!$C$15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(M_A3!$E$15,M_A3!$H$15)</c:f>
              <c:numCache>
                <c:formatCode>_-* #,##0.0\ _€_-;\-* #,##0.0\ _€_-;_-* "-"??\ _€_-;_-@_-</c:formatCode>
                <c:ptCount val="2"/>
                <c:pt idx="0">
                  <c:v>#N/A</c:v>
                </c:pt>
                <c:pt idx="1">
                  <c:v>#N/A</c:v>
                </c:pt>
              </c:numCache>
            </c:numRef>
          </c:val>
          <c:extLst>
            <c:ext xmlns:c16="http://schemas.microsoft.com/office/drawing/2014/chart" uri="{C3380CC4-5D6E-409C-BE32-E72D297353CC}">
              <c16:uniqueId val="{00000002-E459-477F-A979-9CE4F949D770}"/>
            </c:ext>
          </c:extLst>
        </c:ser>
        <c:ser>
          <c:idx val="3"/>
          <c:order val="3"/>
          <c:tx>
            <c:strRef>
              <c:f>M_A3!$C$16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(M_A3!$E$16,M_A3!$H$16)</c:f>
              <c:numCache>
                <c:formatCode>_-* #,##0.0\ _€_-;\-* #,##0.0\ _€_-;_-* "-"??\ _€_-;_-@_-</c:formatCode>
                <c:ptCount val="2"/>
                <c:pt idx="0">
                  <c:v>#N/A</c:v>
                </c:pt>
                <c:pt idx="1">
                  <c:v>#N/A</c:v>
                </c:pt>
              </c:numCache>
            </c:numRef>
          </c:val>
          <c:extLst>
            <c:ext xmlns:c16="http://schemas.microsoft.com/office/drawing/2014/chart" uri="{C3380CC4-5D6E-409C-BE32-E72D297353CC}">
              <c16:uniqueId val="{00000003-E459-477F-A979-9CE4F949D770}"/>
            </c:ext>
          </c:extLst>
        </c:ser>
        <c:ser>
          <c:idx val="4"/>
          <c:order val="4"/>
          <c:tx>
            <c:strRef>
              <c:f>M_A3!$C$17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(M_A3!$E$17,M_A3!$H$17)</c:f>
              <c:numCache>
                <c:formatCode>_-* #,##0.0\ _€_-;\-* #,##0.0\ _€_-;_-* "-"??\ _€_-;_-@_-</c:formatCode>
                <c:ptCount val="2"/>
                <c:pt idx="0">
                  <c:v>#N/A</c:v>
                </c:pt>
                <c:pt idx="1">
                  <c:v>#N/A</c:v>
                </c:pt>
              </c:numCache>
            </c:numRef>
          </c:val>
          <c:extLst>
            <c:ext xmlns:c16="http://schemas.microsoft.com/office/drawing/2014/chart" uri="{C3380CC4-5D6E-409C-BE32-E72D297353CC}">
              <c16:uniqueId val="{00000004-E459-477F-A979-9CE4F949D770}"/>
            </c:ext>
          </c:extLst>
        </c:ser>
        <c:ser>
          <c:idx val="5"/>
          <c:order val="5"/>
          <c:tx>
            <c:strRef>
              <c:f>M_A3!$C$18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(M_A3!$E$18,M_A3!$H$18)</c:f>
              <c:numCache>
                <c:formatCode>_-* #,##0.0\ _€_-;\-* #,##0.0\ _€_-;_-* "-"??\ _€_-;_-@_-</c:formatCode>
                <c:ptCount val="2"/>
                <c:pt idx="0">
                  <c:v>#N/A</c:v>
                </c:pt>
                <c:pt idx="1">
                  <c:v>#N/A</c:v>
                </c:pt>
              </c:numCache>
            </c:numRef>
          </c:val>
          <c:extLst>
            <c:ext xmlns:c16="http://schemas.microsoft.com/office/drawing/2014/chart" uri="{C3380CC4-5D6E-409C-BE32-E72D297353CC}">
              <c16:uniqueId val="{00000005-E459-477F-A979-9CE4F949D770}"/>
            </c:ext>
          </c:extLst>
        </c:ser>
        <c:ser>
          <c:idx val="6"/>
          <c:order val="6"/>
          <c:tx>
            <c:strRef>
              <c:f>M_A3!$C$19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(M_A3!$E$19,M_A3!$H$19)</c:f>
              <c:numCache>
                <c:formatCode>_-* #,##0.0\ _€_-;\-* #,##0.0\ _€_-;_-* "-"??\ _€_-;_-@_-</c:formatCode>
                <c:ptCount val="2"/>
                <c:pt idx="0">
                  <c:v>#N/A</c:v>
                </c:pt>
                <c:pt idx="1">
                  <c:v>#N/A</c:v>
                </c:pt>
              </c:numCache>
            </c:numRef>
          </c:val>
          <c:extLst>
            <c:ext xmlns:c16="http://schemas.microsoft.com/office/drawing/2014/chart" uri="{C3380CC4-5D6E-409C-BE32-E72D297353CC}">
              <c16:uniqueId val="{00000006-E459-477F-A979-9CE4F949D770}"/>
            </c:ext>
          </c:extLst>
        </c:ser>
        <c:ser>
          <c:idx val="7"/>
          <c:order val="7"/>
          <c:tx>
            <c:strRef>
              <c:f>M_A3!$C$20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(M_A3!$E$20,M_A3!$H$20)</c:f>
              <c:numCache>
                <c:formatCode>_-* #,##0.0\ _€_-;\-* #,##0.0\ _€_-;_-* "-"??\ _€_-;_-@_-</c:formatCode>
                <c:ptCount val="2"/>
                <c:pt idx="0">
                  <c:v>#N/A</c:v>
                </c:pt>
                <c:pt idx="1">
                  <c:v>#N/A</c:v>
                </c:pt>
              </c:numCache>
            </c:numRef>
          </c:val>
          <c:extLst>
            <c:ext xmlns:c16="http://schemas.microsoft.com/office/drawing/2014/chart" uri="{C3380CC4-5D6E-409C-BE32-E72D297353CC}">
              <c16:uniqueId val="{00000007-E459-477F-A979-9CE4F949D770}"/>
            </c:ext>
          </c:extLst>
        </c:ser>
        <c:ser>
          <c:idx val="8"/>
          <c:order val="8"/>
          <c:tx>
            <c:strRef>
              <c:f>M_A3!$C$21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(M_A3!$D$11,M_A3!$G$11)</c:f>
              <c:strCache>
                <c:ptCount val="2"/>
                <c:pt idx="0">
                  <c:v>Vivienda Unifamiliar</c:v>
                </c:pt>
                <c:pt idx="1">
                  <c:v>Vivienda Plurifamiliar</c:v>
                </c:pt>
              </c:strCache>
            </c:strRef>
          </c:cat>
          <c:val>
            <c:numRef>
              <c:f>(M_A3!$E$21,M_A3!$H$21)</c:f>
              <c:numCache>
                <c:formatCode>_-* #,##0.0\ _€_-;\-* #,##0.0\ _€_-;_-* "-"??\ _€_-;_-@_-</c:formatCode>
                <c:ptCount val="2"/>
                <c:pt idx="0">
                  <c:v>#N/A</c:v>
                </c:pt>
                <c:pt idx="1">
                  <c:v>#N/A</c:v>
                </c:pt>
              </c:numCache>
            </c:numRef>
          </c:val>
          <c:extLst>
            <c:ext xmlns:c16="http://schemas.microsoft.com/office/drawing/2014/chart" uri="{C3380CC4-5D6E-409C-BE32-E72D297353CC}">
              <c16:uniqueId val="{00000008-E459-477F-A979-9CE4F949D770}"/>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04473931959366E-2"/>
          <c:y val="0.23471045200492277"/>
          <c:w val="0.49419441521288493"/>
          <c:h val="0.54958692127887443"/>
        </c:manualLayout>
      </c:layout>
      <c:doughnutChart>
        <c:varyColors val="1"/>
        <c:ser>
          <c:idx val="0"/>
          <c:order val="0"/>
          <c:tx>
            <c:v>Demanda asociadas a terciario</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M_A3!$C$38:$C$42</c:f>
              <c:strCache>
                <c:ptCount val="5"/>
                <c:pt idx="0">
                  <c:v>Sin especificar</c:v>
                </c:pt>
                <c:pt idx="1">
                  <c:v>Oficinas</c:v>
                </c:pt>
                <c:pt idx="2">
                  <c:v>Comercio</c:v>
                </c:pt>
                <c:pt idx="3">
                  <c:v>Hotel</c:v>
                </c:pt>
                <c:pt idx="4">
                  <c:v>Restauración</c:v>
                </c:pt>
              </c:strCache>
            </c:strRef>
          </c:cat>
          <c:val>
            <c:numRef>
              <c:f>M_A3!$E$38:$E$42</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AA6A-477D-B2DA-1F6E66EBCFBA}"/>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259238386603334"/>
          <c:w val="0.59254906630024495"/>
          <c:h val="0.63083419123755757"/>
        </c:manualLayout>
      </c:layout>
      <c:doughnutChart>
        <c:varyColors val="1"/>
        <c:ser>
          <c:idx val="0"/>
          <c:order val="0"/>
          <c:tx>
            <c:v>Emisiones asociadas a actividades económicas</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(M_A3!$D$27,M_A3!$D$36)</c:f>
              <c:strCache>
                <c:ptCount val="2"/>
                <c:pt idx="0">
                  <c:v>Industria</c:v>
                </c:pt>
                <c:pt idx="1">
                  <c:v>Terciario</c:v>
                </c:pt>
              </c:strCache>
            </c:strRef>
          </c:cat>
          <c:val>
            <c:numRef>
              <c:f>(M_A3!$F$29,M_A3!$F$43)</c:f>
              <c:numCache>
                <c:formatCode>_-* #,##0.0\ _€_-;\-* #,##0.0\ _€_-;_-* "-"??\ _€_-;_-@_-</c:formatCode>
                <c:ptCount val="2"/>
                <c:pt idx="0">
                  <c:v>0</c:v>
                </c:pt>
                <c:pt idx="1">
                  <c:v>0</c:v>
                </c:pt>
              </c:numCache>
            </c:numRef>
          </c:val>
          <c:extLst>
            <c:ext xmlns:c16="http://schemas.microsoft.com/office/drawing/2014/chart" uri="{C3380CC4-5D6E-409C-BE32-E72D297353CC}">
              <c16:uniqueId val="{00000000-0E62-4624-ACA6-E57B227F40E9}"/>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M_A3!$D$50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M_A3!$C$52:$C$55</c:f>
              <c:strCache>
                <c:ptCount val="4"/>
                <c:pt idx="0">
                  <c:v>Equipamientos - Sin especificar</c:v>
                </c:pt>
                <c:pt idx="1">
                  <c:v>Sanitario</c:v>
                </c:pt>
                <c:pt idx="2">
                  <c:v>Educativo</c:v>
                </c:pt>
                <c:pt idx="3">
                  <c:v>Deportivo</c:v>
                </c:pt>
              </c:strCache>
            </c:strRef>
          </c:cat>
          <c:val>
            <c:numRef>
              <c:f>M_A3!$F$52:$F$55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B285-4146-A7F3-F8B8638EDAD8}"/>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65883189789112E-2"/>
          <c:y val="0.15148734710048034"/>
          <c:w val="0.53881306325201195"/>
          <c:h val="0.72263378398454914"/>
        </c:manualLayout>
      </c:layout>
      <c:doughnutChart>
        <c:varyColors val="1"/>
        <c:ser>
          <c:idx val="0"/>
          <c:order val="0"/>
          <c:tx>
            <c:strRef>
              <c:f>M_A3!$D$27</c:f>
              <c:strCache>
                <c:ptCount val="1"/>
                <c:pt idx="0">
                  <c:v>Industria</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M_A4!$C$29:$C$33</c:f>
              <c:strCache>
                <c:ptCount val="5"/>
                <c:pt idx="0">
                  <c:v>Sin especificar</c:v>
                </c:pt>
                <c:pt idx="1">
                  <c:v>Cerámica</c:v>
                </c:pt>
                <c:pt idx="2">
                  <c:v>Agroalimentaria</c:v>
                </c:pt>
                <c:pt idx="3">
                  <c:v>Logística</c:v>
                </c:pt>
                <c:pt idx="4">
                  <c:v>Textil</c:v>
                </c:pt>
              </c:strCache>
            </c:strRef>
          </c:cat>
          <c:val>
            <c:numRef>
              <c:f>M_A4!$E$29:$E$33</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4F2F-43D7-BD49-F33454C031D7}"/>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65883189789112E-2"/>
          <c:y val="0.15148734710048034"/>
          <c:w val="0.53881306325201195"/>
          <c:h val="0.72263378398454914"/>
        </c:manualLayout>
      </c:layout>
      <c:doughnutChart>
        <c:varyColors val="1"/>
        <c:ser>
          <c:idx val="0"/>
          <c:order val="0"/>
          <c:tx>
            <c:strRef>
              <c:f>M_A3!$D$27</c:f>
              <c:strCache>
                <c:ptCount val="1"/>
                <c:pt idx="0">
                  <c:v>Industria</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M_A4!$C$29:$C$33</c:f>
              <c:strCache>
                <c:ptCount val="5"/>
                <c:pt idx="0">
                  <c:v>Sin especificar</c:v>
                </c:pt>
                <c:pt idx="1">
                  <c:v>Cerámica</c:v>
                </c:pt>
                <c:pt idx="2">
                  <c:v>Agroalimentaria</c:v>
                </c:pt>
                <c:pt idx="3">
                  <c:v>Logística</c:v>
                </c:pt>
                <c:pt idx="4">
                  <c:v>Textil</c:v>
                </c:pt>
              </c:strCache>
            </c:strRef>
          </c:cat>
          <c:val>
            <c:numRef>
              <c:f>M_A4!$F$29:$F$33</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4AE7-4D87-B8AF-F7E6D14EDDFC}"/>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930760917329"/>
          <c:y val="0.15659919151273197"/>
          <c:w val="0.57048358803757027"/>
          <c:h val="0.7812270915301277"/>
        </c:manualLayout>
      </c:layout>
      <c:doughnutChart>
        <c:varyColors val="1"/>
        <c:ser>
          <c:idx val="0"/>
          <c:order val="0"/>
          <c:tx>
            <c:v>Consumo de agua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4C0-4791-A86E-40813F2E119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4C0-4791-A86E-40813F2E119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4C0-4791-A86E-40813F2E1191}"/>
              </c:ext>
            </c:extLst>
          </c:dPt>
          <c:cat>
            <c:strRef>
              <c:f>M_A4!$C$89:$C$91</c:f>
              <c:strCache>
                <c:ptCount val="3"/>
                <c:pt idx="0">
                  <c:v>Residencial </c:v>
                </c:pt>
                <c:pt idx="1">
                  <c:v>Actividades económicas</c:v>
                </c:pt>
                <c:pt idx="2">
                  <c:v>Dotacional</c:v>
                </c:pt>
              </c:strCache>
            </c:strRef>
          </c:cat>
          <c:val>
            <c:numRef>
              <c:f>M_A4!$F$89:$F$91</c:f>
              <c:numCache>
                <c:formatCode>#,##0.000</c:formatCode>
                <c:ptCount val="3"/>
                <c:pt idx="0">
                  <c:v>0</c:v>
                </c:pt>
                <c:pt idx="1">
                  <c:v>0</c:v>
                </c:pt>
                <c:pt idx="2">
                  <c:v>0</c:v>
                </c:pt>
              </c:numCache>
            </c:numRef>
          </c:val>
          <c:extLst>
            <c:ext xmlns:c16="http://schemas.microsoft.com/office/drawing/2014/chart" uri="{C3380CC4-5D6E-409C-BE32-E72D297353CC}">
              <c16:uniqueId val="{00000006-C4C0-4791-A86E-40813F2E1191}"/>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0799910625196"/>
          <c:y val="0.18404505236349267"/>
          <c:w val="0.58299536882637504"/>
          <c:h val="0.79138920007373903"/>
        </c:manualLayout>
      </c:layout>
      <c:doughnutChart>
        <c:varyColors val="1"/>
        <c:ser>
          <c:idx val="0"/>
          <c:order val="0"/>
          <c:tx>
            <c:strRef>
              <c:f>M_A4!$I$86</c:f>
              <c:strCache>
                <c:ptCount val="1"/>
                <c:pt idx="0">
                  <c:v>D. Emisiones asociadas a gestión de residuos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4D-4AF6-9A3E-EB6EDBCB115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389-4A63-B448-8C9825F1DAB5}"/>
              </c:ext>
            </c:extLst>
          </c:dPt>
          <c:cat>
            <c:strRef>
              <c:f>M_A4!$I$89:$J$90</c:f>
              <c:strCache>
                <c:ptCount val="2"/>
                <c:pt idx="0">
                  <c:v>Industrial</c:v>
                </c:pt>
                <c:pt idx="1">
                  <c:v>Residencial, Terciario y Equipamientos</c:v>
                </c:pt>
              </c:strCache>
            </c:strRef>
          </c:cat>
          <c:val>
            <c:numRef>
              <c:f>M_A4!$K$89:$K$90</c:f>
              <c:numCache>
                <c:formatCode>#,##0.000</c:formatCode>
                <c:ptCount val="2"/>
                <c:pt idx="0">
                  <c:v>0</c:v>
                </c:pt>
                <c:pt idx="1">
                  <c:v>0</c:v>
                </c:pt>
              </c:numCache>
            </c:numRef>
          </c:val>
          <c:extLst>
            <c:ext xmlns:c16="http://schemas.microsoft.com/office/drawing/2014/chart" uri="{C3380CC4-5D6E-409C-BE32-E72D297353CC}">
              <c16:uniqueId val="{00000002-834D-4AF6-9A3E-EB6EDBCB115C}"/>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1C8-4678-8D39-5D82EC8DEB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F74-442F-A225-20C93E38C5FD}"/>
              </c:ext>
            </c:extLst>
          </c:dPt>
          <c:dLbls>
            <c:dLbl>
              <c:idx val="0"/>
              <c:layout>
                <c:manualLayout>
                  <c:x val="7.0656691604322447E-2"/>
                  <c:y val="1.47504388352340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C8-4678-8D39-5D82EC8DEB76}"/>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7374444466262166"/>
                      <c:h val="0.23304919058418702"/>
                    </c:manualLayout>
                  </c15:layout>
                </c:ext>
                <c:ext xmlns:c16="http://schemas.microsoft.com/office/drawing/2014/chart" uri="{C3380CC4-5D6E-409C-BE32-E72D297353CC}">
                  <c16:uniqueId val="{00000003-DF74-442F-A225-20C93E38C5F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(M_A0!$D$11,M_A0!$G$11)</c:f>
              <c:strCache>
                <c:ptCount val="2"/>
                <c:pt idx="0">
                  <c:v>Vivienda Unifamiliar</c:v>
                </c:pt>
                <c:pt idx="1">
                  <c:v>Vivienda Plurifamiliar</c:v>
                </c:pt>
              </c:strCache>
            </c:strRef>
          </c:cat>
          <c:val>
            <c:numRef>
              <c:f>(M_A0!$E$22,M_A0!$H$22)</c:f>
              <c:numCache>
                <c:formatCode>_-* #,##0.0\ _€_-;\-* #,##0.0\ _€_-;_-* "-"??\ _€_-;_-@_-</c:formatCode>
                <c:ptCount val="2"/>
                <c:pt idx="0">
                  <c:v>#N/A</c:v>
                </c:pt>
                <c:pt idx="1">
                  <c:v>#N/A</c:v>
                </c:pt>
              </c:numCache>
            </c:numRef>
          </c:val>
          <c:extLst>
            <c:ext xmlns:c16="http://schemas.microsoft.com/office/drawing/2014/chart" uri="{C3380CC4-5D6E-409C-BE32-E72D297353CC}">
              <c16:uniqueId val="{00000004-31C8-4678-8D39-5D82EC8DEB76}"/>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222591791972"/>
          <c:y val="0.19932019503928039"/>
          <c:w val="0.50855105798342382"/>
          <c:h val="0.67594059323456024"/>
        </c:manualLayout>
      </c:layout>
      <c:doughnutChart>
        <c:varyColors val="1"/>
        <c:ser>
          <c:idx val="0"/>
          <c:order val="0"/>
          <c:tx>
            <c:v>Modos de transporte</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0C7-4BFB-A922-FD895DF36D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0C7-4BFB-A922-FD895DF36D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0C7-4BFB-A922-FD895DF36D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0C7-4BFB-A922-FD895DF36D5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0C7-4BFB-A922-FD895DF36D5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0C7-4BFB-A922-FD895DF36D5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0C7-4BFB-A922-FD895DF36D5D}"/>
              </c:ext>
            </c:extLst>
          </c:dPt>
          <c:cat>
            <c:strRef>
              <c:f>M_A4!$C$78:$C$83</c:f>
              <c:strCache>
                <c:ptCount val="6"/>
                <c:pt idx="0">
                  <c:v>Andando</c:v>
                </c:pt>
                <c:pt idx="1">
                  <c:v>Bici</c:v>
                </c:pt>
                <c:pt idx="2">
                  <c:v>Automóvil/Vehículo privado</c:v>
                </c:pt>
                <c:pt idx="3">
                  <c:v>Autobus discrecional</c:v>
                </c:pt>
                <c:pt idx="4">
                  <c:v>Autobús urbano e interurbano</c:v>
                </c:pt>
                <c:pt idx="5">
                  <c:v>Ferrocarril</c:v>
                </c:pt>
              </c:strCache>
            </c:strRef>
          </c:cat>
          <c:val>
            <c:numRef>
              <c:f>M_A4!$O$78:$O$83</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30C7-4BFB-A922-FD895DF36D5D}"/>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69039101041951734"/>
          <c:y val="0.22807414777426951"/>
          <c:w val="0.30321455510853434"/>
          <c:h val="0.67665913708090897"/>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97748108904921"/>
          <c:y val="0.12006044056688454"/>
          <c:w val="0.48629109997613928"/>
          <c:h val="0.74782522820029607"/>
        </c:manualLayout>
      </c:layout>
      <c:barChart>
        <c:barDir val="col"/>
        <c:grouping val="clustered"/>
        <c:varyColors val="0"/>
        <c:ser>
          <c:idx val="0"/>
          <c:order val="0"/>
          <c:tx>
            <c:strRef>
              <c:f>M_A4!$C$13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(M_A4!$E$13,M_A4!$H$13)</c:f>
              <c:numCache>
                <c:formatCode>_-* #,##0.0\ _€_-;\-* #,##0.0\ _€_-;_-* "-"??\ _€_-;_-@_-</c:formatCode>
                <c:ptCount val="2"/>
                <c:pt idx="0">
                  <c:v>#N/A</c:v>
                </c:pt>
                <c:pt idx="1">
                  <c:v>#N/A</c:v>
                </c:pt>
              </c:numCache>
            </c:numRef>
          </c:val>
          <c:extLst>
            <c:ext xmlns:c16="http://schemas.microsoft.com/office/drawing/2014/chart" uri="{C3380CC4-5D6E-409C-BE32-E72D297353CC}">
              <c16:uniqueId val="{00000000-EB46-40B1-BCB6-28D09E3649F3}"/>
            </c:ext>
          </c:extLst>
        </c:ser>
        <c:ser>
          <c:idx val="1"/>
          <c:order val="1"/>
          <c:tx>
            <c:strRef>
              <c:f>M_A4!$C$14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(M_A4!$E$14,M_A4!$H$14)</c:f>
              <c:numCache>
                <c:formatCode>_-* #,##0.0\ _€_-;\-* #,##0.0\ _€_-;_-* "-"??\ _€_-;_-@_-</c:formatCode>
                <c:ptCount val="2"/>
                <c:pt idx="0">
                  <c:v>#N/A</c:v>
                </c:pt>
                <c:pt idx="1">
                  <c:v>#N/A</c:v>
                </c:pt>
              </c:numCache>
            </c:numRef>
          </c:val>
          <c:extLst>
            <c:ext xmlns:c16="http://schemas.microsoft.com/office/drawing/2014/chart" uri="{C3380CC4-5D6E-409C-BE32-E72D297353CC}">
              <c16:uniqueId val="{00000001-EB46-40B1-BCB6-28D09E3649F3}"/>
            </c:ext>
          </c:extLst>
        </c:ser>
        <c:ser>
          <c:idx val="2"/>
          <c:order val="2"/>
          <c:tx>
            <c:strRef>
              <c:f>M_A4!$C$15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(M_A4!$E$15,M_A4!$H$15)</c:f>
              <c:numCache>
                <c:formatCode>_-* #,##0.0\ _€_-;\-* #,##0.0\ _€_-;_-* "-"??\ _€_-;_-@_-</c:formatCode>
                <c:ptCount val="2"/>
                <c:pt idx="0">
                  <c:v>#N/A</c:v>
                </c:pt>
                <c:pt idx="1">
                  <c:v>#N/A</c:v>
                </c:pt>
              </c:numCache>
            </c:numRef>
          </c:val>
          <c:extLst>
            <c:ext xmlns:c16="http://schemas.microsoft.com/office/drawing/2014/chart" uri="{C3380CC4-5D6E-409C-BE32-E72D297353CC}">
              <c16:uniqueId val="{00000002-EB46-40B1-BCB6-28D09E3649F3}"/>
            </c:ext>
          </c:extLst>
        </c:ser>
        <c:ser>
          <c:idx val="3"/>
          <c:order val="3"/>
          <c:tx>
            <c:strRef>
              <c:f>M_A4!$C$16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(M_A4!$E$16,M_A4!$H$16)</c:f>
              <c:numCache>
                <c:formatCode>_-* #,##0.0\ _€_-;\-* #,##0.0\ _€_-;_-* "-"??\ _€_-;_-@_-</c:formatCode>
                <c:ptCount val="2"/>
                <c:pt idx="0">
                  <c:v>#N/A</c:v>
                </c:pt>
                <c:pt idx="1">
                  <c:v>#N/A</c:v>
                </c:pt>
              </c:numCache>
            </c:numRef>
          </c:val>
          <c:extLst>
            <c:ext xmlns:c16="http://schemas.microsoft.com/office/drawing/2014/chart" uri="{C3380CC4-5D6E-409C-BE32-E72D297353CC}">
              <c16:uniqueId val="{00000003-EB46-40B1-BCB6-28D09E3649F3}"/>
            </c:ext>
          </c:extLst>
        </c:ser>
        <c:ser>
          <c:idx val="4"/>
          <c:order val="4"/>
          <c:tx>
            <c:strRef>
              <c:f>M_A4!$C$17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(M_A4!$E$17,M_A4!$H$17)</c:f>
              <c:numCache>
                <c:formatCode>_-* #,##0.0\ _€_-;\-* #,##0.0\ _€_-;_-* "-"??\ _€_-;_-@_-</c:formatCode>
                <c:ptCount val="2"/>
                <c:pt idx="0">
                  <c:v>#N/A</c:v>
                </c:pt>
                <c:pt idx="1">
                  <c:v>#N/A</c:v>
                </c:pt>
              </c:numCache>
            </c:numRef>
          </c:val>
          <c:extLst>
            <c:ext xmlns:c16="http://schemas.microsoft.com/office/drawing/2014/chart" uri="{C3380CC4-5D6E-409C-BE32-E72D297353CC}">
              <c16:uniqueId val="{00000004-EB46-40B1-BCB6-28D09E3649F3}"/>
            </c:ext>
          </c:extLst>
        </c:ser>
        <c:ser>
          <c:idx val="5"/>
          <c:order val="5"/>
          <c:tx>
            <c:strRef>
              <c:f>M_A4!$C$18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(M_A4!$E$18,M_A4!$H$18)</c:f>
              <c:numCache>
                <c:formatCode>_-* #,##0.0\ _€_-;\-* #,##0.0\ _€_-;_-* "-"??\ _€_-;_-@_-</c:formatCode>
                <c:ptCount val="2"/>
                <c:pt idx="0">
                  <c:v>#N/A</c:v>
                </c:pt>
                <c:pt idx="1">
                  <c:v>#N/A</c:v>
                </c:pt>
              </c:numCache>
            </c:numRef>
          </c:val>
          <c:extLst>
            <c:ext xmlns:c16="http://schemas.microsoft.com/office/drawing/2014/chart" uri="{C3380CC4-5D6E-409C-BE32-E72D297353CC}">
              <c16:uniqueId val="{00000005-EB46-40B1-BCB6-28D09E3649F3}"/>
            </c:ext>
          </c:extLst>
        </c:ser>
        <c:ser>
          <c:idx val="6"/>
          <c:order val="6"/>
          <c:tx>
            <c:strRef>
              <c:f>M_A4!$C$19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(M_A4!$E$19,M_A4!$H$19)</c:f>
              <c:numCache>
                <c:formatCode>_-* #,##0.0\ _€_-;\-* #,##0.0\ _€_-;_-* "-"??\ _€_-;_-@_-</c:formatCode>
                <c:ptCount val="2"/>
                <c:pt idx="0">
                  <c:v>#N/A</c:v>
                </c:pt>
                <c:pt idx="1">
                  <c:v>#N/A</c:v>
                </c:pt>
              </c:numCache>
            </c:numRef>
          </c:val>
          <c:extLst>
            <c:ext xmlns:c16="http://schemas.microsoft.com/office/drawing/2014/chart" uri="{C3380CC4-5D6E-409C-BE32-E72D297353CC}">
              <c16:uniqueId val="{00000006-EB46-40B1-BCB6-28D09E3649F3}"/>
            </c:ext>
          </c:extLst>
        </c:ser>
        <c:ser>
          <c:idx val="7"/>
          <c:order val="7"/>
          <c:tx>
            <c:strRef>
              <c:f>M_A4!$C$20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(M_A4!$E$20,M_A4!$H$20)</c:f>
              <c:numCache>
                <c:formatCode>_-* #,##0.0\ _€_-;\-* #,##0.0\ _€_-;_-* "-"??\ _€_-;_-@_-</c:formatCode>
                <c:ptCount val="2"/>
                <c:pt idx="0">
                  <c:v>#N/A</c:v>
                </c:pt>
                <c:pt idx="1">
                  <c:v>#N/A</c:v>
                </c:pt>
              </c:numCache>
            </c:numRef>
          </c:val>
          <c:extLst>
            <c:ext xmlns:c16="http://schemas.microsoft.com/office/drawing/2014/chart" uri="{C3380CC4-5D6E-409C-BE32-E72D297353CC}">
              <c16:uniqueId val="{00000007-EB46-40B1-BCB6-28D09E3649F3}"/>
            </c:ext>
          </c:extLst>
        </c:ser>
        <c:ser>
          <c:idx val="8"/>
          <c:order val="8"/>
          <c:tx>
            <c:strRef>
              <c:f>M_A4!$C$21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(M_A4!$E$21,M_A4!$H$21)</c:f>
              <c:numCache>
                <c:formatCode>_-* #,##0.0\ _€_-;\-* #,##0.0\ _€_-;_-* "-"??\ _€_-;_-@_-</c:formatCode>
                <c:ptCount val="2"/>
                <c:pt idx="0">
                  <c:v>#N/A</c:v>
                </c:pt>
                <c:pt idx="1">
                  <c:v>#N/A</c:v>
                </c:pt>
              </c:numCache>
            </c:numRef>
          </c:val>
          <c:extLst>
            <c:ext xmlns:c16="http://schemas.microsoft.com/office/drawing/2014/chart" uri="{C3380CC4-5D6E-409C-BE32-E72D297353CC}">
              <c16:uniqueId val="{00000008-EB46-40B1-BCB6-28D09E3649F3}"/>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2286106010061399"/>
          <c:w val="0.51555832404039625"/>
          <c:h val="0.66563372889444816"/>
        </c:manualLayout>
      </c:layout>
      <c:doughnutChart>
        <c:varyColors val="1"/>
        <c:ser>
          <c:idx val="0"/>
          <c:order val="0"/>
          <c:tx>
            <c:v>Por uso del suelo</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50-4A9F-B75E-872C149116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50-4A9F-B75E-872C149116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750-4A9F-B75E-872C1491165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750-4A9F-B75E-872C1491165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750-4A9F-B75E-872C1491165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750-4A9F-B75E-872C1491165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750-4A9F-B75E-872C14911658}"/>
              </c:ext>
            </c:extLst>
          </c:dPt>
          <c:cat>
            <c:strRef>
              <c:f>M_A4!$D$77:$J$77</c:f>
              <c:strCache>
                <c:ptCount val="7"/>
                <c:pt idx="0">
                  <c:v>Uso residencial</c:v>
                </c:pt>
                <c:pt idx="1">
                  <c:v>Uso comercial/terciario</c:v>
                </c:pt>
                <c:pt idx="2">
                  <c:v>Uso de oficinas</c:v>
                </c:pt>
                <c:pt idx="3">
                  <c:v>Uso industrial</c:v>
                </c:pt>
                <c:pt idx="4">
                  <c:v>Equipamientos</c:v>
                </c:pt>
                <c:pt idx="5">
                  <c:v>Zonas verdes</c:v>
                </c:pt>
                <c:pt idx="6">
                  <c:v>Franja costera</c:v>
                </c:pt>
              </c:strCache>
            </c:strRef>
          </c:cat>
          <c:val>
            <c:numRef>
              <c:f>M_A4!$D$84:$J$84</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4750-4A9F-B75E-872C14911658}"/>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70538577237799849"/>
          <c:y val="0.3905572924910829"/>
          <c:w val="0.28521596109738395"/>
          <c:h val="0.42827504251756343"/>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58856074867256"/>
          <c:y val="0.23623178318179844"/>
          <c:w val="0.61063795046184777"/>
          <c:h val="0.6561827699714331"/>
        </c:manualLayout>
      </c:layout>
      <c:doughnutChart>
        <c:varyColors val="1"/>
        <c:ser>
          <c:idx val="1"/>
          <c:order val="0"/>
          <c:tx>
            <c:strRef>
              <c:f>M_A4!$T$95</c:f>
              <c:strCache>
                <c:ptCount val="1"/>
                <c:pt idx="0">
                  <c:v>t CO2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6BE-4990-ADE7-3965642F1B6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6BE-4990-ADE7-3965642F1B6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6BE-4990-ADE7-3965642F1B6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6BE-4990-ADE7-3965642F1B6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6BE-4990-ADE7-3965642F1B6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6BE-4990-ADE7-3965642F1B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M_A4!$Q$96:$Q$101</c:f>
              <c:strCache>
                <c:ptCount val="6"/>
                <c:pt idx="0">
                  <c:v>Bosque</c:v>
                </c:pt>
                <c:pt idx="1">
                  <c:v>Garriga/Matorral (arbustivas)/Prado</c:v>
                </c:pt>
                <c:pt idx="2">
                  <c:v>Cultivo</c:v>
                </c:pt>
                <c:pt idx="3">
                  <c:v>Marismas y humedales</c:v>
                </c:pt>
                <c:pt idx="4">
                  <c:v>Otras tierras</c:v>
                </c:pt>
                <c:pt idx="5">
                  <c:v>Asentamientos</c:v>
                </c:pt>
              </c:strCache>
            </c:strRef>
          </c:cat>
          <c:val>
            <c:numRef>
              <c:f>M_A4!$T$96:$T$101</c:f>
              <c:numCache>
                <c:formatCode>General</c:formatCode>
                <c:ptCount val="6"/>
                <c:pt idx="0">
                  <c:v>0</c:v>
                </c:pt>
              </c:numCache>
            </c:numRef>
          </c:val>
          <c:extLst>
            <c:ext xmlns:c16="http://schemas.microsoft.com/office/drawing/2014/chart" uri="{C3380CC4-5D6E-409C-BE32-E72D297353CC}">
              <c16:uniqueId val="{0000000C-96BE-4990-ADE7-3965642F1B6C}"/>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1.0255787435310946E-4"/>
          <c:y val="0.18871952486420004"/>
          <c:w val="0.27801192816291909"/>
          <c:h val="0.8112800867752755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76-4227-B07F-F18EE932DE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76-4227-B07F-F18EE932DE62}"/>
              </c:ext>
            </c:extLst>
          </c:dPt>
          <c:dLbls>
            <c:dLbl>
              <c:idx val="0"/>
              <c:layout>
                <c:manualLayout>
                  <c:x val="7.0656691604322447E-2"/>
                  <c:y val="1.47504388352340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76-4227-B07F-F18EE932DE62}"/>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7374444466262166"/>
                      <c:h val="0.23304919058418702"/>
                    </c:manualLayout>
                  </c15:layout>
                </c:ext>
                <c:ext xmlns:c16="http://schemas.microsoft.com/office/drawing/2014/chart" uri="{C3380CC4-5D6E-409C-BE32-E72D297353CC}">
                  <c16:uniqueId val="{00000003-B076-4227-B07F-F18EE932DE62}"/>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(M_A4!$D$11,M_A4!$G$11)</c:f>
              <c:strCache>
                <c:ptCount val="2"/>
                <c:pt idx="0">
                  <c:v>Vivienda Unifamiliar</c:v>
                </c:pt>
                <c:pt idx="1">
                  <c:v>Vivienda Plurifamiliar</c:v>
                </c:pt>
              </c:strCache>
            </c:strRef>
          </c:cat>
          <c:val>
            <c:numRef>
              <c:f>(M_A4!$E$22,M_A4!$H$22)</c:f>
              <c:numCache>
                <c:formatCode>_-* #,##0.0\ _€_-;\-* #,##0.0\ _€_-;_-* "-"??\ _€_-;_-@_-</c:formatCode>
                <c:ptCount val="2"/>
                <c:pt idx="0">
                  <c:v>#N/A</c:v>
                </c:pt>
                <c:pt idx="1">
                  <c:v>#N/A</c:v>
                </c:pt>
              </c:numCache>
            </c:numRef>
          </c:val>
          <c:extLst>
            <c:ext xmlns:c16="http://schemas.microsoft.com/office/drawing/2014/chart" uri="{C3380CC4-5D6E-409C-BE32-E72D297353CC}">
              <c16:uniqueId val="{00000004-B076-4227-B07F-F18EE932DE62}"/>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M_A4!$D$50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M_A4!$C$52:$C$55</c:f>
              <c:strCache>
                <c:ptCount val="4"/>
                <c:pt idx="0">
                  <c:v>Equipamientos - Sin especificar</c:v>
                </c:pt>
                <c:pt idx="1">
                  <c:v>Sanitario</c:v>
                </c:pt>
                <c:pt idx="2">
                  <c:v>Educativo</c:v>
                </c:pt>
                <c:pt idx="3">
                  <c:v>Deportivo</c:v>
                </c:pt>
              </c:strCache>
            </c:strRef>
          </c:cat>
          <c:val>
            <c:numRef>
              <c:f>M_A4!$E$52:$E$55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6A1C-4C88-A23B-E31BDEA5AD92}"/>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1379018581834688"/>
          <c:w val="0.60966628053980931"/>
          <c:h val="0.6001191020653921"/>
        </c:manualLayout>
      </c:layout>
      <c:doughnutChart>
        <c:varyColors val="1"/>
        <c:ser>
          <c:idx val="0"/>
          <c:order val="0"/>
          <c:tx>
            <c:v>Demanda asociadas a actividades económicas</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(M_A4!$D$27,M_A4!$D$36)</c:f>
              <c:strCache>
                <c:ptCount val="2"/>
                <c:pt idx="0">
                  <c:v>Industria</c:v>
                </c:pt>
                <c:pt idx="1">
                  <c:v>Terciario</c:v>
                </c:pt>
              </c:strCache>
            </c:strRef>
          </c:cat>
          <c:val>
            <c:numRef>
              <c:f>(M_A4!$E$29,M_A4!$E$43)</c:f>
              <c:numCache>
                <c:formatCode>_-* #,##0.0\ _€_-;\-* #,##0.0\ _€_-;_-* "-"??\ _€_-;_-@_-</c:formatCode>
                <c:ptCount val="2"/>
                <c:pt idx="0">
                  <c:v>0</c:v>
                </c:pt>
                <c:pt idx="1">
                  <c:v>0</c:v>
                </c:pt>
              </c:numCache>
            </c:numRef>
          </c:val>
          <c:extLst>
            <c:ext xmlns:c16="http://schemas.microsoft.com/office/drawing/2014/chart" uri="{C3380CC4-5D6E-409C-BE32-E72D297353CC}">
              <c16:uniqueId val="{00000000-D5A7-4BB3-812B-294EA09F675D}"/>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4907285591795"/>
          <c:y val="0.17731531115613805"/>
          <c:w val="0.55947532742945782"/>
          <c:h val="0.73078047654466649"/>
        </c:manualLayout>
      </c:layout>
      <c:doughnutChart>
        <c:varyColors val="1"/>
        <c:ser>
          <c:idx val="0"/>
          <c:order val="0"/>
          <c:tx>
            <c:v>Consumo energético asociado al uso de la vivienda</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09-4F34-B16D-E5973DAA3D6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09-4F34-B16D-E5973DAA3D64}"/>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2809429195182379"/>
                      <c:h val="0.17837894926609721"/>
                    </c:manualLayout>
                  </c15:layout>
                </c:ext>
                <c:ext xmlns:c16="http://schemas.microsoft.com/office/drawing/2014/chart" uri="{C3380CC4-5D6E-409C-BE32-E72D297353CC}">
                  <c16:uniqueId val="{00000001-9F09-4F34-B16D-E5973DAA3D64}"/>
                </c:ext>
              </c:extLst>
            </c:dLbl>
            <c:dLbl>
              <c:idx val="1"/>
              <c:showLegendKey val="0"/>
              <c:showVal val="0"/>
              <c:showCatName val="1"/>
              <c:showSerName val="0"/>
              <c:showPercent val="1"/>
              <c:showBubbleSize val="0"/>
              <c:extLst>
                <c:ext xmlns:c15="http://schemas.microsoft.com/office/drawing/2012/chart" uri="{CE6537A1-D6FC-4f65-9D91-7224C49458BB}">
                  <c15:layout>
                    <c:manualLayout>
                      <c:w val="0.26111282818619636"/>
                      <c:h val="0.23287743836365257"/>
                    </c:manualLayout>
                  </c15:layout>
                </c:ext>
                <c:ext xmlns:c16="http://schemas.microsoft.com/office/drawing/2014/chart" uri="{C3380CC4-5D6E-409C-BE32-E72D297353CC}">
                  <c16:uniqueId val="{00000003-9F09-4F34-B16D-E5973DAA3D6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(M_A4!$D$11,M_A4!$G$11)</c:f>
              <c:strCache>
                <c:ptCount val="2"/>
                <c:pt idx="0">
                  <c:v>Vivienda Unifamiliar</c:v>
                </c:pt>
                <c:pt idx="1">
                  <c:v>Vivienda Plurifamiliar</c:v>
                </c:pt>
              </c:strCache>
            </c:strRef>
          </c:cat>
          <c:val>
            <c:numRef>
              <c:f>(M_A4!$F$22,M_A4!$I$22)</c:f>
              <c:numCache>
                <c:formatCode>_-* #,##0.0\ _€_-;\-* #,##0.0\ _€_-;_-* "-"??\ _€_-;_-@_-</c:formatCode>
                <c:ptCount val="2"/>
                <c:pt idx="0">
                  <c:v>#N/A</c:v>
                </c:pt>
                <c:pt idx="1">
                  <c:v>#N/A</c:v>
                </c:pt>
              </c:numCache>
            </c:numRef>
          </c:val>
          <c:extLst>
            <c:ext xmlns:c16="http://schemas.microsoft.com/office/drawing/2014/chart" uri="{C3380CC4-5D6E-409C-BE32-E72D297353CC}">
              <c16:uniqueId val="{00000004-9F09-4F34-B16D-E5973DAA3D64}"/>
            </c:ext>
          </c:extLst>
        </c:ser>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12854502576940502"/>
          <c:w val="0.58106310264509931"/>
          <c:h val="0.73821692294270602"/>
        </c:manualLayout>
      </c:layout>
      <c:barChart>
        <c:barDir val="col"/>
        <c:grouping val="clustered"/>
        <c:varyColors val="0"/>
        <c:ser>
          <c:idx val="0"/>
          <c:order val="0"/>
          <c:tx>
            <c:strRef>
              <c:f>M_A4!$C$13</c:f>
              <c:strCache>
                <c:ptCount val="1"/>
                <c:pt idx="0">
                  <c:v>Existente</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(M_A4!$E$13,M_A4!$H$13)</c:f>
              <c:numCache>
                <c:formatCode>_-* #,##0.0\ _€_-;\-* #,##0.0\ _€_-;_-* "-"??\ _€_-;_-@_-</c:formatCode>
                <c:ptCount val="2"/>
                <c:pt idx="0">
                  <c:v>#N/A</c:v>
                </c:pt>
                <c:pt idx="1">
                  <c:v>#N/A</c:v>
                </c:pt>
              </c:numCache>
            </c:numRef>
          </c:val>
          <c:extLst>
            <c:ext xmlns:c16="http://schemas.microsoft.com/office/drawing/2014/chart" uri="{C3380CC4-5D6E-409C-BE32-E72D297353CC}">
              <c16:uniqueId val="{00000000-EAC8-49C4-AA8F-D0D5E7BACCF0}"/>
            </c:ext>
          </c:extLst>
        </c:ser>
        <c:ser>
          <c:idx val="1"/>
          <c:order val="1"/>
          <c:tx>
            <c:strRef>
              <c:f>M_A4!$C$14</c:f>
              <c:strCache>
                <c:ptCount val="1"/>
                <c:pt idx="0">
                  <c:v>Categoria A</c:v>
                </c:pt>
              </c:strCache>
            </c:strRef>
          </c:tx>
          <c:invertIfNegative val="0"/>
          <c:dLbls>
            <c:spPr>
              <a:no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(M_A4!$E$14,M_A4!$H$14)</c:f>
              <c:numCache>
                <c:formatCode>_-* #,##0.0\ _€_-;\-* #,##0.0\ _€_-;_-* "-"??\ _€_-;_-@_-</c:formatCode>
                <c:ptCount val="2"/>
                <c:pt idx="0">
                  <c:v>#N/A</c:v>
                </c:pt>
                <c:pt idx="1">
                  <c:v>#N/A</c:v>
                </c:pt>
              </c:numCache>
            </c:numRef>
          </c:val>
          <c:extLst>
            <c:ext xmlns:c16="http://schemas.microsoft.com/office/drawing/2014/chart" uri="{C3380CC4-5D6E-409C-BE32-E72D297353CC}">
              <c16:uniqueId val="{00000001-EAC8-49C4-AA8F-D0D5E7BACCF0}"/>
            </c:ext>
          </c:extLst>
        </c:ser>
        <c:ser>
          <c:idx val="2"/>
          <c:order val="2"/>
          <c:tx>
            <c:strRef>
              <c:f>M_A4!$C$15</c:f>
              <c:strCache>
                <c:ptCount val="1"/>
                <c:pt idx="0">
                  <c:v>Categoria B</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(M_A4!$E$15,M_A4!$H$15)</c:f>
              <c:numCache>
                <c:formatCode>_-* #,##0.0\ _€_-;\-* #,##0.0\ _€_-;_-* "-"??\ _€_-;_-@_-</c:formatCode>
                <c:ptCount val="2"/>
                <c:pt idx="0">
                  <c:v>#N/A</c:v>
                </c:pt>
                <c:pt idx="1">
                  <c:v>#N/A</c:v>
                </c:pt>
              </c:numCache>
            </c:numRef>
          </c:val>
          <c:extLst>
            <c:ext xmlns:c16="http://schemas.microsoft.com/office/drawing/2014/chart" uri="{C3380CC4-5D6E-409C-BE32-E72D297353CC}">
              <c16:uniqueId val="{00000002-EAC8-49C4-AA8F-D0D5E7BACCF0}"/>
            </c:ext>
          </c:extLst>
        </c:ser>
        <c:ser>
          <c:idx val="3"/>
          <c:order val="3"/>
          <c:tx>
            <c:strRef>
              <c:f>M_A4!$C$16</c:f>
              <c:strCache>
                <c:ptCount val="1"/>
                <c:pt idx="0">
                  <c:v>Categoria 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(M_A4!$E$16,M_A4!$H$16)</c:f>
              <c:numCache>
                <c:formatCode>_-* #,##0.0\ _€_-;\-* #,##0.0\ _€_-;_-* "-"??\ _€_-;_-@_-</c:formatCode>
                <c:ptCount val="2"/>
                <c:pt idx="0">
                  <c:v>#N/A</c:v>
                </c:pt>
                <c:pt idx="1">
                  <c:v>#N/A</c:v>
                </c:pt>
              </c:numCache>
            </c:numRef>
          </c:val>
          <c:extLst>
            <c:ext xmlns:c16="http://schemas.microsoft.com/office/drawing/2014/chart" uri="{C3380CC4-5D6E-409C-BE32-E72D297353CC}">
              <c16:uniqueId val="{00000003-EAC8-49C4-AA8F-D0D5E7BACCF0}"/>
            </c:ext>
          </c:extLst>
        </c:ser>
        <c:ser>
          <c:idx val="4"/>
          <c:order val="4"/>
          <c:tx>
            <c:strRef>
              <c:f>M_A4!$C$17</c:f>
              <c:strCache>
                <c:ptCount val="1"/>
                <c:pt idx="0">
                  <c:v>Categoria 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(M_A4!$E$17,M_A4!$H$17)</c:f>
              <c:numCache>
                <c:formatCode>_-* #,##0.0\ _€_-;\-* #,##0.0\ _€_-;_-* "-"??\ _€_-;_-@_-</c:formatCode>
                <c:ptCount val="2"/>
                <c:pt idx="0">
                  <c:v>#N/A</c:v>
                </c:pt>
                <c:pt idx="1">
                  <c:v>#N/A</c:v>
                </c:pt>
              </c:numCache>
            </c:numRef>
          </c:val>
          <c:extLst>
            <c:ext xmlns:c16="http://schemas.microsoft.com/office/drawing/2014/chart" uri="{C3380CC4-5D6E-409C-BE32-E72D297353CC}">
              <c16:uniqueId val="{00000004-EAC8-49C4-AA8F-D0D5E7BACCF0}"/>
            </c:ext>
          </c:extLst>
        </c:ser>
        <c:ser>
          <c:idx val="5"/>
          <c:order val="5"/>
          <c:tx>
            <c:strRef>
              <c:f>M_A4!$C$18</c:f>
              <c:strCache>
                <c:ptCount val="1"/>
                <c:pt idx="0">
                  <c:v>Categoria 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(M_A4!$E$18,M_A4!$H$18)</c:f>
              <c:numCache>
                <c:formatCode>_-* #,##0.0\ _€_-;\-* #,##0.0\ _€_-;_-* "-"??\ _€_-;_-@_-</c:formatCode>
                <c:ptCount val="2"/>
                <c:pt idx="0">
                  <c:v>#N/A</c:v>
                </c:pt>
                <c:pt idx="1">
                  <c:v>#N/A</c:v>
                </c:pt>
              </c:numCache>
            </c:numRef>
          </c:val>
          <c:extLst>
            <c:ext xmlns:c16="http://schemas.microsoft.com/office/drawing/2014/chart" uri="{C3380CC4-5D6E-409C-BE32-E72D297353CC}">
              <c16:uniqueId val="{00000005-EAC8-49C4-AA8F-D0D5E7BACCF0}"/>
            </c:ext>
          </c:extLst>
        </c:ser>
        <c:ser>
          <c:idx val="6"/>
          <c:order val="6"/>
          <c:tx>
            <c:strRef>
              <c:f>M_A4!$C$19</c:f>
              <c:strCache>
                <c:ptCount val="1"/>
                <c:pt idx="0">
                  <c:v>Categoria 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(M_A4!$E$19,M_A4!$H$19)</c:f>
              <c:numCache>
                <c:formatCode>_-* #,##0.0\ _€_-;\-* #,##0.0\ _€_-;_-* "-"??\ _€_-;_-@_-</c:formatCode>
                <c:ptCount val="2"/>
                <c:pt idx="0">
                  <c:v>#N/A</c:v>
                </c:pt>
                <c:pt idx="1">
                  <c:v>#N/A</c:v>
                </c:pt>
              </c:numCache>
            </c:numRef>
          </c:val>
          <c:extLst>
            <c:ext xmlns:c16="http://schemas.microsoft.com/office/drawing/2014/chart" uri="{C3380CC4-5D6E-409C-BE32-E72D297353CC}">
              <c16:uniqueId val="{00000006-EAC8-49C4-AA8F-D0D5E7BACCF0}"/>
            </c:ext>
          </c:extLst>
        </c:ser>
        <c:ser>
          <c:idx val="7"/>
          <c:order val="7"/>
          <c:tx>
            <c:strRef>
              <c:f>M_A4!$C$20</c:f>
              <c:strCache>
                <c:ptCount val="1"/>
                <c:pt idx="0">
                  <c:v>Consumo nulo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(M_A4!$E$20,M_A4!$H$20)</c:f>
              <c:numCache>
                <c:formatCode>_-* #,##0.0\ _€_-;\-* #,##0.0\ _€_-;_-* "-"??\ _€_-;_-@_-</c:formatCode>
                <c:ptCount val="2"/>
                <c:pt idx="0">
                  <c:v>#N/A</c:v>
                </c:pt>
                <c:pt idx="1">
                  <c:v>#N/A</c:v>
                </c:pt>
              </c:numCache>
            </c:numRef>
          </c:val>
          <c:extLst>
            <c:ext xmlns:c16="http://schemas.microsoft.com/office/drawing/2014/chart" uri="{C3380CC4-5D6E-409C-BE32-E72D297353CC}">
              <c16:uniqueId val="{00000007-EAC8-49C4-AA8F-D0D5E7BACCF0}"/>
            </c:ext>
          </c:extLst>
        </c:ser>
        <c:ser>
          <c:idx val="8"/>
          <c:order val="8"/>
          <c:tx>
            <c:strRef>
              <c:f>M_A4!$C$21</c:f>
              <c:strCache>
                <c:ptCount val="1"/>
                <c:pt idx="0">
                  <c:v>Sin definir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(M_A4!$D$11,M_A4!$G$11)</c:f>
              <c:strCache>
                <c:ptCount val="2"/>
                <c:pt idx="0">
                  <c:v>Vivienda Unifamiliar</c:v>
                </c:pt>
                <c:pt idx="1">
                  <c:v>Vivienda Plurifamiliar</c:v>
                </c:pt>
              </c:strCache>
            </c:strRef>
          </c:cat>
          <c:val>
            <c:numRef>
              <c:f>(M_A4!$E$21,M_A4!$H$21)</c:f>
              <c:numCache>
                <c:formatCode>_-* #,##0.0\ _€_-;\-* #,##0.0\ _€_-;_-* "-"??\ _€_-;_-@_-</c:formatCode>
                <c:ptCount val="2"/>
                <c:pt idx="0">
                  <c:v>#N/A</c:v>
                </c:pt>
                <c:pt idx="1">
                  <c:v>#N/A</c:v>
                </c:pt>
              </c:numCache>
            </c:numRef>
          </c:val>
          <c:extLst>
            <c:ext xmlns:c16="http://schemas.microsoft.com/office/drawing/2014/chart" uri="{C3380CC4-5D6E-409C-BE32-E72D297353CC}">
              <c16:uniqueId val="{00000008-EAC8-49C4-AA8F-D0D5E7BACCF0}"/>
            </c:ext>
          </c:extLst>
        </c:ser>
        <c:dLbls>
          <c:showLegendKey val="0"/>
          <c:showVal val="0"/>
          <c:showCatName val="0"/>
          <c:showSerName val="0"/>
          <c:showPercent val="0"/>
          <c:showBubbleSize val="0"/>
        </c:dLbls>
        <c:gapWidth val="100"/>
        <c:axId val="1767207727"/>
        <c:axId val="1767208559"/>
      </c:barChart>
      <c:catAx>
        <c:axId val="1767207727"/>
        <c:scaling>
          <c:orientation val="minMax"/>
        </c:scaling>
        <c:delete val="0"/>
        <c:axPos val="b"/>
        <c:numFmt formatCode="General" sourceLinked="1"/>
        <c:majorTickMark val="out"/>
        <c:minorTickMark val="none"/>
        <c:tickLblPos val="nextTo"/>
        <c:crossAx val="1767208559"/>
        <c:crosses val="autoZero"/>
        <c:auto val="1"/>
        <c:lblAlgn val="ctr"/>
        <c:lblOffset val="100"/>
        <c:noMultiLvlLbl val="0"/>
      </c:catAx>
      <c:valAx>
        <c:axId val="1767208559"/>
        <c:scaling>
          <c:orientation val="minMax"/>
        </c:scaling>
        <c:delete val="0"/>
        <c:axPos val="l"/>
        <c:majorGridlines>
          <c:spPr>
            <a:ln>
              <a:prstDash val="sysDot"/>
            </a:ln>
          </c:spPr>
        </c:majorGridlines>
        <c:numFmt formatCode="_-* #,##0.0\ _€_-;\-* #,##0.0\ _€_-;_-* &quot;-&quot;??\ _€_-;_-@_-" sourceLinked="1"/>
        <c:majorTickMark val="out"/>
        <c:minorTickMark val="none"/>
        <c:tickLblPos val="nextTo"/>
        <c:crossAx val="1767207727"/>
        <c:crosses val="autoZero"/>
        <c:crossBetween val="between"/>
      </c:valAx>
      <c:spPr>
        <a:noFill/>
        <a:ln w="25400">
          <a:noFill/>
        </a:ln>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65883189789112E-2"/>
          <c:y val="0.15148734710048034"/>
          <c:w val="0.53881306325201195"/>
          <c:h val="0.72263378398454914"/>
        </c:manualLayout>
      </c:layout>
      <c:doughnutChart>
        <c:varyColors val="1"/>
        <c:ser>
          <c:idx val="0"/>
          <c:order val="0"/>
          <c:tx>
            <c:v>Demanda asociadas a terciario</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M_A4!$C$38:$C$42</c:f>
              <c:strCache>
                <c:ptCount val="5"/>
                <c:pt idx="0">
                  <c:v>Sin especificar</c:v>
                </c:pt>
                <c:pt idx="1">
                  <c:v>Oficinas</c:v>
                </c:pt>
                <c:pt idx="2">
                  <c:v>Comercio</c:v>
                </c:pt>
                <c:pt idx="3">
                  <c:v>Hotel</c:v>
                </c:pt>
                <c:pt idx="4">
                  <c:v>Restauración</c:v>
                </c:pt>
              </c:strCache>
            </c:strRef>
          </c:cat>
          <c:val>
            <c:numRef>
              <c:f>M_A4!$E$38:$E$42</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3BEE-4554-825C-B69EC0940579}"/>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38371617368711E-2"/>
          <c:y val="0.12053996026560836"/>
          <c:w val="0.53243329085086422"/>
          <c:h val="0.77303016024909288"/>
        </c:manualLayout>
      </c:layout>
      <c:doughnutChart>
        <c:varyColors val="1"/>
        <c:ser>
          <c:idx val="0"/>
          <c:order val="0"/>
          <c:tx>
            <c:strRef>
              <c:f>M_A0!$D$50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M_A0!$C$52:$C$55</c:f>
              <c:strCache>
                <c:ptCount val="4"/>
                <c:pt idx="0">
                  <c:v>Equipamientos - Sin especificar</c:v>
                </c:pt>
                <c:pt idx="1">
                  <c:v>Sanitario</c:v>
                </c:pt>
                <c:pt idx="2">
                  <c:v>Educativo</c:v>
                </c:pt>
                <c:pt idx="3">
                  <c:v>Deportivo</c:v>
                </c:pt>
              </c:strCache>
            </c:strRef>
          </c:cat>
          <c:val>
            <c:numRef>
              <c:f>M_A0!$E$52:$E$55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6778-4CF7-A169-44D9B9DFCC9D}"/>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259238386603334"/>
          <c:w val="0.59254906630024495"/>
          <c:h val="0.63083419123755757"/>
        </c:manualLayout>
      </c:layout>
      <c:doughnutChart>
        <c:varyColors val="1"/>
        <c:ser>
          <c:idx val="0"/>
          <c:order val="0"/>
          <c:tx>
            <c:v>Emisiones asociadas a actividades económicas</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(M_A4!$D$27,M_A4!$D$36)</c:f>
              <c:strCache>
                <c:ptCount val="2"/>
                <c:pt idx="0">
                  <c:v>Industria</c:v>
                </c:pt>
                <c:pt idx="1">
                  <c:v>Terciario</c:v>
                </c:pt>
              </c:strCache>
            </c:strRef>
          </c:cat>
          <c:val>
            <c:numRef>
              <c:f>(M_A4!$F$29,M_A4!$F$43)</c:f>
              <c:numCache>
                <c:formatCode>_-* #,##0.0\ _€_-;\-* #,##0.0\ _€_-;_-* "-"??\ _€_-;_-@_-</c:formatCode>
                <c:ptCount val="2"/>
                <c:pt idx="0">
                  <c:v>0</c:v>
                </c:pt>
                <c:pt idx="1">
                  <c:v>0</c:v>
                </c:pt>
              </c:numCache>
            </c:numRef>
          </c:val>
          <c:extLst>
            <c:ext xmlns:c16="http://schemas.microsoft.com/office/drawing/2014/chart" uri="{C3380CC4-5D6E-409C-BE32-E72D297353CC}">
              <c16:uniqueId val="{00000000-8F82-4861-8BA7-F516553ED371}"/>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M_A4!$D$50</c:f>
              <c:strCache>
                <c:ptCount val="1"/>
                <c:pt idx="0">
                  <c:v>Equipamientos - Resumen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M_A4!$C$52:$C$55</c:f>
              <c:strCache>
                <c:ptCount val="4"/>
                <c:pt idx="0">
                  <c:v>Equipamientos - Sin especificar</c:v>
                </c:pt>
                <c:pt idx="1">
                  <c:v>Sanitario</c:v>
                </c:pt>
                <c:pt idx="2">
                  <c:v>Educativo</c:v>
                </c:pt>
                <c:pt idx="3">
                  <c:v>Deportivo</c:v>
                </c:pt>
              </c:strCache>
            </c:strRef>
          </c:cat>
          <c:val>
            <c:numRef>
              <c:f>M_A4!$F$52:$F$55</c:f>
              <c:numCache>
                <c:formatCode>_-* #,##0.0\ _€_-;\-* #,##0.0\ _€_-;_-* "-"??\ _€_-;_-@_-</c:formatCode>
                <c:ptCount val="4"/>
                <c:pt idx="0">
                  <c:v>#N/A</c:v>
                </c:pt>
                <c:pt idx="1">
                  <c:v>#N/A</c:v>
                </c:pt>
                <c:pt idx="2">
                  <c:v>#N/A</c:v>
                </c:pt>
                <c:pt idx="3">
                  <c:v>#N/A</c:v>
                </c:pt>
              </c:numCache>
            </c:numRef>
          </c:val>
          <c:extLst>
            <c:ext xmlns:c16="http://schemas.microsoft.com/office/drawing/2014/chart" uri="{C3380CC4-5D6E-409C-BE32-E72D297353CC}">
              <c16:uniqueId val="{00000000-85DC-40D6-805A-742559A3CF1B}"/>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65883189789112E-2"/>
          <c:y val="0.15148734710048034"/>
          <c:w val="0.53881306325201195"/>
          <c:h val="0.72263378398454914"/>
        </c:manualLayout>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M_A4!$C$29:$C$33</c:f>
              <c:strCache>
                <c:ptCount val="5"/>
                <c:pt idx="0">
                  <c:v>Sin especificar</c:v>
                </c:pt>
                <c:pt idx="1">
                  <c:v>Cerámica</c:v>
                </c:pt>
                <c:pt idx="2">
                  <c:v>Agroalimentaria</c:v>
                </c:pt>
                <c:pt idx="3">
                  <c:v>Logística</c:v>
                </c:pt>
                <c:pt idx="4">
                  <c:v>Textil</c:v>
                </c:pt>
              </c:strCache>
            </c:strRef>
          </c:cat>
          <c:val>
            <c:numRef>
              <c:f>M_A4!$E$29:$E$33</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A042-43A9-A38F-0CF4E4BA9900}"/>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65883189789112E-2"/>
          <c:y val="0.15148734710048034"/>
          <c:w val="0.53881306325201195"/>
          <c:h val="0.72263378398454914"/>
        </c:manualLayout>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M_A4!$C$29:$C$33</c:f>
              <c:strCache>
                <c:ptCount val="5"/>
                <c:pt idx="0">
                  <c:v>Sin especificar</c:v>
                </c:pt>
                <c:pt idx="1">
                  <c:v>Cerámica</c:v>
                </c:pt>
                <c:pt idx="2">
                  <c:v>Agroalimentaria</c:v>
                </c:pt>
                <c:pt idx="3">
                  <c:v>Logística</c:v>
                </c:pt>
                <c:pt idx="4">
                  <c:v>Textil</c:v>
                </c:pt>
              </c:strCache>
            </c:strRef>
          </c:cat>
          <c:val>
            <c:numRef>
              <c:f>M_A4!$F$29:$F$33</c:f>
              <c:numCache>
                <c:formatCode>_-* #,##0.0\ _€_-;\-* #,##0.0\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6347-40B7-A978-257FEEC3D9B8}"/>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8657070980932"/>
          <c:y val="0.13235299630343103"/>
          <c:w val="0.69471348261255683"/>
          <c:h val="0.82351767584734736"/>
        </c:manualLayout>
      </c:layout>
      <c:barChart>
        <c:barDir val="col"/>
        <c:grouping val="clustered"/>
        <c:varyColors val="0"/>
        <c:ser>
          <c:idx val="0"/>
          <c:order val="0"/>
          <c:tx>
            <c:strRef>
              <c:f>M_Resultados!$E$18</c:f>
              <c:strCache>
                <c:ptCount val="1"/>
                <c:pt idx="0">
                  <c:v>Alternativa 0</c:v>
                </c:pt>
              </c:strCache>
            </c:strRef>
          </c:tx>
          <c:spPr>
            <a:solidFill>
              <a:schemeClr val="bg1">
                <a:lumMod val="75000"/>
              </a:schemeClr>
            </a:solidFill>
            <a:ln w="19050">
              <a:solidFill>
                <a:schemeClr val="lt1"/>
              </a:solidFill>
            </a:ln>
            <a:effectLst/>
          </c:spPr>
          <c:invertIfNegative val="0"/>
          <c:dPt>
            <c:idx val="1"/>
            <c:invertIfNegative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042B-400E-90AB-042692DC6FAE}"/>
              </c:ext>
            </c:extLst>
          </c:dPt>
          <c:dPt>
            <c:idx val="2"/>
            <c:invertIfNegative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042B-400E-90AB-042692DC6FAE}"/>
              </c:ext>
            </c:extLst>
          </c:dPt>
          <c:dPt>
            <c:idx val="3"/>
            <c:invertIfNegative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042B-400E-90AB-042692DC6FAE}"/>
              </c:ext>
            </c:extLst>
          </c:dPt>
          <c:val>
            <c:numRef>
              <c:f>M_Resultados!$E$26</c:f>
              <c:numCache>
                <c:formatCode>#,##0.0</c:formatCode>
                <c:ptCount val="1"/>
                <c:pt idx="0">
                  <c:v>#N/A</c:v>
                </c:pt>
              </c:numCache>
            </c:numRef>
          </c:val>
          <c:extLst>
            <c:ext xmlns:c16="http://schemas.microsoft.com/office/drawing/2014/chart" uri="{C3380CC4-5D6E-409C-BE32-E72D297353CC}">
              <c16:uniqueId val="{00000008-042B-400E-90AB-042692DC6FAE}"/>
            </c:ext>
          </c:extLst>
        </c:ser>
        <c:ser>
          <c:idx val="1"/>
          <c:order val="1"/>
          <c:tx>
            <c:strRef>
              <c:f>M_Resultados!$G$18</c:f>
              <c:strCache>
                <c:ptCount val="1"/>
                <c:pt idx="0">
                  <c:v>Alternativa 1</c:v>
                </c:pt>
              </c:strCache>
            </c:strRef>
          </c:tx>
          <c:spPr>
            <a:solidFill>
              <a:srgbClr val="FF8585"/>
            </a:solidFill>
            <a:ln w="19050">
              <a:solidFill>
                <a:schemeClr val="lt1"/>
              </a:solidFill>
            </a:ln>
            <a:effectLst/>
          </c:spPr>
          <c:invertIfNegative val="0"/>
          <c:val>
            <c:numRef>
              <c:f>M_Resultados!$G$26</c:f>
              <c:numCache>
                <c:formatCode>#,##0.0</c:formatCode>
                <c:ptCount val="1"/>
                <c:pt idx="0">
                  <c:v>#N/A</c:v>
                </c:pt>
              </c:numCache>
            </c:numRef>
          </c:val>
          <c:extLst>
            <c:ext xmlns:c16="http://schemas.microsoft.com/office/drawing/2014/chart" uri="{C3380CC4-5D6E-409C-BE32-E72D297353CC}">
              <c16:uniqueId val="{00000009-042B-400E-90AB-042692DC6FAE}"/>
            </c:ext>
          </c:extLst>
        </c:ser>
        <c:ser>
          <c:idx val="2"/>
          <c:order val="2"/>
          <c:tx>
            <c:strRef>
              <c:f>M_Resultados!$I$18</c:f>
              <c:strCache>
                <c:ptCount val="1"/>
                <c:pt idx="0">
                  <c:v>Alternativa 2</c:v>
                </c:pt>
              </c:strCache>
            </c:strRef>
          </c:tx>
          <c:spPr>
            <a:solidFill>
              <a:srgbClr val="B00000"/>
            </a:solidFill>
            <a:ln w="19050">
              <a:solidFill>
                <a:schemeClr val="lt1"/>
              </a:solidFill>
            </a:ln>
            <a:effectLst/>
          </c:spPr>
          <c:invertIfNegative val="0"/>
          <c:val>
            <c:numRef>
              <c:f>M_Resultados!$I$26</c:f>
              <c:numCache>
                <c:formatCode>#,##0.0</c:formatCode>
                <c:ptCount val="1"/>
                <c:pt idx="0">
                  <c:v>#N/A</c:v>
                </c:pt>
              </c:numCache>
            </c:numRef>
          </c:val>
          <c:extLst>
            <c:ext xmlns:c16="http://schemas.microsoft.com/office/drawing/2014/chart" uri="{C3380CC4-5D6E-409C-BE32-E72D297353CC}">
              <c16:uniqueId val="{0000000A-042B-400E-90AB-042692DC6FAE}"/>
            </c:ext>
          </c:extLst>
        </c:ser>
        <c:ser>
          <c:idx val="3"/>
          <c:order val="3"/>
          <c:tx>
            <c:strRef>
              <c:f>M_Resultados!$K$18</c:f>
              <c:strCache>
                <c:ptCount val="1"/>
                <c:pt idx="0">
                  <c:v>Alternativa 3</c:v>
                </c:pt>
              </c:strCache>
            </c:strRef>
          </c:tx>
          <c:spPr>
            <a:solidFill>
              <a:srgbClr val="680000"/>
            </a:solidFill>
            <a:ln w="19050">
              <a:solidFill>
                <a:schemeClr val="lt1"/>
              </a:solidFill>
            </a:ln>
            <a:effectLst/>
          </c:spPr>
          <c:invertIfNegative val="0"/>
          <c:val>
            <c:numRef>
              <c:f>M_Resultados!$K$26</c:f>
              <c:numCache>
                <c:formatCode>#,##0.0</c:formatCode>
                <c:ptCount val="1"/>
                <c:pt idx="0">
                  <c:v>#N/A</c:v>
                </c:pt>
              </c:numCache>
            </c:numRef>
          </c:val>
          <c:extLst>
            <c:ext xmlns:c16="http://schemas.microsoft.com/office/drawing/2014/chart" uri="{C3380CC4-5D6E-409C-BE32-E72D297353CC}">
              <c16:uniqueId val="{0000000B-042B-400E-90AB-042692DC6FAE}"/>
            </c:ext>
          </c:extLst>
        </c:ser>
        <c:ser>
          <c:idx val="4"/>
          <c:order val="4"/>
          <c:tx>
            <c:strRef>
              <c:f>M_Resultados!$M$18</c:f>
              <c:strCache>
                <c:ptCount val="1"/>
                <c:pt idx="0">
                  <c:v>Alternativa 4</c:v>
                </c:pt>
              </c:strCache>
            </c:strRef>
          </c:tx>
          <c:spPr>
            <a:solidFill>
              <a:srgbClr val="3A0000"/>
            </a:solidFill>
            <a:ln w="19050">
              <a:solidFill>
                <a:schemeClr val="lt1"/>
              </a:solidFill>
            </a:ln>
            <a:effectLst/>
          </c:spPr>
          <c:invertIfNegative val="0"/>
          <c:val>
            <c:numRef>
              <c:f>M_Resultados!$M$26</c:f>
              <c:numCache>
                <c:formatCode>#,##0.0</c:formatCode>
                <c:ptCount val="1"/>
                <c:pt idx="0">
                  <c:v>#N/A</c:v>
                </c:pt>
              </c:numCache>
            </c:numRef>
          </c:val>
          <c:extLst>
            <c:ext xmlns:c16="http://schemas.microsoft.com/office/drawing/2014/chart" uri="{C3380CC4-5D6E-409C-BE32-E72D297353CC}">
              <c16:uniqueId val="{0000000C-042B-400E-90AB-042692DC6FAE}"/>
            </c:ext>
          </c:extLst>
        </c:ser>
        <c:dLbls>
          <c:showLegendKey val="0"/>
          <c:showVal val="0"/>
          <c:showCatName val="0"/>
          <c:showSerName val="0"/>
          <c:showPercent val="0"/>
          <c:showBubbleSize val="0"/>
        </c:dLbls>
        <c:gapWidth val="100"/>
        <c:axId val="705767256"/>
        <c:axId val="705763648"/>
      </c:barChart>
      <c:valAx>
        <c:axId val="705763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05767256"/>
        <c:crosses val="autoZero"/>
        <c:crossBetween val="between"/>
      </c:valAx>
      <c:catAx>
        <c:axId val="705767256"/>
        <c:scaling>
          <c:orientation val="minMax"/>
        </c:scaling>
        <c:delete val="1"/>
        <c:axPos val="b"/>
        <c:majorTickMark val="out"/>
        <c:minorTickMark val="none"/>
        <c:tickLblPos val="nextTo"/>
        <c:crossAx val="70576364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0</a:t>
            </a:r>
          </a:p>
        </c:rich>
      </c:tx>
      <c:layout>
        <c:manualLayout>
          <c:xMode val="edge"/>
          <c:yMode val="edge"/>
          <c:x val="0.53723606009865388"/>
          <c:y val="3.99286158092952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41059430236483807"/>
          <c:y val="0.16383426323254371"/>
          <c:w val="0.73076407674248112"/>
          <c:h val="0.77712137112097368"/>
        </c:manualLayout>
      </c:layout>
      <c:doughnutChart>
        <c:varyColors val="1"/>
        <c:ser>
          <c:idx val="2"/>
          <c:order val="0"/>
          <c:tx>
            <c:strRef>
              <c:f>M_Resultados!$E$18</c:f>
              <c:strCache>
                <c:ptCount val="1"/>
                <c:pt idx="0">
                  <c:v>Alternativa 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C4-4832-86D5-E4C3EEAF80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C4-4832-86D5-E4C3EEAF80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C4-4832-86D5-E4C3EEAF80D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C4-4832-86D5-E4C3EEAF80D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C4-4832-86D5-E4C3EEAF80D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C4-4832-86D5-E4C3EEAF80D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M_Resultados!$C$20:$C$25</c:f>
              <c:strCache>
                <c:ptCount val="6"/>
                <c:pt idx="0">
                  <c:v>Emisiones energia</c:v>
                </c:pt>
                <c:pt idx="1">
                  <c:v>Emisiones movilidad</c:v>
                </c:pt>
                <c:pt idx="2">
                  <c:v>Emisiones agua</c:v>
                </c:pt>
                <c:pt idx="3">
                  <c:v>Emisiones residuos</c:v>
                </c:pt>
                <c:pt idx="4">
                  <c:v>Sumideros de CO2</c:v>
                </c:pt>
                <c:pt idx="5">
                  <c:v>Cambio de usos del suelo</c:v>
                </c:pt>
              </c:strCache>
            </c:strRef>
          </c:cat>
          <c:val>
            <c:numRef>
              <c:f>M_Resultados!$E$20:$E$25</c:f>
              <c:numCache>
                <c:formatCode>#,##0.00</c:formatCode>
                <c:ptCount val="6"/>
                <c:pt idx="0">
                  <c:v>#N/A</c:v>
                </c:pt>
                <c:pt idx="1">
                  <c:v>0</c:v>
                </c:pt>
                <c:pt idx="2">
                  <c:v>0</c:v>
                </c:pt>
                <c:pt idx="3">
                  <c:v>0</c:v>
                </c:pt>
                <c:pt idx="4">
                  <c:v>0</c:v>
                </c:pt>
                <c:pt idx="5">
                  <c:v>0</c:v>
                </c:pt>
              </c:numCache>
            </c:numRef>
          </c:val>
          <c:extLst>
            <c:ext xmlns:c16="http://schemas.microsoft.com/office/drawing/2014/chart" uri="{C3380CC4-5D6E-409C-BE32-E72D297353CC}">
              <c16:uniqueId val="{00000004-0641-4194-AC82-56972D19981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1.726556109674832E-2"/>
          <c:y val="0.15162105857205679"/>
          <c:w val="0.33918761229978633"/>
          <c:h val="0.8197879303182774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1</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0"/>
          <c:tx>
            <c:v>Alternativa 3</c:v>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BA40-43D1-AD0C-6D783FE2306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9C-4074-AE0A-5FEFCAA817B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49C-4074-AE0A-5FEFCAA817B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49C-4074-AE0A-5FEFCAA817B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49C-4074-AE0A-5FEFCAA817B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49C-4074-AE0A-5FEFCAA817B0}"/>
              </c:ext>
            </c:extLst>
          </c:dPt>
          <c:val>
            <c:numRef>
              <c:f>M_Resultados!$G$20:$G$25</c:f>
              <c:numCache>
                <c:formatCode>#,##0.00</c:formatCode>
                <c:ptCount val="6"/>
                <c:pt idx="0">
                  <c:v>#N/A</c:v>
                </c:pt>
                <c:pt idx="1">
                  <c:v>0</c:v>
                </c:pt>
                <c:pt idx="2">
                  <c:v>0</c:v>
                </c:pt>
                <c:pt idx="3">
                  <c:v>0</c:v>
                </c:pt>
                <c:pt idx="4">
                  <c:v>0</c:v>
                </c:pt>
                <c:pt idx="5">
                  <c:v>0</c:v>
                </c:pt>
              </c:numCache>
            </c:numRef>
          </c:val>
          <c:extLst xmlns:c15="http://schemas.microsoft.com/office/drawing/2012/char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2B-BA40-43D1-AD0C-6D783FE23067}"/>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0"/>
          <c:tx>
            <c:strRef>
              <c:f>M_Resultados!$I$18</c:f>
              <c:strCache>
                <c:ptCount val="1"/>
                <c:pt idx="0">
                  <c:v>Alternativa 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D60-4DB7-AD57-048DDECF25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7C-4719-80C7-B4954804F43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37C-4719-80C7-B4954804F43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37C-4719-80C7-B4954804F43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37C-4719-80C7-B4954804F43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37C-4719-80C7-B4954804F439}"/>
              </c:ext>
            </c:extLst>
          </c:dPt>
          <c:val>
            <c:numRef>
              <c:f>M_Resultados!$I$20:$I$25</c:f>
              <c:numCache>
                <c:formatCode>#,##0.00</c:formatCode>
                <c:ptCount val="6"/>
                <c:pt idx="0">
                  <c:v>#N/A</c:v>
                </c:pt>
                <c:pt idx="1">
                  <c:v>0</c:v>
                </c:pt>
                <c:pt idx="2">
                  <c:v>0</c:v>
                </c:pt>
                <c:pt idx="3">
                  <c:v>0</c:v>
                </c:pt>
                <c:pt idx="4">
                  <c:v>0</c:v>
                </c:pt>
                <c:pt idx="5">
                  <c:v>0</c:v>
                </c:pt>
              </c:numCache>
            </c:numRef>
          </c:val>
          <c:extLst xmlns:c15="http://schemas.microsoft.com/office/drawing/2012/char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2B-1D60-4DB7-AD57-048DDECF2542}"/>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 Alternativa 3</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0"/>
          <c:tx>
            <c:v>Alternativa 3</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942-4111-AF90-9129A0C5572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60-43C9-9119-BFCD6E9476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60-43C9-9119-BFCD6E9476C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60-43C9-9119-BFCD6E9476C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F60-43C9-9119-BFCD6E9476C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F60-43C9-9119-BFCD6E9476C2}"/>
              </c:ext>
            </c:extLst>
          </c:dPt>
          <c:val>
            <c:numRef>
              <c:f>M_Resultados!$K$20:$K$25</c:f>
              <c:numCache>
                <c:formatCode>#,##0.00</c:formatCode>
                <c:ptCount val="6"/>
                <c:pt idx="0">
                  <c:v>#N/A</c:v>
                </c:pt>
                <c:pt idx="1">
                  <c:v>0</c:v>
                </c:pt>
                <c:pt idx="2">
                  <c:v>0</c:v>
                </c:pt>
                <c:pt idx="3">
                  <c:v>0</c:v>
                </c:pt>
                <c:pt idx="4">
                  <c:v>0</c:v>
                </c:pt>
                <c:pt idx="5">
                  <c:v>0</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A-D942-4111-AF90-9129A0C55729}"/>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M_Resultados!$C$20</c:f>
              <c:strCache>
                <c:ptCount val="1"/>
                <c:pt idx="0">
                  <c:v>Emisiones energia</c:v>
                </c:pt>
              </c:strCache>
            </c:strRef>
          </c:tx>
          <c:spPr>
            <a:solidFill>
              <a:schemeClr val="accent1"/>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(M_Resultados!$E$20,M_Resultados!$G$20,M_Resultados!$I$20,M_Resultados!$K$20,M_Resultados!$M$20)</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0-F421-4A47-810E-9A65122F5DD1}"/>
            </c:ext>
          </c:extLst>
        </c:ser>
        <c:ser>
          <c:idx val="1"/>
          <c:order val="1"/>
          <c:tx>
            <c:strRef>
              <c:f>M_Resultados!$C$21</c:f>
              <c:strCache>
                <c:ptCount val="1"/>
                <c:pt idx="0">
                  <c:v>Emisiones movilidad</c:v>
                </c:pt>
              </c:strCache>
            </c:strRef>
          </c:tx>
          <c:spPr>
            <a:solidFill>
              <a:schemeClr val="accent2"/>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(M_Resultados!$E$21,M_Resultados!$G$21,M_Resultados!$I$21,M_Resultados!$K$21,M_Resultados!$M$21)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F421-4A47-810E-9A65122F5DD1}"/>
            </c:ext>
          </c:extLst>
        </c:ser>
        <c:ser>
          <c:idx val="2"/>
          <c:order val="2"/>
          <c:tx>
            <c:strRef>
              <c:f>M_Resultados!$C$22</c:f>
              <c:strCache>
                <c:ptCount val="1"/>
                <c:pt idx="0">
                  <c:v>Emisiones agua</c:v>
                </c:pt>
              </c:strCache>
            </c:strRef>
          </c:tx>
          <c:spPr>
            <a:solidFill>
              <a:schemeClr val="accent3"/>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(M_Resultados!$E$22,M_Resultados!$G$22,M_Resultados!$I$22,M_Resultados!$K$22,M_Resultados!$M$22)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F421-4A47-810E-9A65122F5DD1}"/>
            </c:ext>
          </c:extLst>
        </c:ser>
        <c:ser>
          <c:idx val="3"/>
          <c:order val="3"/>
          <c:tx>
            <c:strRef>
              <c:f>M_Resultados!$C$23</c:f>
              <c:strCache>
                <c:ptCount val="1"/>
                <c:pt idx="0">
                  <c:v>Emisiones residuos</c:v>
                </c:pt>
              </c:strCache>
            </c:strRef>
          </c:tx>
          <c:spPr>
            <a:solidFill>
              <a:schemeClr val="accent4"/>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(M_Resultados!$E$23,M_Resultados!$G$23,M_Resultados!$I$23,M_Resultados!$K$23,M_Resultados!$M$23)</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3-F421-4A47-810E-9A65122F5DD1}"/>
            </c:ext>
          </c:extLst>
        </c:ser>
        <c:ser>
          <c:idx val="4"/>
          <c:order val="4"/>
          <c:tx>
            <c:strRef>
              <c:f>M_Resultados!$C$24</c:f>
              <c:strCache>
                <c:ptCount val="1"/>
                <c:pt idx="0">
                  <c:v>Sumideros de CO2</c:v>
                </c:pt>
              </c:strCache>
            </c:strRef>
          </c:tx>
          <c:spPr>
            <a:solidFill>
              <a:schemeClr val="accent5"/>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(M_Resultados!$E$24,M_Resultados!$G$24,M_Resultados!$I$24,M_Resultados!$K$24,M_Resultados!$M$24)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4-F421-4A47-810E-9A65122F5DD1}"/>
            </c:ext>
          </c:extLst>
        </c:ser>
        <c:ser>
          <c:idx val="5"/>
          <c:order val="5"/>
          <c:tx>
            <c:strRef>
              <c:f>M_Resultados!$C$25</c:f>
              <c:strCache>
                <c:ptCount val="1"/>
                <c:pt idx="0">
                  <c:v>Cambio de usos del suelo</c:v>
                </c:pt>
              </c:strCache>
            </c:strRef>
          </c:tx>
          <c:spPr>
            <a:solidFill>
              <a:schemeClr val="accent6"/>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(M_Resultados!$E$25,M_Resultados!$G$25,M_Resultados!$I$25,M_Resultados!$K$25,M_Resultados!$M$25)</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820F-451A-8237-0438C1A8E44A}"/>
            </c:ext>
          </c:extLst>
        </c:ser>
        <c:dLbls>
          <c:showLegendKey val="0"/>
          <c:showVal val="0"/>
          <c:showCatName val="0"/>
          <c:showSerName val="0"/>
          <c:showPercent val="0"/>
          <c:showBubbleSize val="0"/>
        </c:dLbls>
        <c:gapWidth val="150"/>
        <c:axId val="426588384"/>
        <c:axId val="426585760"/>
      </c:barChart>
      <c:catAx>
        <c:axId val="42658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26585760"/>
        <c:crosses val="autoZero"/>
        <c:auto val="1"/>
        <c:lblAlgn val="ctr"/>
        <c:lblOffset val="100"/>
        <c:noMultiLvlLbl val="0"/>
      </c:catAx>
      <c:valAx>
        <c:axId val="426585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265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62414550251023E-2"/>
          <c:y val="0.12177655619752191"/>
          <c:w val="0.65853046672294613"/>
          <c:h val="0.73395720868472425"/>
        </c:manualLayout>
      </c:layout>
      <c:doughnutChart>
        <c:varyColors val="1"/>
        <c:ser>
          <c:idx val="0"/>
          <c:order val="0"/>
          <c:tx>
            <c:v>Demanda asociadas a actividades económicas</c:v>
          </c:tx>
          <c:spPr>
            <a:solidFill>
              <a:schemeClr val="accent1"/>
            </a:solidFill>
          </c:spPr>
          <c:dPt>
            <c:idx val="0"/>
            <c:bubble3D val="0"/>
            <c:spPr>
              <a:solidFill>
                <a:schemeClr val="accent2"/>
              </a:solidFill>
            </c:spPr>
            <c:extLst>
              <c:ext xmlns:c16="http://schemas.microsoft.com/office/drawing/2014/chart" uri="{C3380CC4-5D6E-409C-BE32-E72D297353CC}">
                <c16:uniqueId val="{00000000-4627-448C-97EA-B7992B33C3E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(M_A0!$D$27,M_A0!$D$36)</c:f>
              <c:strCache>
                <c:ptCount val="2"/>
                <c:pt idx="0">
                  <c:v>Industria</c:v>
                </c:pt>
                <c:pt idx="1">
                  <c:v>Terciario</c:v>
                </c:pt>
              </c:strCache>
            </c:strRef>
          </c:cat>
          <c:val>
            <c:numRef>
              <c:f>(M_A0!$E$29,M_A0!$E$43)</c:f>
              <c:numCache>
                <c:formatCode>_-* #,##0.0\ _€_-;\-* #,##0.0\ _€_-;_-* "-"??\ _€_-;_-@_-</c:formatCode>
                <c:ptCount val="2"/>
                <c:pt idx="0">
                  <c:v>0</c:v>
                </c:pt>
                <c:pt idx="1">
                  <c:v>0</c:v>
                </c:pt>
              </c:numCache>
            </c:numRef>
          </c:val>
          <c:extLst>
            <c:ext xmlns:c16="http://schemas.microsoft.com/office/drawing/2014/chart" uri="{C3380CC4-5D6E-409C-BE32-E72D297353CC}">
              <c16:uniqueId val="{00000000-8D71-4D46-96CD-893663BF489F}"/>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M_Resultados!$E$18</c:f>
              <c:strCache>
                <c:ptCount val="1"/>
                <c:pt idx="0">
                  <c:v>Alternativa 0</c:v>
                </c:pt>
              </c:strCache>
            </c:strRef>
          </c:tx>
          <c:spPr>
            <a:solidFill>
              <a:schemeClr val="bg1">
                <a:lumMod val="85000"/>
              </a:schemeClr>
            </a:solidFill>
            <a:ln>
              <a:noFill/>
            </a:ln>
            <a:effectLst/>
          </c:spPr>
          <c:invertIfNegative val="0"/>
          <c:val>
            <c:numRef>
              <c:f>M_Resultados!$F$26</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0-0A5E-4254-B3CE-67E996FA3C21}"/>
            </c:ext>
          </c:extLst>
        </c:ser>
        <c:ser>
          <c:idx val="1"/>
          <c:order val="1"/>
          <c:tx>
            <c:strRef>
              <c:f>M_Resultados!$G$18</c:f>
              <c:strCache>
                <c:ptCount val="1"/>
                <c:pt idx="0">
                  <c:v>Alternativa 1</c:v>
                </c:pt>
              </c:strCache>
            </c:strRef>
          </c:tx>
          <c:spPr>
            <a:solidFill>
              <a:srgbClr val="FF8585"/>
            </a:solidFill>
            <a:ln>
              <a:noFill/>
            </a:ln>
            <a:effectLst/>
          </c:spPr>
          <c:invertIfNegative val="0"/>
          <c:val>
            <c:numRef>
              <c:f>M_Resultados!$H$26</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1-0A5E-4254-B3CE-67E996FA3C21}"/>
            </c:ext>
          </c:extLst>
        </c:ser>
        <c:ser>
          <c:idx val="2"/>
          <c:order val="2"/>
          <c:tx>
            <c:strRef>
              <c:f>M_Resultados!$I$18</c:f>
              <c:strCache>
                <c:ptCount val="1"/>
                <c:pt idx="0">
                  <c:v>Alternativa 2</c:v>
                </c:pt>
              </c:strCache>
            </c:strRef>
          </c:tx>
          <c:spPr>
            <a:solidFill>
              <a:srgbClr val="B00000"/>
            </a:solidFill>
            <a:ln>
              <a:noFill/>
            </a:ln>
            <a:effectLst/>
          </c:spPr>
          <c:invertIfNegative val="0"/>
          <c:val>
            <c:numRef>
              <c:f>M_Resultados!$J$26</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2-0A5E-4254-B3CE-67E996FA3C21}"/>
            </c:ext>
          </c:extLst>
        </c:ser>
        <c:ser>
          <c:idx val="3"/>
          <c:order val="3"/>
          <c:tx>
            <c:strRef>
              <c:f>M_Resultados!$K$18</c:f>
              <c:strCache>
                <c:ptCount val="1"/>
                <c:pt idx="0">
                  <c:v>Alternativa 3</c:v>
                </c:pt>
              </c:strCache>
            </c:strRef>
          </c:tx>
          <c:spPr>
            <a:solidFill>
              <a:srgbClr val="680000"/>
            </a:solidFill>
            <a:ln>
              <a:noFill/>
            </a:ln>
            <a:effectLst/>
          </c:spPr>
          <c:invertIfNegative val="0"/>
          <c:val>
            <c:numRef>
              <c:f>M_Resultados!$L$26</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3-0A5E-4254-B3CE-67E996FA3C21}"/>
            </c:ext>
          </c:extLst>
        </c:ser>
        <c:ser>
          <c:idx val="4"/>
          <c:order val="4"/>
          <c:tx>
            <c:strRef>
              <c:f>M_Resultados!$M$18</c:f>
              <c:strCache>
                <c:ptCount val="1"/>
                <c:pt idx="0">
                  <c:v>Alternativa 4</c:v>
                </c:pt>
              </c:strCache>
            </c:strRef>
          </c:tx>
          <c:spPr>
            <a:solidFill>
              <a:srgbClr val="3A0000"/>
            </a:solidFill>
            <a:ln>
              <a:noFill/>
            </a:ln>
            <a:effectLst/>
          </c:spPr>
          <c:invertIfNegative val="0"/>
          <c:val>
            <c:numRef>
              <c:f>M_Resultados!$N$26</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4-0A5E-4254-B3CE-67E996FA3C21}"/>
            </c:ext>
          </c:extLst>
        </c:ser>
        <c:dLbls>
          <c:showLegendKey val="0"/>
          <c:showVal val="0"/>
          <c:showCatName val="0"/>
          <c:showSerName val="0"/>
          <c:showPercent val="0"/>
          <c:showBubbleSize val="0"/>
        </c:dLbls>
        <c:gapWidth val="150"/>
        <c:axId val="426588384"/>
        <c:axId val="426585760"/>
      </c:barChart>
      <c:catAx>
        <c:axId val="426588384"/>
        <c:scaling>
          <c:orientation val="minMax"/>
        </c:scaling>
        <c:delete val="1"/>
        <c:axPos val="b"/>
        <c:numFmt formatCode="General" sourceLinked="1"/>
        <c:majorTickMark val="none"/>
        <c:minorTickMark val="none"/>
        <c:tickLblPos val="nextTo"/>
        <c:crossAx val="426585760"/>
        <c:crosses val="autoZero"/>
        <c:auto val="1"/>
        <c:lblAlgn val="ctr"/>
        <c:lblOffset val="100"/>
        <c:noMultiLvlLbl val="0"/>
      </c:catAx>
      <c:valAx>
        <c:axId val="4265857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265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4</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0"/>
          <c:tx>
            <c:strRef>
              <c:f>M_Resultados!$M$18</c:f>
              <c:strCache>
                <c:ptCount val="1"/>
                <c:pt idx="0">
                  <c:v>Alternativa 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D32-4A85-8D39-7E271FC2067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726-4B44-95D8-791876B9D38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726-4B44-95D8-791876B9D38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726-4B44-95D8-791876B9D38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726-4B44-95D8-791876B9D38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726-4B44-95D8-791876B9D381}"/>
              </c:ext>
            </c:extLst>
          </c:dPt>
          <c:val>
            <c:numRef>
              <c:f>M_Resultados!$M$20:$M$25</c:f>
              <c:numCache>
                <c:formatCode>#,##0.00</c:formatCode>
                <c:ptCount val="6"/>
                <c:pt idx="0">
                  <c:v>#N/A</c:v>
                </c:pt>
                <c:pt idx="1">
                  <c:v>0</c:v>
                </c:pt>
                <c:pt idx="2">
                  <c:v>0</c:v>
                </c:pt>
                <c:pt idx="3">
                  <c:v>0</c:v>
                </c:pt>
                <c:pt idx="4">
                  <c:v>0</c:v>
                </c:pt>
                <c:pt idx="5">
                  <c:v>0</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A-CD32-4A85-8D39-7E271FC20679}"/>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0</a:t>
            </a:r>
          </a:p>
        </c:rich>
      </c:tx>
      <c:layout>
        <c:manualLayout>
          <c:xMode val="edge"/>
          <c:yMode val="edge"/>
          <c:x val="0.55801558757967551"/>
          <c:y val="3.99286158092952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41741170085075913"/>
          <c:y val="0.15884318625638177"/>
          <c:w val="0.73076407674248112"/>
          <c:h val="0.77712137112097368"/>
        </c:manualLayout>
      </c:layout>
      <c:doughnutChart>
        <c:varyColors val="1"/>
        <c:ser>
          <c:idx val="2"/>
          <c:order val="0"/>
          <c:tx>
            <c:strRef>
              <c:f>M_Resultados!$E$18</c:f>
              <c:strCache>
                <c:ptCount val="1"/>
                <c:pt idx="0">
                  <c:v>Alternativa 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2B5-4441-AEF6-8ED9058DDB2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B5-4441-AEF6-8ED9058DDB2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2B5-4441-AEF6-8ED9058DDB2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2B5-4441-AEF6-8ED9058DDB21}"/>
              </c:ext>
            </c:extLst>
          </c:dPt>
          <c:cat>
            <c:strRef>
              <c:f>M_Resultados!$C$89:$C$92</c:f>
              <c:strCache>
                <c:ptCount val="4"/>
                <c:pt idx="0">
                  <c:v>Residencial</c:v>
                </c:pt>
                <c:pt idx="1">
                  <c:v>Industrial</c:v>
                </c:pt>
                <c:pt idx="2">
                  <c:v>Usos terciarios</c:v>
                </c:pt>
                <c:pt idx="3">
                  <c:v>Equipamientos</c:v>
                </c:pt>
              </c:strCache>
            </c:strRef>
          </c:cat>
          <c:val>
            <c:numRef>
              <c:f>M_Resultados!$E$89:$E$92</c:f>
              <c:numCache>
                <c:formatCode>#,##0.00</c:formatCode>
                <c:ptCount val="4"/>
                <c:pt idx="0">
                  <c:v>#N/A</c:v>
                </c:pt>
                <c:pt idx="1">
                  <c:v>0</c:v>
                </c:pt>
                <c:pt idx="2">
                  <c:v>0</c:v>
                </c:pt>
                <c:pt idx="3">
                  <c:v>#N/A</c:v>
                </c:pt>
              </c:numCache>
            </c:numRef>
          </c:val>
          <c:extLst>
            <c:ext xmlns:c16="http://schemas.microsoft.com/office/drawing/2014/chart" uri="{C3380CC4-5D6E-409C-BE32-E72D297353CC}">
              <c16:uniqueId val="{0000000C-42B5-4441-AEF6-8ED9058DDB21}"/>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1</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0"/>
          <c:tx>
            <c:strRef>
              <c:f>M_Resultados!$G$87</c:f>
              <c:strCache>
                <c:ptCount val="1"/>
                <c:pt idx="0">
                  <c:v>Alternativa 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C258-4C5B-8BB7-8B9C2845182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43E-4BEC-9DEF-2E259F415D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43E-4BEC-9DEF-2E259F415D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43E-4BEC-9DEF-2E259F415DCD}"/>
              </c:ext>
            </c:extLst>
          </c:dPt>
          <c:cat>
            <c:strRef>
              <c:f>M_Resultados!$C$89:$C$92</c:f>
              <c:strCache>
                <c:ptCount val="4"/>
                <c:pt idx="0">
                  <c:v>Residencial</c:v>
                </c:pt>
                <c:pt idx="1">
                  <c:v>Industrial</c:v>
                </c:pt>
                <c:pt idx="2">
                  <c:v>Usos terciarios</c:v>
                </c:pt>
                <c:pt idx="3">
                  <c:v>Equipamientos</c:v>
                </c:pt>
              </c:strCache>
            </c:strRef>
          </c:cat>
          <c:val>
            <c:numRef>
              <c:f>M_Resultados!$G$89:$G$92</c:f>
              <c:numCache>
                <c:formatCode>#,##0.00</c:formatCode>
                <c:ptCount val="4"/>
                <c:pt idx="0">
                  <c:v>#N/A</c:v>
                </c:pt>
                <c:pt idx="1">
                  <c:v>0</c:v>
                </c:pt>
                <c:pt idx="2">
                  <c:v>0</c:v>
                </c:pt>
                <c:pt idx="3">
                  <c:v>#N/A</c:v>
                </c:pt>
              </c:numCache>
            </c:numRef>
          </c:val>
          <c:extLst xmlns:c15="http://schemas.microsoft.com/office/drawing/2012/chart">
            <c:ext xmlns:c16="http://schemas.microsoft.com/office/drawing/2014/chart" uri="{C3380CC4-5D6E-409C-BE32-E72D297353CC}">
              <c16:uniqueId val="{00000002-C258-4C5B-8BB7-8B9C28451824}"/>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1"/>
          <c:order val="0"/>
          <c:tx>
            <c:v>Alternativa 2</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7-4387-435A-9825-800AE177DE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D0-4EEA-AC92-631438AC9D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DD0-4EEA-AC92-631438AC9D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DD0-4EEA-AC92-631438AC9DA1}"/>
              </c:ext>
            </c:extLst>
          </c:dPt>
          <c:cat>
            <c:strRef>
              <c:f>M_Resultados!$C$89:$C$92</c:f>
              <c:strCache>
                <c:ptCount val="4"/>
                <c:pt idx="0">
                  <c:v>Residencial</c:v>
                </c:pt>
                <c:pt idx="1">
                  <c:v>Industrial</c:v>
                </c:pt>
                <c:pt idx="2">
                  <c:v>Usos terciarios</c:v>
                </c:pt>
                <c:pt idx="3">
                  <c:v>Equipamientos</c:v>
                </c:pt>
              </c:strCache>
            </c:strRef>
          </c:cat>
          <c:val>
            <c:numRef>
              <c:f>M_Resultados!$I$89:$I$92</c:f>
              <c:numCache>
                <c:formatCode>#,##0.00</c:formatCode>
                <c:ptCount val="4"/>
                <c:pt idx="0">
                  <c:v>#N/A</c:v>
                </c:pt>
                <c:pt idx="1">
                  <c:v>0</c:v>
                </c:pt>
                <c:pt idx="2">
                  <c:v>0</c:v>
                </c:pt>
                <c:pt idx="3">
                  <c:v>#N/A</c:v>
                </c:pt>
              </c:numCache>
            </c:numRef>
          </c:val>
          <c:extLst>
            <c:ext xmlns:c16="http://schemas.microsoft.com/office/drawing/2014/chart" uri="{C3380CC4-5D6E-409C-BE32-E72D297353CC}">
              <c16:uniqueId val="{00000008-4387-435A-9825-800AE177DE1E}"/>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3</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0"/>
          <c:tx>
            <c:v>Alternativa 3</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A-9485-4933-902B-773137401D3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AD-4DD8-AED1-FD3A7EA64D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3AD-4DD8-AED1-FD3A7EA64D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3AD-4DD8-AED1-FD3A7EA64D5D}"/>
              </c:ext>
            </c:extLst>
          </c:dPt>
          <c:val>
            <c:numRef>
              <c:f>M_Resultados!$K$89:$K$92</c:f>
              <c:numCache>
                <c:formatCode>#,##0.00</c:formatCode>
                <c:ptCount val="4"/>
                <c:pt idx="0">
                  <c:v>#N/A</c:v>
                </c:pt>
                <c:pt idx="1">
                  <c:v>0</c:v>
                </c:pt>
                <c:pt idx="2">
                  <c:v>0</c:v>
                </c:pt>
                <c:pt idx="3">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B-9485-4933-902B-773137401D3E}"/>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M_Resultados!$C$89</c:f>
              <c:strCache>
                <c:ptCount val="1"/>
                <c:pt idx="0">
                  <c:v>Residencial</c:v>
                </c:pt>
              </c:strCache>
            </c:strRef>
          </c:tx>
          <c:spPr>
            <a:solidFill>
              <a:schemeClr val="accent6"/>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(M_Resultados!$E$89,M_Resultados!$G$89,M_Resultados!$I$89,M_Resultados!$K$89,M_Resultados!$M$89)</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5-45A5-413A-81E6-E8D14E27EB80}"/>
            </c:ext>
          </c:extLst>
        </c:ser>
        <c:ser>
          <c:idx val="0"/>
          <c:order val="1"/>
          <c:tx>
            <c:strRef>
              <c:f>M_Resultados!$C$90</c:f>
              <c:strCache>
                <c:ptCount val="1"/>
                <c:pt idx="0">
                  <c:v>Industrial</c:v>
                </c:pt>
              </c:strCache>
            </c:strRef>
          </c:tx>
          <c:spPr>
            <a:solidFill>
              <a:schemeClr val="accent1"/>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(M_Resultados!$E$90,M_Resultados!$G$90,M_Resultados!$I$90,M_Resultados!$K$90,M_Resultados!$M$90)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6-45A5-413A-81E6-E8D14E27EB80}"/>
            </c:ext>
          </c:extLst>
        </c:ser>
        <c:ser>
          <c:idx val="1"/>
          <c:order val="2"/>
          <c:tx>
            <c:strRef>
              <c:f>M_Resultados!$C$91</c:f>
              <c:strCache>
                <c:ptCount val="1"/>
                <c:pt idx="0">
                  <c:v>Usos terciarios</c:v>
                </c:pt>
              </c:strCache>
            </c:strRef>
          </c:tx>
          <c:spPr>
            <a:solidFill>
              <a:schemeClr val="accent2"/>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(M_Resultados!$E$91,M_Resultados!$G$91,M_Resultados!$I$91,M_Resultados!$K$91,M_Resultados!$M$91)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7-45A5-413A-81E6-E8D14E27EB80}"/>
            </c:ext>
          </c:extLst>
        </c:ser>
        <c:ser>
          <c:idx val="2"/>
          <c:order val="3"/>
          <c:tx>
            <c:strRef>
              <c:f>M_Resultados!$C$92</c:f>
              <c:strCache>
                <c:ptCount val="1"/>
                <c:pt idx="0">
                  <c:v>Equipamientos</c:v>
                </c:pt>
              </c:strCache>
            </c:strRef>
          </c:tx>
          <c:spPr>
            <a:solidFill>
              <a:schemeClr val="accent3"/>
            </a:solidFill>
            <a:ln>
              <a:noFill/>
            </a:ln>
            <a:effectLst/>
          </c:spPr>
          <c:invertIfNegative val="0"/>
          <c:cat>
            <c:strRef>
              <c:f>M_Lista!$I$3:$I$7</c:f>
              <c:strCache>
                <c:ptCount val="5"/>
                <c:pt idx="0">
                  <c:v>Alternativa 0</c:v>
                </c:pt>
                <c:pt idx="1">
                  <c:v>Alternativa 1</c:v>
                </c:pt>
                <c:pt idx="2">
                  <c:v>Alternativa 2</c:v>
                </c:pt>
                <c:pt idx="3">
                  <c:v>Alternativa 3</c:v>
                </c:pt>
                <c:pt idx="4">
                  <c:v>Alternativa 4</c:v>
                </c:pt>
              </c:strCache>
            </c:strRef>
          </c:cat>
          <c:val>
            <c:numRef>
              <c:f>(M_Resultados!$E$92,M_Resultados!$G$92,M_Resultados!$I$92,M_Resultados!$K$92,M_Resultados!$M$92)</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8-45A5-413A-81E6-E8D14E27EB80}"/>
            </c:ext>
          </c:extLst>
        </c:ser>
        <c:dLbls>
          <c:showLegendKey val="0"/>
          <c:showVal val="0"/>
          <c:showCatName val="0"/>
          <c:showSerName val="0"/>
          <c:showPercent val="0"/>
          <c:showBubbleSize val="0"/>
        </c:dLbls>
        <c:gapWidth val="150"/>
        <c:axId val="426588384"/>
        <c:axId val="426585760"/>
      </c:barChart>
      <c:catAx>
        <c:axId val="42658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26585760"/>
        <c:crosses val="autoZero"/>
        <c:auto val="1"/>
        <c:lblAlgn val="ctr"/>
        <c:lblOffset val="100"/>
        <c:noMultiLvlLbl val="0"/>
      </c:catAx>
      <c:valAx>
        <c:axId val="426585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265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M_Resultados!$E$87</c:f>
              <c:strCache>
                <c:ptCount val="1"/>
                <c:pt idx="0">
                  <c:v>Alternativa 0</c:v>
                </c:pt>
              </c:strCache>
            </c:strRef>
          </c:tx>
          <c:spPr>
            <a:solidFill>
              <a:schemeClr val="bg1">
                <a:lumMod val="75000"/>
              </a:schemeClr>
            </a:solidFill>
            <a:ln>
              <a:noFill/>
            </a:ln>
            <a:effectLst/>
          </c:spPr>
          <c:invertIfNegative val="0"/>
          <c:val>
            <c:numRef>
              <c:f>M_Resultados!$F$93</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0-9D88-4847-B5E8-5E88EC550C6C}"/>
            </c:ext>
          </c:extLst>
        </c:ser>
        <c:ser>
          <c:idx val="1"/>
          <c:order val="1"/>
          <c:tx>
            <c:strRef>
              <c:f>M_Resultados!$G$87</c:f>
              <c:strCache>
                <c:ptCount val="1"/>
                <c:pt idx="0">
                  <c:v>Alternativa 1</c:v>
                </c:pt>
              </c:strCache>
            </c:strRef>
          </c:tx>
          <c:spPr>
            <a:solidFill>
              <a:srgbClr val="FF8585"/>
            </a:solidFill>
            <a:ln>
              <a:noFill/>
            </a:ln>
            <a:effectLst/>
          </c:spPr>
          <c:invertIfNegative val="0"/>
          <c:val>
            <c:numRef>
              <c:f>M_Resultados!$H$93</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1-9D88-4847-B5E8-5E88EC550C6C}"/>
            </c:ext>
          </c:extLst>
        </c:ser>
        <c:ser>
          <c:idx val="2"/>
          <c:order val="2"/>
          <c:tx>
            <c:strRef>
              <c:f>M_Resultados!$I$87</c:f>
              <c:strCache>
                <c:ptCount val="1"/>
                <c:pt idx="0">
                  <c:v>Alternativa 2</c:v>
                </c:pt>
              </c:strCache>
            </c:strRef>
          </c:tx>
          <c:spPr>
            <a:solidFill>
              <a:srgbClr val="B00000"/>
            </a:solidFill>
            <a:ln>
              <a:noFill/>
            </a:ln>
            <a:effectLst/>
          </c:spPr>
          <c:invertIfNegative val="0"/>
          <c:val>
            <c:numRef>
              <c:f>M_Resultados!$J$93</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2-9D88-4847-B5E8-5E88EC550C6C}"/>
            </c:ext>
          </c:extLst>
        </c:ser>
        <c:ser>
          <c:idx val="3"/>
          <c:order val="3"/>
          <c:tx>
            <c:strRef>
              <c:f>M_Resultados!$K$87</c:f>
              <c:strCache>
                <c:ptCount val="1"/>
                <c:pt idx="0">
                  <c:v>Alternativa 3</c:v>
                </c:pt>
              </c:strCache>
            </c:strRef>
          </c:tx>
          <c:spPr>
            <a:solidFill>
              <a:srgbClr val="680000"/>
            </a:solidFill>
            <a:ln>
              <a:noFill/>
            </a:ln>
            <a:effectLst/>
          </c:spPr>
          <c:invertIfNegative val="0"/>
          <c:val>
            <c:numRef>
              <c:f>M_Resultados!$L$93</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3-9D88-4847-B5E8-5E88EC550C6C}"/>
            </c:ext>
          </c:extLst>
        </c:ser>
        <c:ser>
          <c:idx val="4"/>
          <c:order val="4"/>
          <c:tx>
            <c:strRef>
              <c:f>M_Resultados!$M$87</c:f>
              <c:strCache>
                <c:ptCount val="1"/>
                <c:pt idx="0">
                  <c:v>Alternativa 4</c:v>
                </c:pt>
              </c:strCache>
            </c:strRef>
          </c:tx>
          <c:spPr>
            <a:solidFill>
              <a:srgbClr val="3A0000"/>
            </a:solidFill>
            <a:ln>
              <a:noFill/>
            </a:ln>
            <a:effectLst/>
          </c:spPr>
          <c:invertIfNegative val="0"/>
          <c:val>
            <c:numRef>
              <c:f>M_Resultados!$N$93</c:f>
              <c:numCache>
                <c:formatCode>#,##0.0</c:formatCode>
                <c:ptCount val="1"/>
                <c:pt idx="0">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4-9D88-4847-B5E8-5E88EC550C6C}"/>
            </c:ext>
          </c:extLst>
        </c:ser>
        <c:dLbls>
          <c:showLegendKey val="0"/>
          <c:showVal val="0"/>
          <c:showCatName val="0"/>
          <c:showSerName val="0"/>
          <c:showPercent val="0"/>
          <c:showBubbleSize val="0"/>
        </c:dLbls>
        <c:gapWidth val="150"/>
        <c:axId val="426588384"/>
        <c:axId val="426585760"/>
      </c:barChart>
      <c:catAx>
        <c:axId val="426588384"/>
        <c:scaling>
          <c:orientation val="minMax"/>
        </c:scaling>
        <c:delete val="1"/>
        <c:axPos val="b"/>
        <c:numFmt formatCode="General" sourceLinked="1"/>
        <c:majorTickMark val="none"/>
        <c:minorTickMark val="none"/>
        <c:tickLblPos val="nextTo"/>
        <c:crossAx val="426585760"/>
        <c:crosses val="autoZero"/>
        <c:auto val="1"/>
        <c:lblAlgn val="ctr"/>
        <c:lblOffset val="100"/>
        <c:noMultiLvlLbl val="0"/>
      </c:catAx>
      <c:valAx>
        <c:axId val="4265857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265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baseline="0">
                <a:solidFill>
                  <a:schemeClr val="accent5">
                    <a:lumMod val="50000"/>
                  </a:schemeClr>
                </a:solidFill>
              </a:rPr>
              <a:t>Alternativa 4</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0"/>
          <c:tx>
            <c:strRef>
              <c:f>M_Resultados!$M$87</c:f>
              <c:strCache>
                <c:ptCount val="1"/>
                <c:pt idx="0">
                  <c:v>Alternativa 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A-0D48-4A75-93AC-6CECCC8649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97-4F96-B78B-43B7CF43114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097-4F96-B78B-43B7CF4311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097-4F96-B78B-43B7CF431148}"/>
              </c:ext>
            </c:extLst>
          </c:dPt>
          <c:val>
            <c:numRef>
              <c:f>M_Resultados!$M$89:$M$92</c:f>
              <c:numCache>
                <c:formatCode>#,##0.00</c:formatCode>
                <c:ptCount val="4"/>
                <c:pt idx="0">
                  <c:v>#N/A</c:v>
                </c:pt>
                <c:pt idx="1">
                  <c:v>0</c:v>
                </c:pt>
                <c:pt idx="2">
                  <c:v>0</c:v>
                </c:pt>
                <c:pt idx="3">
                  <c:v>#N/A</c:v>
                </c:pt>
              </c:numCache>
            </c:numRef>
          </c:val>
          <c:extLst>
            <c:ext xmlns:c15="http://schemas.microsoft.com/office/drawing/2012/chart" uri="{02D57815-91ED-43cb-92C2-25804820EDAC}">
              <c15:filteredCategoryTitle>
                <c15:cat>
                  <c:strRef>
                    <c:extLst>
                      <c:ext uri="{02D57815-91ED-43cb-92C2-25804820EDAC}">
                        <c15:formulaRef>
                          <c15:sqref>V_Resultados!#REF!</c15:sqref>
                        </c15:formulaRef>
                      </c:ext>
                    </c:extLst>
                    <c:strCache>
                      <c:ptCount val="1"/>
                      <c:pt idx="0">
                        <c:v>#¡REF!</c:v>
                      </c:pt>
                    </c:strCache>
                  </c:strRef>
                </c15:cat>
              </c15:filteredCategoryTitle>
            </c:ext>
            <c:ext xmlns:c16="http://schemas.microsoft.com/office/drawing/2014/chart" uri="{C3380CC4-5D6E-409C-BE32-E72D297353CC}">
              <c16:uniqueId val="{0000000B-0D48-4A75-93AC-6CECCC8649A0}"/>
            </c:ext>
          </c:extLst>
        </c:ser>
        <c:dLbls>
          <c:showLegendKey val="0"/>
          <c:showVal val="0"/>
          <c:showCatName val="0"/>
          <c:showSerName val="0"/>
          <c:showPercent val="0"/>
          <c:showBubbleSize val="0"/>
          <c:showLeaderLines val="1"/>
        </c:dLbls>
        <c:firstSliceAng val="0"/>
        <c:holeSize val="65"/>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8657070980932"/>
          <c:y val="6.2705993108428004E-2"/>
          <c:w val="0.69471348261255683"/>
          <c:h val="0.89316463910647215"/>
        </c:manualLayout>
      </c:layout>
      <c:barChart>
        <c:barDir val="col"/>
        <c:grouping val="clustered"/>
        <c:varyColors val="0"/>
        <c:ser>
          <c:idx val="0"/>
          <c:order val="0"/>
          <c:tx>
            <c:strRef>
              <c:f>M_Resultados!$E$87</c:f>
              <c:strCache>
                <c:ptCount val="1"/>
                <c:pt idx="0">
                  <c:v>Alternativa 0</c:v>
                </c:pt>
              </c:strCache>
            </c:strRef>
          </c:tx>
          <c:spPr>
            <a:solidFill>
              <a:schemeClr val="bg1">
                <a:lumMod val="75000"/>
              </a:schemeClr>
            </a:solidFill>
            <a:ln w="19050">
              <a:solidFill>
                <a:schemeClr val="lt1"/>
              </a:solidFill>
            </a:ln>
            <a:effectLst/>
          </c:spPr>
          <c:invertIfNegative val="0"/>
          <c:dPt>
            <c:idx val="1"/>
            <c:invertIfNegative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41EB-413C-A099-60C1404BB4B4}"/>
              </c:ext>
            </c:extLst>
          </c:dPt>
          <c:dPt>
            <c:idx val="2"/>
            <c:invertIfNegative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41EB-413C-A099-60C1404BB4B4}"/>
              </c:ext>
            </c:extLst>
          </c:dPt>
          <c:dPt>
            <c:idx val="3"/>
            <c:invertIfNegative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41EB-413C-A099-60C1404BB4B4}"/>
              </c:ext>
            </c:extLst>
          </c:dPt>
          <c:val>
            <c:numRef>
              <c:f>M_Resultados!$E$93</c:f>
              <c:numCache>
                <c:formatCode>#,##0.0</c:formatCode>
                <c:ptCount val="1"/>
                <c:pt idx="0">
                  <c:v>#N/A</c:v>
                </c:pt>
              </c:numCache>
            </c:numRef>
          </c:val>
          <c:extLst>
            <c:ext xmlns:c16="http://schemas.microsoft.com/office/drawing/2014/chart" uri="{C3380CC4-5D6E-409C-BE32-E72D297353CC}">
              <c16:uniqueId val="{00000006-41EB-413C-A099-60C1404BB4B4}"/>
            </c:ext>
          </c:extLst>
        </c:ser>
        <c:ser>
          <c:idx val="1"/>
          <c:order val="1"/>
          <c:tx>
            <c:strRef>
              <c:f>M_Resultados!$G$87</c:f>
              <c:strCache>
                <c:ptCount val="1"/>
                <c:pt idx="0">
                  <c:v>Alternativa 1</c:v>
                </c:pt>
              </c:strCache>
            </c:strRef>
          </c:tx>
          <c:spPr>
            <a:solidFill>
              <a:srgbClr val="FF8585"/>
            </a:solidFill>
            <a:ln w="19050">
              <a:solidFill>
                <a:schemeClr val="lt1"/>
              </a:solidFill>
            </a:ln>
            <a:effectLst/>
          </c:spPr>
          <c:invertIfNegative val="0"/>
          <c:val>
            <c:numRef>
              <c:f>M_Resultados!$G$93</c:f>
              <c:numCache>
                <c:formatCode>#,##0.0</c:formatCode>
                <c:ptCount val="1"/>
                <c:pt idx="0">
                  <c:v>#N/A</c:v>
                </c:pt>
              </c:numCache>
            </c:numRef>
          </c:val>
          <c:extLst>
            <c:ext xmlns:c16="http://schemas.microsoft.com/office/drawing/2014/chart" uri="{C3380CC4-5D6E-409C-BE32-E72D297353CC}">
              <c16:uniqueId val="{00000007-41EB-413C-A099-60C1404BB4B4}"/>
            </c:ext>
          </c:extLst>
        </c:ser>
        <c:ser>
          <c:idx val="2"/>
          <c:order val="2"/>
          <c:tx>
            <c:strRef>
              <c:f>M_Resultados!$I$87</c:f>
              <c:strCache>
                <c:ptCount val="1"/>
                <c:pt idx="0">
                  <c:v>Alternativa 2</c:v>
                </c:pt>
              </c:strCache>
            </c:strRef>
          </c:tx>
          <c:spPr>
            <a:solidFill>
              <a:srgbClr val="C00000"/>
            </a:solidFill>
            <a:ln w="19050">
              <a:solidFill>
                <a:schemeClr val="lt1"/>
              </a:solidFill>
            </a:ln>
            <a:effectLst/>
          </c:spPr>
          <c:invertIfNegative val="0"/>
          <c:val>
            <c:numRef>
              <c:f>M_Resultados!$I$93</c:f>
              <c:numCache>
                <c:formatCode>#,##0.0</c:formatCode>
                <c:ptCount val="1"/>
                <c:pt idx="0">
                  <c:v>#N/A</c:v>
                </c:pt>
              </c:numCache>
            </c:numRef>
          </c:val>
          <c:extLst>
            <c:ext xmlns:c16="http://schemas.microsoft.com/office/drawing/2014/chart" uri="{C3380CC4-5D6E-409C-BE32-E72D297353CC}">
              <c16:uniqueId val="{00000008-41EB-413C-A099-60C1404BB4B4}"/>
            </c:ext>
          </c:extLst>
        </c:ser>
        <c:ser>
          <c:idx val="3"/>
          <c:order val="3"/>
          <c:tx>
            <c:strRef>
              <c:f>M_Resultados!$K$87</c:f>
              <c:strCache>
                <c:ptCount val="1"/>
                <c:pt idx="0">
                  <c:v>Alternativa 3</c:v>
                </c:pt>
              </c:strCache>
            </c:strRef>
          </c:tx>
          <c:spPr>
            <a:solidFill>
              <a:srgbClr val="680000"/>
            </a:solidFill>
            <a:ln w="19050">
              <a:solidFill>
                <a:schemeClr val="lt1"/>
              </a:solidFill>
            </a:ln>
            <a:effectLst/>
          </c:spPr>
          <c:invertIfNegative val="0"/>
          <c:val>
            <c:numRef>
              <c:f>M_Resultados!$K$93</c:f>
              <c:numCache>
                <c:formatCode>#,##0.0</c:formatCode>
                <c:ptCount val="1"/>
                <c:pt idx="0">
                  <c:v>#N/A</c:v>
                </c:pt>
              </c:numCache>
            </c:numRef>
          </c:val>
          <c:extLst>
            <c:ext xmlns:c16="http://schemas.microsoft.com/office/drawing/2014/chart" uri="{C3380CC4-5D6E-409C-BE32-E72D297353CC}">
              <c16:uniqueId val="{00000009-41EB-413C-A099-60C1404BB4B4}"/>
            </c:ext>
          </c:extLst>
        </c:ser>
        <c:ser>
          <c:idx val="4"/>
          <c:order val="4"/>
          <c:tx>
            <c:strRef>
              <c:f>M_Resultados!$M$87</c:f>
              <c:strCache>
                <c:ptCount val="1"/>
                <c:pt idx="0">
                  <c:v>Alternativa 4</c:v>
                </c:pt>
              </c:strCache>
            </c:strRef>
          </c:tx>
          <c:spPr>
            <a:solidFill>
              <a:srgbClr val="3A0000"/>
            </a:solidFill>
            <a:ln w="19050">
              <a:solidFill>
                <a:schemeClr val="lt1"/>
              </a:solidFill>
            </a:ln>
            <a:effectLst/>
          </c:spPr>
          <c:invertIfNegative val="0"/>
          <c:val>
            <c:numRef>
              <c:f>M_Resultados!$M$93</c:f>
              <c:numCache>
                <c:formatCode>#,##0.0</c:formatCode>
                <c:ptCount val="1"/>
                <c:pt idx="0">
                  <c:v>#N/A</c:v>
                </c:pt>
              </c:numCache>
            </c:numRef>
          </c:val>
          <c:extLst>
            <c:ext xmlns:c16="http://schemas.microsoft.com/office/drawing/2014/chart" uri="{C3380CC4-5D6E-409C-BE32-E72D297353CC}">
              <c16:uniqueId val="{0000000A-41EB-413C-A099-60C1404BB4B4}"/>
            </c:ext>
          </c:extLst>
        </c:ser>
        <c:dLbls>
          <c:showLegendKey val="0"/>
          <c:showVal val="0"/>
          <c:showCatName val="0"/>
          <c:showSerName val="0"/>
          <c:showPercent val="0"/>
          <c:showBubbleSize val="0"/>
        </c:dLbls>
        <c:gapWidth val="100"/>
        <c:axId val="705767256"/>
        <c:axId val="705763648"/>
      </c:barChart>
      <c:valAx>
        <c:axId val="705763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05767256"/>
        <c:crosses val="autoZero"/>
        <c:crossBetween val="between"/>
      </c:valAx>
      <c:catAx>
        <c:axId val="705767256"/>
        <c:scaling>
          <c:orientation val="minMax"/>
        </c:scaling>
        <c:delete val="1"/>
        <c:axPos val="b"/>
        <c:majorTickMark val="out"/>
        <c:minorTickMark val="none"/>
        <c:tickLblPos val="nextTo"/>
        <c:crossAx val="70576364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svg"/><Relationship Id="rId13" Type="http://schemas.openxmlformats.org/officeDocument/2006/relationships/chart" Target="../charts/chart88.xml"/><Relationship Id="rId18" Type="http://schemas.openxmlformats.org/officeDocument/2006/relationships/chart" Target="../charts/chart93.xml"/><Relationship Id="rId3" Type="http://schemas.openxmlformats.org/officeDocument/2006/relationships/image" Target="../media/image3.png"/><Relationship Id="rId21" Type="http://schemas.openxmlformats.org/officeDocument/2006/relationships/chart" Target="../charts/chart96.xml"/><Relationship Id="rId7" Type="http://schemas.openxmlformats.org/officeDocument/2006/relationships/image" Target="../media/image5.png"/><Relationship Id="rId12" Type="http://schemas.openxmlformats.org/officeDocument/2006/relationships/chart" Target="../charts/chart87.xml"/><Relationship Id="rId17" Type="http://schemas.openxmlformats.org/officeDocument/2006/relationships/chart" Target="../charts/chart92.xml"/><Relationship Id="rId2" Type="http://schemas.openxmlformats.org/officeDocument/2006/relationships/hyperlink" Target="#M_Factores!A1"/><Relationship Id="rId16" Type="http://schemas.openxmlformats.org/officeDocument/2006/relationships/chart" Target="../charts/chart91.xml"/><Relationship Id="rId20" Type="http://schemas.openxmlformats.org/officeDocument/2006/relationships/chart" Target="../charts/chart95.xml"/><Relationship Id="rId1" Type="http://schemas.openxmlformats.org/officeDocument/2006/relationships/image" Target="../media/image2.jpeg"/><Relationship Id="rId6" Type="http://schemas.openxmlformats.org/officeDocument/2006/relationships/hyperlink" Target="#Instrucciones_Valencia!A1"/><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hyperlink" Target="#M_C&#225;lculos!A1"/><Relationship Id="rId15" Type="http://schemas.openxmlformats.org/officeDocument/2006/relationships/chart" Target="../charts/chart90.xml"/><Relationship Id="rId23" Type="http://schemas.openxmlformats.org/officeDocument/2006/relationships/chart" Target="../charts/chart98.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image" Target="../media/image4.svg"/><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sv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svg"/><Relationship Id="rId2" Type="http://schemas.openxmlformats.org/officeDocument/2006/relationships/hyperlink" Target="#V_Resultados!A1"/><Relationship Id="rId1" Type="http://schemas.openxmlformats.org/officeDocument/2006/relationships/image" Target="../media/image2.jpeg"/><Relationship Id="rId6" Type="http://schemas.openxmlformats.org/officeDocument/2006/relationships/image" Target="../media/image5.png"/><Relationship Id="rId5" Type="http://schemas.openxmlformats.org/officeDocument/2006/relationships/hyperlink" Target="#V_A4!A1"/><Relationship Id="rId4" Type="http://schemas.openxmlformats.org/officeDocument/2006/relationships/image" Target="../media/image4.svg"/></Relationships>
</file>

<file path=xl/drawings/_rels/drawing13.xml.rels><?xml version="1.0" encoding="UTF-8" standalone="yes"?>
<Relationships xmlns="http://schemas.openxmlformats.org/package/2006/relationships"><Relationship Id="rId8" Type="http://schemas.openxmlformats.org/officeDocument/2006/relationships/chart" Target="../charts/chart100.xml"/><Relationship Id="rId13" Type="http://schemas.openxmlformats.org/officeDocument/2006/relationships/chart" Target="../charts/chart105.xml"/><Relationship Id="rId3" Type="http://schemas.openxmlformats.org/officeDocument/2006/relationships/image" Target="../media/image3.png"/><Relationship Id="rId7" Type="http://schemas.openxmlformats.org/officeDocument/2006/relationships/image" Target="../media/image6.svg"/><Relationship Id="rId12" Type="http://schemas.openxmlformats.org/officeDocument/2006/relationships/chart" Target="../charts/chart104.xml"/><Relationship Id="rId2" Type="http://schemas.openxmlformats.org/officeDocument/2006/relationships/hyperlink" Target="#B_Alcance!A1"/><Relationship Id="rId1" Type="http://schemas.openxmlformats.org/officeDocument/2006/relationships/image" Target="../media/image2.jpeg"/><Relationship Id="rId6" Type="http://schemas.openxmlformats.org/officeDocument/2006/relationships/image" Target="../media/image5.png"/><Relationship Id="rId11" Type="http://schemas.openxmlformats.org/officeDocument/2006/relationships/chart" Target="../charts/chart103.xml"/><Relationship Id="rId5" Type="http://schemas.openxmlformats.org/officeDocument/2006/relationships/hyperlink" Target="#V_Factores!A1"/><Relationship Id="rId10" Type="http://schemas.openxmlformats.org/officeDocument/2006/relationships/chart" Target="../charts/chart102.xml"/><Relationship Id="rId4" Type="http://schemas.openxmlformats.org/officeDocument/2006/relationships/image" Target="../media/image4.svg"/><Relationship Id="rId9" Type="http://schemas.openxmlformats.org/officeDocument/2006/relationships/chart" Target="../charts/chart101.xml"/></Relationships>
</file>

<file path=xl/drawings/_rels/drawing14.xml.rels><?xml version="1.0" encoding="UTF-8" standalone="yes"?>
<Relationships xmlns="http://schemas.openxmlformats.org/package/2006/relationships"><Relationship Id="rId8" Type="http://schemas.openxmlformats.org/officeDocument/2006/relationships/image" Target="../media/image6.sv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hyperlink" Target="#B_Alcance!A1"/><Relationship Id="rId1" Type="http://schemas.openxmlformats.org/officeDocument/2006/relationships/image" Target="../media/image2.jpeg"/><Relationship Id="rId6" Type="http://schemas.openxmlformats.org/officeDocument/2006/relationships/hyperlink" Target="#Instrucciones_Valencia!A1"/><Relationship Id="rId5" Type="http://schemas.openxmlformats.org/officeDocument/2006/relationships/hyperlink" Target="#M_Resultados!A1"/><Relationship Id="rId4" Type="http://schemas.openxmlformats.org/officeDocument/2006/relationships/image" Target="../media/image4.svg"/></Relationships>
</file>

<file path=xl/drawings/_rels/drawing15.xml.rels><?xml version="1.0" encoding="UTF-8" standalone="yes"?>
<Relationships xmlns="http://schemas.openxmlformats.org/package/2006/relationships"><Relationship Id="rId8" Type="http://schemas.openxmlformats.org/officeDocument/2006/relationships/hyperlink" Target="#M_Factores!A1"/><Relationship Id="rId3" Type="http://schemas.openxmlformats.org/officeDocument/2006/relationships/image" Target="../media/image3.png"/><Relationship Id="rId7" Type="http://schemas.openxmlformats.org/officeDocument/2006/relationships/image" Target="../media/image6.svg"/><Relationship Id="rId2" Type="http://schemas.openxmlformats.org/officeDocument/2006/relationships/hyperlink" Target="#B_Checklist!A1"/><Relationship Id="rId1" Type="http://schemas.openxmlformats.org/officeDocument/2006/relationships/image" Target="../media/image2.jpeg"/><Relationship Id="rId6" Type="http://schemas.openxmlformats.org/officeDocument/2006/relationships/image" Target="../media/image5.png"/><Relationship Id="rId5" Type="http://schemas.openxmlformats.org/officeDocument/2006/relationships/hyperlink" Target="#Instrucciones_Valencia!A1"/><Relationship Id="rId4" Type="http://schemas.openxmlformats.org/officeDocument/2006/relationships/image" Target="../media/image4.svg"/></Relationships>
</file>

<file path=xl/drawings/_rels/drawing16.xml.rels><?xml version="1.0" encoding="UTF-8" standalone="yes"?>
<Relationships xmlns="http://schemas.openxmlformats.org/package/2006/relationships"><Relationship Id="rId8" Type="http://schemas.openxmlformats.org/officeDocument/2006/relationships/image" Target="../media/image6.sv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hyperlink" Target="#B_Resultados!A1"/><Relationship Id="rId1" Type="http://schemas.openxmlformats.org/officeDocument/2006/relationships/image" Target="../media/image2.jpeg"/><Relationship Id="rId6" Type="http://schemas.openxmlformats.org/officeDocument/2006/relationships/hyperlink" Target="#Instrucciones_Valencia!A1"/><Relationship Id="rId5" Type="http://schemas.openxmlformats.org/officeDocument/2006/relationships/hyperlink" Target="#B_Alcance!A1"/><Relationship Id="rId4" Type="http://schemas.openxmlformats.org/officeDocument/2006/relationships/image" Target="../media/image4.svg"/></Relationships>
</file>

<file path=xl/drawings/_rels/drawing1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7.jpeg"/><Relationship Id="rId5" Type="http://schemas.openxmlformats.org/officeDocument/2006/relationships/image" Target="../media/image6.svg"/><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chart" Target="../charts/chart110.xml"/><Relationship Id="rId18" Type="http://schemas.openxmlformats.org/officeDocument/2006/relationships/chart" Target="../charts/chart115.xml"/><Relationship Id="rId3" Type="http://schemas.openxmlformats.org/officeDocument/2006/relationships/hyperlink" Target="#Resultados_generales!A1"/><Relationship Id="rId7" Type="http://schemas.openxmlformats.org/officeDocument/2006/relationships/hyperlink" Target="#Instrucciones_Valencia!A1"/><Relationship Id="rId12" Type="http://schemas.openxmlformats.org/officeDocument/2006/relationships/chart" Target="../charts/chart109.xml"/><Relationship Id="rId17" Type="http://schemas.openxmlformats.org/officeDocument/2006/relationships/chart" Target="../charts/chart114.xml"/><Relationship Id="rId2" Type="http://schemas.openxmlformats.org/officeDocument/2006/relationships/chart" Target="../charts/chart106.xml"/><Relationship Id="rId16" Type="http://schemas.openxmlformats.org/officeDocument/2006/relationships/chart" Target="../charts/chart113.xml"/><Relationship Id="rId1" Type="http://schemas.openxmlformats.org/officeDocument/2006/relationships/image" Target="../media/image8.jpeg"/><Relationship Id="rId6" Type="http://schemas.openxmlformats.org/officeDocument/2006/relationships/hyperlink" Target="#B_Checklist!A1"/><Relationship Id="rId11" Type="http://schemas.openxmlformats.org/officeDocument/2006/relationships/chart" Target="../charts/chart108.xml"/><Relationship Id="rId5" Type="http://schemas.openxmlformats.org/officeDocument/2006/relationships/image" Target="../media/image4.svg"/><Relationship Id="rId15" Type="http://schemas.openxmlformats.org/officeDocument/2006/relationships/chart" Target="../charts/chart112.xml"/><Relationship Id="rId10" Type="http://schemas.openxmlformats.org/officeDocument/2006/relationships/chart" Target="../charts/chart107.xml"/><Relationship Id="rId4" Type="http://schemas.openxmlformats.org/officeDocument/2006/relationships/image" Target="../media/image3.png"/><Relationship Id="rId9" Type="http://schemas.openxmlformats.org/officeDocument/2006/relationships/image" Target="../media/image9.svg"/><Relationship Id="rId14" Type="http://schemas.openxmlformats.org/officeDocument/2006/relationships/chart" Target="../charts/chart11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16.xml"/><Relationship Id="rId13" Type="http://schemas.openxmlformats.org/officeDocument/2006/relationships/chart" Target="../charts/chart121.xml"/><Relationship Id="rId18" Type="http://schemas.openxmlformats.org/officeDocument/2006/relationships/chart" Target="../charts/chart126.xml"/><Relationship Id="rId3" Type="http://schemas.openxmlformats.org/officeDocument/2006/relationships/image" Target="../media/image3.png"/><Relationship Id="rId21" Type="http://schemas.openxmlformats.org/officeDocument/2006/relationships/chart" Target="../charts/chart129.xml"/><Relationship Id="rId7" Type="http://schemas.openxmlformats.org/officeDocument/2006/relationships/image" Target="../media/image6.svg"/><Relationship Id="rId12" Type="http://schemas.openxmlformats.org/officeDocument/2006/relationships/chart" Target="../charts/chart120.xml"/><Relationship Id="rId17" Type="http://schemas.openxmlformats.org/officeDocument/2006/relationships/chart" Target="../charts/chart125.xml"/><Relationship Id="rId2" Type="http://schemas.openxmlformats.org/officeDocument/2006/relationships/hyperlink" Target="#Medidas_Propuestas!A1"/><Relationship Id="rId16" Type="http://schemas.openxmlformats.org/officeDocument/2006/relationships/chart" Target="../charts/chart124.xml"/><Relationship Id="rId20" Type="http://schemas.openxmlformats.org/officeDocument/2006/relationships/chart" Target="../charts/chart128.xml"/><Relationship Id="rId1" Type="http://schemas.openxmlformats.org/officeDocument/2006/relationships/image" Target="../media/image10.jpeg"/><Relationship Id="rId6" Type="http://schemas.openxmlformats.org/officeDocument/2006/relationships/image" Target="../media/image5.png"/><Relationship Id="rId11" Type="http://schemas.openxmlformats.org/officeDocument/2006/relationships/chart" Target="../charts/chart119.xml"/><Relationship Id="rId5" Type="http://schemas.openxmlformats.org/officeDocument/2006/relationships/hyperlink" Target="#B_Resultados!A1"/><Relationship Id="rId15" Type="http://schemas.openxmlformats.org/officeDocument/2006/relationships/chart" Target="../charts/chart123.xml"/><Relationship Id="rId10" Type="http://schemas.openxmlformats.org/officeDocument/2006/relationships/chart" Target="../charts/chart118.xml"/><Relationship Id="rId19" Type="http://schemas.openxmlformats.org/officeDocument/2006/relationships/chart" Target="../charts/chart127.xml"/><Relationship Id="rId4" Type="http://schemas.openxmlformats.org/officeDocument/2006/relationships/image" Target="../media/image4.svg"/><Relationship Id="rId9" Type="http://schemas.openxmlformats.org/officeDocument/2006/relationships/chart" Target="../charts/chart117.xml"/><Relationship Id="rId14" Type="http://schemas.openxmlformats.org/officeDocument/2006/relationships/chart" Target="../charts/chart122.xml"/><Relationship Id="rId22" Type="http://schemas.openxmlformats.org/officeDocument/2006/relationships/chart" Target="../charts/chart130.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svg"/><Relationship Id="rId2" Type="http://schemas.openxmlformats.org/officeDocument/2006/relationships/hyperlink" Target="#M_A0!A1"/><Relationship Id="rId1" Type="http://schemas.openxmlformats.org/officeDocument/2006/relationships/image" Target="../media/image2.jpeg"/><Relationship Id="rId6" Type="http://schemas.openxmlformats.org/officeDocument/2006/relationships/image" Target="../media/image5.png"/><Relationship Id="rId5" Type="http://schemas.openxmlformats.org/officeDocument/2006/relationships/hyperlink" Target="#Instrucciones_Valencia!A1"/><Relationship Id="rId4" Type="http://schemas.openxmlformats.org/officeDocument/2006/relationships/image" Target="../media/image4.svg"/></Relationships>
</file>

<file path=xl/drawings/_rels/drawing2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5.png"/><Relationship Id="rId3" Type="http://schemas.openxmlformats.org/officeDocument/2006/relationships/hyperlink" Target="#Resultados_generales!A1"/><Relationship Id="rId7" Type="http://schemas.microsoft.com/office/2007/relationships/hdphoto" Target="../media/hdphoto1.wdp"/><Relationship Id="rId12" Type="http://schemas.openxmlformats.org/officeDocument/2006/relationships/hyperlink" Target="#Instrucciones_Valencia!A1"/><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3.png"/><Relationship Id="rId11" Type="http://schemas.openxmlformats.org/officeDocument/2006/relationships/image" Target="../media/image17.png"/><Relationship Id="rId5" Type="http://schemas.openxmlformats.org/officeDocument/2006/relationships/image" Target="../media/image12.svg"/><Relationship Id="rId10" Type="http://schemas.openxmlformats.org/officeDocument/2006/relationships/image" Target="../media/image16.png"/><Relationship Id="rId4" Type="http://schemas.openxmlformats.org/officeDocument/2006/relationships/image" Target="../media/image3.png"/><Relationship Id="rId9" Type="http://schemas.openxmlformats.org/officeDocument/2006/relationships/image" Target="../media/image15.png"/><Relationship Id="rId14" Type="http://schemas.openxmlformats.org/officeDocument/2006/relationships/image" Target="../media/image6.sv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chart" Target="../charts/chart5.xml"/><Relationship Id="rId18" Type="http://schemas.openxmlformats.org/officeDocument/2006/relationships/chart" Target="../charts/chart10.xml"/><Relationship Id="rId3" Type="http://schemas.openxmlformats.org/officeDocument/2006/relationships/hyperlink" Target="#M_A1!A1"/><Relationship Id="rId21" Type="http://schemas.openxmlformats.org/officeDocument/2006/relationships/chart" Target="../charts/chart13.xml"/><Relationship Id="rId7" Type="http://schemas.openxmlformats.org/officeDocument/2006/relationships/hyperlink" Target="#Instrucciones_Valencia!A1"/><Relationship Id="rId12" Type="http://schemas.openxmlformats.org/officeDocument/2006/relationships/chart" Target="../charts/chart4.xml"/><Relationship Id="rId17" Type="http://schemas.openxmlformats.org/officeDocument/2006/relationships/chart" Target="../charts/chart9.xml"/><Relationship Id="rId25" Type="http://schemas.openxmlformats.org/officeDocument/2006/relationships/chart" Target="../charts/chart17.xml"/><Relationship Id="rId2" Type="http://schemas.openxmlformats.org/officeDocument/2006/relationships/image" Target="../media/image2.jpeg"/><Relationship Id="rId16" Type="http://schemas.openxmlformats.org/officeDocument/2006/relationships/chart" Target="../charts/chart8.xml"/><Relationship Id="rId20" Type="http://schemas.openxmlformats.org/officeDocument/2006/relationships/chart" Target="../charts/chart12.xml"/><Relationship Id="rId1" Type="http://schemas.openxmlformats.org/officeDocument/2006/relationships/chart" Target="../charts/chart1.xml"/><Relationship Id="rId6" Type="http://schemas.openxmlformats.org/officeDocument/2006/relationships/hyperlink" Target="#M_Datos!A1"/><Relationship Id="rId11" Type="http://schemas.openxmlformats.org/officeDocument/2006/relationships/chart" Target="../charts/chart3.xml"/><Relationship Id="rId24" Type="http://schemas.openxmlformats.org/officeDocument/2006/relationships/chart" Target="../charts/chart16.xml"/><Relationship Id="rId5" Type="http://schemas.openxmlformats.org/officeDocument/2006/relationships/image" Target="../media/image4.svg"/><Relationship Id="rId15" Type="http://schemas.openxmlformats.org/officeDocument/2006/relationships/chart" Target="../charts/chart7.xml"/><Relationship Id="rId23" Type="http://schemas.openxmlformats.org/officeDocument/2006/relationships/chart" Target="../charts/chart15.xml"/><Relationship Id="rId10" Type="http://schemas.openxmlformats.org/officeDocument/2006/relationships/chart" Target="../charts/chart2.xml"/><Relationship Id="rId19" Type="http://schemas.openxmlformats.org/officeDocument/2006/relationships/chart" Target="../charts/chart11.xml"/><Relationship Id="rId4" Type="http://schemas.openxmlformats.org/officeDocument/2006/relationships/image" Target="../media/image3.png"/><Relationship Id="rId9" Type="http://schemas.openxmlformats.org/officeDocument/2006/relationships/image" Target="../media/image6.svg"/><Relationship Id="rId14" Type="http://schemas.openxmlformats.org/officeDocument/2006/relationships/chart" Target="../charts/chart6.xml"/><Relationship Id="rId22"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image" Target="../media/image6.svg"/><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image" Target="../media/image3.png"/><Relationship Id="rId21" Type="http://schemas.openxmlformats.org/officeDocument/2006/relationships/chart" Target="../charts/chart30.xml"/><Relationship Id="rId7" Type="http://schemas.openxmlformats.org/officeDocument/2006/relationships/image" Target="../media/image5.png"/><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2" Type="http://schemas.openxmlformats.org/officeDocument/2006/relationships/hyperlink" Target="#M_A2!A1"/><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image" Target="../media/image2.jpeg"/><Relationship Id="rId6" Type="http://schemas.openxmlformats.org/officeDocument/2006/relationships/hyperlink" Target="#Instrucciones_Valencia!A1"/><Relationship Id="rId11" Type="http://schemas.openxmlformats.org/officeDocument/2006/relationships/chart" Target="../charts/chart20.xml"/><Relationship Id="rId24" Type="http://schemas.openxmlformats.org/officeDocument/2006/relationships/chart" Target="../charts/chart33.xml"/><Relationship Id="rId5" Type="http://schemas.openxmlformats.org/officeDocument/2006/relationships/hyperlink" Target="#M_A0!A1"/><Relationship Id="rId15" Type="http://schemas.openxmlformats.org/officeDocument/2006/relationships/chart" Target="../charts/chart24.xml"/><Relationship Id="rId23" Type="http://schemas.openxmlformats.org/officeDocument/2006/relationships/chart" Target="../charts/chart32.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image" Target="../media/image4.svg"/><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18" Type="http://schemas.openxmlformats.org/officeDocument/2006/relationships/chart" Target="../charts/chart45.xml"/><Relationship Id="rId3" Type="http://schemas.openxmlformats.org/officeDocument/2006/relationships/image" Target="../media/image3.png"/><Relationship Id="rId21" Type="http://schemas.openxmlformats.org/officeDocument/2006/relationships/chart" Target="../charts/chart48.xml"/><Relationship Id="rId7" Type="http://schemas.openxmlformats.org/officeDocument/2006/relationships/image" Target="../media/image6.svg"/><Relationship Id="rId12" Type="http://schemas.openxmlformats.org/officeDocument/2006/relationships/chart" Target="../charts/chart39.xml"/><Relationship Id="rId17" Type="http://schemas.openxmlformats.org/officeDocument/2006/relationships/chart" Target="../charts/chart44.xml"/><Relationship Id="rId2" Type="http://schemas.openxmlformats.org/officeDocument/2006/relationships/hyperlink" Target="#M_A3!A1"/><Relationship Id="rId16" Type="http://schemas.openxmlformats.org/officeDocument/2006/relationships/chart" Target="../charts/chart43.xml"/><Relationship Id="rId20" Type="http://schemas.openxmlformats.org/officeDocument/2006/relationships/chart" Target="../charts/chart47.xml"/><Relationship Id="rId1" Type="http://schemas.openxmlformats.org/officeDocument/2006/relationships/image" Target="../media/image2.jpeg"/><Relationship Id="rId6" Type="http://schemas.openxmlformats.org/officeDocument/2006/relationships/image" Target="../media/image5.png"/><Relationship Id="rId11" Type="http://schemas.openxmlformats.org/officeDocument/2006/relationships/chart" Target="../charts/chart38.xml"/><Relationship Id="rId24" Type="http://schemas.openxmlformats.org/officeDocument/2006/relationships/chart" Target="../charts/chart51.xml"/><Relationship Id="rId5" Type="http://schemas.openxmlformats.org/officeDocument/2006/relationships/hyperlink" Target="#M_A1!A1"/><Relationship Id="rId15" Type="http://schemas.openxmlformats.org/officeDocument/2006/relationships/chart" Target="../charts/chart42.xml"/><Relationship Id="rId23" Type="http://schemas.openxmlformats.org/officeDocument/2006/relationships/chart" Target="../charts/chart50.xml"/><Relationship Id="rId10" Type="http://schemas.openxmlformats.org/officeDocument/2006/relationships/chart" Target="../charts/chart37.xml"/><Relationship Id="rId19" Type="http://schemas.openxmlformats.org/officeDocument/2006/relationships/chart" Target="../charts/chart46.xml"/><Relationship Id="rId4" Type="http://schemas.openxmlformats.org/officeDocument/2006/relationships/image" Target="../media/image4.svg"/><Relationship Id="rId9" Type="http://schemas.openxmlformats.org/officeDocument/2006/relationships/chart" Target="../charts/chart36.xml"/><Relationship Id="rId14" Type="http://schemas.openxmlformats.org/officeDocument/2006/relationships/chart" Target="../charts/chart41.xml"/><Relationship Id="rId22"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2.xml"/><Relationship Id="rId13" Type="http://schemas.openxmlformats.org/officeDocument/2006/relationships/chart" Target="../charts/chart57.xml"/><Relationship Id="rId18" Type="http://schemas.openxmlformats.org/officeDocument/2006/relationships/chart" Target="../charts/chart62.xml"/><Relationship Id="rId3" Type="http://schemas.openxmlformats.org/officeDocument/2006/relationships/image" Target="../media/image3.png"/><Relationship Id="rId21" Type="http://schemas.openxmlformats.org/officeDocument/2006/relationships/chart" Target="../charts/chart65.xml"/><Relationship Id="rId7" Type="http://schemas.openxmlformats.org/officeDocument/2006/relationships/image" Target="../media/image6.svg"/><Relationship Id="rId12" Type="http://schemas.openxmlformats.org/officeDocument/2006/relationships/chart" Target="../charts/chart56.xml"/><Relationship Id="rId17" Type="http://schemas.openxmlformats.org/officeDocument/2006/relationships/chart" Target="../charts/chart61.xml"/><Relationship Id="rId2" Type="http://schemas.openxmlformats.org/officeDocument/2006/relationships/hyperlink" Target="#M_A4!A1"/><Relationship Id="rId16" Type="http://schemas.openxmlformats.org/officeDocument/2006/relationships/chart" Target="../charts/chart60.xml"/><Relationship Id="rId20" Type="http://schemas.openxmlformats.org/officeDocument/2006/relationships/chart" Target="../charts/chart64.xml"/><Relationship Id="rId1" Type="http://schemas.openxmlformats.org/officeDocument/2006/relationships/image" Target="../media/image2.jpeg"/><Relationship Id="rId6" Type="http://schemas.openxmlformats.org/officeDocument/2006/relationships/image" Target="../media/image5.png"/><Relationship Id="rId11" Type="http://schemas.openxmlformats.org/officeDocument/2006/relationships/chart" Target="../charts/chart55.xml"/><Relationship Id="rId5" Type="http://schemas.openxmlformats.org/officeDocument/2006/relationships/hyperlink" Target="#M_A2!A1"/><Relationship Id="rId15" Type="http://schemas.openxmlformats.org/officeDocument/2006/relationships/chart" Target="../charts/chart59.xml"/><Relationship Id="rId23" Type="http://schemas.openxmlformats.org/officeDocument/2006/relationships/chart" Target="../charts/chart67.xml"/><Relationship Id="rId10" Type="http://schemas.openxmlformats.org/officeDocument/2006/relationships/chart" Target="../charts/chart54.xml"/><Relationship Id="rId19" Type="http://schemas.openxmlformats.org/officeDocument/2006/relationships/chart" Target="../charts/chart63.xml"/><Relationship Id="rId4" Type="http://schemas.openxmlformats.org/officeDocument/2006/relationships/image" Target="../media/image4.svg"/><Relationship Id="rId9" Type="http://schemas.openxmlformats.org/officeDocument/2006/relationships/chart" Target="../charts/chart53.xml"/><Relationship Id="rId14" Type="http://schemas.openxmlformats.org/officeDocument/2006/relationships/chart" Target="../charts/chart58.xml"/><Relationship Id="rId22" Type="http://schemas.openxmlformats.org/officeDocument/2006/relationships/chart" Target="../charts/chart66.xml"/></Relationships>
</file>

<file path=xl/drawings/_rels/drawing7.xml.rels><?xml version="1.0" encoding="UTF-8" standalone="yes"?>
<Relationships xmlns="http://schemas.openxmlformats.org/package/2006/relationships"><Relationship Id="rId8" Type="http://schemas.openxmlformats.org/officeDocument/2006/relationships/image" Target="../media/image6.svg"/><Relationship Id="rId13" Type="http://schemas.openxmlformats.org/officeDocument/2006/relationships/chart" Target="../charts/chart72.xml"/><Relationship Id="rId18" Type="http://schemas.openxmlformats.org/officeDocument/2006/relationships/chart" Target="../charts/chart77.xml"/><Relationship Id="rId3" Type="http://schemas.openxmlformats.org/officeDocument/2006/relationships/image" Target="../media/image3.png"/><Relationship Id="rId21" Type="http://schemas.openxmlformats.org/officeDocument/2006/relationships/chart" Target="../charts/chart80.xml"/><Relationship Id="rId7" Type="http://schemas.openxmlformats.org/officeDocument/2006/relationships/image" Target="../media/image5.png"/><Relationship Id="rId12" Type="http://schemas.openxmlformats.org/officeDocument/2006/relationships/chart" Target="../charts/chart71.xml"/><Relationship Id="rId17" Type="http://schemas.openxmlformats.org/officeDocument/2006/relationships/chart" Target="../charts/chart76.xml"/><Relationship Id="rId2" Type="http://schemas.openxmlformats.org/officeDocument/2006/relationships/hyperlink" Target="#M_C&#225;lculos!A1"/><Relationship Id="rId16" Type="http://schemas.openxmlformats.org/officeDocument/2006/relationships/chart" Target="../charts/chart75.xml"/><Relationship Id="rId20" Type="http://schemas.openxmlformats.org/officeDocument/2006/relationships/chart" Target="../charts/chart79.xml"/><Relationship Id="rId1" Type="http://schemas.openxmlformats.org/officeDocument/2006/relationships/image" Target="../media/image2.jpeg"/><Relationship Id="rId6" Type="http://schemas.openxmlformats.org/officeDocument/2006/relationships/hyperlink" Target="#Instrucciones_Valencia!A1"/><Relationship Id="rId11" Type="http://schemas.openxmlformats.org/officeDocument/2006/relationships/chart" Target="../charts/chart70.xml"/><Relationship Id="rId24" Type="http://schemas.openxmlformats.org/officeDocument/2006/relationships/chart" Target="../charts/chart83.xml"/><Relationship Id="rId5" Type="http://schemas.openxmlformats.org/officeDocument/2006/relationships/hyperlink" Target="#M_A3!A1"/><Relationship Id="rId15" Type="http://schemas.openxmlformats.org/officeDocument/2006/relationships/chart" Target="../charts/chart74.xml"/><Relationship Id="rId23" Type="http://schemas.openxmlformats.org/officeDocument/2006/relationships/chart" Target="../charts/chart82.xml"/><Relationship Id="rId10" Type="http://schemas.openxmlformats.org/officeDocument/2006/relationships/chart" Target="../charts/chart69.xml"/><Relationship Id="rId19" Type="http://schemas.openxmlformats.org/officeDocument/2006/relationships/chart" Target="../charts/chart78.xml"/><Relationship Id="rId4" Type="http://schemas.openxmlformats.org/officeDocument/2006/relationships/image" Target="../media/image4.svg"/><Relationship Id="rId9" Type="http://schemas.openxmlformats.org/officeDocument/2006/relationships/chart" Target="../charts/chart68.xml"/><Relationship Id="rId14" Type="http://schemas.openxmlformats.org/officeDocument/2006/relationships/chart" Target="../charts/chart73.xml"/><Relationship Id="rId22" Type="http://schemas.openxmlformats.org/officeDocument/2006/relationships/chart" Target="../charts/chart81.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svg"/><Relationship Id="rId2" Type="http://schemas.openxmlformats.org/officeDocument/2006/relationships/hyperlink" Target="#M_Resultados!A1"/><Relationship Id="rId1" Type="http://schemas.openxmlformats.org/officeDocument/2006/relationships/image" Target="../media/image2.jpeg"/><Relationship Id="rId6" Type="http://schemas.openxmlformats.org/officeDocument/2006/relationships/image" Target="../media/image5.png"/><Relationship Id="rId5" Type="http://schemas.openxmlformats.org/officeDocument/2006/relationships/hyperlink" Target="#M_A4!A1"/><Relationship Id="rId4" Type="http://schemas.openxmlformats.org/officeDocument/2006/relationships/image" Target="../media/image4.svg"/></Relationships>
</file>

<file path=xl/drawings/_rels/drawing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sv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15</xdr:col>
      <xdr:colOff>354569</xdr:colOff>
      <xdr:row>1</xdr:row>
      <xdr:rowOff>123826</xdr:rowOff>
    </xdr:from>
    <xdr:to>
      <xdr:col>16</xdr:col>
      <xdr:colOff>566432</xdr:colOff>
      <xdr:row>2</xdr:row>
      <xdr:rowOff>57151</xdr:rowOff>
    </xdr:to>
    <xdr:pic>
      <xdr:nvPicPr>
        <xdr:cNvPr id="3" name="Imagen 1" descr="IDOM">
          <a:extLst>
            <a:ext uri="{FF2B5EF4-FFF2-40B4-BE49-F238E27FC236}">
              <a16:creationId xmlns:a16="http://schemas.microsoft.com/office/drawing/2014/main" id="{66386512-27F8-49D6-A59B-AFAE56D9A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32069" y="438151"/>
          <a:ext cx="973863"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425823</xdr:colOff>
      <xdr:row>8</xdr:row>
      <xdr:rowOff>76199</xdr:rowOff>
    </xdr:from>
    <xdr:to>
      <xdr:col>12</xdr:col>
      <xdr:colOff>89647</xdr:colOff>
      <xdr:row>19</xdr:row>
      <xdr:rowOff>62753</xdr:rowOff>
    </xdr:to>
    <xdr:sp macro="" textlink="">
      <xdr:nvSpPr>
        <xdr:cNvPr id="4" name="Rectángulo: esquinas redondeadas 3">
          <a:extLst>
            <a:ext uri="{FF2B5EF4-FFF2-40B4-BE49-F238E27FC236}">
              <a16:creationId xmlns:a16="http://schemas.microsoft.com/office/drawing/2014/main" id="{C06BD3B0-6A24-4371-8147-024BDD119111}"/>
            </a:ext>
          </a:extLst>
        </xdr:cNvPr>
        <xdr:cNvSpPr/>
      </xdr:nvSpPr>
      <xdr:spPr>
        <a:xfrm>
          <a:off x="5159188" y="2209799"/>
          <a:ext cx="5320553" cy="2227730"/>
        </a:xfrm>
        <a:prstGeom prst="roundRect">
          <a:avLst/>
        </a:prstGeom>
        <a:noFill/>
        <a:ln w="28575">
          <a:solidFill>
            <a:schemeClr val="bg2">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ES" sz="1100"/>
        </a:p>
      </xdr:txBody>
    </xdr:sp>
    <xdr:clientData/>
  </xdr:twoCellAnchor>
  <xdr:twoCellAnchor>
    <xdr:from>
      <xdr:col>12</xdr:col>
      <xdr:colOff>541021</xdr:colOff>
      <xdr:row>8</xdr:row>
      <xdr:rowOff>69273</xdr:rowOff>
    </xdr:from>
    <xdr:to>
      <xdr:col>19</xdr:col>
      <xdr:colOff>313766</xdr:colOff>
      <xdr:row>19</xdr:row>
      <xdr:rowOff>44824</xdr:rowOff>
    </xdr:to>
    <xdr:sp macro="" textlink="">
      <xdr:nvSpPr>
        <xdr:cNvPr id="5" name="Rectángulo: esquinas redondeadas 4">
          <a:extLst>
            <a:ext uri="{FF2B5EF4-FFF2-40B4-BE49-F238E27FC236}">
              <a16:creationId xmlns:a16="http://schemas.microsoft.com/office/drawing/2014/main" id="{1AE19CFC-8BB3-49EC-A80F-FF6039D4FE03}"/>
            </a:ext>
          </a:extLst>
        </xdr:cNvPr>
        <xdr:cNvSpPr/>
      </xdr:nvSpPr>
      <xdr:spPr>
        <a:xfrm>
          <a:off x="10931115" y="2202873"/>
          <a:ext cx="5295004" cy="2216727"/>
        </a:xfrm>
        <a:prstGeom prst="roundRect">
          <a:avLst/>
        </a:prstGeom>
        <a:noFill/>
        <a:ln w="28575">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ES" sz="1100"/>
        </a:p>
      </xdr:txBody>
    </xdr:sp>
    <xdr:clientData/>
  </xdr:twoCellAnchor>
  <xdr:twoCellAnchor>
    <xdr:from>
      <xdr:col>0</xdr:col>
      <xdr:colOff>228600</xdr:colOff>
      <xdr:row>0</xdr:row>
      <xdr:rowOff>1</xdr:rowOff>
    </xdr:from>
    <xdr:to>
      <xdr:col>3</xdr:col>
      <xdr:colOff>516499</xdr:colOff>
      <xdr:row>3</xdr:row>
      <xdr:rowOff>152401</xdr:rowOff>
    </xdr:to>
    <xdr:pic>
      <xdr:nvPicPr>
        <xdr:cNvPr id="6" name="Imagen 5">
          <a:extLst>
            <a:ext uri="{FF2B5EF4-FFF2-40B4-BE49-F238E27FC236}">
              <a16:creationId xmlns:a16="http://schemas.microsoft.com/office/drawing/2014/main" id="{8069574E-9A8D-458C-B962-0186DD5112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1"/>
          <a:ext cx="2573899" cy="1200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6C356A66-CC68-485D-A0C6-E586E540B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0334" cy="1114425"/>
        </a:xfrm>
        <a:prstGeom prst="rect">
          <a:avLst/>
        </a:prstGeom>
      </xdr:spPr>
    </xdr:pic>
    <xdr:clientData/>
  </xdr:twoCellAnchor>
  <xdr:twoCellAnchor editAs="oneCell">
    <xdr:from>
      <xdr:col>13</xdr:col>
      <xdr:colOff>497200</xdr:colOff>
      <xdr:row>0</xdr:row>
      <xdr:rowOff>202410</xdr:rowOff>
    </xdr:from>
    <xdr:to>
      <xdr:col>14</xdr:col>
      <xdr:colOff>550428</xdr:colOff>
      <xdr:row>2</xdr:row>
      <xdr:rowOff>286084</xdr:rowOff>
    </xdr:to>
    <xdr:pic>
      <xdr:nvPicPr>
        <xdr:cNvPr id="27"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E76BF75E-5A88-4CDB-A675-7F2B186C722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2811664" y="202410"/>
          <a:ext cx="834278" cy="830434"/>
        </a:xfrm>
        <a:prstGeom prst="rect">
          <a:avLst/>
        </a:prstGeom>
      </xdr:spPr>
    </xdr:pic>
    <xdr:clientData/>
  </xdr:twoCellAnchor>
  <xdr:twoCellAnchor editAs="oneCell">
    <xdr:from>
      <xdr:col>12</xdr:col>
      <xdr:colOff>149679</xdr:colOff>
      <xdr:row>0</xdr:row>
      <xdr:rowOff>190504</xdr:rowOff>
    </xdr:from>
    <xdr:to>
      <xdr:col>13</xdr:col>
      <xdr:colOff>207389</xdr:colOff>
      <xdr:row>2</xdr:row>
      <xdr:rowOff>247508</xdr:rowOff>
    </xdr:to>
    <xdr:pic>
      <xdr:nvPicPr>
        <xdr:cNvPr id="26"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8A649150-AE3E-4BBA-B2D1-90B51ED3128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702143" y="190504"/>
          <a:ext cx="838760" cy="830434"/>
        </a:xfrm>
        <a:prstGeom prst="rect">
          <a:avLst/>
        </a:prstGeom>
      </xdr:spPr>
    </xdr:pic>
    <xdr:clientData/>
  </xdr:twoCellAnchor>
  <xdr:twoCellAnchor editAs="oneCell">
    <xdr:from>
      <xdr:col>27</xdr:col>
      <xdr:colOff>714304</xdr:colOff>
      <xdr:row>0</xdr:row>
      <xdr:rowOff>163289</xdr:rowOff>
    </xdr:from>
    <xdr:to>
      <xdr:col>29</xdr:col>
      <xdr:colOff>55174</xdr:colOff>
      <xdr:row>2</xdr:row>
      <xdr:rowOff>289444</xdr:rowOff>
    </xdr:to>
    <xdr:pic>
      <xdr:nvPicPr>
        <xdr:cNvPr id="28" name="Gráfico 4" descr="Libro abierto con relleno sólido">
          <a:hlinkClick xmlns:r="http://schemas.openxmlformats.org/officeDocument/2006/relationships" r:id="rId6"/>
          <a:extLst>
            <a:ext uri="{FF2B5EF4-FFF2-40B4-BE49-F238E27FC236}">
              <a16:creationId xmlns:a16="http://schemas.microsoft.com/office/drawing/2014/main" id="{F54766CE-E236-4A7F-85C5-322C4393DAD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3696768" y="163289"/>
          <a:ext cx="904875" cy="895775"/>
        </a:xfrm>
        <a:prstGeom prst="rect">
          <a:avLst/>
        </a:prstGeom>
      </xdr:spPr>
    </xdr:pic>
    <xdr:clientData/>
  </xdr:twoCellAnchor>
  <xdr:twoCellAnchor>
    <xdr:from>
      <xdr:col>16</xdr:col>
      <xdr:colOff>15240</xdr:colOff>
      <xdr:row>13</xdr:row>
      <xdr:rowOff>15240</xdr:rowOff>
    </xdr:from>
    <xdr:to>
      <xdr:col>22</xdr:col>
      <xdr:colOff>612322</xdr:colOff>
      <xdr:row>26</xdr:row>
      <xdr:rowOff>16088</xdr:rowOff>
    </xdr:to>
    <xdr:graphicFrame macro="">
      <xdr:nvGraphicFramePr>
        <xdr:cNvPr id="6" name="Gráfico 5">
          <a:extLst>
            <a:ext uri="{FF2B5EF4-FFF2-40B4-BE49-F238E27FC236}">
              <a16:creationId xmlns:a16="http://schemas.microsoft.com/office/drawing/2014/main" id="{B9A27EDC-B72B-4325-945E-4196EC069BA6}"/>
            </a:ext>
            <a:ext uri="{147F2762-F138-4A5C-976F-8EAC2B608ADB}">
              <a16:predDERef xmlns:a16="http://schemas.microsoft.com/office/drawing/2014/main" pred="{F54766CE-E236-4A7F-85C5-322C4393D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738188</xdr:colOff>
      <xdr:row>29</xdr:row>
      <xdr:rowOff>16675</xdr:rowOff>
    </xdr:from>
    <xdr:to>
      <xdr:col>6</xdr:col>
      <xdr:colOff>2</xdr:colOff>
      <xdr:row>41</xdr:row>
      <xdr:rowOff>132341</xdr:rowOff>
    </xdr:to>
    <xdr:graphicFrame macro="">
      <xdr:nvGraphicFramePr>
        <xdr:cNvPr id="7" name="Gráfico 6">
          <a:extLst>
            <a:ext uri="{FF2B5EF4-FFF2-40B4-BE49-F238E27FC236}">
              <a16:creationId xmlns:a16="http://schemas.microsoft.com/office/drawing/2014/main" id="{4017CFD0-CB58-4403-8E76-29150C81FEF1}"/>
            </a:ext>
            <a:ext uri="{147F2762-F138-4A5C-976F-8EAC2B608ADB}">
              <a16:predDERef xmlns:a16="http://schemas.microsoft.com/office/drawing/2014/main" pred="{B9A27EDC-B72B-4325-945E-4196EC069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398689</xdr:colOff>
      <xdr:row>29</xdr:row>
      <xdr:rowOff>70486</xdr:rowOff>
    </xdr:from>
    <xdr:to>
      <xdr:col>9</xdr:col>
      <xdr:colOff>510812</xdr:colOff>
      <xdr:row>40</xdr:row>
      <xdr:rowOff>108858</xdr:rowOff>
    </xdr:to>
    <xdr:graphicFrame macro="">
      <xdr:nvGraphicFramePr>
        <xdr:cNvPr id="9" name="Gráfico 8">
          <a:extLst>
            <a:ext uri="{FF2B5EF4-FFF2-40B4-BE49-F238E27FC236}">
              <a16:creationId xmlns:a16="http://schemas.microsoft.com/office/drawing/2014/main" id="{7D9F5636-369F-4055-BA0B-A1C6C18FC342}"/>
            </a:ext>
            <a:ext uri="{147F2762-F138-4A5C-976F-8EAC2B608ADB}">
              <a16:predDERef xmlns:a16="http://schemas.microsoft.com/office/drawing/2014/main" pred="{4017CFD0-CB58-4403-8E76-29150C81F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1292678</xdr:colOff>
      <xdr:row>41</xdr:row>
      <xdr:rowOff>152400</xdr:rowOff>
    </xdr:from>
    <xdr:to>
      <xdr:col>6</xdr:col>
      <xdr:colOff>231322</xdr:colOff>
      <xdr:row>54</xdr:row>
      <xdr:rowOff>16328</xdr:rowOff>
    </xdr:to>
    <xdr:graphicFrame macro="">
      <xdr:nvGraphicFramePr>
        <xdr:cNvPr id="10" name="Gráfico 9">
          <a:extLst>
            <a:ext uri="{FF2B5EF4-FFF2-40B4-BE49-F238E27FC236}">
              <a16:creationId xmlns:a16="http://schemas.microsoft.com/office/drawing/2014/main" id="{DF6AE579-AF06-4982-AB86-2125EDF9D486}"/>
            </a:ext>
            <a:ext uri="{147F2762-F138-4A5C-976F-8EAC2B608ADB}">
              <a16:predDERef xmlns:a16="http://schemas.microsoft.com/office/drawing/2014/main" pred="{7D9F5636-369F-4055-BA0B-A1C6C18FC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272143</xdr:colOff>
      <xdr:row>41</xdr:row>
      <xdr:rowOff>136888</xdr:rowOff>
    </xdr:from>
    <xdr:to>
      <xdr:col>9</xdr:col>
      <xdr:colOff>632459</xdr:colOff>
      <xdr:row>54</xdr:row>
      <xdr:rowOff>27214</xdr:rowOff>
    </xdr:to>
    <xdr:graphicFrame macro="">
      <xdr:nvGraphicFramePr>
        <xdr:cNvPr id="11" name="Gráfico 10">
          <a:extLst>
            <a:ext uri="{FF2B5EF4-FFF2-40B4-BE49-F238E27FC236}">
              <a16:creationId xmlns:a16="http://schemas.microsoft.com/office/drawing/2014/main" id="{99448945-DEB5-4EB0-9042-F846F7912BE5}"/>
            </a:ext>
            <a:ext uri="{147F2762-F138-4A5C-976F-8EAC2B608ADB}">
              <a16:predDERef xmlns:a16="http://schemas.microsoft.com/office/drawing/2014/main" pred="{DF6AE579-AF06-4982-AB86-2125EDF9D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607285</xdr:colOff>
      <xdr:row>30</xdr:row>
      <xdr:rowOff>176689</xdr:rowOff>
    </xdr:from>
    <xdr:to>
      <xdr:col>24</xdr:col>
      <xdr:colOff>146550</xdr:colOff>
      <xdr:row>47</xdr:row>
      <xdr:rowOff>167710</xdr:rowOff>
    </xdr:to>
    <xdr:graphicFrame macro="">
      <xdr:nvGraphicFramePr>
        <xdr:cNvPr id="12" name="Gráfico 11">
          <a:extLst>
            <a:ext uri="{FF2B5EF4-FFF2-40B4-BE49-F238E27FC236}">
              <a16:creationId xmlns:a16="http://schemas.microsoft.com/office/drawing/2014/main" id="{F5C9D8A1-0F48-4B2E-8592-7F041341F36B}"/>
            </a:ext>
            <a:ext uri="{147F2762-F138-4A5C-976F-8EAC2B608ADB}">
              <a16:predDERef xmlns:a16="http://schemas.microsoft.com/office/drawing/2014/main" pred="{99448945-DEB5-4EB0-9042-F846F7912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16115</xdr:colOff>
      <xdr:row>51</xdr:row>
      <xdr:rowOff>198597</xdr:rowOff>
    </xdr:from>
    <xdr:to>
      <xdr:col>24</xdr:col>
      <xdr:colOff>396511</xdr:colOff>
      <xdr:row>72</xdr:row>
      <xdr:rowOff>15876</xdr:rowOff>
    </xdr:to>
    <xdr:graphicFrame macro="">
      <xdr:nvGraphicFramePr>
        <xdr:cNvPr id="13" name="Gráfico 12">
          <a:extLst>
            <a:ext uri="{FF2B5EF4-FFF2-40B4-BE49-F238E27FC236}">
              <a16:creationId xmlns:a16="http://schemas.microsoft.com/office/drawing/2014/main" id="{DBF6BC40-A993-4635-97D9-3E4A1421B393}"/>
            </a:ext>
            <a:ext uri="{147F2762-F138-4A5C-976F-8EAC2B608ADB}">
              <a16:predDERef xmlns:a16="http://schemas.microsoft.com/office/drawing/2014/main" pred="{F5C9D8A1-0F48-4B2E-8592-7F041341F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621030</xdr:colOff>
      <xdr:row>58</xdr:row>
      <xdr:rowOff>95808</xdr:rowOff>
    </xdr:from>
    <xdr:to>
      <xdr:col>8</xdr:col>
      <xdr:colOff>607218</xdr:colOff>
      <xdr:row>70</xdr:row>
      <xdr:rowOff>190500</xdr:rowOff>
    </xdr:to>
    <xdr:graphicFrame macro="">
      <xdr:nvGraphicFramePr>
        <xdr:cNvPr id="14" name="Gráfico 13">
          <a:extLst>
            <a:ext uri="{FF2B5EF4-FFF2-40B4-BE49-F238E27FC236}">
              <a16:creationId xmlns:a16="http://schemas.microsoft.com/office/drawing/2014/main" id="{96DBC5D8-8798-41C9-BEAE-C653C231BDDF}"/>
            </a:ext>
            <a:ext uri="{147F2762-F138-4A5C-976F-8EAC2B608ADB}">
              <a16:predDERef xmlns:a16="http://schemas.microsoft.com/office/drawing/2014/main" pred="{DBF6BC40-A993-4635-97D9-3E4A1421B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762000</xdr:colOff>
      <xdr:row>98</xdr:row>
      <xdr:rowOff>20485</xdr:rowOff>
    </xdr:from>
    <xdr:to>
      <xdr:col>6</xdr:col>
      <xdr:colOff>190500</xdr:colOff>
      <xdr:row>110</xdr:row>
      <xdr:rowOff>136151</xdr:rowOff>
    </xdr:to>
    <xdr:graphicFrame macro="">
      <xdr:nvGraphicFramePr>
        <xdr:cNvPr id="8" name="Gráfico 7">
          <a:extLst>
            <a:ext uri="{FF2B5EF4-FFF2-40B4-BE49-F238E27FC236}">
              <a16:creationId xmlns:a16="http://schemas.microsoft.com/office/drawing/2014/main" id="{DED58657-80A2-4D69-A2DB-CC96CFAA8DC4}"/>
            </a:ext>
            <a:ext uri="{147F2762-F138-4A5C-976F-8EAC2B608ADB}">
              <a16:predDERef xmlns:a16="http://schemas.microsoft.com/office/drawing/2014/main" pred="{D152EE40-CFA0-1C6A-E133-FCB48EC0B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600394</xdr:colOff>
      <xdr:row>98</xdr:row>
      <xdr:rowOff>98611</xdr:rowOff>
    </xdr:from>
    <xdr:to>
      <xdr:col>10</xdr:col>
      <xdr:colOff>775110</xdr:colOff>
      <xdr:row>110</xdr:row>
      <xdr:rowOff>112058</xdr:rowOff>
    </xdr:to>
    <xdr:graphicFrame macro="">
      <xdr:nvGraphicFramePr>
        <xdr:cNvPr id="16" name="Gráfico 15">
          <a:extLst>
            <a:ext uri="{FF2B5EF4-FFF2-40B4-BE49-F238E27FC236}">
              <a16:creationId xmlns:a16="http://schemas.microsoft.com/office/drawing/2014/main" id="{9397AE02-DBE9-4B35-9828-8D9BF18EF620}"/>
            </a:ext>
            <a:ext uri="{147F2762-F138-4A5C-976F-8EAC2B608ADB}">
              <a16:predDERef xmlns:a16="http://schemas.microsoft.com/office/drawing/2014/main" pred="{DED58657-80A2-4D69-A2DB-CC96CFAA8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1292678</xdr:colOff>
      <xdr:row>111</xdr:row>
      <xdr:rowOff>73958</xdr:rowOff>
    </xdr:from>
    <xdr:to>
      <xdr:col>6</xdr:col>
      <xdr:colOff>231322</xdr:colOff>
      <xdr:row>123</xdr:row>
      <xdr:rowOff>143402</xdr:rowOff>
    </xdr:to>
    <xdr:graphicFrame macro="">
      <xdr:nvGraphicFramePr>
        <xdr:cNvPr id="17" name="Gráfico 16">
          <a:extLst>
            <a:ext uri="{FF2B5EF4-FFF2-40B4-BE49-F238E27FC236}">
              <a16:creationId xmlns:a16="http://schemas.microsoft.com/office/drawing/2014/main" id="{F559688C-424B-4356-8FC7-406CC7573197}"/>
            </a:ext>
            <a:ext uri="{147F2762-F138-4A5C-976F-8EAC2B608ADB}">
              <a16:predDERef xmlns:a16="http://schemas.microsoft.com/office/drawing/2014/main" pred="{9397AE02-DBE9-4B35-9828-8D9BF18EF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216113</xdr:colOff>
      <xdr:row>111</xdr:row>
      <xdr:rowOff>110666</xdr:rowOff>
    </xdr:from>
    <xdr:to>
      <xdr:col>10</xdr:col>
      <xdr:colOff>750794</xdr:colOff>
      <xdr:row>124</xdr:row>
      <xdr:rowOff>2897</xdr:rowOff>
    </xdr:to>
    <xdr:graphicFrame macro="">
      <xdr:nvGraphicFramePr>
        <xdr:cNvPr id="18" name="Gráfico 17">
          <a:extLst>
            <a:ext uri="{FF2B5EF4-FFF2-40B4-BE49-F238E27FC236}">
              <a16:creationId xmlns:a16="http://schemas.microsoft.com/office/drawing/2014/main" id="{4CB4DA69-EDAE-480A-A3B3-221B1FFA5DC5}"/>
            </a:ext>
            <a:ext uri="{147F2762-F138-4A5C-976F-8EAC2B608ADB}">
              <a16:predDERef xmlns:a16="http://schemas.microsoft.com/office/drawing/2014/main" pred="{F559688C-424B-4356-8FC7-406CC7573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581567</xdr:colOff>
      <xdr:row>99</xdr:row>
      <xdr:rowOff>83343</xdr:rowOff>
    </xdr:from>
    <xdr:to>
      <xdr:col>24</xdr:col>
      <xdr:colOff>120832</xdr:colOff>
      <xdr:row>116</xdr:row>
      <xdr:rowOff>135801</xdr:rowOff>
    </xdr:to>
    <xdr:graphicFrame macro="">
      <xdr:nvGraphicFramePr>
        <xdr:cNvPr id="19" name="Gráfico 18">
          <a:extLst>
            <a:ext uri="{FF2B5EF4-FFF2-40B4-BE49-F238E27FC236}">
              <a16:creationId xmlns:a16="http://schemas.microsoft.com/office/drawing/2014/main" id="{A54C855A-7D80-4E80-B523-064D52EF7CFC}"/>
            </a:ext>
            <a:ext uri="{147F2762-F138-4A5C-976F-8EAC2B608ADB}">
              <a16:predDERef xmlns:a16="http://schemas.microsoft.com/office/drawing/2014/main" pred="{4CB4DA69-EDAE-480A-A3B3-221B1FFA5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608782</xdr:colOff>
      <xdr:row>120</xdr:row>
      <xdr:rowOff>95250</xdr:rowOff>
    </xdr:from>
    <xdr:to>
      <xdr:col>24</xdr:col>
      <xdr:colOff>206011</xdr:colOff>
      <xdr:row>137</xdr:row>
      <xdr:rowOff>18981</xdr:rowOff>
    </xdr:to>
    <xdr:graphicFrame macro="">
      <xdr:nvGraphicFramePr>
        <xdr:cNvPr id="20" name="Gráfico 19">
          <a:extLst>
            <a:ext uri="{FF2B5EF4-FFF2-40B4-BE49-F238E27FC236}">
              <a16:creationId xmlns:a16="http://schemas.microsoft.com/office/drawing/2014/main" id="{981A1DF1-7CEC-4D85-9856-376D4FDBE218}"/>
            </a:ext>
            <a:ext uri="{147F2762-F138-4A5C-976F-8EAC2B608ADB}">
              <a16:predDERef xmlns:a16="http://schemas.microsoft.com/office/drawing/2014/main" pred="{A54C855A-7D80-4E80-B523-064D52EF7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707763</xdr:colOff>
      <xdr:row>129</xdr:row>
      <xdr:rowOff>129750</xdr:rowOff>
    </xdr:from>
    <xdr:to>
      <xdr:col>8</xdr:col>
      <xdr:colOff>523874</xdr:colOff>
      <xdr:row>142</xdr:row>
      <xdr:rowOff>6691</xdr:rowOff>
    </xdr:to>
    <xdr:graphicFrame macro="">
      <xdr:nvGraphicFramePr>
        <xdr:cNvPr id="21" name="Gráfico 20">
          <a:extLst>
            <a:ext uri="{FF2B5EF4-FFF2-40B4-BE49-F238E27FC236}">
              <a16:creationId xmlns:a16="http://schemas.microsoft.com/office/drawing/2014/main" id="{D9DD11E1-564D-4602-BD69-8C507B3FC99E}"/>
            </a:ext>
            <a:ext uri="{147F2762-F138-4A5C-976F-8EAC2B608ADB}">
              <a16:predDERef xmlns:a16="http://schemas.microsoft.com/office/drawing/2014/main" pred="{981A1DF1-7CEC-4D85-9856-376D4FDBE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0</xdr:colOff>
      <xdr:row>85</xdr:row>
      <xdr:rowOff>0</xdr:rowOff>
    </xdr:from>
    <xdr:to>
      <xdr:col>22</xdr:col>
      <xdr:colOff>459921</xdr:colOff>
      <xdr:row>95</xdr:row>
      <xdr:rowOff>162212</xdr:rowOff>
    </xdr:to>
    <xdr:graphicFrame macro="">
      <xdr:nvGraphicFramePr>
        <xdr:cNvPr id="24" name="Gráfico 23">
          <a:extLst>
            <a:ext uri="{FF2B5EF4-FFF2-40B4-BE49-F238E27FC236}">
              <a16:creationId xmlns:a16="http://schemas.microsoft.com/office/drawing/2014/main" id="{069EA0D5-CEBE-4626-B4AA-26DA272145D6}"/>
            </a:ext>
            <a:ext uri="{147F2762-F138-4A5C-976F-8EAC2B608ADB}">
              <a16:predDERef xmlns:a16="http://schemas.microsoft.com/office/drawing/2014/main" pred="{BDD2612A-BA84-9E46-3E7B-62F18C065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F5A5B652-7525-4754-A9A4-28066BFE6B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4144" cy="1116330"/>
        </a:xfrm>
        <a:prstGeom prst="rect">
          <a:avLst/>
        </a:prstGeom>
      </xdr:spPr>
    </xdr:pic>
    <xdr:clientData/>
  </xdr:twoCellAnchor>
  <xdr:twoCellAnchor editAs="oneCell">
    <xdr:from>
      <xdr:col>12</xdr:col>
      <xdr:colOff>1183340</xdr:colOff>
      <xdr:row>0</xdr:row>
      <xdr:rowOff>176896</xdr:rowOff>
    </xdr:from>
    <xdr:to>
      <xdr:col>13</xdr:col>
      <xdr:colOff>876634</xdr:colOff>
      <xdr:row>2</xdr:row>
      <xdr:rowOff>245330</xdr:rowOff>
    </xdr:to>
    <xdr:pic>
      <xdr:nvPicPr>
        <xdr:cNvPr id="3" name="Gráfico 2" descr="Círculo con flecha a la izquierda con relleno sólido">
          <a:extLst>
            <a:ext uri="{FF2B5EF4-FFF2-40B4-BE49-F238E27FC236}">
              <a16:creationId xmlns:a16="http://schemas.microsoft.com/office/drawing/2014/main" id="{97BCCDEC-1A16-45EC-9992-A3F82B4EDB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17728265" y="173086"/>
          <a:ext cx="874395" cy="834244"/>
        </a:xfrm>
        <a:prstGeom prst="rect">
          <a:avLst/>
        </a:prstGeom>
      </xdr:spPr>
    </xdr:pic>
    <xdr:clientData/>
  </xdr:twoCellAnchor>
  <xdr:twoCellAnchor editAs="oneCell">
    <xdr:from>
      <xdr:col>12</xdr:col>
      <xdr:colOff>0</xdr:colOff>
      <xdr:row>0</xdr:row>
      <xdr:rowOff>176896</xdr:rowOff>
    </xdr:from>
    <xdr:to>
      <xdr:col>12</xdr:col>
      <xdr:colOff>860947</xdr:colOff>
      <xdr:row>2</xdr:row>
      <xdr:rowOff>245330</xdr:rowOff>
    </xdr:to>
    <xdr:pic>
      <xdr:nvPicPr>
        <xdr:cNvPr id="4" name="Gráfico 3" descr="Círculo con flecha a la izquierda con relleno sólido">
          <a:extLst>
            <a:ext uri="{FF2B5EF4-FFF2-40B4-BE49-F238E27FC236}">
              <a16:creationId xmlns:a16="http://schemas.microsoft.com/office/drawing/2014/main" id="{438CD020-56D8-4873-A5A4-3DD30E75EA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792575" y="173086"/>
          <a:ext cx="860947" cy="834244"/>
        </a:xfrm>
        <a:prstGeom prst="rect">
          <a:avLst/>
        </a:prstGeom>
      </xdr:spPr>
    </xdr:pic>
    <xdr:clientData/>
  </xdr:twoCellAnchor>
  <xdr:twoCellAnchor editAs="oneCell">
    <xdr:from>
      <xdr:col>26</xdr:col>
      <xdr:colOff>374125</xdr:colOff>
      <xdr:row>0</xdr:row>
      <xdr:rowOff>205711</xdr:rowOff>
    </xdr:from>
    <xdr:to>
      <xdr:col>27</xdr:col>
      <xdr:colOff>516999</xdr:colOff>
      <xdr:row>2</xdr:row>
      <xdr:rowOff>362346</xdr:rowOff>
    </xdr:to>
    <xdr:pic>
      <xdr:nvPicPr>
        <xdr:cNvPr id="5" name="Gráfico 4" descr="Libro abierto con relleno sólido">
          <a:extLst>
            <a:ext uri="{FF2B5EF4-FFF2-40B4-BE49-F238E27FC236}">
              <a16:creationId xmlns:a16="http://schemas.microsoft.com/office/drawing/2014/main" id="{71EA7AE1-3AEE-4EC6-A16F-FACEE14150C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8928170" y="209521"/>
          <a:ext cx="935354" cy="914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F2F16E35-B3CE-462A-BE0C-641310B6CF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4144" cy="1116330"/>
        </a:xfrm>
        <a:prstGeom prst="rect">
          <a:avLst/>
        </a:prstGeom>
      </xdr:spPr>
    </xdr:pic>
    <xdr:clientData/>
  </xdr:twoCellAnchor>
  <xdr:twoCellAnchor editAs="oneCell">
    <xdr:from>
      <xdr:col>8</xdr:col>
      <xdr:colOff>380520</xdr:colOff>
      <xdr:row>0</xdr:row>
      <xdr:rowOff>163289</xdr:rowOff>
    </xdr:from>
    <xdr:to>
      <xdr:col>9</xdr:col>
      <xdr:colOff>56861</xdr:colOff>
      <xdr:row>2</xdr:row>
      <xdr:rowOff>245058</xdr:rowOff>
    </xdr:to>
    <xdr:pic>
      <xdr:nvPicPr>
        <xdr:cNvPr id="3"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95C95B10-5444-44AA-9C38-60412F2B00A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3486920" y="165194"/>
          <a:ext cx="842201" cy="845674"/>
        </a:xfrm>
        <a:prstGeom prst="rect">
          <a:avLst/>
        </a:prstGeom>
      </xdr:spPr>
    </xdr:pic>
    <xdr:clientData/>
  </xdr:twoCellAnchor>
  <xdr:twoCellAnchor editAs="oneCell">
    <xdr:from>
      <xdr:col>7</xdr:col>
      <xdr:colOff>734787</xdr:colOff>
      <xdr:row>0</xdr:row>
      <xdr:rowOff>163289</xdr:rowOff>
    </xdr:from>
    <xdr:to>
      <xdr:col>8</xdr:col>
      <xdr:colOff>54317</xdr:colOff>
      <xdr:row>2</xdr:row>
      <xdr:rowOff>245058</xdr:rowOff>
    </xdr:to>
    <xdr:pic>
      <xdr:nvPicPr>
        <xdr:cNvPr id="4"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6689AA6D-C926-4318-82F0-0501D162441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261942" y="165194"/>
          <a:ext cx="902585" cy="845674"/>
        </a:xfrm>
        <a:prstGeom prst="rect">
          <a:avLst/>
        </a:prstGeom>
      </xdr:spPr>
    </xdr:pic>
    <xdr:clientData/>
  </xdr:twoCellAnchor>
  <xdr:twoCellAnchor editAs="oneCell">
    <xdr:from>
      <xdr:col>27</xdr:col>
      <xdr:colOff>374125</xdr:colOff>
      <xdr:row>0</xdr:row>
      <xdr:rowOff>205711</xdr:rowOff>
    </xdr:from>
    <xdr:to>
      <xdr:col>28</xdr:col>
      <xdr:colOff>513189</xdr:colOff>
      <xdr:row>2</xdr:row>
      <xdr:rowOff>358536</xdr:rowOff>
    </xdr:to>
    <xdr:pic>
      <xdr:nvPicPr>
        <xdr:cNvPr id="5" name="Gráfico 4" descr="Libro abierto con relleno sólido">
          <a:extLst>
            <a:ext uri="{FF2B5EF4-FFF2-40B4-BE49-F238E27FC236}">
              <a16:creationId xmlns:a16="http://schemas.microsoft.com/office/drawing/2014/main" id="{924998C6-ABC3-4802-B8C6-EE504E6A9BF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1928545" y="209521"/>
          <a:ext cx="925829" cy="914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D9653C3C-04CA-4CEF-8477-E2CB3C1788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4144" cy="1116330"/>
        </a:xfrm>
        <a:prstGeom prst="rect">
          <a:avLst/>
        </a:prstGeom>
      </xdr:spPr>
    </xdr:pic>
    <xdr:clientData/>
  </xdr:twoCellAnchor>
  <xdr:twoCellAnchor editAs="oneCell">
    <xdr:from>
      <xdr:col>10</xdr:col>
      <xdr:colOff>1183340</xdr:colOff>
      <xdr:row>0</xdr:row>
      <xdr:rowOff>176896</xdr:rowOff>
    </xdr:from>
    <xdr:to>
      <xdr:col>11</xdr:col>
      <xdr:colOff>361961</xdr:colOff>
      <xdr:row>2</xdr:row>
      <xdr:rowOff>245330</xdr:rowOff>
    </xdr:to>
    <xdr:pic>
      <xdr:nvPicPr>
        <xdr:cNvPr id="3"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7D70D40D-ED78-467C-B31A-206369B655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1070290" y="173086"/>
          <a:ext cx="853328" cy="838054"/>
        </a:xfrm>
        <a:prstGeom prst="rect">
          <a:avLst/>
        </a:prstGeom>
      </xdr:spPr>
    </xdr:pic>
    <xdr:clientData/>
  </xdr:twoCellAnchor>
  <xdr:twoCellAnchor editAs="oneCell">
    <xdr:from>
      <xdr:col>10</xdr:col>
      <xdr:colOff>0</xdr:colOff>
      <xdr:row>0</xdr:row>
      <xdr:rowOff>176896</xdr:rowOff>
    </xdr:from>
    <xdr:to>
      <xdr:col>10</xdr:col>
      <xdr:colOff>856116</xdr:colOff>
      <xdr:row>2</xdr:row>
      <xdr:rowOff>245330</xdr:rowOff>
    </xdr:to>
    <xdr:pic>
      <xdr:nvPicPr>
        <xdr:cNvPr id="4"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ADEFC3CA-4C92-445D-A913-D6C13CD601B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87000" y="173086"/>
          <a:ext cx="857810" cy="838054"/>
        </a:xfrm>
        <a:prstGeom prst="rect">
          <a:avLst/>
        </a:prstGeom>
      </xdr:spPr>
    </xdr:pic>
    <xdr:clientData/>
  </xdr:twoCellAnchor>
  <xdr:twoCellAnchor editAs="oneCell">
    <xdr:from>
      <xdr:col>25</xdr:col>
      <xdr:colOff>564625</xdr:colOff>
      <xdr:row>0</xdr:row>
      <xdr:rowOff>149681</xdr:rowOff>
    </xdr:from>
    <xdr:to>
      <xdr:col>26</xdr:col>
      <xdr:colOff>707500</xdr:colOff>
      <xdr:row>2</xdr:row>
      <xdr:rowOff>283456</xdr:rowOff>
    </xdr:to>
    <xdr:pic>
      <xdr:nvPicPr>
        <xdr:cNvPr id="5" name="Gráfico 4" descr="Libro abierto con relleno sólido">
          <a:extLst>
            <a:ext uri="{FF2B5EF4-FFF2-40B4-BE49-F238E27FC236}">
              <a16:creationId xmlns:a16="http://schemas.microsoft.com/office/drawing/2014/main" id="{B7A8A0C8-6D4F-452E-BE68-AC793A82A4C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2565470" y="149681"/>
          <a:ext cx="922020" cy="899585"/>
        </a:xfrm>
        <a:prstGeom prst="rect">
          <a:avLst/>
        </a:prstGeom>
      </xdr:spPr>
    </xdr:pic>
    <xdr:clientData/>
  </xdr:twoCellAnchor>
  <xdr:twoCellAnchor>
    <xdr:from>
      <xdr:col>16</xdr:col>
      <xdr:colOff>15240</xdr:colOff>
      <xdr:row>13</xdr:row>
      <xdr:rowOff>95250</xdr:rowOff>
    </xdr:from>
    <xdr:to>
      <xdr:col>23</xdr:col>
      <xdr:colOff>133773</xdr:colOff>
      <xdr:row>26</xdr:row>
      <xdr:rowOff>17356</xdr:rowOff>
    </xdr:to>
    <xdr:graphicFrame macro="">
      <xdr:nvGraphicFramePr>
        <xdr:cNvPr id="8" name="Gráfico 5">
          <a:extLst>
            <a:ext uri="{FF2B5EF4-FFF2-40B4-BE49-F238E27FC236}">
              <a16:creationId xmlns:a16="http://schemas.microsoft.com/office/drawing/2014/main" id="{BD38A287-5E21-4F17-8B66-CA4AE95D07E9}"/>
            </a:ext>
            <a:ext uri="{147F2762-F138-4A5C-976F-8EAC2B608ADB}">
              <a16:predDERef xmlns:a16="http://schemas.microsoft.com/office/drawing/2014/main" pred="{F54766CE-E236-4A7F-85C5-322C4393D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550333</xdr:colOff>
      <xdr:row>29</xdr:row>
      <xdr:rowOff>48049</xdr:rowOff>
    </xdr:from>
    <xdr:to>
      <xdr:col>5</xdr:col>
      <xdr:colOff>705334</xdr:colOff>
      <xdr:row>40</xdr:row>
      <xdr:rowOff>86421</xdr:rowOff>
    </xdr:to>
    <xdr:graphicFrame macro="">
      <xdr:nvGraphicFramePr>
        <xdr:cNvPr id="14" name="Gráfico 7">
          <a:extLst>
            <a:ext uri="{FF2B5EF4-FFF2-40B4-BE49-F238E27FC236}">
              <a16:creationId xmlns:a16="http://schemas.microsoft.com/office/drawing/2014/main" id="{4BE314F3-42C5-4543-8A0C-1E9563CB5B99}"/>
            </a:ext>
            <a:ext uri="{147F2762-F138-4A5C-976F-8EAC2B608ADB}">
              <a16:predDERef xmlns:a16="http://schemas.microsoft.com/office/drawing/2014/main" pred="{4017CFD0-CB58-4403-8E76-29150C81F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1117600</xdr:colOff>
      <xdr:row>29</xdr:row>
      <xdr:rowOff>112818</xdr:rowOff>
    </xdr:from>
    <xdr:to>
      <xdr:col>10</xdr:col>
      <xdr:colOff>663968</xdr:colOff>
      <xdr:row>41</xdr:row>
      <xdr:rowOff>25400</xdr:rowOff>
    </xdr:to>
    <xdr:graphicFrame macro="">
      <xdr:nvGraphicFramePr>
        <xdr:cNvPr id="27" name="Gráfico 8">
          <a:extLst>
            <a:ext uri="{FF2B5EF4-FFF2-40B4-BE49-F238E27FC236}">
              <a16:creationId xmlns:a16="http://schemas.microsoft.com/office/drawing/2014/main" id="{FE296112-D7B4-485B-A062-10DD3DF1E5F5}"/>
            </a:ext>
            <a:ext uri="{147F2762-F138-4A5C-976F-8EAC2B608ADB}">
              <a16:predDERef xmlns:a16="http://schemas.microsoft.com/office/drawing/2014/main" pred="{7D9F5636-369F-4055-BA0B-A1C6C18FC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1517167</xdr:colOff>
      <xdr:row>42</xdr:row>
      <xdr:rowOff>102810</xdr:rowOff>
    </xdr:from>
    <xdr:to>
      <xdr:col>5</xdr:col>
      <xdr:colOff>780415</xdr:colOff>
      <xdr:row>55</xdr:row>
      <xdr:rowOff>135467</xdr:rowOff>
    </xdr:to>
    <xdr:graphicFrame macro="">
      <xdr:nvGraphicFramePr>
        <xdr:cNvPr id="29" name="Gráfico 9">
          <a:extLst>
            <a:ext uri="{FF2B5EF4-FFF2-40B4-BE49-F238E27FC236}">
              <a16:creationId xmlns:a16="http://schemas.microsoft.com/office/drawing/2014/main" id="{198A93C0-2336-4BF1-8EA6-F0574F7AC812}"/>
            </a:ext>
            <a:ext uri="{147F2762-F138-4A5C-976F-8EAC2B608ADB}">
              <a16:predDERef xmlns:a16="http://schemas.microsoft.com/office/drawing/2014/main" pred="{DF6AE579-AF06-4982-AB86-2125EDF9D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972939</xdr:colOff>
      <xdr:row>30</xdr:row>
      <xdr:rowOff>171450</xdr:rowOff>
    </xdr:from>
    <xdr:to>
      <xdr:col>25</xdr:col>
      <xdr:colOff>711594</xdr:colOff>
      <xdr:row>47</xdr:row>
      <xdr:rowOff>190499</xdr:rowOff>
    </xdr:to>
    <xdr:graphicFrame macro="">
      <xdr:nvGraphicFramePr>
        <xdr:cNvPr id="12" name="Gráfico 10">
          <a:extLst>
            <a:ext uri="{FF2B5EF4-FFF2-40B4-BE49-F238E27FC236}">
              <a16:creationId xmlns:a16="http://schemas.microsoft.com/office/drawing/2014/main" id="{5A2B7D7B-EDFD-427A-A872-A269A69A089F}"/>
            </a:ext>
            <a:ext uri="{147F2762-F138-4A5C-976F-8EAC2B608ADB}">
              <a16:predDERef xmlns:a16="http://schemas.microsoft.com/office/drawing/2014/main" pred="{99448945-DEB5-4EB0-9042-F846F7912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359833</xdr:colOff>
      <xdr:row>43</xdr:row>
      <xdr:rowOff>144280</xdr:rowOff>
    </xdr:from>
    <xdr:to>
      <xdr:col>9</xdr:col>
      <xdr:colOff>1068916</xdr:colOff>
      <xdr:row>55</xdr:row>
      <xdr:rowOff>125095</xdr:rowOff>
    </xdr:to>
    <xdr:graphicFrame macro="">
      <xdr:nvGraphicFramePr>
        <xdr:cNvPr id="30" name="Gráfico 12">
          <a:extLst>
            <a:ext uri="{FF2B5EF4-FFF2-40B4-BE49-F238E27FC236}">
              <a16:creationId xmlns:a16="http://schemas.microsoft.com/office/drawing/2014/main" id="{A84EC509-D153-4F81-A7FC-6B7823C89049}"/>
            </a:ext>
            <a:ext uri="{147F2762-F138-4A5C-976F-8EAC2B608ADB}">
              <a16:predDERef xmlns:a16="http://schemas.microsoft.com/office/drawing/2014/main" pred="{DBF6BC40-A993-4635-97D9-3E4A1421B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7C9FFF1E-F7F7-437B-A44E-0BEC768359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0334" cy="1114425"/>
        </a:xfrm>
        <a:prstGeom prst="rect">
          <a:avLst/>
        </a:prstGeom>
      </xdr:spPr>
    </xdr:pic>
    <xdr:clientData/>
  </xdr:twoCellAnchor>
  <xdr:twoCellAnchor editAs="oneCell">
    <xdr:from>
      <xdr:col>9</xdr:col>
      <xdr:colOff>217234</xdr:colOff>
      <xdr:row>0</xdr:row>
      <xdr:rowOff>217718</xdr:rowOff>
    </xdr:from>
    <xdr:to>
      <xdr:col>10</xdr:col>
      <xdr:colOff>30462</xdr:colOff>
      <xdr:row>2</xdr:row>
      <xdr:rowOff>297582</xdr:rowOff>
    </xdr:to>
    <xdr:pic>
      <xdr:nvPicPr>
        <xdr:cNvPr id="12"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C91C86D8-08E2-4577-A45D-DBDFF0F8D9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3443377" y="217718"/>
          <a:ext cx="805733" cy="843769"/>
        </a:xfrm>
        <a:prstGeom prst="rect">
          <a:avLst/>
        </a:prstGeom>
      </xdr:spPr>
    </xdr:pic>
    <xdr:clientData/>
  </xdr:twoCellAnchor>
  <xdr:twoCellAnchor editAs="oneCell">
    <xdr:from>
      <xdr:col>8</xdr:col>
      <xdr:colOff>163287</xdr:colOff>
      <xdr:row>0</xdr:row>
      <xdr:rowOff>217718</xdr:rowOff>
    </xdr:from>
    <xdr:to>
      <xdr:col>8</xdr:col>
      <xdr:colOff>1022329</xdr:colOff>
      <xdr:row>2</xdr:row>
      <xdr:rowOff>297582</xdr:rowOff>
    </xdr:to>
    <xdr:pic>
      <xdr:nvPicPr>
        <xdr:cNvPr id="11"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6B8CA1D7-0117-4898-9DC7-28F4351D334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260037" y="217718"/>
          <a:ext cx="857137" cy="843769"/>
        </a:xfrm>
        <a:prstGeom prst="rect">
          <a:avLst/>
        </a:prstGeom>
      </xdr:spPr>
    </xdr:pic>
    <xdr:clientData/>
  </xdr:twoCellAnchor>
  <xdr:twoCellAnchor editAs="oneCell">
    <xdr:from>
      <xdr:col>18</xdr:col>
      <xdr:colOff>177440</xdr:colOff>
      <xdr:row>0</xdr:row>
      <xdr:rowOff>163652</xdr:rowOff>
    </xdr:from>
    <xdr:to>
      <xdr:col>19</xdr:col>
      <xdr:colOff>301065</xdr:colOff>
      <xdr:row>2</xdr:row>
      <xdr:rowOff>318382</xdr:rowOff>
    </xdr:to>
    <xdr:pic>
      <xdr:nvPicPr>
        <xdr:cNvPr id="10" name="Gráfico 4" descr="Libro abierto con relleno sólido">
          <a:hlinkClick xmlns:r="http://schemas.openxmlformats.org/officeDocument/2006/relationships" r:id="rId6"/>
          <a:extLst>
            <a:ext uri="{FF2B5EF4-FFF2-40B4-BE49-F238E27FC236}">
              <a16:creationId xmlns:a16="http://schemas.microsoft.com/office/drawing/2014/main" id="{6C8A593B-4B15-4F8D-9752-03F07837C9D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3731404" y="163652"/>
          <a:ext cx="908485" cy="914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96459026-1538-4C1C-B695-BAFB12B05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0334" cy="1114425"/>
        </a:xfrm>
        <a:prstGeom prst="rect">
          <a:avLst/>
        </a:prstGeom>
      </xdr:spPr>
    </xdr:pic>
    <xdr:clientData/>
  </xdr:twoCellAnchor>
  <xdr:twoCellAnchor>
    <xdr:from>
      <xdr:col>0</xdr:col>
      <xdr:colOff>0</xdr:colOff>
      <xdr:row>0</xdr:row>
      <xdr:rowOff>1</xdr:rowOff>
    </xdr:from>
    <xdr:to>
      <xdr:col>0</xdr:col>
      <xdr:colOff>2136320</xdr:colOff>
      <xdr:row>3</xdr:row>
      <xdr:rowOff>1</xdr:rowOff>
    </xdr:to>
    <xdr:pic>
      <xdr:nvPicPr>
        <xdr:cNvPr id="3" name="Imagen 2">
          <a:extLst>
            <a:ext uri="{FF2B5EF4-FFF2-40B4-BE49-F238E27FC236}">
              <a16:creationId xmlns:a16="http://schemas.microsoft.com/office/drawing/2014/main" id="{03884150-4C68-4618-800D-B8229F2417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136320" cy="1143000"/>
        </a:xfrm>
        <a:prstGeom prst="rect">
          <a:avLst/>
        </a:prstGeom>
      </xdr:spPr>
    </xdr:pic>
    <xdr:clientData/>
  </xdr:twoCellAnchor>
  <xdr:twoCellAnchor editAs="oneCell">
    <xdr:from>
      <xdr:col>7</xdr:col>
      <xdr:colOff>573662</xdr:colOff>
      <xdr:row>0</xdr:row>
      <xdr:rowOff>208188</xdr:rowOff>
    </xdr:from>
    <xdr:to>
      <xdr:col>8</xdr:col>
      <xdr:colOff>630876</xdr:colOff>
      <xdr:row>2</xdr:row>
      <xdr:rowOff>270107</xdr:rowOff>
    </xdr:to>
    <xdr:pic>
      <xdr:nvPicPr>
        <xdr:cNvPr id="4" name="Gráfico 3" descr="Círculo con flecha a la izquierda con relleno sólido">
          <a:hlinkClick xmlns:r="http://schemas.openxmlformats.org/officeDocument/2006/relationships" r:id="rId2"/>
          <a:extLst>
            <a:ext uri="{FF2B5EF4-FFF2-40B4-BE49-F238E27FC236}">
              <a16:creationId xmlns:a16="http://schemas.microsoft.com/office/drawing/2014/main" id="{A0378CE0-319A-44EA-AF96-D9701145DF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2724841" y="208188"/>
          <a:ext cx="824929" cy="823919"/>
        </a:xfrm>
        <a:prstGeom prst="rect">
          <a:avLst/>
        </a:prstGeom>
      </xdr:spPr>
    </xdr:pic>
    <xdr:clientData/>
  </xdr:twoCellAnchor>
  <xdr:twoCellAnchor editAs="oneCell">
    <xdr:from>
      <xdr:col>22</xdr:col>
      <xdr:colOff>707554</xdr:colOff>
      <xdr:row>0</xdr:row>
      <xdr:rowOff>165206</xdr:rowOff>
    </xdr:from>
    <xdr:to>
      <xdr:col>24</xdr:col>
      <xdr:colOff>56044</xdr:colOff>
      <xdr:row>2</xdr:row>
      <xdr:rowOff>320736</xdr:rowOff>
    </xdr:to>
    <xdr:pic>
      <xdr:nvPicPr>
        <xdr:cNvPr id="5" name="Gráfico 5" descr="Libro abierto con relleno sólido">
          <a:hlinkClick xmlns:r="http://schemas.openxmlformats.org/officeDocument/2006/relationships" r:id="rId5"/>
          <a:extLst>
            <a:ext uri="{FF2B5EF4-FFF2-40B4-BE49-F238E27FC236}">
              <a16:creationId xmlns:a16="http://schemas.microsoft.com/office/drawing/2014/main" id="{BC65D8D3-C22F-4A0F-A987-75D2606CA32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4288733" y="165206"/>
          <a:ext cx="914400" cy="908005"/>
        </a:xfrm>
        <a:prstGeom prst="rect">
          <a:avLst/>
        </a:prstGeom>
      </xdr:spPr>
    </xdr:pic>
    <xdr:clientData/>
  </xdr:twoCellAnchor>
  <xdr:twoCellAnchor editAs="oneCell">
    <xdr:from>
      <xdr:col>6</xdr:col>
      <xdr:colOff>421743</xdr:colOff>
      <xdr:row>0</xdr:row>
      <xdr:rowOff>222756</xdr:rowOff>
    </xdr:from>
    <xdr:to>
      <xdr:col>7</xdr:col>
      <xdr:colOff>479453</xdr:colOff>
      <xdr:row>2</xdr:row>
      <xdr:rowOff>284675</xdr:rowOff>
    </xdr:to>
    <xdr:pic>
      <xdr:nvPicPr>
        <xdr:cNvPr id="6" name="Gráfico 6" descr="Círculo con flecha a la izquierda con relleno sólido">
          <a:hlinkClick xmlns:r="http://schemas.openxmlformats.org/officeDocument/2006/relationships" r:id="rId8"/>
          <a:extLst>
            <a:ext uri="{FF2B5EF4-FFF2-40B4-BE49-F238E27FC236}">
              <a16:creationId xmlns:a16="http://schemas.microsoft.com/office/drawing/2014/main" id="{F1DDA586-6BF0-7592-C825-ACFAF0FE182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10922" y="222756"/>
          <a:ext cx="834950" cy="818204"/>
        </a:xfrm>
        <a:prstGeom prst="rect">
          <a:avLst/>
        </a:prstGeom>
      </xdr:spPr>
    </xdr:pic>
    <xdr:clientData/>
  </xdr:twoCellAnchor>
  <xdr:twoCellAnchor editAs="oneCell">
    <xdr:from>
      <xdr:col>26</xdr:col>
      <xdr:colOff>557875</xdr:colOff>
      <xdr:row>0</xdr:row>
      <xdr:rowOff>151598</xdr:rowOff>
    </xdr:from>
    <xdr:to>
      <xdr:col>27</xdr:col>
      <xdr:colOff>702655</xdr:colOff>
      <xdr:row>2</xdr:row>
      <xdr:rowOff>288078</xdr:rowOff>
    </xdr:to>
    <xdr:pic>
      <xdr:nvPicPr>
        <xdr:cNvPr id="8" name="Gráfico 7" descr="Libro abierto con relleno sólido">
          <a:extLst>
            <a:ext uri="{FF2B5EF4-FFF2-40B4-BE49-F238E27FC236}">
              <a16:creationId xmlns:a16="http://schemas.microsoft.com/office/drawing/2014/main" id="{9B2F30DB-F38C-013B-2099-43BA1E409C6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7187054" y="151598"/>
          <a:ext cx="914400" cy="90800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2136320</xdr:colOff>
      <xdr:row>3</xdr:row>
      <xdr:rowOff>1</xdr:rowOff>
    </xdr:to>
    <xdr:pic>
      <xdr:nvPicPr>
        <xdr:cNvPr id="4" name="Imagen 3">
          <a:extLst>
            <a:ext uri="{FF2B5EF4-FFF2-40B4-BE49-F238E27FC236}">
              <a16:creationId xmlns:a16="http://schemas.microsoft.com/office/drawing/2014/main" id="{512AC0E8-C179-976C-916C-63DB58BB5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136320" cy="1143000"/>
        </a:xfrm>
        <a:prstGeom prst="rect">
          <a:avLst/>
        </a:prstGeom>
      </xdr:spPr>
    </xdr:pic>
    <xdr:clientData/>
  </xdr:twoCellAnchor>
  <xdr:twoCellAnchor editAs="oneCell">
    <xdr:from>
      <xdr:col>6</xdr:col>
      <xdr:colOff>2711420</xdr:colOff>
      <xdr:row>0</xdr:row>
      <xdr:rowOff>163285</xdr:rowOff>
    </xdr:from>
    <xdr:to>
      <xdr:col>6</xdr:col>
      <xdr:colOff>3527320</xdr:colOff>
      <xdr:row>2</xdr:row>
      <xdr:rowOff>211869</xdr:rowOff>
    </xdr:to>
    <xdr:pic>
      <xdr:nvPicPr>
        <xdr:cNvPr id="2" name="Gráfico 1" descr="Círculo con flecha a la izquierda con relleno sólido">
          <a:hlinkClick xmlns:r="http://schemas.openxmlformats.org/officeDocument/2006/relationships" r:id="rId2"/>
          <a:extLst>
            <a:ext uri="{FF2B5EF4-FFF2-40B4-BE49-F238E27FC236}">
              <a16:creationId xmlns:a16="http://schemas.microsoft.com/office/drawing/2014/main" id="{3F815CA8-D53E-44EE-87FB-54984BE5E11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3842063" y="163285"/>
          <a:ext cx="821615" cy="820109"/>
        </a:xfrm>
        <a:prstGeom prst="rect">
          <a:avLst/>
        </a:prstGeom>
      </xdr:spPr>
    </xdr:pic>
    <xdr:clientData/>
  </xdr:twoCellAnchor>
  <xdr:twoCellAnchor editAs="oneCell">
    <xdr:from>
      <xdr:col>6</xdr:col>
      <xdr:colOff>1528080</xdr:colOff>
      <xdr:row>0</xdr:row>
      <xdr:rowOff>163285</xdr:rowOff>
    </xdr:from>
    <xdr:to>
      <xdr:col>6</xdr:col>
      <xdr:colOff>2382080</xdr:colOff>
      <xdr:row>2</xdr:row>
      <xdr:rowOff>211869</xdr:rowOff>
    </xdr:to>
    <xdr:pic>
      <xdr:nvPicPr>
        <xdr:cNvPr id="3" name="Gráfico 2" descr="Círculo con flecha a la izquierda con relleno sólido">
          <a:hlinkClick xmlns:r="http://schemas.openxmlformats.org/officeDocument/2006/relationships" r:id="rId5"/>
          <a:extLst>
            <a:ext uri="{FF2B5EF4-FFF2-40B4-BE49-F238E27FC236}">
              <a16:creationId xmlns:a16="http://schemas.microsoft.com/office/drawing/2014/main" id="{9EEAD144-4528-4810-9725-160E159E0D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658723" y="163285"/>
          <a:ext cx="838760" cy="820109"/>
        </a:xfrm>
        <a:prstGeom prst="rect">
          <a:avLst/>
        </a:prstGeom>
      </xdr:spPr>
    </xdr:pic>
    <xdr:clientData/>
  </xdr:twoCellAnchor>
  <xdr:twoCellAnchor editAs="oneCell">
    <xdr:from>
      <xdr:col>11</xdr:col>
      <xdr:colOff>1076970</xdr:colOff>
      <xdr:row>0</xdr:row>
      <xdr:rowOff>149677</xdr:rowOff>
    </xdr:from>
    <xdr:to>
      <xdr:col>12</xdr:col>
      <xdr:colOff>555000</xdr:colOff>
      <xdr:row>2</xdr:row>
      <xdr:rowOff>288062</xdr:rowOff>
    </xdr:to>
    <xdr:pic>
      <xdr:nvPicPr>
        <xdr:cNvPr id="5" name="Gráfico 7" descr="Libro abierto con relleno sólido">
          <a:hlinkClick xmlns:r="http://schemas.openxmlformats.org/officeDocument/2006/relationships" r:id="rId6"/>
          <a:extLst>
            <a:ext uri="{FF2B5EF4-FFF2-40B4-BE49-F238E27FC236}">
              <a16:creationId xmlns:a16="http://schemas.microsoft.com/office/drawing/2014/main" id="{BADE846B-F850-4509-8A58-EC35A1B184C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4290756" y="149677"/>
          <a:ext cx="914400" cy="9041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xdr:row>
      <xdr:rowOff>0</xdr:rowOff>
    </xdr:to>
    <xdr:pic>
      <xdr:nvPicPr>
        <xdr:cNvPr id="2" name="Imagen 1">
          <a:extLst>
            <a:ext uri="{FF2B5EF4-FFF2-40B4-BE49-F238E27FC236}">
              <a16:creationId xmlns:a16="http://schemas.microsoft.com/office/drawing/2014/main" id="{5940BA3E-27F4-4C48-BDCF-73845E3DE9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959429" cy="1102179"/>
        </a:xfrm>
        <a:prstGeom prst="rect">
          <a:avLst/>
        </a:prstGeom>
      </xdr:spPr>
    </xdr:pic>
    <xdr:clientData/>
  </xdr:twoCellAnchor>
  <xdr:twoCellAnchor editAs="oneCell">
    <xdr:from>
      <xdr:col>6</xdr:col>
      <xdr:colOff>1173815</xdr:colOff>
      <xdr:row>0</xdr:row>
      <xdr:rowOff>149680</xdr:rowOff>
    </xdr:from>
    <xdr:to>
      <xdr:col>6</xdr:col>
      <xdr:colOff>1999240</xdr:colOff>
      <xdr:row>2</xdr:row>
      <xdr:rowOff>211599</xdr:rowOff>
    </xdr:to>
    <xdr:pic>
      <xdr:nvPicPr>
        <xdr:cNvPr id="9" name="Gráfico 8" descr="Círculo con flecha a la izquierda con relleno sólido">
          <a:extLst>
            <a:ext uri="{FF2B5EF4-FFF2-40B4-BE49-F238E27FC236}">
              <a16:creationId xmlns:a16="http://schemas.microsoft.com/office/drawing/2014/main" id="{CABF71C1-A02D-4666-88EB-F30EE3A323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11692136" y="149680"/>
          <a:ext cx="829235" cy="820109"/>
        </a:xfrm>
        <a:prstGeom prst="rect">
          <a:avLst/>
        </a:prstGeom>
      </xdr:spPr>
    </xdr:pic>
    <xdr:clientData/>
  </xdr:twoCellAnchor>
  <xdr:twoCellAnchor editAs="oneCell">
    <xdr:from>
      <xdr:col>6</xdr:col>
      <xdr:colOff>0</xdr:colOff>
      <xdr:row>0</xdr:row>
      <xdr:rowOff>149680</xdr:rowOff>
    </xdr:from>
    <xdr:to>
      <xdr:col>6</xdr:col>
      <xdr:colOff>821615</xdr:colOff>
      <xdr:row>2</xdr:row>
      <xdr:rowOff>211599</xdr:rowOff>
    </xdr:to>
    <xdr:pic>
      <xdr:nvPicPr>
        <xdr:cNvPr id="10" name="Gráfico 9" descr="Círculo con flecha a la izquierda con relleno sólido">
          <a:extLst>
            <a:ext uri="{FF2B5EF4-FFF2-40B4-BE49-F238E27FC236}">
              <a16:creationId xmlns:a16="http://schemas.microsoft.com/office/drawing/2014/main" id="{EB74F024-1CCC-4455-9CB1-96F1E7B16A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518321" y="149680"/>
          <a:ext cx="829235" cy="820109"/>
        </a:xfrm>
        <a:prstGeom prst="rect">
          <a:avLst/>
        </a:prstGeom>
      </xdr:spPr>
    </xdr:pic>
    <xdr:clientData/>
  </xdr:twoCellAnchor>
  <xdr:twoCellAnchor editAs="oneCell">
    <xdr:from>
      <xdr:col>10</xdr:col>
      <xdr:colOff>2260795</xdr:colOff>
      <xdr:row>0</xdr:row>
      <xdr:rowOff>81644</xdr:rowOff>
    </xdr:from>
    <xdr:to>
      <xdr:col>11</xdr:col>
      <xdr:colOff>327492</xdr:colOff>
      <xdr:row>2</xdr:row>
      <xdr:rowOff>212409</xdr:rowOff>
    </xdr:to>
    <xdr:pic>
      <xdr:nvPicPr>
        <xdr:cNvPr id="11" name="Gráfico 10" descr="Libro abierto con relleno sólido">
          <a:extLst>
            <a:ext uri="{FF2B5EF4-FFF2-40B4-BE49-F238E27FC236}">
              <a16:creationId xmlns:a16="http://schemas.microsoft.com/office/drawing/2014/main" id="{AD2B6089-DB4A-4B04-A47F-3372A695B3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4195509" y="81644"/>
          <a:ext cx="914400" cy="9041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472108</xdr:rowOff>
    </xdr:to>
    <xdr:pic>
      <xdr:nvPicPr>
        <xdr:cNvPr id="2" name="Imagen 1">
          <a:extLst>
            <a:ext uri="{FF2B5EF4-FFF2-40B4-BE49-F238E27FC236}">
              <a16:creationId xmlns:a16="http://schemas.microsoft.com/office/drawing/2014/main" id="{F9EACE4F-1BD9-4617-9095-CB4A00F6AD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64804" cy="960782"/>
        </a:xfrm>
        <a:prstGeom prst="rect">
          <a:avLst/>
        </a:prstGeom>
      </xdr:spPr>
    </xdr:pic>
    <xdr:clientData/>
  </xdr:twoCellAnchor>
  <xdr:twoCellAnchor>
    <xdr:from>
      <xdr:col>3</xdr:col>
      <xdr:colOff>212272</xdr:colOff>
      <xdr:row>16</xdr:row>
      <xdr:rowOff>152398</xdr:rowOff>
    </xdr:from>
    <xdr:to>
      <xdr:col>7</xdr:col>
      <xdr:colOff>173700</xdr:colOff>
      <xdr:row>31</xdr:row>
      <xdr:rowOff>6170</xdr:rowOff>
    </xdr:to>
    <xdr:graphicFrame macro="">
      <xdr:nvGraphicFramePr>
        <xdr:cNvPr id="4" name="Gráfico 25">
          <a:extLst>
            <a:ext uri="{FF2B5EF4-FFF2-40B4-BE49-F238E27FC236}">
              <a16:creationId xmlns:a16="http://schemas.microsoft.com/office/drawing/2014/main" id="{20B544AB-025C-453E-AE44-8888949CE9CF}"/>
            </a:ext>
            <a:ext uri="{147F2762-F138-4A5C-976F-8EAC2B608ADB}">
              <a16:predDERef xmlns:a16="http://schemas.microsoft.com/office/drawing/2014/main" pred="{F9EACE4F-1BD9-4617-9095-CB4A00F6A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1762020</xdr:colOff>
      <xdr:row>0</xdr:row>
      <xdr:rowOff>79940</xdr:rowOff>
    </xdr:from>
    <xdr:to>
      <xdr:col>12</xdr:col>
      <xdr:colOff>553721</xdr:colOff>
      <xdr:row>2</xdr:row>
      <xdr:rowOff>171386</xdr:rowOff>
    </xdr:to>
    <xdr:pic>
      <xdr:nvPicPr>
        <xdr:cNvPr id="12" name="Gráfico 11" descr="Círculo con flecha a la izquierda con relleno sólido">
          <a:hlinkClick xmlns:r="http://schemas.openxmlformats.org/officeDocument/2006/relationships" r:id="rId3"/>
          <a:extLst>
            <a:ext uri="{FF2B5EF4-FFF2-40B4-BE49-F238E27FC236}">
              <a16:creationId xmlns:a16="http://schemas.microsoft.com/office/drawing/2014/main" id="{B7896461-9247-0C74-74C8-60B447DDB9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2838234" y="79940"/>
          <a:ext cx="834950" cy="837662"/>
        </a:xfrm>
        <a:prstGeom prst="rect">
          <a:avLst/>
        </a:prstGeom>
      </xdr:spPr>
    </xdr:pic>
    <xdr:clientData/>
  </xdr:twoCellAnchor>
  <xdr:twoCellAnchor editAs="oneCell">
    <xdr:from>
      <xdr:col>11</xdr:col>
      <xdr:colOff>703865</xdr:colOff>
      <xdr:row>0</xdr:row>
      <xdr:rowOff>88104</xdr:rowOff>
    </xdr:from>
    <xdr:to>
      <xdr:col>11</xdr:col>
      <xdr:colOff>1544530</xdr:colOff>
      <xdr:row>2</xdr:row>
      <xdr:rowOff>190980</xdr:rowOff>
    </xdr:to>
    <xdr:pic>
      <xdr:nvPicPr>
        <xdr:cNvPr id="13" name="Gráfico 12" descr="Círculo con flecha a la izquierda con relleno sólido">
          <a:hlinkClick xmlns:r="http://schemas.openxmlformats.org/officeDocument/2006/relationships" r:id="rId6"/>
          <a:extLst>
            <a:ext uri="{FF2B5EF4-FFF2-40B4-BE49-F238E27FC236}">
              <a16:creationId xmlns:a16="http://schemas.microsoft.com/office/drawing/2014/main" id="{96279CE9-3880-4E01-850A-A68CC065DE6C}"/>
            </a:ext>
            <a:ext uri="{147F2762-F138-4A5C-976F-8EAC2B608ADB}">
              <a16:predDERef xmlns:a16="http://schemas.microsoft.com/office/drawing/2014/main" pred="{B7896461-9247-0C74-74C8-60B447DDB9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0695590" y="88104"/>
          <a:ext cx="829235" cy="826776"/>
        </a:xfrm>
        <a:prstGeom prst="rect">
          <a:avLst/>
        </a:prstGeom>
      </xdr:spPr>
    </xdr:pic>
    <xdr:clientData/>
  </xdr:twoCellAnchor>
  <xdr:twoCellAnchor editAs="oneCell">
    <xdr:from>
      <xdr:col>24</xdr:col>
      <xdr:colOff>553390</xdr:colOff>
      <xdr:row>0</xdr:row>
      <xdr:rowOff>72039</xdr:rowOff>
    </xdr:from>
    <xdr:to>
      <xdr:col>25</xdr:col>
      <xdr:colOff>682930</xdr:colOff>
      <xdr:row>2</xdr:row>
      <xdr:rowOff>247027</xdr:rowOff>
    </xdr:to>
    <xdr:pic>
      <xdr:nvPicPr>
        <xdr:cNvPr id="8" name="Gráfico 28" descr="Libro abierto con relleno sólido">
          <a:hlinkClick xmlns:r="http://schemas.openxmlformats.org/officeDocument/2006/relationships" r:id="rId7"/>
          <a:extLst>
            <a:ext uri="{FF2B5EF4-FFF2-40B4-BE49-F238E27FC236}">
              <a16:creationId xmlns:a16="http://schemas.microsoft.com/office/drawing/2014/main" id="{AD7CEA02-2B48-8D60-71D8-EF42BACEF2B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4352283" y="72039"/>
          <a:ext cx="914400" cy="900793"/>
        </a:xfrm>
        <a:prstGeom prst="rect">
          <a:avLst/>
        </a:prstGeom>
      </xdr:spPr>
    </xdr:pic>
    <xdr:clientData/>
  </xdr:twoCellAnchor>
  <xdr:twoCellAnchor>
    <xdr:from>
      <xdr:col>3</xdr:col>
      <xdr:colOff>125015</xdr:colOff>
      <xdr:row>50</xdr:row>
      <xdr:rowOff>116681</xdr:rowOff>
    </xdr:from>
    <xdr:to>
      <xdr:col>7</xdr:col>
      <xdr:colOff>327422</xdr:colOff>
      <xdr:row>64</xdr:row>
      <xdr:rowOff>26193</xdr:rowOff>
    </xdr:to>
    <xdr:graphicFrame macro="">
      <xdr:nvGraphicFramePr>
        <xdr:cNvPr id="40" name="Gráfico 31">
          <a:extLst>
            <a:ext uri="{FF2B5EF4-FFF2-40B4-BE49-F238E27FC236}">
              <a16:creationId xmlns:a16="http://schemas.microsoft.com/office/drawing/2014/main" id="{F18CB815-752C-2BFE-FF8C-683817983923}"/>
            </a:ext>
            <a:ext uri="{147F2762-F138-4A5C-976F-8EAC2B608ADB}">
              <a16:predDERef xmlns:a16="http://schemas.microsoft.com/office/drawing/2014/main" pred="{AD7CEA02-2B48-8D60-71D8-EF42BACEF2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672352</xdr:colOff>
      <xdr:row>50</xdr:row>
      <xdr:rowOff>112059</xdr:rowOff>
    </xdr:from>
    <xdr:to>
      <xdr:col>13</xdr:col>
      <xdr:colOff>44822</xdr:colOff>
      <xdr:row>63</xdr:row>
      <xdr:rowOff>179295</xdr:rowOff>
    </xdr:to>
    <xdr:graphicFrame macro="">
      <xdr:nvGraphicFramePr>
        <xdr:cNvPr id="57" name="Gráfico 32">
          <a:extLst>
            <a:ext uri="{FF2B5EF4-FFF2-40B4-BE49-F238E27FC236}">
              <a16:creationId xmlns:a16="http://schemas.microsoft.com/office/drawing/2014/main" id="{0BED8880-7D8E-4054-B1A0-A8DDBBC7D2C1}"/>
            </a:ext>
            <a:ext uri="{147F2762-F138-4A5C-976F-8EAC2B608ADB}">
              <a16:predDERef xmlns:a16="http://schemas.microsoft.com/office/drawing/2014/main" pred="{F18CB815-752C-2BFE-FF8C-683817983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595312</xdr:colOff>
      <xdr:row>51</xdr:row>
      <xdr:rowOff>23812</xdr:rowOff>
    </xdr:from>
    <xdr:to>
      <xdr:col>20</xdr:col>
      <xdr:colOff>595312</xdr:colOff>
      <xdr:row>64</xdr:row>
      <xdr:rowOff>135730</xdr:rowOff>
    </xdr:to>
    <xdr:graphicFrame macro="">
      <xdr:nvGraphicFramePr>
        <xdr:cNvPr id="112" name="Gráfico 33">
          <a:extLst>
            <a:ext uri="{FF2B5EF4-FFF2-40B4-BE49-F238E27FC236}">
              <a16:creationId xmlns:a16="http://schemas.microsoft.com/office/drawing/2014/main" id="{F45742D7-C653-4D33-A08A-08A24D9A8B8D}"/>
            </a:ext>
            <a:ext uri="{147F2762-F138-4A5C-976F-8EAC2B608ADB}">
              <a16:predDERef xmlns:a16="http://schemas.microsoft.com/office/drawing/2014/main" pred="{0BED8880-7D8E-4054-B1A0-A8DDBBC7D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83344</xdr:colOff>
      <xdr:row>66</xdr:row>
      <xdr:rowOff>95250</xdr:rowOff>
    </xdr:from>
    <xdr:to>
      <xdr:col>18</xdr:col>
      <xdr:colOff>83344</xdr:colOff>
      <xdr:row>80</xdr:row>
      <xdr:rowOff>4762</xdr:rowOff>
    </xdr:to>
    <xdr:graphicFrame macro="">
      <xdr:nvGraphicFramePr>
        <xdr:cNvPr id="110" name="Gráfico 34">
          <a:extLst>
            <a:ext uri="{FF2B5EF4-FFF2-40B4-BE49-F238E27FC236}">
              <a16:creationId xmlns:a16="http://schemas.microsoft.com/office/drawing/2014/main" id="{9C13AAE1-BA2E-4DD9-94A1-822B52F6AE22}"/>
            </a:ext>
            <a:ext uri="{147F2762-F138-4A5C-976F-8EAC2B608ADB}">
              <a16:predDERef xmlns:a16="http://schemas.microsoft.com/office/drawing/2014/main" pred="{F45742D7-C653-4D33-A08A-08A24D9A8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619125</xdr:colOff>
      <xdr:row>66</xdr:row>
      <xdr:rowOff>47625</xdr:rowOff>
    </xdr:from>
    <xdr:to>
      <xdr:col>10</xdr:col>
      <xdr:colOff>190500</xdr:colOff>
      <xdr:row>79</xdr:row>
      <xdr:rowOff>159544</xdr:rowOff>
    </xdr:to>
    <xdr:graphicFrame macro="">
      <xdr:nvGraphicFramePr>
        <xdr:cNvPr id="91" name="Gráfico 35">
          <a:extLst>
            <a:ext uri="{FF2B5EF4-FFF2-40B4-BE49-F238E27FC236}">
              <a16:creationId xmlns:a16="http://schemas.microsoft.com/office/drawing/2014/main" id="{CAE2EF83-9A2E-44C3-89C2-5FC583779C49}"/>
            </a:ext>
            <a:ext uri="{147F2762-F138-4A5C-976F-8EAC2B608ADB}">
              <a16:predDERef xmlns:a16="http://schemas.microsoft.com/office/drawing/2014/main" pred="{9C13AAE1-BA2E-4DD9-94A1-822B52F6A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581025</xdr:colOff>
      <xdr:row>17</xdr:row>
      <xdr:rowOff>9525</xdr:rowOff>
    </xdr:from>
    <xdr:to>
      <xdr:col>12</xdr:col>
      <xdr:colOff>485303</xdr:colOff>
      <xdr:row>31</xdr:row>
      <xdr:rowOff>44272</xdr:rowOff>
    </xdr:to>
    <xdr:graphicFrame macro="">
      <xdr:nvGraphicFramePr>
        <xdr:cNvPr id="15" name="Gráfico 2">
          <a:extLst>
            <a:ext uri="{FF2B5EF4-FFF2-40B4-BE49-F238E27FC236}">
              <a16:creationId xmlns:a16="http://schemas.microsoft.com/office/drawing/2014/main" id="{80FAFEE7-0A1E-4444-92A5-ADACB3E341AD}"/>
            </a:ext>
            <a:ext uri="{147F2762-F138-4A5C-976F-8EAC2B608ADB}">
              <a16:predDERef xmlns:a16="http://schemas.microsoft.com/office/drawing/2014/main" pred="{CAE2EF83-9A2E-44C3-89C2-5FC583779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476250</xdr:colOff>
      <xdr:row>17</xdr:row>
      <xdr:rowOff>47625</xdr:rowOff>
    </xdr:from>
    <xdr:to>
      <xdr:col>19</xdr:col>
      <xdr:colOff>237653</xdr:colOff>
      <xdr:row>31</xdr:row>
      <xdr:rowOff>82372</xdr:rowOff>
    </xdr:to>
    <xdr:graphicFrame macro="">
      <xdr:nvGraphicFramePr>
        <xdr:cNvPr id="20" name="Gráfico 3">
          <a:extLst>
            <a:ext uri="{FF2B5EF4-FFF2-40B4-BE49-F238E27FC236}">
              <a16:creationId xmlns:a16="http://schemas.microsoft.com/office/drawing/2014/main" id="{405A3E97-91D4-4EBA-82B7-57DD83C15125}"/>
            </a:ext>
            <a:ext uri="{147F2762-F138-4A5C-976F-8EAC2B608ADB}">
              <a16:predDERef xmlns:a16="http://schemas.microsoft.com/office/drawing/2014/main" pred="{80FAFEE7-0A1E-4444-92A5-ADACB3E34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57150</xdr:colOff>
      <xdr:row>32</xdr:row>
      <xdr:rowOff>123825</xdr:rowOff>
    </xdr:from>
    <xdr:to>
      <xdr:col>10</xdr:col>
      <xdr:colOff>237653</xdr:colOff>
      <xdr:row>46</xdr:row>
      <xdr:rowOff>120472</xdr:rowOff>
    </xdr:to>
    <xdr:graphicFrame macro="">
      <xdr:nvGraphicFramePr>
        <xdr:cNvPr id="6" name="Gráfico 6">
          <a:extLst>
            <a:ext uri="{FF2B5EF4-FFF2-40B4-BE49-F238E27FC236}">
              <a16:creationId xmlns:a16="http://schemas.microsoft.com/office/drawing/2014/main" id="{6F783EE8-71AF-4E51-B8A5-9224775AB651}"/>
            </a:ext>
            <a:ext uri="{147F2762-F138-4A5C-976F-8EAC2B608ADB}">
              <a16:predDERef xmlns:a16="http://schemas.microsoft.com/office/drawing/2014/main" pred="{405A3E97-91D4-4EBA-82B7-57DD83C15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1533525</xdr:colOff>
      <xdr:row>33</xdr:row>
      <xdr:rowOff>9525</xdr:rowOff>
    </xdr:from>
    <xdr:to>
      <xdr:col>16</xdr:col>
      <xdr:colOff>761528</xdr:colOff>
      <xdr:row>47</xdr:row>
      <xdr:rowOff>6172</xdr:rowOff>
    </xdr:to>
    <xdr:graphicFrame macro="">
      <xdr:nvGraphicFramePr>
        <xdr:cNvPr id="23" name="Gráfico 7">
          <a:extLst>
            <a:ext uri="{FF2B5EF4-FFF2-40B4-BE49-F238E27FC236}">
              <a16:creationId xmlns:a16="http://schemas.microsoft.com/office/drawing/2014/main" id="{FB4DE9ED-0725-4789-B73A-3D6A0FC88FAA}"/>
            </a:ext>
            <a:ext uri="{147F2762-F138-4A5C-976F-8EAC2B608ADB}">
              <a16:predDERef xmlns:a16="http://schemas.microsoft.com/office/drawing/2014/main" pred="{6F783EE8-71AF-4E51-B8A5-9224775AB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A7CDACEE-B22D-4955-BB62-AA8180AA53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0334" cy="1114425"/>
        </a:xfrm>
        <a:prstGeom prst="rect">
          <a:avLst/>
        </a:prstGeom>
      </xdr:spPr>
    </xdr:pic>
    <xdr:clientData/>
  </xdr:twoCellAnchor>
  <xdr:twoCellAnchor editAs="oneCell">
    <xdr:from>
      <xdr:col>13</xdr:col>
      <xdr:colOff>402663</xdr:colOff>
      <xdr:row>0</xdr:row>
      <xdr:rowOff>107154</xdr:rowOff>
    </xdr:from>
    <xdr:to>
      <xdr:col>14</xdr:col>
      <xdr:colOff>364911</xdr:colOff>
      <xdr:row>2</xdr:row>
      <xdr:rowOff>170025</xdr:rowOff>
    </xdr:to>
    <xdr:pic>
      <xdr:nvPicPr>
        <xdr:cNvPr id="3"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17E0D493-A105-478D-B248-2F4C51317C6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1465270" y="107154"/>
          <a:ext cx="829235" cy="828681"/>
        </a:xfrm>
        <a:prstGeom prst="rect">
          <a:avLst/>
        </a:prstGeom>
      </xdr:spPr>
    </xdr:pic>
    <xdr:clientData/>
  </xdr:twoCellAnchor>
  <xdr:twoCellAnchor editAs="oneCell">
    <xdr:from>
      <xdr:col>12</xdr:col>
      <xdr:colOff>152773</xdr:colOff>
      <xdr:row>0</xdr:row>
      <xdr:rowOff>107154</xdr:rowOff>
    </xdr:from>
    <xdr:to>
      <xdr:col>13</xdr:col>
      <xdr:colOff>21889</xdr:colOff>
      <xdr:row>2</xdr:row>
      <xdr:rowOff>170025</xdr:rowOff>
    </xdr:to>
    <xdr:pic>
      <xdr:nvPicPr>
        <xdr:cNvPr id="4"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3E7B9856-A7D1-4B7B-85C3-346696D3B4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3380" y="107154"/>
          <a:ext cx="833045" cy="828681"/>
        </a:xfrm>
        <a:prstGeom prst="rect">
          <a:avLst/>
        </a:prstGeom>
      </xdr:spPr>
    </xdr:pic>
    <xdr:clientData/>
  </xdr:twoCellAnchor>
  <xdr:twoCellAnchor editAs="oneCell">
    <xdr:from>
      <xdr:col>25</xdr:col>
      <xdr:colOff>475605</xdr:colOff>
      <xdr:row>0</xdr:row>
      <xdr:rowOff>136728</xdr:rowOff>
    </xdr:from>
    <xdr:to>
      <xdr:col>26</xdr:col>
      <xdr:colOff>418453</xdr:colOff>
      <xdr:row>2</xdr:row>
      <xdr:rowOff>268445</xdr:rowOff>
    </xdr:to>
    <xdr:pic>
      <xdr:nvPicPr>
        <xdr:cNvPr id="22" name="Gráfico 4" descr="Libro abierto con relleno sólido">
          <a:extLst>
            <a:ext uri="{FF2B5EF4-FFF2-40B4-BE49-F238E27FC236}">
              <a16:creationId xmlns:a16="http://schemas.microsoft.com/office/drawing/2014/main" id="{2D14F4CF-3D4E-4A70-8ABB-1D56F4B3277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4424176" y="136728"/>
          <a:ext cx="920113" cy="897527"/>
        </a:xfrm>
        <a:prstGeom prst="rect">
          <a:avLst/>
        </a:prstGeom>
      </xdr:spPr>
    </xdr:pic>
    <xdr:clientData/>
  </xdr:twoCellAnchor>
  <xdr:twoCellAnchor>
    <xdr:from>
      <xdr:col>2</xdr:col>
      <xdr:colOff>130811</xdr:colOff>
      <xdr:row>16</xdr:row>
      <xdr:rowOff>37466</xdr:rowOff>
    </xdr:from>
    <xdr:to>
      <xdr:col>6</xdr:col>
      <xdr:colOff>706120</xdr:colOff>
      <xdr:row>35</xdr:row>
      <xdr:rowOff>178859</xdr:rowOff>
    </xdr:to>
    <xdr:graphicFrame macro="">
      <xdr:nvGraphicFramePr>
        <xdr:cNvPr id="6" name="Gráfico 5">
          <a:extLst>
            <a:ext uri="{FF2B5EF4-FFF2-40B4-BE49-F238E27FC236}">
              <a16:creationId xmlns:a16="http://schemas.microsoft.com/office/drawing/2014/main" id="{0BD27FFF-F4F4-0824-B704-C97E84576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163618</xdr:colOff>
      <xdr:row>16</xdr:row>
      <xdr:rowOff>39372</xdr:rowOff>
    </xdr:from>
    <xdr:to>
      <xdr:col>11</xdr:col>
      <xdr:colOff>847724</xdr:colOff>
      <xdr:row>35</xdr:row>
      <xdr:rowOff>167430</xdr:rowOff>
    </xdr:to>
    <xdr:graphicFrame macro="">
      <xdr:nvGraphicFramePr>
        <xdr:cNvPr id="7" name="Gráfico 6">
          <a:extLst>
            <a:ext uri="{FF2B5EF4-FFF2-40B4-BE49-F238E27FC236}">
              <a16:creationId xmlns:a16="http://schemas.microsoft.com/office/drawing/2014/main" id="{474257B9-E028-4D16-B824-7EE766C1F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148168</xdr:colOff>
      <xdr:row>16</xdr:row>
      <xdr:rowOff>64347</xdr:rowOff>
    </xdr:from>
    <xdr:to>
      <xdr:col>16</xdr:col>
      <xdr:colOff>867833</xdr:colOff>
      <xdr:row>36</xdr:row>
      <xdr:rowOff>4869</xdr:rowOff>
    </xdr:to>
    <xdr:graphicFrame macro="">
      <xdr:nvGraphicFramePr>
        <xdr:cNvPr id="8" name="Gráfico 7">
          <a:extLst>
            <a:ext uri="{FF2B5EF4-FFF2-40B4-BE49-F238E27FC236}">
              <a16:creationId xmlns:a16="http://schemas.microsoft.com/office/drawing/2014/main" id="{0341E475-7F0B-4973-B9F9-A4E1DD406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207858</xdr:colOff>
      <xdr:row>16</xdr:row>
      <xdr:rowOff>59689</xdr:rowOff>
    </xdr:from>
    <xdr:to>
      <xdr:col>21</xdr:col>
      <xdr:colOff>735119</xdr:colOff>
      <xdr:row>36</xdr:row>
      <xdr:rowOff>21166</xdr:rowOff>
    </xdr:to>
    <xdr:graphicFrame macro="">
      <xdr:nvGraphicFramePr>
        <xdr:cNvPr id="9" name="Gráfico 8">
          <a:extLst>
            <a:ext uri="{FF2B5EF4-FFF2-40B4-BE49-F238E27FC236}">
              <a16:creationId xmlns:a16="http://schemas.microsoft.com/office/drawing/2014/main" id="{836C440E-B50F-4D5E-ADB6-FBC8645E3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296334</xdr:colOff>
      <xdr:row>16</xdr:row>
      <xdr:rowOff>21167</xdr:rowOff>
    </xdr:from>
    <xdr:to>
      <xdr:col>26</xdr:col>
      <xdr:colOff>654261</xdr:colOff>
      <xdr:row>35</xdr:row>
      <xdr:rowOff>160655</xdr:rowOff>
    </xdr:to>
    <xdr:graphicFrame macro="">
      <xdr:nvGraphicFramePr>
        <xdr:cNvPr id="10" name="Gráfico 9">
          <a:extLst>
            <a:ext uri="{FF2B5EF4-FFF2-40B4-BE49-F238E27FC236}">
              <a16:creationId xmlns:a16="http://schemas.microsoft.com/office/drawing/2014/main" id="{2DBAE96A-EA6F-459A-89F8-4BAEBC6F2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105833</xdr:colOff>
      <xdr:row>41</xdr:row>
      <xdr:rowOff>169334</xdr:rowOff>
    </xdr:from>
    <xdr:to>
      <xdr:col>6</xdr:col>
      <xdr:colOff>671617</xdr:colOff>
      <xdr:row>61</xdr:row>
      <xdr:rowOff>128906</xdr:rowOff>
    </xdr:to>
    <xdr:graphicFrame macro="">
      <xdr:nvGraphicFramePr>
        <xdr:cNvPr id="11" name="Gráfico 10">
          <a:extLst>
            <a:ext uri="{FF2B5EF4-FFF2-40B4-BE49-F238E27FC236}">
              <a16:creationId xmlns:a16="http://schemas.microsoft.com/office/drawing/2014/main" id="{721E711D-A8C2-4191-8499-B6285C47A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133108</xdr:colOff>
      <xdr:row>68</xdr:row>
      <xdr:rowOff>122071</xdr:rowOff>
    </xdr:from>
    <xdr:to>
      <xdr:col>6</xdr:col>
      <xdr:colOff>695082</xdr:colOff>
      <xdr:row>87</xdr:row>
      <xdr:rowOff>107798</xdr:rowOff>
    </xdr:to>
    <xdr:graphicFrame macro="">
      <xdr:nvGraphicFramePr>
        <xdr:cNvPr id="12" name="Gráfico 11">
          <a:extLst>
            <a:ext uri="{FF2B5EF4-FFF2-40B4-BE49-F238E27FC236}">
              <a16:creationId xmlns:a16="http://schemas.microsoft.com/office/drawing/2014/main" id="{DD7D73CA-C034-409E-88FA-34C69F2A15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137583</xdr:colOff>
      <xdr:row>41</xdr:row>
      <xdr:rowOff>158750</xdr:rowOff>
    </xdr:from>
    <xdr:to>
      <xdr:col>11</xdr:col>
      <xdr:colOff>862117</xdr:colOff>
      <xdr:row>61</xdr:row>
      <xdr:rowOff>114512</xdr:rowOff>
    </xdr:to>
    <xdr:graphicFrame macro="">
      <xdr:nvGraphicFramePr>
        <xdr:cNvPr id="13" name="Gráfico 12">
          <a:extLst>
            <a:ext uri="{FF2B5EF4-FFF2-40B4-BE49-F238E27FC236}">
              <a16:creationId xmlns:a16="http://schemas.microsoft.com/office/drawing/2014/main" id="{ED07D4E6-3F53-4321-8E76-5EE2054E6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158750</xdr:colOff>
      <xdr:row>41</xdr:row>
      <xdr:rowOff>137582</xdr:rowOff>
    </xdr:from>
    <xdr:to>
      <xdr:col>16</xdr:col>
      <xdr:colOff>938106</xdr:colOff>
      <xdr:row>61</xdr:row>
      <xdr:rowOff>93344</xdr:rowOff>
    </xdr:to>
    <xdr:graphicFrame macro="">
      <xdr:nvGraphicFramePr>
        <xdr:cNvPr id="14" name="Gráfico 13">
          <a:extLst>
            <a:ext uri="{FF2B5EF4-FFF2-40B4-BE49-F238E27FC236}">
              <a16:creationId xmlns:a16="http://schemas.microsoft.com/office/drawing/2014/main" id="{48446F7B-4E46-4930-9850-88D2F387A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222251</xdr:colOff>
      <xdr:row>41</xdr:row>
      <xdr:rowOff>127000</xdr:rowOff>
    </xdr:from>
    <xdr:to>
      <xdr:col>21</xdr:col>
      <xdr:colOff>747607</xdr:colOff>
      <xdr:row>61</xdr:row>
      <xdr:rowOff>82762</xdr:rowOff>
    </xdr:to>
    <xdr:graphicFrame macro="">
      <xdr:nvGraphicFramePr>
        <xdr:cNvPr id="15" name="Gráfico 14">
          <a:extLst>
            <a:ext uri="{FF2B5EF4-FFF2-40B4-BE49-F238E27FC236}">
              <a16:creationId xmlns:a16="http://schemas.microsoft.com/office/drawing/2014/main" id="{ADC8FCFF-B15C-4B31-BE14-F7DF02DFC2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306917</xdr:colOff>
      <xdr:row>41</xdr:row>
      <xdr:rowOff>105833</xdr:rowOff>
    </xdr:from>
    <xdr:to>
      <xdr:col>26</xdr:col>
      <xdr:colOff>661034</xdr:colOff>
      <xdr:row>61</xdr:row>
      <xdr:rowOff>61595</xdr:rowOff>
    </xdr:to>
    <xdr:graphicFrame macro="">
      <xdr:nvGraphicFramePr>
        <xdr:cNvPr id="16" name="Gráfico 15">
          <a:extLst>
            <a:ext uri="{FF2B5EF4-FFF2-40B4-BE49-F238E27FC236}">
              <a16:creationId xmlns:a16="http://schemas.microsoft.com/office/drawing/2014/main" id="{9205F710-CD01-46CC-93C4-53670AF69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122464</xdr:colOff>
      <xdr:row>68</xdr:row>
      <xdr:rowOff>108857</xdr:rowOff>
    </xdr:from>
    <xdr:to>
      <xdr:col>11</xdr:col>
      <xdr:colOff>828401</xdr:colOff>
      <xdr:row>87</xdr:row>
      <xdr:rowOff>92679</xdr:rowOff>
    </xdr:to>
    <xdr:graphicFrame macro="">
      <xdr:nvGraphicFramePr>
        <xdr:cNvPr id="17" name="Gráfico 16">
          <a:extLst>
            <a:ext uri="{FF2B5EF4-FFF2-40B4-BE49-F238E27FC236}">
              <a16:creationId xmlns:a16="http://schemas.microsoft.com/office/drawing/2014/main" id="{C1525327-66E6-488B-AFA4-BC179BF2D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95250</xdr:colOff>
      <xdr:row>68</xdr:row>
      <xdr:rowOff>122465</xdr:rowOff>
    </xdr:from>
    <xdr:to>
      <xdr:col>16</xdr:col>
      <xdr:colOff>859426</xdr:colOff>
      <xdr:row>87</xdr:row>
      <xdr:rowOff>106287</xdr:rowOff>
    </xdr:to>
    <xdr:graphicFrame macro="">
      <xdr:nvGraphicFramePr>
        <xdr:cNvPr id="18" name="Gráfico 17">
          <a:extLst>
            <a:ext uri="{FF2B5EF4-FFF2-40B4-BE49-F238E27FC236}">
              <a16:creationId xmlns:a16="http://schemas.microsoft.com/office/drawing/2014/main" id="{D24DA8DA-F851-46BE-8ABF-46642BAEB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217714</xdr:colOff>
      <xdr:row>68</xdr:row>
      <xdr:rowOff>122465</xdr:rowOff>
    </xdr:from>
    <xdr:to>
      <xdr:col>21</xdr:col>
      <xdr:colOff>709747</xdr:colOff>
      <xdr:row>87</xdr:row>
      <xdr:rowOff>106287</xdr:rowOff>
    </xdr:to>
    <xdr:graphicFrame macro="">
      <xdr:nvGraphicFramePr>
        <xdr:cNvPr id="19" name="Gráfico 18">
          <a:extLst>
            <a:ext uri="{FF2B5EF4-FFF2-40B4-BE49-F238E27FC236}">
              <a16:creationId xmlns:a16="http://schemas.microsoft.com/office/drawing/2014/main" id="{3D1586E6-CFF8-48AE-97F6-BE46D26E0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367393</xdr:colOff>
      <xdr:row>68</xdr:row>
      <xdr:rowOff>122464</xdr:rowOff>
    </xdr:from>
    <xdr:to>
      <xdr:col>26</xdr:col>
      <xdr:colOff>692331</xdr:colOff>
      <xdr:row>87</xdr:row>
      <xdr:rowOff>108191</xdr:rowOff>
    </xdr:to>
    <xdr:graphicFrame macro="">
      <xdr:nvGraphicFramePr>
        <xdr:cNvPr id="20" name="Gráfico 19">
          <a:extLst>
            <a:ext uri="{FF2B5EF4-FFF2-40B4-BE49-F238E27FC236}">
              <a16:creationId xmlns:a16="http://schemas.microsoft.com/office/drawing/2014/main" id="{E11F1D73-4895-49C2-A907-A3BF7A8C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495300</xdr:colOff>
      <xdr:row>112</xdr:row>
      <xdr:rowOff>102870</xdr:rowOff>
    </xdr:from>
    <xdr:to>
      <xdr:col>7</xdr:col>
      <xdr:colOff>495300</xdr:colOff>
      <xdr:row>143</xdr:row>
      <xdr:rowOff>2382</xdr:rowOff>
    </xdr:to>
    <xdr:cxnSp macro="">
      <xdr:nvCxnSpPr>
        <xdr:cNvPr id="3" name="Conector recto 2">
          <a:extLst>
            <a:ext uri="{FF2B5EF4-FFF2-40B4-BE49-F238E27FC236}">
              <a16:creationId xmlns:a16="http://schemas.microsoft.com/office/drawing/2014/main" id="{93350AB8-7397-48AA-A3AA-7A8A48596076}"/>
            </a:ext>
          </a:extLst>
        </xdr:cNvPr>
        <xdr:cNvCxnSpPr/>
      </xdr:nvCxnSpPr>
      <xdr:spPr>
        <a:xfrm>
          <a:off x="9698831" y="25963245"/>
          <a:ext cx="0" cy="6817043"/>
        </a:xfrm>
        <a:prstGeom prst="line">
          <a:avLst/>
        </a:prstGeom>
        <a:ln w="38100">
          <a:solidFill>
            <a:srgbClr val="B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19050</xdr:colOff>
      <xdr:row>19</xdr:row>
      <xdr:rowOff>152400</xdr:rowOff>
    </xdr:from>
    <xdr:to>
      <xdr:col>10</xdr:col>
      <xdr:colOff>28575</xdr:colOff>
      <xdr:row>98</xdr:row>
      <xdr:rowOff>85725</xdr:rowOff>
    </xdr:to>
    <xdr:cxnSp macro="">
      <xdr:nvCxnSpPr>
        <xdr:cNvPr id="4" name="Conector recto 3">
          <a:extLst>
            <a:ext uri="{FF2B5EF4-FFF2-40B4-BE49-F238E27FC236}">
              <a16:creationId xmlns:a16="http://schemas.microsoft.com/office/drawing/2014/main" id="{628BCAB9-3DE1-4788-B370-86BCECF43321}"/>
            </a:ext>
          </a:extLst>
        </xdr:cNvPr>
        <xdr:cNvCxnSpPr/>
      </xdr:nvCxnSpPr>
      <xdr:spPr>
        <a:xfrm>
          <a:off x="9458325" y="3114675"/>
          <a:ext cx="9525" cy="7362825"/>
        </a:xfrm>
        <a:prstGeom prst="line">
          <a:avLst/>
        </a:prstGeom>
        <a:ln w="38100">
          <a:solidFill>
            <a:srgbClr val="B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0</xdr:colOff>
      <xdr:row>0</xdr:row>
      <xdr:rowOff>1</xdr:rowOff>
    </xdr:from>
    <xdr:to>
      <xdr:col>0</xdr:col>
      <xdr:colOff>1920334</xdr:colOff>
      <xdr:row>2</xdr:row>
      <xdr:rowOff>352426</xdr:rowOff>
    </xdr:to>
    <xdr:pic>
      <xdr:nvPicPr>
        <xdr:cNvPr id="8" name="Imagen 7">
          <a:extLst>
            <a:ext uri="{FF2B5EF4-FFF2-40B4-BE49-F238E27FC236}">
              <a16:creationId xmlns:a16="http://schemas.microsoft.com/office/drawing/2014/main" id="{3926478A-0088-4F18-B8D6-22B33349D0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0334" cy="990600"/>
        </a:xfrm>
        <a:prstGeom prst="rect">
          <a:avLst/>
        </a:prstGeom>
      </xdr:spPr>
    </xdr:pic>
    <xdr:clientData/>
  </xdr:twoCellAnchor>
  <xdr:twoCellAnchor editAs="oneCell">
    <xdr:from>
      <xdr:col>9</xdr:col>
      <xdr:colOff>1191027</xdr:colOff>
      <xdr:row>0</xdr:row>
      <xdr:rowOff>236767</xdr:rowOff>
    </xdr:from>
    <xdr:to>
      <xdr:col>10</xdr:col>
      <xdr:colOff>703686</xdr:colOff>
      <xdr:row>2</xdr:row>
      <xdr:rowOff>324251</xdr:rowOff>
    </xdr:to>
    <xdr:pic>
      <xdr:nvPicPr>
        <xdr:cNvPr id="14" name="Gráfico 8" descr="Círculo con flecha a la izquierda con relleno sólido">
          <a:hlinkClick xmlns:r="http://schemas.openxmlformats.org/officeDocument/2006/relationships" r:id="rId2"/>
          <a:extLst>
            <a:ext uri="{FF2B5EF4-FFF2-40B4-BE49-F238E27FC236}">
              <a16:creationId xmlns:a16="http://schemas.microsoft.com/office/drawing/2014/main" id="{0BB97A3C-D75C-40F1-8138-FE5626521C1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3002027" y="236767"/>
          <a:ext cx="834729" cy="832339"/>
        </a:xfrm>
        <a:prstGeom prst="rect">
          <a:avLst/>
        </a:prstGeom>
      </xdr:spPr>
    </xdr:pic>
    <xdr:clientData/>
  </xdr:twoCellAnchor>
  <xdr:twoCellAnchor editAs="oneCell">
    <xdr:from>
      <xdr:col>9</xdr:col>
      <xdr:colOff>241648</xdr:colOff>
      <xdr:row>0</xdr:row>
      <xdr:rowOff>236767</xdr:rowOff>
    </xdr:from>
    <xdr:to>
      <xdr:col>9</xdr:col>
      <xdr:colOff>1048919</xdr:colOff>
      <xdr:row>2</xdr:row>
      <xdr:rowOff>324251</xdr:rowOff>
    </xdr:to>
    <xdr:pic>
      <xdr:nvPicPr>
        <xdr:cNvPr id="13" name="Gráfico 9" descr="Círculo con flecha a la izquierda con relleno sólido">
          <a:hlinkClick xmlns:r="http://schemas.openxmlformats.org/officeDocument/2006/relationships" r:id="rId5"/>
          <a:extLst>
            <a:ext uri="{FF2B5EF4-FFF2-40B4-BE49-F238E27FC236}">
              <a16:creationId xmlns:a16="http://schemas.microsoft.com/office/drawing/2014/main" id="{E6F6CE4B-D231-43B2-880D-99A73DC2C1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052648" y="236767"/>
          <a:ext cx="792031" cy="832339"/>
        </a:xfrm>
        <a:prstGeom prst="rect">
          <a:avLst/>
        </a:prstGeom>
      </xdr:spPr>
    </xdr:pic>
    <xdr:clientData/>
  </xdr:twoCellAnchor>
  <xdr:twoCellAnchor editAs="oneCell">
    <xdr:from>
      <xdr:col>16</xdr:col>
      <xdr:colOff>1286965</xdr:colOff>
      <xdr:row>0</xdr:row>
      <xdr:rowOff>225473</xdr:rowOff>
    </xdr:from>
    <xdr:to>
      <xdr:col>17</xdr:col>
      <xdr:colOff>743823</xdr:colOff>
      <xdr:row>2</xdr:row>
      <xdr:rowOff>363058</xdr:rowOff>
    </xdr:to>
    <xdr:pic>
      <xdr:nvPicPr>
        <xdr:cNvPr id="10" name="Gráfico 10" descr="Libro abierto con relleno sólido">
          <a:hlinkClick xmlns:r="http://schemas.openxmlformats.org/officeDocument/2006/relationships" r:id="rId5"/>
          <a:extLst>
            <a:ext uri="{FF2B5EF4-FFF2-40B4-BE49-F238E27FC236}">
              <a16:creationId xmlns:a16="http://schemas.microsoft.com/office/drawing/2014/main" id="{CE1A98E8-085F-4F6D-BAE7-5E80E3D613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4351072" y="225473"/>
          <a:ext cx="839888" cy="8995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E4E22AEA-0486-4747-831F-47A83AE838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0334" cy="1114425"/>
        </a:xfrm>
        <a:prstGeom prst="rect">
          <a:avLst/>
        </a:prstGeom>
      </xdr:spPr>
    </xdr:pic>
    <xdr:clientData/>
  </xdr:twoCellAnchor>
  <xdr:twoCellAnchor>
    <xdr:from>
      <xdr:col>0</xdr:col>
      <xdr:colOff>0</xdr:colOff>
      <xdr:row>0</xdr:row>
      <xdr:rowOff>1</xdr:rowOff>
    </xdr:from>
    <xdr:to>
      <xdr:col>0</xdr:col>
      <xdr:colOff>2136320</xdr:colOff>
      <xdr:row>3</xdr:row>
      <xdr:rowOff>1</xdr:rowOff>
    </xdr:to>
    <xdr:pic>
      <xdr:nvPicPr>
        <xdr:cNvPr id="3" name="Imagen 2">
          <a:extLst>
            <a:ext uri="{FF2B5EF4-FFF2-40B4-BE49-F238E27FC236}">
              <a16:creationId xmlns:a16="http://schemas.microsoft.com/office/drawing/2014/main" id="{29235291-FE21-4430-866D-BB8B1D9A35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1993445" cy="1143000"/>
        </a:xfrm>
        <a:prstGeom prst="rect">
          <a:avLst/>
        </a:prstGeom>
      </xdr:spPr>
    </xdr:pic>
    <xdr:clientData/>
  </xdr:twoCellAnchor>
  <xdr:twoCellAnchor editAs="oneCell">
    <xdr:from>
      <xdr:col>4</xdr:col>
      <xdr:colOff>997322</xdr:colOff>
      <xdr:row>0</xdr:row>
      <xdr:rowOff>179294</xdr:rowOff>
    </xdr:from>
    <xdr:to>
      <xdr:col>4</xdr:col>
      <xdr:colOff>1832273</xdr:colOff>
      <xdr:row>2</xdr:row>
      <xdr:rowOff>257405</xdr:rowOff>
    </xdr:to>
    <xdr:pic>
      <xdr:nvPicPr>
        <xdr:cNvPr id="12" name="Gráfico 9" descr="Círculo con flecha a la izquierda con relleno sólido">
          <a:hlinkClick xmlns:r="http://schemas.openxmlformats.org/officeDocument/2006/relationships" r:id="rId3"/>
          <a:extLst>
            <a:ext uri="{FF2B5EF4-FFF2-40B4-BE49-F238E27FC236}">
              <a16:creationId xmlns:a16="http://schemas.microsoft.com/office/drawing/2014/main" id="{80DFA191-4CAB-4381-BC69-C1EF123F3B3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508440" y="179294"/>
          <a:ext cx="833046" cy="842016"/>
        </a:xfrm>
        <a:prstGeom prst="rect">
          <a:avLst/>
        </a:prstGeom>
      </xdr:spPr>
    </xdr:pic>
    <xdr:clientData/>
  </xdr:twoCellAnchor>
  <xdr:twoCellAnchor editAs="oneCell">
    <xdr:from>
      <xdr:col>5</xdr:col>
      <xdr:colOff>416743</xdr:colOff>
      <xdr:row>41</xdr:row>
      <xdr:rowOff>16601</xdr:rowOff>
    </xdr:from>
    <xdr:to>
      <xdr:col>5</xdr:col>
      <xdr:colOff>1159693</xdr:colOff>
      <xdr:row>41</xdr:row>
      <xdr:rowOff>778601</xdr:rowOff>
    </xdr:to>
    <xdr:pic>
      <xdr:nvPicPr>
        <xdr:cNvPr id="4" name="Imagen 3">
          <a:extLst>
            <a:ext uri="{FF2B5EF4-FFF2-40B4-BE49-F238E27FC236}">
              <a16:creationId xmlns:a16="http://schemas.microsoft.com/office/drawing/2014/main" id="{7D3E2BAD-C0E5-429B-A3AA-7EE59183CAC7}"/>
            </a:ext>
            <a:ext uri="{147F2762-F138-4A5C-976F-8EAC2B608ADB}">
              <a16:predDERef xmlns:a16="http://schemas.microsoft.com/office/drawing/2014/main" pred="{BA92BFE0-699A-3F55-45FA-D75D2A2CCE46}"/>
            </a:ext>
          </a:extLst>
        </xdr:cNvPr>
        <xdr:cNvPicPr>
          <a:picLocks noChangeAspect="1"/>
        </xdr:cNvPicPr>
      </xdr:nvPicPr>
      <xdr:blipFill>
        <a:blip xmlns:r="http://schemas.openxmlformats.org/officeDocument/2006/relationships" r:embed="rId6">
          <a:duotone>
            <a:srgbClr val="ED7D31">
              <a:shade val="45000"/>
              <a:satMod val="135000"/>
            </a:srgbClr>
            <a:prstClr val="white"/>
          </a:duotone>
          <a:extLst>
            <a:ext uri="{BEBA8EAE-BF5A-486C-A8C5-ECC9F3942E4B}">
              <a14:imgProps xmlns:a14="http://schemas.microsoft.com/office/drawing/2010/main">
                <a14:imgLayer r:embed="rId7">
                  <a14:imgEffect>
                    <a14:backgroundRemoval t="10000" b="90000" l="10000" r="90000"/>
                  </a14:imgEffect>
                  <a14:imgEffect>
                    <a14:artisticGlowDiffused/>
                  </a14:imgEffect>
                </a14:imgLayer>
              </a14:imgProps>
            </a:ext>
          </a:extLst>
        </a:blip>
        <a:stretch>
          <a:fillRect/>
        </a:stretch>
      </xdr:blipFill>
      <xdr:spPr>
        <a:xfrm>
          <a:off x="10144943" y="8567934"/>
          <a:ext cx="742950" cy="752475"/>
        </a:xfrm>
        <a:prstGeom prst="rect">
          <a:avLst/>
        </a:prstGeom>
      </xdr:spPr>
    </xdr:pic>
    <xdr:clientData/>
  </xdr:twoCellAnchor>
  <xdr:twoCellAnchor editAs="oneCell">
    <xdr:from>
      <xdr:col>7</xdr:col>
      <xdr:colOff>769409</xdr:colOff>
      <xdr:row>41</xdr:row>
      <xdr:rowOff>0</xdr:rowOff>
    </xdr:from>
    <xdr:to>
      <xdr:col>7</xdr:col>
      <xdr:colOff>1521884</xdr:colOff>
      <xdr:row>41</xdr:row>
      <xdr:rowOff>781050</xdr:rowOff>
    </xdr:to>
    <xdr:pic>
      <xdr:nvPicPr>
        <xdr:cNvPr id="6" name="Imagen 5">
          <a:extLst>
            <a:ext uri="{FF2B5EF4-FFF2-40B4-BE49-F238E27FC236}">
              <a16:creationId xmlns:a16="http://schemas.microsoft.com/office/drawing/2014/main" id="{ECBDD5D1-64BF-4EDA-BCEE-827EBD5F958D}"/>
            </a:ext>
            <a:ext uri="{147F2762-F138-4A5C-976F-8EAC2B608ADB}">
              <a16:predDERef xmlns:a16="http://schemas.microsoft.com/office/drawing/2014/main" pred="{4BF919D4-EDFE-C21A-CD39-7E2D0AC04D65}"/>
            </a:ext>
          </a:extLst>
        </xdr:cNvPr>
        <xdr:cNvPicPr>
          <a:picLocks noChangeAspect="1"/>
        </xdr:cNvPicPr>
      </xdr:nvPicPr>
      <xdr:blipFill>
        <a:blip xmlns:r="http://schemas.openxmlformats.org/officeDocument/2006/relationships" r:embed="rId8">
          <a:duotone>
            <a:schemeClr val="accent2">
              <a:shade val="45000"/>
              <a:satMod val="135000"/>
            </a:schemeClr>
            <a:prstClr val="white"/>
          </a:duotone>
        </a:blip>
        <a:stretch>
          <a:fillRect/>
        </a:stretch>
      </xdr:blipFill>
      <xdr:spPr>
        <a:xfrm>
          <a:off x="13173076" y="8551333"/>
          <a:ext cx="752475" cy="765810"/>
        </a:xfrm>
        <a:prstGeom prst="rect">
          <a:avLst/>
        </a:prstGeom>
      </xdr:spPr>
    </xdr:pic>
    <xdr:clientData/>
  </xdr:twoCellAnchor>
  <xdr:twoCellAnchor editAs="oneCell">
    <xdr:from>
      <xdr:col>6</xdr:col>
      <xdr:colOff>318348</xdr:colOff>
      <xdr:row>41</xdr:row>
      <xdr:rowOff>38100</xdr:rowOff>
    </xdr:from>
    <xdr:to>
      <xdr:col>6</xdr:col>
      <xdr:colOff>1049868</xdr:colOff>
      <xdr:row>41</xdr:row>
      <xdr:rowOff>781050</xdr:rowOff>
    </xdr:to>
    <xdr:pic>
      <xdr:nvPicPr>
        <xdr:cNvPr id="7" name="Imagen 7">
          <a:extLst>
            <a:ext uri="{FF2B5EF4-FFF2-40B4-BE49-F238E27FC236}">
              <a16:creationId xmlns:a16="http://schemas.microsoft.com/office/drawing/2014/main" id="{9026F025-F683-44E0-B44F-4F9A1114FCB7}"/>
            </a:ext>
            <a:ext uri="{147F2762-F138-4A5C-976F-8EAC2B608ADB}">
              <a16:predDERef xmlns:a16="http://schemas.microsoft.com/office/drawing/2014/main" pred="{DADEF2E2-3252-C971-00EE-F6F7BA3C9E0C}"/>
            </a:ext>
          </a:extLst>
        </xdr:cNvPr>
        <xdr:cNvPicPr>
          <a:picLocks noChangeAspect="1"/>
        </xdr:cNvPicPr>
      </xdr:nvPicPr>
      <xdr:blipFill>
        <a:blip xmlns:r="http://schemas.openxmlformats.org/officeDocument/2006/relationships" r:embed="rId9">
          <a:duotone>
            <a:schemeClr val="accent2">
              <a:shade val="45000"/>
              <a:satMod val="135000"/>
            </a:schemeClr>
            <a:prstClr val="white"/>
          </a:duotone>
        </a:blip>
        <a:stretch>
          <a:fillRect/>
        </a:stretch>
      </xdr:blipFill>
      <xdr:spPr>
        <a:xfrm>
          <a:off x="11460481" y="8589433"/>
          <a:ext cx="723900" cy="727710"/>
        </a:xfrm>
        <a:prstGeom prst="rect">
          <a:avLst/>
        </a:prstGeom>
      </xdr:spPr>
    </xdr:pic>
    <xdr:clientData/>
  </xdr:twoCellAnchor>
  <xdr:twoCellAnchor editAs="oneCell">
    <xdr:from>
      <xdr:col>4</xdr:col>
      <xdr:colOff>849178</xdr:colOff>
      <xdr:row>41</xdr:row>
      <xdr:rowOff>8618</xdr:rowOff>
    </xdr:from>
    <xdr:to>
      <xdr:col>4</xdr:col>
      <xdr:colOff>1656898</xdr:colOff>
      <xdr:row>41</xdr:row>
      <xdr:rowOff>818243</xdr:rowOff>
    </xdr:to>
    <xdr:pic>
      <xdr:nvPicPr>
        <xdr:cNvPr id="8" name="Imagen 8">
          <a:extLst>
            <a:ext uri="{FF2B5EF4-FFF2-40B4-BE49-F238E27FC236}">
              <a16:creationId xmlns:a16="http://schemas.microsoft.com/office/drawing/2014/main" id="{7E02BED9-48D9-407C-B07B-E98A1C36B63D}"/>
            </a:ext>
            <a:ext uri="{147F2762-F138-4A5C-976F-8EAC2B608ADB}">
              <a16:predDERef xmlns:a16="http://schemas.microsoft.com/office/drawing/2014/main" pred="{AD8E35E9-6DD4-CFD9-DC45-7F6A7A5C0723}"/>
            </a:ext>
          </a:extLst>
        </xdr:cNvPr>
        <xdr:cNvPicPr>
          <a:picLocks noChangeAspect="1"/>
        </xdr:cNvPicPr>
      </xdr:nvPicPr>
      <xdr:blipFill>
        <a:blip xmlns:r="http://schemas.openxmlformats.org/officeDocument/2006/relationships" r:embed="rId10">
          <a:duotone>
            <a:schemeClr val="accent2">
              <a:shade val="45000"/>
              <a:satMod val="135000"/>
            </a:schemeClr>
            <a:prstClr val="white"/>
          </a:duotone>
        </a:blip>
        <a:stretch>
          <a:fillRect/>
        </a:stretch>
      </xdr:blipFill>
      <xdr:spPr>
        <a:xfrm>
          <a:off x="8282911" y="8559951"/>
          <a:ext cx="819150" cy="809625"/>
        </a:xfrm>
        <a:prstGeom prst="rect">
          <a:avLst/>
        </a:prstGeom>
      </xdr:spPr>
    </xdr:pic>
    <xdr:clientData/>
  </xdr:twoCellAnchor>
  <xdr:twoCellAnchor editAs="oneCell">
    <xdr:from>
      <xdr:col>3</xdr:col>
      <xdr:colOff>677334</xdr:colOff>
      <xdr:row>41</xdr:row>
      <xdr:rowOff>55034</xdr:rowOff>
    </xdr:from>
    <xdr:to>
      <xdr:col>3</xdr:col>
      <xdr:colOff>1410759</xdr:colOff>
      <xdr:row>41</xdr:row>
      <xdr:rowOff>780839</xdr:rowOff>
    </xdr:to>
    <xdr:pic>
      <xdr:nvPicPr>
        <xdr:cNvPr id="11" name="Imagen 9">
          <a:extLst>
            <a:ext uri="{FF2B5EF4-FFF2-40B4-BE49-F238E27FC236}">
              <a16:creationId xmlns:a16="http://schemas.microsoft.com/office/drawing/2014/main" id="{48F3AE3D-FFE5-497C-8D2F-4910AA495642}"/>
            </a:ext>
            <a:ext uri="{147F2762-F138-4A5C-976F-8EAC2B608ADB}">
              <a16:predDERef xmlns:a16="http://schemas.microsoft.com/office/drawing/2014/main" pred="{172A04C1-149A-7333-D81B-DA4B8E8B898F}"/>
            </a:ext>
          </a:extLst>
        </xdr:cNvPr>
        <xdr:cNvPicPr>
          <a:picLocks noChangeAspect="1"/>
        </xdr:cNvPicPr>
      </xdr:nvPicPr>
      <xdr:blipFill>
        <a:blip xmlns:r="http://schemas.openxmlformats.org/officeDocument/2006/relationships" r:embed="rId11">
          <a:duotone>
            <a:schemeClr val="accent2">
              <a:shade val="45000"/>
              <a:satMod val="135000"/>
            </a:schemeClr>
            <a:prstClr val="white"/>
          </a:duotone>
        </a:blip>
        <a:stretch>
          <a:fillRect/>
        </a:stretch>
      </xdr:blipFill>
      <xdr:spPr>
        <a:xfrm>
          <a:off x="6197601" y="8606367"/>
          <a:ext cx="733425" cy="733425"/>
        </a:xfrm>
        <a:prstGeom prst="rect">
          <a:avLst/>
        </a:prstGeom>
      </xdr:spPr>
    </xdr:pic>
    <xdr:clientData/>
  </xdr:twoCellAnchor>
  <xdr:twoCellAnchor editAs="oneCell">
    <xdr:from>
      <xdr:col>9</xdr:col>
      <xdr:colOff>862853</xdr:colOff>
      <xdr:row>0</xdr:row>
      <xdr:rowOff>168088</xdr:rowOff>
    </xdr:from>
    <xdr:to>
      <xdr:col>10</xdr:col>
      <xdr:colOff>569483</xdr:colOff>
      <xdr:row>2</xdr:row>
      <xdr:rowOff>302663</xdr:rowOff>
    </xdr:to>
    <xdr:pic>
      <xdr:nvPicPr>
        <xdr:cNvPr id="13" name="Gráfico 4" descr="Libro abierto con relleno sólido">
          <a:hlinkClick xmlns:r="http://schemas.openxmlformats.org/officeDocument/2006/relationships" r:id="rId12"/>
          <a:extLst>
            <a:ext uri="{FF2B5EF4-FFF2-40B4-BE49-F238E27FC236}">
              <a16:creationId xmlns:a16="http://schemas.microsoft.com/office/drawing/2014/main" id="{6A1E4136-A474-4DCF-8D10-76E4EB104DA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9912853" y="168088"/>
          <a:ext cx="910590" cy="892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23</xdr:col>
      <xdr:colOff>228465</xdr:colOff>
      <xdr:row>94</xdr:row>
      <xdr:rowOff>186687</xdr:rowOff>
    </xdr:from>
    <xdr:to>
      <xdr:col>29</xdr:col>
      <xdr:colOff>157299</xdr:colOff>
      <xdr:row>108</xdr:row>
      <xdr:rowOff>163284</xdr:rowOff>
    </xdr:to>
    <xdr:graphicFrame macro="">
      <xdr:nvGraphicFramePr>
        <xdr:cNvPr id="13" name="Gráfico 12">
          <a:extLst>
            <a:ext uri="{FF2B5EF4-FFF2-40B4-BE49-F238E27FC236}">
              <a16:creationId xmlns:a16="http://schemas.microsoft.com/office/drawing/2014/main" id="{ED605138-321E-48BE-B95A-8C18CB5027BB}"/>
            </a:ext>
            <a:ext uri="{147F2762-F138-4A5C-976F-8EAC2B608ADB}">
              <a16:predDERef xmlns:a16="http://schemas.microsoft.com/office/drawing/2014/main" pred="{A99EF794-96CF-4616-B960-66E5F5006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2503F97D-9F58-4FD3-8A03-9106CC6225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1920334" cy="1114425"/>
        </a:xfrm>
        <a:prstGeom prst="rect">
          <a:avLst/>
        </a:prstGeom>
      </xdr:spPr>
    </xdr:pic>
    <xdr:clientData/>
  </xdr:twoCellAnchor>
  <xdr:twoCellAnchor editAs="oneCell">
    <xdr:from>
      <xdr:col>9</xdr:col>
      <xdr:colOff>425303</xdr:colOff>
      <xdr:row>0</xdr:row>
      <xdr:rowOff>163288</xdr:rowOff>
    </xdr:from>
    <xdr:to>
      <xdr:col>9</xdr:col>
      <xdr:colOff>1276999</xdr:colOff>
      <xdr:row>2</xdr:row>
      <xdr:rowOff>248867</xdr:rowOff>
    </xdr:to>
    <xdr:pic>
      <xdr:nvPicPr>
        <xdr:cNvPr id="28" name="Gráfico 2" descr="Círculo con flecha a la izquierda con relleno sólido">
          <a:hlinkClick xmlns:r="http://schemas.openxmlformats.org/officeDocument/2006/relationships" r:id="rId3"/>
          <a:extLst>
            <a:ext uri="{FF2B5EF4-FFF2-40B4-BE49-F238E27FC236}">
              <a16:creationId xmlns:a16="http://schemas.microsoft.com/office/drawing/2014/main" id="{DE669721-B6BA-46CF-8001-C882BD8310E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3284053" y="163288"/>
          <a:ext cx="842171" cy="830434"/>
        </a:xfrm>
        <a:prstGeom prst="rect">
          <a:avLst/>
        </a:prstGeom>
      </xdr:spPr>
    </xdr:pic>
    <xdr:clientData/>
  </xdr:twoCellAnchor>
  <xdr:twoCellAnchor editAs="oneCell">
    <xdr:from>
      <xdr:col>8</xdr:col>
      <xdr:colOff>468832</xdr:colOff>
      <xdr:row>0</xdr:row>
      <xdr:rowOff>176896</xdr:rowOff>
    </xdr:from>
    <xdr:to>
      <xdr:col>8</xdr:col>
      <xdr:colOff>1257789</xdr:colOff>
      <xdr:row>2</xdr:row>
      <xdr:rowOff>249140</xdr:rowOff>
    </xdr:to>
    <xdr:pic>
      <xdr:nvPicPr>
        <xdr:cNvPr id="26" name="Gráfico 3" descr="Círculo con flecha a la izquierda con relleno sólido">
          <a:hlinkClick xmlns:r="http://schemas.openxmlformats.org/officeDocument/2006/relationships" r:id="rId6"/>
          <a:extLst>
            <a:ext uri="{FF2B5EF4-FFF2-40B4-BE49-F238E27FC236}">
              <a16:creationId xmlns:a16="http://schemas.microsoft.com/office/drawing/2014/main" id="{A08D7719-E7B5-4D31-A337-174D5935C1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2102939" y="176896"/>
          <a:ext cx="785147" cy="830434"/>
        </a:xfrm>
        <a:prstGeom prst="rect">
          <a:avLst/>
        </a:prstGeom>
      </xdr:spPr>
    </xdr:pic>
    <xdr:clientData/>
  </xdr:twoCellAnchor>
  <xdr:twoCellAnchor editAs="oneCell">
    <xdr:from>
      <xdr:col>19</xdr:col>
      <xdr:colOff>605597</xdr:colOff>
      <xdr:row>0</xdr:row>
      <xdr:rowOff>147281</xdr:rowOff>
    </xdr:from>
    <xdr:to>
      <xdr:col>20</xdr:col>
      <xdr:colOff>93366</xdr:colOff>
      <xdr:row>2</xdr:row>
      <xdr:rowOff>282961</xdr:rowOff>
    </xdr:to>
    <xdr:pic>
      <xdr:nvPicPr>
        <xdr:cNvPr id="25" name="Gráfico 4" descr="Libro abierto con relleno sólido">
          <a:hlinkClick xmlns:r="http://schemas.openxmlformats.org/officeDocument/2006/relationships" r:id="rId7"/>
          <a:extLst>
            <a:ext uri="{FF2B5EF4-FFF2-40B4-BE49-F238E27FC236}">
              <a16:creationId xmlns:a16="http://schemas.microsoft.com/office/drawing/2014/main" id="{466EA74B-E4A0-4256-8D46-665AF1991B7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4363668" y="147281"/>
          <a:ext cx="872492" cy="899585"/>
        </a:xfrm>
        <a:prstGeom prst="rect">
          <a:avLst/>
        </a:prstGeom>
      </xdr:spPr>
    </xdr:pic>
    <xdr:clientData/>
  </xdr:twoCellAnchor>
  <xdr:twoCellAnchor>
    <xdr:from>
      <xdr:col>1</xdr:col>
      <xdr:colOff>494756</xdr:colOff>
      <xdr:row>96</xdr:row>
      <xdr:rowOff>135799</xdr:rowOff>
    </xdr:from>
    <xdr:to>
      <xdr:col>5</xdr:col>
      <xdr:colOff>858339</xdr:colOff>
      <xdr:row>110</xdr:row>
      <xdr:rowOff>182811</xdr:rowOff>
    </xdr:to>
    <xdr:graphicFrame macro="">
      <xdr:nvGraphicFramePr>
        <xdr:cNvPr id="6" name="Gráfico 5">
          <a:extLst>
            <a:ext uri="{FF2B5EF4-FFF2-40B4-BE49-F238E27FC236}">
              <a16:creationId xmlns:a16="http://schemas.microsoft.com/office/drawing/2014/main" id="{B14E1EB2-3C5B-4DEE-A3CF-63F590B5BC8F}"/>
            </a:ext>
            <a:ext uri="{147F2762-F138-4A5C-976F-8EAC2B608ADB}">
              <a16:predDERef xmlns:a16="http://schemas.microsoft.com/office/drawing/2014/main" pred="{466EA74B-E4A0-4256-8D46-665AF1991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381000</xdr:colOff>
      <xdr:row>96</xdr:row>
      <xdr:rowOff>120967</xdr:rowOff>
    </xdr:from>
    <xdr:to>
      <xdr:col>12</xdr:col>
      <xdr:colOff>238125</xdr:colOff>
      <xdr:row>110</xdr:row>
      <xdr:rowOff>130493</xdr:rowOff>
    </xdr:to>
    <xdr:graphicFrame macro="">
      <xdr:nvGraphicFramePr>
        <xdr:cNvPr id="7" name="Gráfico 6">
          <a:extLst>
            <a:ext uri="{FF2B5EF4-FFF2-40B4-BE49-F238E27FC236}">
              <a16:creationId xmlns:a16="http://schemas.microsoft.com/office/drawing/2014/main" id="{61D60C5F-8A9A-4298-81E9-21328EB7D501}"/>
            </a:ext>
            <a:ext uri="{147F2762-F138-4A5C-976F-8EAC2B608ADB}">
              <a16:predDERef xmlns:a16="http://schemas.microsoft.com/office/drawing/2014/main" pred="{B14E1EB2-3C5B-4DEE-A3CF-63F590B5B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626405</xdr:colOff>
      <xdr:row>69</xdr:row>
      <xdr:rowOff>89058</xdr:rowOff>
    </xdr:from>
    <xdr:to>
      <xdr:col>21</xdr:col>
      <xdr:colOff>743086</xdr:colOff>
      <xdr:row>83</xdr:row>
      <xdr:rowOff>168727</xdr:rowOff>
    </xdr:to>
    <xdr:graphicFrame macro="">
      <xdr:nvGraphicFramePr>
        <xdr:cNvPr id="8" name="Gráfico 7">
          <a:extLst>
            <a:ext uri="{FF2B5EF4-FFF2-40B4-BE49-F238E27FC236}">
              <a16:creationId xmlns:a16="http://schemas.microsoft.com/office/drawing/2014/main" id="{C0B33165-DA71-4644-9536-80B1478AD1A7}"/>
            </a:ext>
            <a:ext uri="{147F2762-F138-4A5C-976F-8EAC2B608ADB}">
              <a16:predDERef xmlns:a16="http://schemas.microsoft.com/office/drawing/2014/main" pred="{61D60C5F-8A9A-4298-81E9-21328EB7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420188</xdr:colOff>
      <xdr:row>11</xdr:row>
      <xdr:rowOff>71437</xdr:rowOff>
    </xdr:from>
    <xdr:to>
      <xdr:col>24</xdr:col>
      <xdr:colOff>190499</xdr:colOff>
      <xdr:row>27</xdr:row>
      <xdr:rowOff>97631</xdr:rowOff>
    </xdr:to>
    <xdr:graphicFrame macro="">
      <xdr:nvGraphicFramePr>
        <xdr:cNvPr id="9" name="Gráfico 8">
          <a:extLst>
            <a:ext uri="{FF2B5EF4-FFF2-40B4-BE49-F238E27FC236}">
              <a16:creationId xmlns:a16="http://schemas.microsoft.com/office/drawing/2014/main" id="{49E453BE-126A-44CD-93ED-47015DE3FC13}"/>
            </a:ext>
            <a:ext uri="{147F2762-F138-4A5C-976F-8EAC2B608ADB}">
              <a16:predDERef xmlns:a16="http://schemas.microsoft.com/office/drawing/2014/main" pred="{C0B33165-DA71-4644-9536-80B1478AD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539289</xdr:colOff>
      <xdr:row>70</xdr:row>
      <xdr:rowOff>8096</xdr:rowOff>
    </xdr:from>
    <xdr:to>
      <xdr:col>29</xdr:col>
      <xdr:colOff>706597</xdr:colOff>
      <xdr:row>84</xdr:row>
      <xdr:rowOff>148008</xdr:rowOff>
    </xdr:to>
    <xdr:graphicFrame macro="">
      <xdr:nvGraphicFramePr>
        <xdr:cNvPr id="35" name="Gráfico 9">
          <a:extLst>
            <a:ext uri="{FF2B5EF4-FFF2-40B4-BE49-F238E27FC236}">
              <a16:creationId xmlns:a16="http://schemas.microsoft.com/office/drawing/2014/main" id="{9A459B02-BA4E-434F-A90B-00B420BD0C01}"/>
            </a:ext>
            <a:ext uri="{147F2762-F138-4A5C-976F-8EAC2B608ADB}">
              <a16:predDERef xmlns:a16="http://schemas.microsoft.com/office/drawing/2014/main" pred="{49E453BE-126A-44CD-93ED-47015DE3F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1055915</xdr:colOff>
      <xdr:row>85</xdr:row>
      <xdr:rowOff>21771</xdr:rowOff>
    </xdr:from>
    <xdr:to>
      <xdr:col>6</xdr:col>
      <xdr:colOff>1080408</xdr:colOff>
      <xdr:row>112</xdr:row>
      <xdr:rowOff>164647</xdr:rowOff>
    </xdr:to>
    <xdr:cxnSp macro="">
      <xdr:nvCxnSpPr>
        <xdr:cNvPr id="11" name="Conector recto 10">
          <a:extLst>
            <a:ext uri="{FF2B5EF4-FFF2-40B4-BE49-F238E27FC236}">
              <a16:creationId xmlns:a16="http://schemas.microsoft.com/office/drawing/2014/main" id="{109C4AFE-3F82-41CB-B7F6-55EEE14B39B0}"/>
            </a:ext>
          </a:extLst>
        </xdr:cNvPr>
        <xdr:cNvCxnSpPr/>
      </xdr:nvCxnSpPr>
      <xdr:spPr>
        <a:xfrm>
          <a:off x="7571015" y="12118521"/>
          <a:ext cx="24493" cy="5276851"/>
        </a:xfrm>
        <a:prstGeom prst="line">
          <a:avLst/>
        </a:prstGeom>
        <a:ln w="76200">
          <a:solidFill>
            <a:srgbClr val="B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13</xdr:col>
      <xdr:colOff>1001485</xdr:colOff>
      <xdr:row>85</xdr:row>
      <xdr:rowOff>108857</xdr:rowOff>
    </xdr:from>
    <xdr:to>
      <xdr:col>14</xdr:col>
      <xdr:colOff>10885</xdr:colOff>
      <xdr:row>112</xdr:row>
      <xdr:rowOff>185057</xdr:rowOff>
    </xdr:to>
    <xdr:cxnSp macro="">
      <xdr:nvCxnSpPr>
        <xdr:cNvPr id="12" name="Conector recto 11">
          <a:extLst>
            <a:ext uri="{FF2B5EF4-FFF2-40B4-BE49-F238E27FC236}">
              <a16:creationId xmlns:a16="http://schemas.microsoft.com/office/drawing/2014/main" id="{A99EF794-96CF-4616-B960-66E5F5006006}"/>
            </a:ext>
          </a:extLst>
        </xdr:cNvPr>
        <xdr:cNvCxnSpPr/>
      </xdr:nvCxnSpPr>
      <xdr:spPr>
        <a:xfrm>
          <a:off x="13355410" y="12205607"/>
          <a:ext cx="38100" cy="5210175"/>
        </a:xfrm>
        <a:prstGeom prst="line">
          <a:avLst/>
        </a:prstGeom>
        <a:ln w="76200">
          <a:solidFill>
            <a:srgbClr val="C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12</xdr:col>
      <xdr:colOff>725328</xdr:colOff>
      <xdr:row>13</xdr:row>
      <xdr:rowOff>4763</xdr:rowOff>
    </xdr:from>
    <xdr:to>
      <xdr:col>16</xdr:col>
      <xdr:colOff>862963</xdr:colOff>
      <xdr:row>28</xdr:row>
      <xdr:rowOff>81439</xdr:rowOff>
    </xdr:to>
    <xdr:graphicFrame macro="">
      <xdr:nvGraphicFramePr>
        <xdr:cNvPr id="14" name="Gráfico 13">
          <a:extLst>
            <a:ext uri="{FF2B5EF4-FFF2-40B4-BE49-F238E27FC236}">
              <a16:creationId xmlns:a16="http://schemas.microsoft.com/office/drawing/2014/main" id="{1D6EEBFC-3BFF-45CE-9988-E4D07537FDCD}"/>
            </a:ext>
            <a:ext uri="{147F2762-F138-4A5C-976F-8EAC2B608ADB}">
              <a16:predDERef xmlns:a16="http://schemas.microsoft.com/office/drawing/2014/main" pred="{ED605138-321E-48BE-B95A-8C18CB502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134778</xdr:colOff>
      <xdr:row>48</xdr:row>
      <xdr:rowOff>49529</xdr:rowOff>
    </xdr:from>
    <xdr:to>
      <xdr:col>17</xdr:col>
      <xdr:colOff>774382</xdr:colOff>
      <xdr:row>63</xdr:row>
      <xdr:rowOff>101440</xdr:rowOff>
    </xdr:to>
    <xdr:graphicFrame macro="">
      <xdr:nvGraphicFramePr>
        <xdr:cNvPr id="15" name="Gráfico 14">
          <a:extLst>
            <a:ext uri="{FF2B5EF4-FFF2-40B4-BE49-F238E27FC236}">
              <a16:creationId xmlns:a16="http://schemas.microsoft.com/office/drawing/2014/main" id="{791DB38D-22A8-4BA3-955B-4E2235CA65FE}"/>
            </a:ext>
            <a:ext uri="{147F2762-F138-4A5C-976F-8EAC2B608ADB}">
              <a16:predDERef xmlns:a16="http://schemas.microsoft.com/office/drawing/2014/main" pred="{1D6EEBFC-3BFF-45CE-9988-E4D07537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98517</xdr:colOff>
      <xdr:row>31</xdr:row>
      <xdr:rowOff>138654</xdr:rowOff>
    </xdr:from>
    <xdr:to>
      <xdr:col>16</xdr:col>
      <xdr:colOff>899159</xdr:colOff>
      <xdr:row>46</xdr:row>
      <xdr:rowOff>65722</xdr:rowOff>
    </xdr:to>
    <xdr:graphicFrame macro="">
      <xdr:nvGraphicFramePr>
        <xdr:cNvPr id="19" name="Gráfico 18">
          <a:extLst>
            <a:ext uri="{FF2B5EF4-FFF2-40B4-BE49-F238E27FC236}">
              <a16:creationId xmlns:a16="http://schemas.microsoft.com/office/drawing/2014/main" id="{123C3721-37C2-421C-AABE-24A1AA23B109}"/>
            </a:ext>
            <a:ext uri="{147F2762-F138-4A5C-976F-8EAC2B608ADB}">
              <a16:predDERef xmlns:a16="http://schemas.microsoft.com/office/drawing/2014/main" pred="{791DB38D-22A8-4BA3-955B-4E2235CA6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xdr:col>
      <xdr:colOff>698182</xdr:colOff>
      <xdr:row>10</xdr:row>
      <xdr:rowOff>192405</xdr:rowOff>
    </xdr:from>
    <xdr:to>
      <xdr:col>28</xdr:col>
      <xdr:colOff>610552</xdr:colOff>
      <xdr:row>24</xdr:row>
      <xdr:rowOff>147907</xdr:rowOff>
    </xdr:to>
    <xdr:graphicFrame macro="">
      <xdr:nvGraphicFramePr>
        <xdr:cNvPr id="21" name="Gráfico 20">
          <a:extLst>
            <a:ext uri="{FF2B5EF4-FFF2-40B4-BE49-F238E27FC236}">
              <a16:creationId xmlns:a16="http://schemas.microsoft.com/office/drawing/2014/main" id="{5DC9BBBC-C90A-4E78-8635-EA71485D9C60}"/>
            </a:ext>
            <a:ext uri="{147F2762-F138-4A5C-976F-8EAC2B608ADB}">
              <a16:predDERef xmlns:a16="http://schemas.microsoft.com/office/drawing/2014/main" pred="{123C3721-37C2-421C-AABE-24A1AA23B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29</xdr:col>
      <xdr:colOff>412909</xdr:colOff>
      <xdr:row>10</xdr:row>
      <xdr:rowOff>21908</xdr:rowOff>
    </xdr:from>
    <xdr:to>
      <xdr:col>36</xdr:col>
      <xdr:colOff>185125</xdr:colOff>
      <xdr:row>26</xdr:row>
      <xdr:rowOff>128247</xdr:rowOff>
    </xdr:to>
    <xdr:graphicFrame macro="">
      <xdr:nvGraphicFramePr>
        <xdr:cNvPr id="22" name="Gráfico 21">
          <a:extLst>
            <a:ext uri="{FF2B5EF4-FFF2-40B4-BE49-F238E27FC236}">
              <a16:creationId xmlns:a16="http://schemas.microsoft.com/office/drawing/2014/main" id="{0F410DFC-0943-4726-A6D9-08E7B873793C}"/>
            </a:ext>
            <a:ext uri="{147F2762-F138-4A5C-976F-8EAC2B608ADB}">
              <a16:predDERef xmlns:a16="http://schemas.microsoft.com/office/drawing/2014/main" pred="{5DC9BBBC-C90A-4E78-8635-EA71485D9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369094</xdr:colOff>
      <xdr:row>31</xdr:row>
      <xdr:rowOff>57625</xdr:rowOff>
    </xdr:from>
    <xdr:to>
      <xdr:col>22</xdr:col>
      <xdr:colOff>281530</xdr:colOff>
      <xdr:row>45</xdr:row>
      <xdr:rowOff>71437</xdr:rowOff>
    </xdr:to>
    <xdr:graphicFrame macro="">
      <xdr:nvGraphicFramePr>
        <xdr:cNvPr id="23" name="Gráfico 22">
          <a:extLst>
            <a:ext uri="{FF2B5EF4-FFF2-40B4-BE49-F238E27FC236}">
              <a16:creationId xmlns:a16="http://schemas.microsoft.com/office/drawing/2014/main" id="{55B49C84-AE72-4A9C-8EED-95E31DCC9FCD}"/>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198121</xdr:colOff>
      <xdr:row>31</xdr:row>
      <xdr:rowOff>120968</xdr:rowOff>
    </xdr:from>
    <xdr:to>
      <xdr:col>29</xdr:col>
      <xdr:colOff>402907</xdr:colOff>
      <xdr:row>45</xdr:row>
      <xdr:rowOff>160497</xdr:rowOff>
    </xdr:to>
    <xdr:graphicFrame macro="">
      <xdr:nvGraphicFramePr>
        <xdr:cNvPr id="24" name="Gráfico 23">
          <a:extLst>
            <a:ext uri="{FF2B5EF4-FFF2-40B4-BE49-F238E27FC236}">
              <a16:creationId xmlns:a16="http://schemas.microsoft.com/office/drawing/2014/main" id="{8836561B-9CAF-441D-9319-11B867D50D4B}"/>
            </a:ext>
            <a:ext uri="{147F2762-F138-4A5C-976F-8EAC2B608ADB}">
              <a16:predDERef xmlns:a16="http://schemas.microsoft.com/office/drawing/2014/main" pred="{55B49C84-AE72-4A9C-8EED-95E31DCC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773904</xdr:colOff>
      <xdr:row>49</xdr:row>
      <xdr:rowOff>77627</xdr:rowOff>
    </xdr:from>
    <xdr:to>
      <xdr:col>30</xdr:col>
      <xdr:colOff>440529</xdr:colOff>
      <xdr:row>62</xdr:row>
      <xdr:rowOff>182402</xdr:rowOff>
    </xdr:to>
    <xdr:graphicFrame macro="">
      <xdr:nvGraphicFramePr>
        <xdr:cNvPr id="16" name="Gráfico 15">
          <a:extLst>
            <a:ext uri="{FF2B5EF4-FFF2-40B4-BE49-F238E27FC236}">
              <a16:creationId xmlns:a16="http://schemas.microsoft.com/office/drawing/2014/main" id="{1F67FCC9-B366-4BA9-8F17-969712523FE6}"/>
            </a:ext>
            <a:ext uri="{147F2762-F138-4A5C-976F-8EAC2B608ADB}">
              <a16:predDERef xmlns:a16="http://schemas.microsoft.com/office/drawing/2014/main" pred="{8836561B-9CAF-441D-9319-11B867D5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428625</xdr:colOff>
      <xdr:row>5</xdr:row>
      <xdr:rowOff>104775</xdr:rowOff>
    </xdr:from>
    <xdr:to>
      <xdr:col>12</xdr:col>
      <xdr:colOff>438150</xdr:colOff>
      <xdr:row>65</xdr:row>
      <xdr:rowOff>114300</xdr:rowOff>
    </xdr:to>
    <xdr:cxnSp macro="">
      <xdr:nvCxnSpPr>
        <xdr:cNvPr id="20" name="Conector recto 19">
          <a:extLst>
            <a:ext uri="{FF2B5EF4-FFF2-40B4-BE49-F238E27FC236}">
              <a16:creationId xmlns:a16="http://schemas.microsoft.com/office/drawing/2014/main" id="{11EC8749-E91A-4C48-B6F0-EBA4C2CCA671}"/>
            </a:ext>
          </a:extLst>
        </xdr:cNvPr>
        <xdr:cNvCxnSpPr/>
      </xdr:nvCxnSpPr>
      <xdr:spPr>
        <a:xfrm flipH="1">
          <a:off x="16240125" y="1628775"/>
          <a:ext cx="9525" cy="1282065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24</xdr:col>
      <xdr:colOff>466725</xdr:colOff>
      <xdr:row>5</xdr:row>
      <xdr:rowOff>180975</xdr:rowOff>
    </xdr:from>
    <xdr:to>
      <xdr:col>24</xdr:col>
      <xdr:colOff>476250</xdr:colOff>
      <xdr:row>65</xdr:row>
      <xdr:rowOff>190500</xdr:rowOff>
    </xdr:to>
    <xdr:cxnSp macro="">
      <xdr:nvCxnSpPr>
        <xdr:cNvPr id="29" name="Conector recto 28">
          <a:extLst>
            <a:ext uri="{FF2B5EF4-FFF2-40B4-BE49-F238E27FC236}">
              <a16:creationId xmlns:a16="http://schemas.microsoft.com/office/drawing/2014/main" id="{F96C29AB-81E9-4615-B95A-176BAFDE9541}"/>
            </a:ext>
          </a:extLst>
        </xdr:cNvPr>
        <xdr:cNvCxnSpPr/>
      </xdr:nvCxnSpPr>
      <xdr:spPr>
        <a:xfrm flipH="1">
          <a:off x="26898600" y="1704975"/>
          <a:ext cx="9525" cy="1282065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18</xdr:col>
      <xdr:colOff>785813</xdr:colOff>
      <xdr:row>47</xdr:row>
      <xdr:rowOff>59532</xdr:rowOff>
    </xdr:from>
    <xdr:to>
      <xdr:col>23</xdr:col>
      <xdr:colOff>659131</xdr:colOff>
      <xdr:row>62</xdr:row>
      <xdr:rowOff>83821</xdr:rowOff>
    </xdr:to>
    <xdr:graphicFrame macro="">
      <xdr:nvGraphicFramePr>
        <xdr:cNvPr id="3" name="Gráfico 2">
          <a:extLst>
            <a:ext uri="{FF2B5EF4-FFF2-40B4-BE49-F238E27FC236}">
              <a16:creationId xmlns:a16="http://schemas.microsoft.com/office/drawing/2014/main" id="{EAB3A277-D6D9-4439-A81E-D9F5501F2B17}"/>
            </a:ext>
            <a:ext uri="{147F2762-F138-4A5C-976F-8EAC2B608ADB}">
              <a16:predDERef xmlns:a16="http://schemas.microsoft.com/office/drawing/2014/main" pred="{1D6EEBFC-3BFF-45CE-9988-E4D07537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31</xdr:col>
      <xdr:colOff>309564</xdr:colOff>
      <xdr:row>31</xdr:row>
      <xdr:rowOff>57626</xdr:rowOff>
    </xdr:from>
    <xdr:to>
      <xdr:col>36</xdr:col>
      <xdr:colOff>138180</xdr:colOff>
      <xdr:row>45</xdr:row>
      <xdr:rowOff>79058</xdr:rowOff>
    </xdr:to>
    <xdr:graphicFrame macro="">
      <xdr:nvGraphicFramePr>
        <xdr:cNvPr id="4" name="Gráfico 3">
          <a:extLst>
            <a:ext uri="{FF2B5EF4-FFF2-40B4-BE49-F238E27FC236}">
              <a16:creationId xmlns:a16="http://schemas.microsoft.com/office/drawing/2014/main" id="{DAEC0453-D733-4548-A9BF-C89EBFADDA43}"/>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0</xdr:colOff>
      <xdr:row>49</xdr:row>
      <xdr:rowOff>0</xdr:rowOff>
    </xdr:from>
    <xdr:to>
      <xdr:col>39</xdr:col>
      <xdr:colOff>571501</xdr:colOff>
      <xdr:row>64</xdr:row>
      <xdr:rowOff>53817</xdr:rowOff>
    </xdr:to>
    <xdr:graphicFrame macro="">
      <xdr:nvGraphicFramePr>
        <xdr:cNvPr id="5" name="Gráfico 4">
          <a:extLst>
            <a:ext uri="{FF2B5EF4-FFF2-40B4-BE49-F238E27FC236}">
              <a16:creationId xmlns:a16="http://schemas.microsoft.com/office/drawing/2014/main" id="{C6E16A83-3DFD-4E5B-85A7-BD7AC55C783A}"/>
            </a:ext>
            <a:ext uri="{147F2762-F138-4A5C-976F-8EAC2B608ADB}">
              <a16:predDERef xmlns:a16="http://schemas.microsoft.com/office/drawing/2014/main" pred="{1D6EEBFC-3BFF-45CE-9988-E4D07537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D5BB7761-FF18-4663-9571-219D348488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4144" cy="1116330"/>
        </a:xfrm>
        <a:prstGeom prst="rect">
          <a:avLst/>
        </a:prstGeom>
      </xdr:spPr>
    </xdr:pic>
    <xdr:clientData/>
  </xdr:twoCellAnchor>
  <xdr:twoCellAnchor editAs="oneCell">
    <xdr:from>
      <xdr:col>9</xdr:col>
      <xdr:colOff>478490</xdr:colOff>
      <xdr:row>0</xdr:row>
      <xdr:rowOff>136074</xdr:rowOff>
    </xdr:from>
    <xdr:to>
      <xdr:col>9</xdr:col>
      <xdr:colOff>1316579</xdr:colOff>
      <xdr:row>2</xdr:row>
      <xdr:rowOff>212128</xdr:rowOff>
    </xdr:to>
    <xdr:pic>
      <xdr:nvPicPr>
        <xdr:cNvPr id="34"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0DF5D538-BD17-40D4-AD71-E887F90F845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3078704" y="136074"/>
          <a:ext cx="834279" cy="834244"/>
        </a:xfrm>
        <a:prstGeom prst="rect">
          <a:avLst/>
        </a:prstGeom>
      </xdr:spPr>
    </xdr:pic>
    <xdr:clientData/>
  </xdr:twoCellAnchor>
  <xdr:twoCellAnchor editAs="oneCell">
    <xdr:from>
      <xdr:col>8</xdr:col>
      <xdr:colOff>421822</xdr:colOff>
      <xdr:row>0</xdr:row>
      <xdr:rowOff>136075</xdr:rowOff>
    </xdr:from>
    <xdr:to>
      <xdr:col>8</xdr:col>
      <xdr:colOff>1260582</xdr:colOff>
      <xdr:row>2</xdr:row>
      <xdr:rowOff>212129</xdr:rowOff>
    </xdr:to>
    <xdr:pic>
      <xdr:nvPicPr>
        <xdr:cNvPr id="35"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EDE7242F-FBFA-41F9-A6F3-B223B93ACC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797393" y="136075"/>
          <a:ext cx="838760" cy="834244"/>
        </a:xfrm>
        <a:prstGeom prst="rect">
          <a:avLst/>
        </a:prstGeom>
      </xdr:spPr>
    </xdr:pic>
    <xdr:clientData/>
  </xdr:twoCellAnchor>
  <xdr:twoCellAnchor editAs="oneCell">
    <xdr:from>
      <xdr:col>20</xdr:col>
      <xdr:colOff>382928</xdr:colOff>
      <xdr:row>0</xdr:row>
      <xdr:rowOff>147280</xdr:rowOff>
    </xdr:from>
    <xdr:to>
      <xdr:col>21</xdr:col>
      <xdr:colOff>516279</xdr:colOff>
      <xdr:row>2</xdr:row>
      <xdr:rowOff>282960</xdr:rowOff>
    </xdr:to>
    <xdr:pic>
      <xdr:nvPicPr>
        <xdr:cNvPr id="33" name="Gráfico 4" descr="Libro abierto con relleno sólido">
          <a:hlinkClick xmlns:r="http://schemas.openxmlformats.org/officeDocument/2006/relationships" r:id="rId6"/>
          <a:extLst>
            <a:ext uri="{FF2B5EF4-FFF2-40B4-BE49-F238E27FC236}">
              <a16:creationId xmlns:a16="http://schemas.microsoft.com/office/drawing/2014/main" id="{F3F363F2-F38B-4DE7-8DD7-1D05255D258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4508392" y="147280"/>
          <a:ext cx="906781" cy="899585"/>
        </a:xfrm>
        <a:prstGeom prst="rect">
          <a:avLst/>
        </a:prstGeom>
      </xdr:spPr>
    </xdr:pic>
    <xdr:clientData/>
  </xdr:twoCellAnchor>
  <xdr:twoCellAnchor>
    <xdr:from>
      <xdr:col>2</xdr:col>
      <xdr:colOff>167640</xdr:colOff>
      <xdr:row>96</xdr:row>
      <xdr:rowOff>144780</xdr:rowOff>
    </xdr:from>
    <xdr:to>
      <xdr:col>5</xdr:col>
      <xdr:colOff>1310640</xdr:colOff>
      <xdr:row>111</xdr:row>
      <xdr:rowOff>8096</xdr:rowOff>
    </xdr:to>
    <xdr:graphicFrame macro="">
      <xdr:nvGraphicFramePr>
        <xdr:cNvPr id="6" name="Gráfico 5">
          <a:extLst>
            <a:ext uri="{FF2B5EF4-FFF2-40B4-BE49-F238E27FC236}">
              <a16:creationId xmlns:a16="http://schemas.microsoft.com/office/drawing/2014/main" id="{EA2CE783-D869-4307-A89B-CD0E02405336}"/>
            </a:ext>
            <a:ext uri="{147F2762-F138-4A5C-976F-8EAC2B608ADB}">
              <a16:predDERef xmlns:a16="http://schemas.microsoft.com/office/drawing/2014/main" pred="{466EA74B-E4A0-4256-8D46-665AF1991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1269682</xdr:colOff>
      <xdr:row>96</xdr:row>
      <xdr:rowOff>108155</xdr:rowOff>
    </xdr:from>
    <xdr:to>
      <xdr:col>12</xdr:col>
      <xdr:colOff>64770</xdr:colOff>
      <xdr:row>110</xdr:row>
      <xdr:rowOff>75090</xdr:rowOff>
    </xdr:to>
    <xdr:graphicFrame macro="">
      <xdr:nvGraphicFramePr>
        <xdr:cNvPr id="26" name="Gráfico 6">
          <a:extLst>
            <a:ext uri="{FF2B5EF4-FFF2-40B4-BE49-F238E27FC236}">
              <a16:creationId xmlns:a16="http://schemas.microsoft.com/office/drawing/2014/main" id="{74E1ED81-610E-4802-8751-03440EE212BB}"/>
            </a:ext>
            <a:ext uri="{147F2762-F138-4A5C-976F-8EAC2B608ADB}">
              <a16:predDERef xmlns:a16="http://schemas.microsoft.com/office/drawing/2014/main" pred="{B14E1EB2-3C5B-4DEE-A3CF-63F590B5B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104911</xdr:colOff>
      <xdr:row>69</xdr:row>
      <xdr:rowOff>31750</xdr:rowOff>
    </xdr:from>
    <xdr:to>
      <xdr:col>21</xdr:col>
      <xdr:colOff>221592</xdr:colOff>
      <xdr:row>83</xdr:row>
      <xdr:rowOff>19661</xdr:rowOff>
    </xdr:to>
    <xdr:graphicFrame macro="">
      <xdr:nvGraphicFramePr>
        <xdr:cNvPr id="8" name="Gráfico 7">
          <a:extLst>
            <a:ext uri="{FF2B5EF4-FFF2-40B4-BE49-F238E27FC236}">
              <a16:creationId xmlns:a16="http://schemas.microsoft.com/office/drawing/2014/main" id="{5925FC21-7053-4F0A-9660-C8FF369A001F}"/>
            </a:ext>
            <a:ext uri="{147F2762-F138-4A5C-976F-8EAC2B608ADB}">
              <a16:predDERef xmlns:a16="http://schemas.microsoft.com/office/drawing/2014/main" pred="{61D60C5F-8A9A-4298-81E9-21328EB7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384470</xdr:colOff>
      <xdr:row>10</xdr:row>
      <xdr:rowOff>219074</xdr:rowOff>
    </xdr:from>
    <xdr:to>
      <xdr:col>24</xdr:col>
      <xdr:colOff>154781</xdr:colOff>
      <xdr:row>24</xdr:row>
      <xdr:rowOff>19525</xdr:rowOff>
    </xdr:to>
    <xdr:graphicFrame macro="">
      <xdr:nvGraphicFramePr>
        <xdr:cNvPr id="9" name="Gráfico 8">
          <a:extLst>
            <a:ext uri="{FF2B5EF4-FFF2-40B4-BE49-F238E27FC236}">
              <a16:creationId xmlns:a16="http://schemas.microsoft.com/office/drawing/2014/main" id="{274DA26D-E495-49B3-9EC0-04FE0C307A03}"/>
            </a:ext>
            <a:ext uri="{147F2762-F138-4A5C-976F-8EAC2B608ADB}">
              <a16:predDERef xmlns:a16="http://schemas.microsoft.com/office/drawing/2014/main" pred="{C0B33165-DA71-4644-9536-80B1478AD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506215</xdr:colOff>
      <xdr:row>69</xdr:row>
      <xdr:rowOff>118322</xdr:rowOff>
    </xdr:from>
    <xdr:to>
      <xdr:col>27</xdr:col>
      <xdr:colOff>81400</xdr:colOff>
      <xdr:row>83</xdr:row>
      <xdr:rowOff>158750</xdr:rowOff>
    </xdr:to>
    <xdr:graphicFrame macro="">
      <xdr:nvGraphicFramePr>
        <xdr:cNvPr id="10" name="Gráfico 9">
          <a:extLst>
            <a:ext uri="{FF2B5EF4-FFF2-40B4-BE49-F238E27FC236}">
              <a16:creationId xmlns:a16="http://schemas.microsoft.com/office/drawing/2014/main" id="{DFCFA7F0-306E-46AB-91D0-46338670C0D4}"/>
            </a:ext>
            <a:ext uri="{147F2762-F138-4A5C-976F-8EAC2B608ADB}">
              <a16:predDERef xmlns:a16="http://schemas.microsoft.com/office/drawing/2014/main" pred="{49E453BE-126A-44CD-93ED-47015DE3F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1055915</xdr:colOff>
      <xdr:row>85</xdr:row>
      <xdr:rowOff>21771</xdr:rowOff>
    </xdr:from>
    <xdr:to>
      <xdr:col>6</xdr:col>
      <xdr:colOff>1080408</xdr:colOff>
      <xdr:row>112</xdr:row>
      <xdr:rowOff>164647</xdr:rowOff>
    </xdr:to>
    <xdr:cxnSp macro="">
      <xdr:nvCxnSpPr>
        <xdr:cNvPr id="11" name="Conector recto 10">
          <a:extLst>
            <a:ext uri="{FF2B5EF4-FFF2-40B4-BE49-F238E27FC236}">
              <a16:creationId xmlns:a16="http://schemas.microsoft.com/office/drawing/2014/main" id="{24922F2A-84A0-4933-92BF-D9173A315608}"/>
            </a:ext>
          </a:extLst>
        </xdr:cNvPr>
        <xdr:cNvCxnSpPr/>
      </xdr:nvCxnSpPr>
      <xdr:spPr>
        <a:xfrm>
          <a:off x="10255160" y="17905911"/>
          <a:ext cx="30208" cy="6008371"/>
        </a:xfrm>
        <a:prstGeom prst="line">
          <a:avLst/>
        </a:prstGeom>
        <a:ln w="76200">
          <a:solidFill>
            <a:srgbClr val="B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13</xdr:col>
      <xdr:colOff>1001485</xdr:colOff>
      <xdr:row>85</xdr:row>
      <xdr:rowOff>108857</xdr:rowOff>
    </xdr:from>
    <xdr:to>
      <xdr:col>14</xdr:col>
      <xdr:colOff>10885</xdr:colOff>
      <xdr:row>112</xdr:row>
      <xdr:rowOff>185057</xdr:rowOff>
    </xdr:to>
    <xdr:cxnSp macro="">
      <xdr:nvCxnSpPr>
        <xdr:cNvPr id="12" name="Conector recto 11">
          <a:extLst>
            <a:ext uri="{FF2B5EF4-FFF2-40B4-BE49-F238E27FC236}">
              <a16:creationId xmlns:a16="http://schemas.microsoft.com/office/drawing/2014/main" id="{1799FEA2-9CB0-4CCE-91C6-221C60ABB2A1}"/>
            </a:ext>
          </a:extLst>
        </xdr:cNvPr>
        <xdr:cNvCxnSpPr/>
      </xdr:nvCxnSpPr>
      <xdr:spPr>
        <a:xfrm>
          <a:off x="18215065" y="17994902"/>
          <a:ext cx="9525" cy="5934075"/>
        </a:xfrm>
        <a:prstGeom prst="line">
          <a:avLst/>
        </a:prstGeom>
        <a:ln w="76200">
          <a:solidFill>
            <a:srgbClr val="C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23</xdr:col>
      <xdr:colOff>382163</xdr:colOff>
      <xdr:row>93</xdr:row>
      <xdr:rowOff>105831</xdr:rowOff>
    </xdr:from>
    <xdr:to>
      <xdr:col>29</xdr:col>
      <xdr:colOff>338667</xdr:colOff>
      <xdr:row>103</xdr:row>
      <xdr:rowOff>71544</xdr:rowOff>
    </xdr:to>
    <xdr:graphicFrame macro="">
      <xdr:nvGraphicFramePr>
        <xdr:cNvPr id="13" name="Gráfico 12">
          <a:extLst>
            <a:ext uri="{FF2B5EF4-FFF2-40B4-BE49-F238E27FC236}">
              <a16:creationId xmlns:a16="http://schemas.microsoft.com/office/drawing/2014/main" id="{B38E0FEA-DD5E-4C41-B45E-486027D8E100}"/>
            </a:ext>
            <a:ext uri="{147F2762-F138-4A5C-976F-8EAC2B608ADB}">
              <a16:predDERef xmlns:a16="http://schemas.microsoft.com/office/drawing/2014/main" pred="{A99EF794-96CF-4616-B960-66E5F5006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255271</xdr:colOff>
      <xdr:row>11</xdr:row>
      <xdr:rowOff>121922</xdr:rowOff>
    </xdr:from>
    <xdr:to>
      <xdr:col>16</xdr:col>
      <xdr:colOff>529591</xdr:colOff>
      <xdr:row>23</xdr:row>
      <xdr:rowOff>131446</xdr:rowOff>
    </xdr:to>
    <xdr:graphicFrame macro="">
      <xdr:nvGraphicFramePr>
        <xdr:cNvPr id="14" name="Gráfico 13">
          <a:extLst>
            <a:ext uri="{FF2B5EF4-FFF2-40B4-BE49-F238E27FC236}">
              <a16:creationId xmlns:a16="http://schemas.microsoft.com/office/drawing/2014/main" id="{6C0DDA91-D3D5-4699-9FC4-94EB2399398F}"/>
            </a:ext>
            <a:ext uri="{147F2762-F138-4A5C-976F-8EAC2B608ADB}">
              <a16:predDERef xmlns:a16="http://schemas.microsoft.com/office/drawing/2014/main" pred="{ED605138-321E-48BE-B95A-8C18CB502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47624</xdr:colOff>
      <xdr:row>48</xdr:row>
      <xdr:rowOff>48441</xdr:rowOff>
    </xdr:from>
    <xdr:to>
      <xdr:col>16</xdr:col>
      <xdr:colOff>1145857</xdr:colOff>
      <xdr:row>61</xdr:row>
      <xdr:rowOff>35719</xdr:rowOff>
    </xdr:to>
    <xdr:graphicFrame macro="">
      <xdr:nvGraphicFramePr>
        <xdr:cNvPr id="15" name="Gráfico 14">
          <a:extLst>
            <a:ext uri="{FF2B5EF4-FFF2-40B4-BE49-F238E27FC236}">
              <a16:creationId xmlns:a16="http://schemas.microsoft.com/office/drawing/2014/main" id="{94726EEE-AB93-4ECE-8285-3ADEE45295F1}"/>
            </a:ext>
            <a:ext uri="{147F2762-F138-4A5C-976F-8EAC2B608ADB}">
              <a16:predDERef xmlns:a16="http://schemas.microsoft.com/office/drawing/2014/main" pred="{1D6EEBFC-3BFF-45CE-9988-E4D07537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155667</xdr:colOff>
      <xdr:row>31</xdr:row>
      <xdr:rowOff>115795</xdr:rowOff>
    </xdr:from>
    <xdr:to>
      <xdr:col>16</xdr:col>
      <xdr:colOff>781050</xdr:colOff>
      <xdr:row>44</xdr:row>
      <xdr:rowOff>66675</xdr:rowOff>
    </xdr:to>
    <xdr:graphicFrame macro="">
      <xdr:nvGraphicFramePr>
        <xdr:cNvPr id="16" name="Gráfico 15">
          <a:extLst>
            <a:ext uri="{FF2B5EF4-FFF2-40B4-BE49-F238E27FC236}">
              <a16:creationId xmlns:a16="http://schemas.microsoft.com/office/drawing/2014/main" id="{F06E02A1-4CF5-4290-A2EC-F66F5A12B6CC}"/>
            </a:ext>
            <a:ext uri="{147F2762-F138-4A5C-976F-8EAC2B608ADB}">
              <a16:predDERef xmlns:a16="http://schemas.microsoft.com/office/drawing/2014/main" pred="{791DB38D-22A8-4BA3-955B-4E2235CA6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208597</xdr:colOff>
      <xdr:row>10</xdr:row>
      <xdr:rowOff>114299</xdr:rowOff>
    </xdr:from>
    <xdr:to>
      <xdr:col>29</xdr:col>
      <xdr:colOff>126682</xdr:colOff>
      <xdr:row>23</xdr:row>
      <xdr:rowOff>19796</xdr:rowOff>
    </xdr:to>
    <xdr:graphicFrame macro="">
      <xdr:nvGraphicFramePr>
        <xdr:cNvPr id="17" name="Gráfico 16">
          <a:extLst>
            <a:ext uri="{FF2B5EF4-FFF2-40B4-BE49-F238E27FC236}">
              <a16:creationId xmlns:a16="http://schemas.microsoft.com/office/drawing/2014/main" id="{4DC79855-47B1-4FFE-A362-540CFA4DF918}"/>
            </a:ext>
            <a:ext uri="{147F2762-F138-4A5C-976F-8EAC2B608ADB}">
              <a16:predDERef xmlns:a16="http://schemas.microsoft.com/office/drawing/2014/main" pred="{123C3721-37C2-421C-AABE-24A1AA23B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45244</xdr:colOff>
      <xdr:row>10</xdr:row>
      <xdr:rowOff>83819</xdr:rowOff>
    </xdr:from>
    <xdr:to>
      <xdr:col>37</xdr:col>
      <xdr:colOff>592795</xdr:colOff>
      <xdr:row>24</xdr:row>
      <xdr:rowOff>114434</xdr:rowOff>
    </xdr:to>
    <xdr:graphicFrame macro="">
      <xdr:nvGraphicFramePr>
        <xdr:cNvPr id="18" name="Gráfico 17">
          <a:extLst>
            <a:ext uri="{FF2B5EF4-FFF2-40B4-BE49-F238E27FC236}">
              <a16:creationId xmlns:a16="http://schemas.microsoft.com/office/drawing/2014/main" id="{4BB26F23-B4AC-4784-B13C-E60F3B6DD526}"/>
            </a:ext>
            <a:ext uri="{147F2762-F138-4A5C-976F-8EAC2B608ADB}">
              <a16:predDERef xmlns:a16="http://schemas.microsoft.com/office/drawing/2014/main" pred="{5DC9BBBC-C90A-4E78-8635-EA71485D9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193360</xdr:colOff>
      <xdr:row>32</xdr:row>
      <xdr:rowOff>20481</xdr:rowOff>
    </xdr:from>
    <xdr:to>
      <xdr:col>22</xdr:col>
      <xdr:colOff>114301</xdr:colOff>
      <xdr:row>45</xdr:row>
      <xdr:rowOff>66676</xdr:rowOff>
    </xdr:to>
    <xdr:graphicFrame macro="">
      <xdr:nvGraphicFramePr>
        <xdr:cNvPr id="19" name="Gráfico 18">
          <a:extLst>
            <a:ext uri="{FF2B5EF4-FFF2-40B4-BE49-F238E27FC236}">
              <a16:creationId xmlns:a16="http://schemas.microsoft.com/office/drawing/2014/main" id="{2BA1A7DA-587B-404F-AE1E-4E50103A7C60}"/>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298610</xdr:colOff>
      <xdr:row>32</xdr:row>
      <xdr:rowOff>53341</xdr:rowOff>
    </xdr:from>
    <xdr:to>
      <xdr:col>29</xdr:col>
      <xdr:colOff>55245</xdr:colOff>
      <xdr:row>44</xdr:row>
      <xdr:rowOff>58103</xdr:rowOff>
    </xdr:to>
    <xdr:graphicFrame macro="">
      <xdr:nvGraphicFramePr>
        <xdr:cNvPr id="20" name="Gráfico 19">
          <a:extLst>
            <a:ext uri="{FF2B5EF4-FFF2-40B4-BE49-F238E27FC236}">
              <a16:creationId xmlns:a16="http://schemas.microsoft.com/office/drawing/2014/main" id="{C68FCBD7-931E-4751-8A8E-0F9D71E61F4E}"/>
            </a:ext>
            <a:ext uri="{147F2762-F138-4A5C-976F-8EAC2B608ADB}">
              <a16:predDERef xmlns:a16="http://schemas.microsoft.com/office/drawing/2014/main" pred="{55B49C84-AE72-4A9C-8EED-95E31DCC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765809</xdr:colOff>
      <xdr:row>47</xdr:row>
      <xdr:rowOff>131445</xdr:rowOff>
    </xdr:from>
    <xdr:to>
      <xdr:col>30</xdr:col>
      <xdr:colOff>287655</xdr:colOff>
      <xdr:row>60</xdr:row>
      <xdr:rowOff>122057</xdr:rowOff>
    </xdr:to>
    <xdr:graphicFrame macro="">
      <xdr:nvGraphicFramePr>
        <xdr:cNvPr id="21" name="Gráfico 20">
          <a:extLst>
            <a:ext uri="{FF2B5EF4-FFF2-40B4-BE49-F238E27FC236}">
              <a16:creationId xmlns:a16="http://schemas.microsoft.com/office/drawing/2014/main" id="{BA897C3A-377C-42FE-9009-64EB72F686F0}"/>
            </a:ext>
            <a:ext uri="{147F2762-F138-4A5C-976F-8EAC2B608ADB}">
              <a16:predDERef xmlns:a16="http://schemas.microsoft.com/office/drawing/2014/main" pred="{8836561B-9CAF-441D-9319-11B867D5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428625</xdr:colOff>
      <xdr:row>5</xdr:row>
      <xdr:rowOff>104775</xdr:rowOff>
    </xdr:from>
    <xdr:to>
      <xdr:col>12</xdr:col>
      <xdr:colOff>438150</xdr:colOff>
      <xdr:row>65</xdr:row>
      <xdr:rowOff>114300</xdr:rowOff>
    </xdr:to>
    <xdr:cxnSp macro="">
      <xdr:nvCxnSpPr>
        <xdr:cNvPr id="24" name="Conector recto 23">
          <a:extLst>
            <a:ext uri="{FF2B5EF4-FFF2-40B4-BE49-F238E27FC236}">
              <a16:creationId xmlns:a16="http://schemas.microsoft.com/office/drawing/2014/main" id="{40CC3FAF-8B3D-47D4-8552-ABA87136879A}"/>
            </a:ext>
          </a:extLst>
        </xdr:cNvPr>
        <xdr:cNvCxnSpPr/>
      </xdr:nvCxnSpPr>
      <xdr:spPr>
        <a:xfrm flipH="1">
          <a:off x="17080230" y="1626870"/>
          <a:ext cx="3810" cy="1182243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24</xdr:col>
      <xdr:colOff>466725</xdr:colOff>
      <xdr:row>5</xdr:row>
      <xdr:rowOff>180975</xdr:rowOff>
    </xdr:from>
    <xdr:to>
      <xdr:col>24</xdr:col>
      <xdr:colOff>476250</xdr:colOff>
      <xdr:row>65</xdr:row>
      <xdr:rowOff>190500</xdr:rowOff>
    </xdr:to>
    <xdr:cxnSp macro="">
      <xdr:nvCxnSpPr>
        <xdr:cNvPr id="25" name="Conector recto 24">
          <a:extLst>
            <a:ext uri="{FF2B5EF4-FFF2-40B4-BE49-F238E27FC236}">
              <a16:creationId xmlns:a16="http://schemas.microsoft.com/office/drawing/2014/main" id="{F82217D5-74F1-4926-88E2-A96FEE4F4479}"/>
            </a:ext>
          </a:extLst>
        </xdr:cNvPr>
        <xdr:cNvCxnSpPr/>
      </xdr:nvCxnSpPr>
      <xdr:spPr>
        <a:xfrm flipH="1">
          <a:off x="27938730" y="1703070"/>
          <a:ext cx="3810" cy="1182243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32</xdr:col>
      <xdr:colOff>0</xdr:colOff>
      <xdr:row>33</xdr:row>
      <xdr:rowOff>0</xdr:rowOff>
    </xdr:from>
    <xdr:to>
      <xdr:col>37</xdr:col>
      <xdr:colOff>63816</xdr:colOff>
      <xdr:row>46</xdr:row>
      <xdr:rowOff>48100</xdr:rowOff>
    </xdr:to>
    <xdr:graphicFrame macro="">
      <xdr:nvGraphicFramePr>
        <xdr:cNvPr id="7" name="Gráfico 6">
          <a:extLst>
            <a:ext uri="{FF2B5EF4-FFF2-40B4-BE49-F238E27FC236}">
              <a16:creationId xmlns:a16="http://schemas.microsoft.com/office/drawing/2014/main" id="{00356E12-88FF-46EA-9482-8FAEAC2C9B40}"/>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173355</xdr:colOff>
      <xdr:row>47</xdr:row>
      <xdr:rowOff>19050</xdr:rowOff>
    </xdr:from>
    <xdr:to>
      <xdr:col>23</xdr:col>
      <xdr:colOff>294321</xdr:colOff>
      <xdr:row>58</xdr:row>
      <xdr:rowOff>114300</xdr:rowOff>
    </xdr:to>
    <xdr:graphicFrame macro="">
      <xdr:nvGraphicFramePr>
        <xdr:cNvPr id="27" name="Gráfico 26">
          <a:extLst>
            <a:ext uri="{FF2B5EF4-FFF2-40B4-BE49-F238E27FC236}">
              <a16:creationId xmlns:a16="http://schemas.microsoft.com/office/drawing/2014/main" id="{170B8C08-E06B-4930-BD0E-78EF77054B49}"/>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381000</xdr:colOff>
      <xdr:row>48</xdr:row>
      <xdr:rowOff>104775</xdr:rowOff>
    </xdr:from>
    <xdr:to>
      <xdr:col>38</xdr:col>
      <xdr:colOff>65721</xdr:colOff>
      <xdr:row>59</xdr:row>
      <xdr:rowOff>196215</xdr:rowOff>
    </xdr:to>
    <xdr:graphicFrame macro="">
      <xdr:nvGraphicFramePr>
        <xdr:cNvPr id="28" name="Gráfico 27">
          <a:extLst>
            <a:ext uri="{FF2B5EF4-FFF2-40B4-BE49-F238E27FC236}">
              <a16:creationId xmlns:a16="http://schemas.microsoft.com/office/drawing/2014/main" id="{9BC611E9-F21C-4127-9E7C-C15A8CC7359F}"/>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886676C0-D059-4C32-9F80-7A31ADFF61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4144" cy="1116330"/>
        </a:xfrm>
        <a:prstGeom prst="rect">
          <a:avLst/>
        </a:prstGeom>
      </xdr:spPr>
    </xdr:pic>
    <xdr:clientData/>
  </xdr:twoCellAnchor>
  <xdr:twoCellAnchor editAs="oneCell">
    <xdr:from>
      <xdr:col>9</xdr:col>
      <xdr:colOff>410455</xdr:colOff>
      <xdr:row>0</xdr:row>
      <xdr:rowOff>217718</xdr:rowOff>
    </xdr:from>
    <xdr:to>
      <xdr:col>9</xdr:col>
      <xdr:colOff>1239019</xdr:colOff>
      <xdr:row>2</xdr:row>
      <xdr:rowOff>288057</xdr:rowOff>
    </xdr:to>
    <xdr:pic>
      <xdr:nvPicPr>
        <xdr:cNvPr id="33"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FAAAFCCA-58F0-4400-B823-951B94F666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3010669" y="217718"/>
          <a:ext cx="834279" cy="830434"/>
        </a:xfrm>
        <a:prstGeom prst="rect">
          <a:avLst/>
        </a:prstGeom>
      </xdr:spPr>
    </xdr:pic>
    <xdr:clientData/>
  </xdr:twoCellAnchor>
  <xdr:twoCellAnchor editAs="oneCell">
    <xdr:from>
      <xdr:col>8</xdr:col>
      <xdr:colOff>340179</xdr:colOff>
      <xdr:row>0</xdr:row>
      <xdr:rowOff>204110</xdr:rowOff>
    </xdr:from>
    <xdr:to>
      <xdr:col>8</xdr:col>
      <xdr:colOff>1178939</xdr:colOff>
      <xdr:row>2</xdr:row>
      <xdr:rowOff>285879</xdr:rowOff>
    </xdr:to>
    <xdr:pic>
      <xdr:nvPicPr>
        <xdr:cNvPr id="34"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172F4541-57DE-44CC-93E0-7C8B21DD787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715750" y="204110"/>
          <a:ext cx="838760" cy="830434"/>
        </a:xfrm>
        <a:prstGeom prst="rect">
          <a:avLst/>
        </a:prstGeom>
      </xdr:spPr>
    </xdr:pic>
    <xdr:clientData/>
  </xdr:twoCellAnchor>
  <xdr:twoCellAnchor editAs="oneCell">
    <xdr:from>
      <xdr:col>20</xdr:col>
      <xdr:colOff>328500</xdr:colOff>
      <xdr:row>0</xdr:row>
      <xdr:rowOff>147280</xdr:rowOff>
    </xdr:from>
    <xdr:to>
      <xdr:col>21</xdr:col>
      <xdr:colOff>437086</xdr:colOff>
      <xdr:row>2</xdr:row>
      <xdr:rowOff>282960</xdr:rowOff>
    </xdr:to>
    <xdr:pic>
      <xdr:nvPicPr>
        <xdr:cNvPr id="23" name="Gráfico 4" descr="Libro abierto con relleno sólido">
          <a:hlinkClick xmlns:r="http://schemas.openxmlformats.org/officeDocument/2006/relationships" r:id="rId2"/>
          <a:extLst>
            <a:ext uri="{FF2B5EF4-FFF2-40B4-BE49-F238E27FC236}">
              <a16:creationId xmlns:a16="http://schemas.microsoft.com/office/drawing/2014/main" id="{5FE9B680-0CB9-47FD-8A78-039D6505693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4222643" y="147280"/>
          <a:ext cx="902971" cy="903395"/>
        </a:xfrm>
        <a:prstGeom prst="rect">
          <a:avLst/>
        </a:prstGeom>
      </xdr:spPr>
    </xdr:pic>
    <xdr:clientData/>
  </xdr:twoCellAnchor>
  <xdr:twoCellAnchor>
    <xdr:from>
      <xdr:col>2</xdr:col>
      <xdr:colOff>908262</xdr:colOff>
      <xdr:row>95</xdr:row>
      <xdr:rowOff>216748</xdr:rowOff>
    </xdr:from>
    <xdr:to>
      <xdr:col>5</xdr:col>
      <xdr:colOff>610447</xdr:colOff>
      <xdr:row>106</xdr:row>
      <xdr:rowOff>175948</xdr:rowOff>
    </xdr:to>
    <xdr:graphicFrame macro="">
      <xdr:nvGraphicFramePr>
        <xdr:cNvPr id="6" name="Gráfico 5">
          <a:extLst>
            <a:ext uri="{FF2B5EF4-FFF2-40B4-BE49-F238E27FC236}">
              <a16:creationId xmlns:a16="http://schemas.microsoft.com/office/drawing/2014/main" id="{BAC9DF78-7ED5-4932-A308-DBD89B1F9042}"/>
            </a:ext>
            <a:ext uri="{147F2762-F138-4A5C-976F-8EAC2B608ADB}">
              <a16:predDERef xmlns:a16="http://schemas.microsoft.com/office/drawing/2014/main" pred="{466EA74B-E4A0-4256-8D46-665AF1991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388090</xdr:colOff>
      <xdr:row>96</xdr:row>
      <xdr:rowOff>150282</xdr:rowOff>
    </xdr:from>
    <xdr:to>
      <xdr:col>12</xdr:col>
      <xdr:colOff>339248</xdr:colOff>
      <xdr:row>108</xdr:row>
      <xdr:rowOff>17939</xdr:rowOff>
    </xdr:to>
    <xdr:graphicFrame macro="">
      <xdr:nvGraphicFramePr>
        <xdr:cNvPr id="7" name="Gráfico 6">
          <a:extLst>
            <a:ext uri="{FF2B5EF4-FFF2-40B4-BE49-F238E27FC236}">
              <a16:creationId xmlns:a16="http://schemas.microsoft.com/office/drawing/2014/main" id="{D0FB1885-4EDD-42F0-9B34-F827A68B80BD}"/>
            </a:ext>
            <a:ext uri="{147F2762-F138-4A5C-976F-8EAC2B608ADB}">
              <a16:predDERef xmlns:a16="http://schemas.microsoft.com/office/drawing/2014/main" pred="{B14E1EB2-3C5B-4DEE-A3CF-63F590B5B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175185</xdr:colOff>
      <xdr:row>69</xdr:row>
      <xdr:rowOff>74430</xdr:rowOff>
    </xdr:from>
    <xdr:to>
      <xdr:col>21</xdr:col>
      <xdr:colOff>293771</xdr:colOff>
      <xdr:row>83</xdr:row>
      <xdr:rowOff>137583</xdr:rowOff>
    </xdr:to>
    <xdr:graphicFrame macro="">
      <xdr:nvGraphicFramePr>
        <xdr:cNvPr id="8" name="Gráfico 7">
          <a:extLst>
            <a:ext uri="{FF2B5EF4-FFF2-40B4-BE49-F238E27FC236}">
              <a16:creationId xmlns:a16="http://schemas.microsoft.com/office/drawing/2014/main" id="{F9DF595E-0728-47C0-A834-15D7C7A130E5}"/>
            </a:ext>
            <a:ext uri="{147F2762-F138-4A5C-976F-8EAC2B608ADB}">
              <a16:predDERef xmlns:a16="http://schemas.microsoft.com/office/drawing/2014/main" pred="{61D60C5F-8A9A-4298-81E9-21328EB7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382565</xdr:colOff>
      <xdr:row>10</xdr:row>
      <xdr:rowOff>31773</xdr:rowOff>
    </xdr:from>
    <xdr:to>
      <xdr:col>24</xdr:col>
      <xdr:colOff>131921</xdr:colOff>
      <xdr:row>23</xdr:row>
      <xdr:rowOff>97155</xdr:rowOff>
    </xdr:to>
    <xdr:graphicFrame macro="">
      <xdr:nvGraphicFramePr>
        <xdr:cNvPr id="9" name="Gráfico 8">
          <a:extLst>
            <a:ext uri="{FF2B5EF4-FFF2-40B4-BE49-F238E27FC236}">
              <a16:creationId xmlns:a16="http://schemas.microsoft.com/office/drawing/2014/main" id="{DA7BE9DC-BA45-48BA-87F8-E450FE03CF8E}"/>
            </a:ext>
            <a:ext uri="{147F2762-F138-4A5C-976F-8EAC2B608ADB}">
              <a16:predDERef xmlns:a16="http://schemas.microsoft.com/office/drawing/2014/main" pred="{C0B33165-DA71-4644-9536-80B1478AD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474346</xdr:colOff>
      <xdr:row>69</xdr:row>
      <xdr:rowOff>174201</xdr:rowOff>
    </xdr:from>
    <xdr:to>
      <xdr:col>29</xdr:col>
      <xdr:colOff>243416</xdr:colOff>
      <xdr:row>83</xdr:row>
      <xdr:rowOff>173143</xdr:rowOff>
    </xdr:to>
    <xdr:graphicFrame macro="">
      <xdr:nvGraphicFramePr>
        <xdr:cNvPr id="10" name="Gráfico 9">
          <a:extLst>
            <a:ext uri="{FF2B5EF4-FFF2-40B4-BE49-F238E27FC236}">
              <a16:creationId xmlns:a16="http://schemas.microsoft.com/office/drawing/2014/main" id="{FBF3B230-C67B-4448-A47E-FCBB7AF4351B}"/>
            </a:ext>
            <a:ext uri="{147F2762-F138-4A5C-976F-8EAC2B608ADB}">
              <a16:predDERef xmlns:a16="http://schemas.microsoft.com/office/drawing/2014/main" pred="{49E453BE-126A-44CD-93ED-47015DE3F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1055915</xdr:colOff>
      <xdr:row>85</xdr:row>
      <xdr:rowOff>21771</xdr:rowOff>
    </xdr:from>
    <xdr:to>
      <xdr:col>6</xdr:col>
      <xdr:colOff>1080408</xdr:colOff>
      <xdr:row>112</xdr:row>
      <xdr:rowOff>164647</xdr:rowOff>
    </xdr:to>
    <xdr:cxnSp macro="">
      <xdr:nvCxnSpPr>
        <xdr:cNvPr id="11" name="Conector recto 10">
          <a:extLst>
            <a:ext uri="{FF2B5EF4-FFF2-40B4-BE49-F238E27FC236}">
              <a16:creationId xmlns:a16="http://schemas.microsoft.com/office/drawing/2014/main" id="{DA995564-1BD2-4648-8630-1372BFC2F78A}"/>
            </a:ext>
          </a:extLst>
        </xdr:cNvPr>
        <xdr:cNvCxnSpPr/>
      </xdr:nvCxnSpPr>
      <xdr:spPr>
        <a:xfrm>
          <a:off x="10255160" y="17705886"/>
          <a:ext cx="30208" cy="6160771"/>
        </a:xfrm>
        <a:prstGeom prst="line">
          <a:avLst/>
        </a:prstGeom>
        <a:ln w="76200">
          <a:solidFill>
            <a:srgbClr val="B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13</xdr:col>
      <xdr:colOff>1001485</xdr:colOff>
      <xdr:row>85</xdr:row>
      <xdr:rowOff>108857</xdr:rowOff>
    </xdr:from>
    <xdr:to>
      <xdr:col>14</xdr:col>
      <xdr:colOff>10885</xdr:colOff>
      <xdr:row>112</xdr:row>
      <xdr:rowOff>185057</xdr:rowOff>
    </xdr:to>
    <xdr:cxnSp macro="">
      <xdr:nvCxnSpPr>
        <xdr:cNvPr id="12" name="Conector recto 11">
          <a:extLst>
            <a:ext uri="{FF2B5EF4-FFF2-40B4-BE49-F238E27FC236}">
              <a16:creationId xmlns:a16="http://schemas.microsoft.com/office/drawing/2014/main" id="{A6DE8E41-B5E9-4DDD-9583-3DAE9CACCB8B}"/>
            </a:ext>
          </a:extLst>
        </xdr:cNvPr>
        <xdr:cNvCxnSpPr/>
      </xdr:nvCxnSpPr>
      <xdr:spPr>
        <a:xfrm>
          <a:off x="18215065" y="17794877"/>
          <a:ext cx="9525" cy="6086475"/>
        </a:xfrm>
        <a:prstGeom prst="line">
          <a:avLst/>
        </a:prstGeom>
        <a:ln w="76200">
          <a:solidFill>
            <a:srgbClr val="C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24</xdr:col>
      <xdr:colOff>563985</xdr:colOff>
      <xdr:row>94</xdr:row>
      <xdr:rowOff>239605</xdr:rowOff>
    </xdr:from>
    <xdr:to>
      <xdr:col>30</xdr:col>
      <xdr:colOff>522394</xdr:colOff>
      <xdr:row>105</xdr:row>
      <xdr:rowOff>4234</xdr:rowOff>
    </xdr:to>
    <xdr:graphicFrame macro="">
      <xdr:nvGraphicFramePr>
        <xdr:cNvPr id="13" name="Gráfico 12">
          <a:extLst>
            <a:ext uri="{FF2B5EF4-FFF2-40B4-BE49-F238E27FC236}">
              <a16:creationId xmlns:a16="http://schemas.microsoft.com/office/drawing/2014/main" id="{E38B9D03-99A8-4DB0-8CBA-AFE6978A85EE}"/>
            </a:ext>
            <a:ext uri="{147F2762-F138-4A5C-976F-8EAC2B608ADB}">
              <a16:predDERef xmlns:a16="http://schemas.microsoft.com/office/drawing/2014/main" pred="{A99EF794-96CF-4616-B960-66E5F5006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87630</xdr:colOff>
      <xdr:row>10</xdr:row>
      <xdr:rowOff>131446</xdr:rowOff>
    </xdr:from>
    <xdr:to>
      <xdr:col>16</xdr:col>
      <xdr:colOff>781050</xdr:colOff>
      <xdr:row>24</xdr:row>
      <xdr:rowOff>135527</xdr:rowOff>
    </xdr:to>
    <xdr:graphicFrame macro="">
      <xdr:nvGraphicFramePr>
        <xdr:cNvPr id="14" name="Gráfico 13">
          <a:extLst>
            <a:ext uri="{FF2B5EF4-FFF2-40B4-BE49-F238E27FC236}">
              <a16:creationId xmlns:a16="http://schemas.microsoft.com/office/drawing/2014/main" id="{1C8AF0D5-9649-4248-8F99-12A1043F35D3}"/>
            </a:ext>
            <a:ext uri="{147F2762-F138-4A5C-976F-8EAC2B608ADB}">
              <a16:predDERef xmlns:a16="http://schemas.microsoft.com/office/drawing/2014/main" pred="{ED605138-321E-48BE-B95A-8C18CB502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127634</xdr:colOff>
      <xdr:row>47</xdr:row>
      <xdr:rowOff>124641</xdr:rowOff>
    </xdr:from>
    <xdr:to>
      <xdr:col>16</xdr:col>
      <xdr:colOff>1227772</xdr:colOff>
      <xdr:row>60</xdr:row>
      <xdr:rowOff>77629</xdr:rowOff>
    </xdr:to>
    <xdr:graphicFrame macro="">
      <xdr:nvGraphicFramePr>
        <xdr:cNvPr id="15" name="Gráfico 14">
          <a:extLst>
            <a:ext uri="{FF2B5EF4-FFF2-40B4-BE49-F238E27FC236}">
              <a16:creationId xmlns:a16="http://schemas.microsoft.com/office/drawing/2014/main" id="{9B42CB12-A5FF-4DFD-992A-E9D98F37DB29}"/>
            </a:ext>
            <a:ext uri="{147F2762-F138-4A5C-976F-8EAC2B608ADB}">
              <a16:predDERef xmlns:a16="http://schemas.microsoft.com/office/drawing/2014/main" pred="{1D6EEBFC-3BFF-45CE-9988-E4D07537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400049</xdr:colOff>
      <xdr:row>31</xdr:row>
      <xdr:rowOff>133349</xdr:rowOff>
    </xdr:from>
    <xdr:to>
      <xdr:col>16</xdr:col>
      <xdr:colOff>1082040</xdr:colOff>
      <xdr:row>45</xdr:row>
      <xdr:rowOff>57151</xdr:rowOff>
    </xdr:to>
    <xdr:graphicFrame macro="">
      <xdr:nvGraphicFramePr>
        <xdr:cNvPr id="16" name="Gráfico 15">
          <a:extLst>
            <a:ext uri="{FF2B5EF4-FFF2-40B4-BE49-F238E27FC236}">
              <a16:creationId xmlns:a16="http://schemas.microsoft.com/office/drawing/2014/main" id="{D646EA94-7F32-4227-A7B6-D35980B245D7}"/>
            </a:ext>
            <a:ext uri="{147F2762-F138-4A5C-976F-8EAC2B608ADB}">
              <a16:predDERef xmlns:a16="http://schemas.microsoft.com/office/drawing/2014/main" pred="{791DB38D-22A8-4BA3-955B-4E2235CA6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218122</xdr:colOff>
      <xdr:row>10</xdr:row>
      <xdr:rowOff>144780</xdr:rowOff>
    </xdr:from>
    <xdr:to>
      <xdr:col>29</xdr:col>
      <xdr:colOff>132397</xdr:colOff>
      <xdr:row>24</xdr:row>
      <xdr:rowOff>153147</xdr:rowOff>
    </xdr:to>
    <xdr:graphicFrame macro="">
      <xdr:nvGraphicFramePr>
        <xdr:cNvPr id="17" name="Gráfico 16">
          <a:extLst>
            <a:ext uri="{FF2B5EF4-FFF2-40B4-BE49-F238E27FC236}">
              <a16:creationId xmlns:a16="http://schemas.microsoft.com/office/drawing/2014/main" id="{CC956F31-7187-4DB3-B027-54C8415712C6}"/>
            </a:ext>
            <a:ext uri="{147F2762-F138-4A5C-976F-8EAC2B608ADB}">
              <a16:predDERef xmlns:a16="http://schemas.microsoft.com/office/drawing/2014/main" pred="{123C3721-37C2-421C-AABE-24A1AA23B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35719</xdr:colOff>
      <xdr:row>11</xdr:row>
      <xdr:rowOff>40957</xdr:rowOff>
    </xdr:from>
    <xdr:to>
      <xdr:col>37</xdr:col>
      <xdr:colOff>571500</xdr:colOff>
      <xdr:row>26</xdr:row>
      <xdr:rowOff>76200</xdr:rowOff>
    </xdr:to>
    <xdr:graphicFrame macro="">
      <xdr:nvGraphicFramePr>
        <xdr:cNvPr id="18" name="Gráfico 17">
          <a:extLst>
            <a:ext uri="{FF2B5EF4-FFF2-40B4-BE49-F238E27FC236}">
              <a16:creationId xmlns:a16="http://schemas.microsoft.com/office/drawing/2014/main" id="{32BA6BFD-C4C5-40BD-85ED-EB1B05A55A08}"/>
            </a:ext>
            <a:ext uri="{147F2762-F138-4A5C-976F-8EAC2B608ADB}">
              <a16:predDERef xmlns:a16="http://schemas.microsoft.com/office/drawing/2014/main" pred="{5DC9BBBC-C90A-4E78-8635-EA71485D9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449580</xdr:colOff>
      <xdr:row>31</xdr:row>
      <xdr:rowOff>125729</xdr:rowOff>
    </xdr:from>
    <xdr:to>
      <xdr:col>22</xdr:col>
      <xdr:colOff>114300</xdr:colOff>
      <xdr:row>44</xdr:row>
      <xdr:rowOff>104775</xdr:rowOff>
    </xdr:to>
    <xdr:graphicFrame macro="">
      <xdr:nvGraphicFramePr>
        <xdr:cNvPr id="19" name="Gráfico 18">
          <a:extLst>
            <a:ext uri="{FF2B5EF4-FFF2-40B4-BE49-F238E27FC236}">
              <a16:creationId xmlns:a16="http://schemas.microsoft.com/office/drawing/2014/main" id="{8262F8C6-B0ED-41B5-885B-1A0F1DF5B962}"/>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279559</xdr:colOff>
      <xdr:row>31</xdr:row>
      <xdr:rowOff>153831</xdr:rowOff>
    </xdr:from>
    <xdr:to>
      <xdr:col>29</xdr:col>
      <xdr:colOff>85725</xdr:colOff>
      <xdr:row>44</xdr:row>
      <xdr:rowOff>9526</xdr:rowOff>
    </xdr:to>
    <xdr:graphicFrame macro="">
      <xdr:nvGraphicFramePr>
        <xdr:cNvPr id="20" name="Gráfico 19">
          <a:extLst>
            <a:ext uri="{FF2B5EF4-FFF2-40B4-BE49-F238E27FC236}">
              <a16:creationId xmlns:a16="http://schemas.microsoft.com/office/drawing/2014/main" id="{E31CF2C6-9F6E-4556-9833-B2A8D63D01E9}"/>
            </a:ext>
            <a:ext uri="{147F2762-F138-4A5C-976F-8EAC2B608ADB}">
              <a16:predDERef xmlns:a16="http://schemas.microsoft.com/office/drawing/2014/main" pred="{55B49C84-AE72-4A9C-8EED-95E31DCC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537209</xdr:colOff>
      <xdr:row>48</xdr:row>
      <xdr:rowOff>26670</xdr:rowOff>
    </xdr:from>
    <xdr:to>
      <xdr:col>30</xdr:col>
      <xdr:colOff>59055</xdr:colOff>
      <xdr:row>61</xdr:row>
      <xdr:rowOff>17282</xdr:rowOff>
    </xdr:to>
    <xdr:graphicFrame macro="">
      <xdr:nvGraphicFramePr>
        <xdr:cNvPr id="21" name="Gráfico 20">
          <a:extLst>
            <a:ext uri="{FF2B5EF4-FFF2-40B4-BE49-F238E27FC236}">
              <a16:creationId xmlns:a16="http://schemas.microsoft.com/office/drawing/2014/main" id="{F054111F-6530-414B-A926-E1D6728C46D4}"/>
            </a:ext>
            <a:ext uri="{147F2762-F138-4A5C-976F-8EAC2B608ADB}">
              <a16:predDERef xmlns:a16="http://schemas.microsoft.com/office/drawing/2014/main" pred="{8836561B-9CAF-441D-9319-11B867D5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428625</xdr:colOff>
      <xdr:row>5</xdr:row>
      <xdr:rowOff>104775</xdr:rowOff>
    </xdr:from>
    <xdr:to>
      <xdr:col>12</xdr:col>
      <xdr:colOff>438150</xdr:colOff>
      <xdr:row>65</xdr:row>
      <xdr:rowOff>114300</xdr:rowOff>
    </xdr:to>
    <xdr:cxnSp macro="">
      <xdr:nvCxnSpPr>
        <xdr:cNvPr id="24" name="Conector recto 23">
          <a:extLst>
            <a:ext uri="{FF2B5EF4-FFF2-40B4-BE49-F238E27FC236}">
              <a16:creationId xmlns:a16="http://schemas.microsoft.com/office/drawing/2014/main" id="{1CE32825-0D3D-4CAF-819C-7B1804E5E280}"/>
            </a:ext>
          </a:extLst>
        </xdr:cNvPr>
        <xdr:cNvCxnSpPr/>
      </xdr:nvCxnSpPr>
      <xdr:spPr>
        <a:xfrm flipH="1">
          <a:off x="17080230" y="1626870"/>
          <a:ext cx="3810" cy="1182243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24</xdr:col>
      <xdr:colOff>466725</xdr:colOff>
      <xdr:row>5</xdr:row>
      <xdr:rowOff>180975</xdr:rowOff>
    </xdr:from>
    <xdr:to>
      <xdr:col>24</xdr:col>
      <xdr:colOff>476250</xdr:colOff>
      <xdr:row>65</xdr:row>
      <xdr:rowOff>190500</xdr:rowOff>
    </xdr:to>
    <xdr:cxnSp macro="">
      <xdr:nvCxnSpPr>
        <xdr:cNvPr id="25" name="Conector recto 24">
          <a:extLst>
            <a:ext uri="{FF2B5EF4-FFF2-40B4-BE49-F238E27FC236}">
              <a16:creationId xmlns:a16="http://schemas.microsoft.com/office/drawing/2014/main" id="{A278DB2A-45F8-4311-B6D1-441E83E4A474}"/>
            </a:ext>
          </a:extLst>
        </xdr:cNvPr>
        <xdr:cNvCxnSpPr/>
      </xdr:nvCxnSpPr>
      <xdr:spPr>
        <a:xfrm flipH="1">
          <a:off x="28157805" y="1703070"/>
          <a:ext cx="3810" cy="1182243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19</xdr:col>
      <xdr:colOff>333375</xdr:colOff>
      <xdr:row>48</xdr:row>
      <xdr:rowOff>0</xdr:rowOff>
    </xdr:from>
    <xdr:to>
      <xdr:col>23</xdr:col>
      <xdr:colOff>305753</xdr:colOff>
      <xdr:row>60</xdr:row>
      <xdr:rowOff>151108</xdr:rowOff>
    </xdr:to>
    <xdr:graphicFrame macro="">
      <xdr:nvGraphicFramePr>
        <xdr:cNvPr id="26" name="Gráfico 25">
          <a:extLst>
            <a:ext uri="{FF2B5EF4-FFF2-40B4-BE49-F238E27FC236}">
              <a16:creationId xmlns:a16="http://schemas.microsoft.com/office/drawing/2014/main" id="{BB8FA2D8-0DC2-4F90-8971-792EA42ADD4C}"/>
            </a:ext>
            <a:ext uri="{147F2762-F138-4A5C-976F-8EAC2B608ADB}">
              <a16:predDERef xmlns:a16="http://schemas.microsoft.com/office/drawing/2014/main" pred="{1D6EEBFC-3BFF-45CE-9988-E4D07537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33</xdr:col>
      <xdr:colOff>656167</xdr:colOff>
      <xdr:row>46</xdr:row>
      <xdr:rowOff>232833</xdr:rowOff>
    </xdr:from>
    <xdr:to>
      <xdr:col>38</xdr:col>
      <xdr:colOff>193993</xdr:colOff>
      <xdr:row>59</xdr:row>
      <xdr:rowOff>151107</xdr:rowOff>
    </xdr:to>
    <xdr:graphicFrame macro="">
      <xdr:nvGraphicFramePr>
        <xdr:cNvPr id="27" name="Gráfico 26">
          <a:extLst>
            <a:ext uri="{FF2B5EF4-FFF2-40B4-BE49-F238E27FC236}">
              <a16:creationId xmlns:a16="http://schemas.microsoft.com/office/drawing/2014/main" id="{1F29A717-7A31-490F-8B44-4DE3EE824EF3}"/>
            </a:ext>
            <a:ext uri="{147F2762-F138-4A5C-976F-8EAC2B608ADB}">
              <a16:predDERef xmlns:a16="http://schemas.microsoft.com/office/drawing/2014/main" pred="{1D6EEBFC-3BFF-45CE-9988-E4D07537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32</xdr:col>
      <xdr:colOff>323850</xdr:colOff>
      <xdr:row>32</xdr:row>
      <xdr:rowOff>0</xdr:rowOff>
    </xdr:from>
    <xdr:to>
      <xdr:col>37</xdr:col>
      <xdr:colOff>129540</xdr:colOff>
      <xdr:row>44</xdr:row>
      <xdr:rowOff>171451</xdr:rowOff>
    </xdr:to>
    <xdr:graphicFrame macro="">
      <xdr:nvGraphicFramePr>
        <xdr:cNvPr id="28" name="Gráfico 27">
          <a:extLst>
            <a:ext uri="{FF2B5EF4-FFF2-40B4-BE49-F238E27FC236}">
              <a16:creationId xmlns:a16="http://schemas.microsoft.com/office/drawing/2014/main" id="{EE2E3A23-AE9A-49F1-9720-EAF21ACBBA51}"/>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354EE805-CAAD-453C-899A-1849AFC6A6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4144" cy="1116330"/>
        </a:xfrm>
        <a:prstGeom prst="rect">
          <a:avLst/>
        </a:prstGeom>
      </xdr:spPr>
    </xdr:pic>
    <xdr:clientData/>
  </xdr:twoCellAnchor>
  <xdr:twoCellAnchor editAs="oneCell">
    <xdr:from>
      <xdr:col>9</xdr:col>
      <xdr:colOff>424063</xdr:colOff>
      <xdr:row>0</xdr:row>
      <xdr:rowOff>149681</xdr:rowOff>
    </xdr:from>
    <xdr:to>
      <xdr:col>9</xdr:col>
      <xdr:colOff>1237387</xdr:colOff>
      <xdr:row>2</xdr:row>
      <xdr:rowOff>212400</xdr:rowOff>
    </xdr:to>
    <xdr:pic>
      <xdr:nvPicPr>
        <xdr:cNvPr id="31"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43916391-4080-4CF2-AED0-90871E25E0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3024277" y="149681"/>
          <a:ext cx="811419" cy="830434"/>
        </a:xfrm>
        <a:prstGeom prst="rect">
          <a:avLst/>
        </a:prstGeom>
      </xdr:spPr>
    </xdr:pic>
    <xdr:clientData/>
  </xdr:twoCellAnchor>
  <xdr:twoCellAnchor editAs="oneCell">
    <xdr:from>
      <xdr:col>8</xdr:col>
      <xdr:colOff>489859</xdr:colOff>
      <xdr:row>0</xdr:row>
      <xdr:rowOff>149681</xdr:rowOff>
    </xdr:from>
    <xdr:to>
      <xdr:col>9</xdr:col>
      <xdr:colOff>37029</xdr:colOff>
      <xdr:row>2</xdr:row>
      <xdr:rowOff>212400</xdr:rowOff>
    </xdr:to>
    <xdr:pic>
      <xdr:nvPicPr>
        <xdr:cNvPr id="34"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CD7DB480-21D7-4C80-BF9B-9F3EE0B8417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5430" y="149681"/>
          <a:ext cx="815900" cy="830434"/>
        </a:xfrm>
        <a:prstGeom prst="rect">
          <a:avLst/>
        </a:prstGeom>
      </xdr:spPr>
    </xdr:pic>
    <xdr:clientData/>
  </xdr:twoCellAnchor>
  <xdr:twoCellAnchor editAs="oneCell">
    <xdr:from>
      <xdr:col>20</xdr:col>
      <xdr:colOff>491786</xdr:colOff>
      <xdr:row>0</xdr:row>
      <xdr:rowOff>106458</xdr:rowOff>
    </xdr:from>
    <xdr:to>
      <xdr:col>21</xdr:col>
      <xdr:colOff>628947</xdr:colOff>
      <xdr:row>2</xdr:row>
      <xdr:rowOff>249758</xdr:rowOff>
    </xdr:to>
    <xdr:pic>
      <xdr:nvPicPr>
        <xdr:cNvPr id="22" name="Gráfico 4" descr="Libro abierto con relleno sólido">
          <a:extLst>
            <a:ext uri="{FF2B5EF4-FFF2-40B4-BE49-F238E27FC236}">
              <a16:creationId xmlns:a16="http://schemas.microsoft.com/office/drawing/2014/main" id="{1083D078-2DC4-4A18-8EC9-373B08A216B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4385929" y="106458"/>
          <a:ext cx="906781" cy="899585"/>
        </a:xfrm>
        <a:prstGeom prst="rect">
          <a:avLst/>
        </a:prstGeom>
      </xdr:spPr>
    </xdr:pic>
    <xdr:clientData/>
  </xdr:twoCellAnchor>
  <xdr:twoCellAnchor>
    <xdr:from>
      <xdr:col>2</xdr:col>
      <xdr:colOff>737234</xdr:colOff>
      <xdr:row>96</xdr:row>
      <xdr:rowOff>51434</xdr:rowOff>
    </xdr:from>
    <xdr:to>
      <xdr:col>5</xdr:col>
      <xdr:colOff>962024</xdr:colOff>
      <xdr:row>108</xdr:row>
      <xdr:rowOff>107155</xdr:rowOff>
    </xdr:to>
    <xdr:graphicFrame macro="">
      <xdr:nvGraphicFramePr>
        <xdr:cNvPr id="6" name="Gráfico 5">
          <a:extLst>
            <a:ext uri="{FF2B5EF4-FFF2-40B4-BE49-F238E27FC236}">
              <a16:creationId xmlns:a16="http://schemas.microsoft.com/office/drawing/2014/main" id="{F96B68DB-5930-41AC-B5D8-9C4E39864A40}"/>
            </a:ext>
            <a:ext uri="{147F2762-F138-4A5C-976F-8EAC2B608ADB}">
              <a16:predDERef xmlns:a16="http://schemas.microsoft.com/office/drawing/2014/main" pred="{466EA74B-E4A0-4256-8D46-665AF1991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498157</xdr:colOff>
      <xdr:row>96</xdr:row>
      <xdr:rowOff>115775</xdr:rowOff>
    </xdr:from>
    <xdr:to>
      <xdr:col>12</xdr:col>
      <xdr:colOff>445293</xdr:colOff>
      <xdr:row>110</xdr:row>
      <xdr:rowOff>75090</xdr:rowOff>
    </xdr:to>
    <xdr:graphicFrame macro="">
      <xdr:nvGraphicFramePr>
        <xdr:cNvPr id="7" name="Gráfico 6">
          <a:extLst>
            <a:ext uri="{FF2B5EF4-FFF2-40B4-BE49-F238E27FC236}">
              <a16:creationId xmlns:a16="http://schemas.microsoft.com/office/drawing/2014/main" id="{670B3994-6F5D-425C-9A61-058395CA7E50}"/>
            </a:ext>
            <a:ext uri="{147F2762-F138-4A5C-976F-8EAC2B608ADB}">
              <a16:predDERef xmlns:a16="http://schemas.microsoft.com/office/drawing/2014/main" pred="{B14E1EB2-3C5B-4DEE-A3CF-63F590B5B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742949</xdr:colOff>
      <xdr:row>69</xdr:row>
      <xdr:rowOff>133350</xdr:rowOff>
    </xdr:from>
    <xdr:to>
      <xdr:col>21</xdr:col>
      <xdr:colOff>221591</xdr:colOff>
      <xdr:row>83</xdr:row>
      <xdr:rowOff>19661</xdr:rowOff>
    </xdr:to>
    <xdr:graphicFrame macro="">
      <xdr:nvGraphicFramePr>
        <xdr:cNvPr id="8" name="Gráfico 7">
          <a:extLst>
            <a:ext uri="{FF2B5EF4-FFF2-40B4-BE49-F238E27FC236}">
              <a16:creationId xmlns:a16="http://schemas.microsoft.com/office/drawing/2014/main" id="{967EA78F-EB1D-407F-83B2-026D1F65C1C0}"/>
            </a:ext>
            <a:ext uri="{147F2762-F138-4A5C-976F-8EAC2B608ADB}">
              <a16:predDERef xmlns:a16="http://schemas.microsoft.com/office/drawing/2014/main" pred="{61D60C5F-8A9A-4298-81E9-21328EB7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390185</xdr:colOff>
      <xdr:row>10</xdr:row>
      <xdr:rowOff>125118</xdr:rowOff>
    </xdr:from>
    <xdr:to>
      <xdr:col>24</xdr:col>
      <xdr:colOff>160496</xdr:colOff>
      <xdr:row>25</xdr:row>
      <xdr:rowOff>131445</xdr:rowOff>
    </xdr:to>
    <xdr:graphicFrame macro="">
      <xdr:nvGraphicFramePr>
        <xdr:cNvPr id="9" name="Gráfico 8">
          <a:extLst>
            <a:ext uri="{FF2B5EF4-FFF2-40B4-BE49-F238E27FC236}">
              <a16:creationId xmlns:a16="http://schemas.microsoft.com/office/drawing/2014/main" id="{1354CD4F-55F1-4F01-8ACA-764C0D9D1405}"/>
            </a:ext>
            <a:ext uri="{147F2762-F138-4A5C-976F-8EAC2B608ADB}">
              <a16:predDERef xmlns:a16="http://schemas.microsoft.com/office/drawing/2014/main" pred="{C0B33165-DA71-4644-9536-80B1478AD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85724</xdr:colOff>
      <xdr:row>69</xdr:row>
      <xdr:rowOff>73071</xdr:rowOff>
    </xdr:from>
    <xdr:to>
      <xdr:col>28</xdr:col>
      <xdr:colOff>751113</xdr:colOff>
      <xdr:row>82</xdr:row>
      <xdr:rowOff>114301</xdr:rowOff>
    </xdr:to>
    <xdr:graphicFrame macro="">
      <xdr:nvGraphicFramePr>
        <xdr:cNvPr id="10" name="Gráfico 9">
          <a:extLst>
            <a:ext uri="{FF2B5EF4-FFF2-40B4-BE49-F238E27FC236}">
              <a16:creationId xmlns:a16="http://schemas.microsoft.com/office/drawing/2014/main" id="{E5EDB9E3-DEF3-4F58-B675-14606B22E412}"/>
            </a:ext>
            <a:ext uri="{147F2762-F138-4A5C-976F-8EAC2B608ADB}">
              <a16:predDERef xmlns:a16="http://schemas.microsoft.com/office/drawing/2014/main" pred="{49E453BE-126A-44CD-93ED-47015DE3F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1055915</xdr:colOff>
      <xdr:row>85</xdr:row>
      <xdr:rowOff>21771</xdr:rowOff>
    </xdr:from>
    <xdr:to>
      <xdr:col>6</xdr:col>
      <xdr:colOff>1080408</xdr:colOff>
      <xdr:row>112</xdr:row>
      <xdr:rowOff>164647</xdr:rowOff>
    </xdr:to>
    <xdr:cxnSp macro="">
      <xdr:nvCxnSpPr>
        <xdr:cNvPr id="11" name="Conector recto 10">
          <a:extLst>
            <a:ext uri="{FF2B5EF4-FFF2-40B4-BE49-F238E27FC236}">
              <a16:creationId xmlns:a16="http://schemas.microsoft.com/office/drawing/2014/main" id="{44519923-10D6-4664-9DD2-0450DB0DE4A1}"/>
            </a:ext>
          </a:extLst>
        </xdr:cNvPr>
        <xdr:cNvCxnSpPr/>
      </xdr:nvCxnSpPr>
      <xdr:spPr>
        <a:xfrm>
          <a:off x="10255160" y="17705886"/>
          <a:ext cx="30208" cy="6160771"/>
        </a:xfrm>
        <a:prstGeom prst="line">
          <a:avLst/>
        </a:prstGeom>
        <a:ln w="76200">
          <a:solidFill>
            <a:srgbClr val="B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13</xdr:col>
      <xdr:colOff>1001485</xdr:colOff>
      <xdr:row>85</xdr:row>
      <xdr:rowOff>108857</xdr:rowOff>
    </xdr:from>
    <xdr:to>
      <xdr:col>14</xdr:col>
      <xdr:colOff>10885</xdr:colOff>
      <xdr:row>112</xdr:row>
      <xdr:rowOff>185057</xdr:rowOff>
    </xdr:to>
    <xdr:cxnSp macro="">
      <xdr:nvCxnSpPr>
        <xdr:cNvPr id="12" name="Conector recto 11">
          <a:extLst>
            <a:ext uri="{FF2B5EF4-FFF2-40B4-BE49-F238E27FC236}">
              <a16:creationId xmlns:a16="http://schemas.microsoft.com/office/drawing/2014/main" id="{46896453-D42C-48C5-9D37-68ACC3277B92}"/>
            </a:ext>
          </a:extLst>
        </xdr:cNvPr>
        <xdr:cNvCxnSpPr/>
      </xdr:nvCxnSpPr>
      <xdr:spPr>
        <a:xfrm>
          <a:off x="18215065" y="17794877"/>
          <a:ext cx="9525" cy="6086475"/>
        </a:xfrm>
        <a:prstGeom prst="line">
          <a:avLst/>
        </a:prstGeom>
        <a:ln w="76200">
          <a:solidFill>
            <a:srgbClr val="C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24</xdr:col>
      <xdr:colOff>126681</xdr:colOff>
      <xdr:row>95</xdr:row>
      <xdr:rowOff>66673</xdr:rowOff>
    </xdr:from>
    <xdr:to>
      <xdr:col>30</xdr:col>
      <xdr:colOff>79375</xdr:colOff>
      <xdr:row>105</xdr:row>
      <xdr:rowOff>186690</xdr:rowOff>
    </xdr:to>
    <xdr:graphicFrame macro="">
      <xdr:nvGraphicFramePr>
        <xdr:cNvPr id="13" name="Gráfico 12">
          <a:extLst>
            <a:ext uri="{FF2B5EF4-FFF2-40B4-BE49-F238E27FC236}">
              <a16:creationId xmlns:a16="http://schemas.microsoft.com/office/drawing/2014/main" id="{3474A06C-4936-43D1-86A5-28C4F829FA39}"/>
            </a:ext>
            <a:ext uri="{147F2762-F138-4A5C-976F-8EAC2B608ADB}">
              <a16:predDERef xmlns:a16="http://schemas.microsoft.com/office/drawing/2014/main" pred="{A99EF794-96CF-4616-B960-66E5F5006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293370</xdr:colOff>
      <xdr:row>11</xdr:row>
      <xdr:rowOff>169546</xdr:rowOff>
    </xdr:from>
    <xdr:to>
      <xdr:col>16</xdr:col>
      <xdr:colOff>988695</xdr:colOff>
      <xdr:row>26</xdr:row>
      <xdr:rowOff>45992</xdr:rowOff>
    </xdr:to>
    <xdr:graphicFrame macro="">
      <xdr:nvGraphicFramePr>
        <xdr:cNvPr id="14" name="Gráfico 13">
          <a:extLst>
            <a:ext uri="{FF2B5EF4-FFF2-40B4-BE49-F238E27FC236}">
              <a16:creationId xmlns:a16="http://schemas.microsoft.com/office/drawing/2014/main" id="{28ED975E-C34E-4559-A7F2-775790949F9A}"/>
            </a:ext>
            <a:ext uri="{147F2762-F138-4A5C-976F-8EAC2B608ADB}">
              <a16:predDERef xmlns:a16="http://schemas.microsoft.com/office/drawing/2014/main" pred="{ED605138-321E-48BE-B95A-8C18CB502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97154</xdr:colOff>
      <xdr:row>47</xdr:row>
      <xdr:rowOff>48441</xdr:rowOff>
    </xdr:from>
    <xdr:to>
      <xdr:col>16</xdr:col>
      <xdr:colOff>1187767</xdr:colOff>
      <xdr:row>59</xdr:row>
      <xdr:rowOff>199549</xdr:rowOff>
    </xdr:to>
    <xdr:graphicFrame macro="">
      <xdr:nvGraphicFramePr>
        <xdr:cNvPr id="15" name="Gráfico 14">
          <a:extLst>
            <a:ext uri="{FF2B5EF4-FFF2-40B4-BE49-F238E27FC236}">
              <a16:creationId xmlns:a16="http://schemas.microsoft.com/office/drawing/2014/main" id="{CC2D786B-FD3F-42EC-A3D1-DC13CDBE0A33}"/>
            </a:ext>
            <a:ext uri="{147F2762-F138-4A5C-976F-8EAC2B608ADB}">
              <a16:predDERef xmlns:a16="http://schemas.microsoft.com/office/drawing/2014/main" pred="{1D6EEBFC-3BFF-45CE-9988-E4D07537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19050</xdr:colOff>
      <xdr:row>31</xdr:row>
      <xdr:rowOff>64360</xdr:rowOff>
    </xdr:from>
    <xdr:to>
      <xdr:col>16</xdr:col>
      <xdr:colOff>895350</xdr:colOff>
      <xdr:row>44</xdr:row>
      <xdr:rowOff>66675</xdr:rowOff>
    </xdr:to>
    <xdr:graphicFrame macro="">
      <xdr:nvGraphicFramePr>
        <xdr:cNvPr id="16" name="Gráfico 15">
          <a:extLst>
            <a:ext uri="{FF2B5EF4-FFF2-40B4-BE49-F238E27FC236}">
              <a16:creationId xmlns:a16="http://schemas.microsoft.com/office/drawing/2014/main" id="{6896EE13-DD39-4A17-B798-E64E0B4BD1A3}"/>
            </a:ext>
            <a:ext uri="{147F2762-F138-4A5C-976F-8EAC2B608ADB}">
              <a16:predDERef xmlns:a16="http://schemas.microsoft.com/office/drawing/2014/main" pred="{791DB38D-22A8-4BA3-955B-4E2235CA6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753427</xdr:colOff>
      <xdr:row>10</xdr:row>
      <xdr:rowOff>144780</xdr:rowOff>
    </xdr:from>
    <xdr:to>
      <xdr:col>29</xdr:col>
      <xdr:colOff>665797</xdr:colOff>
      <xdr:row>24</xdr:row>
      <xdr:rowOff>153147</xdr:rowOff>
    </xdr:to>
    <xdr:graphicFrame macro="">
      <xdr:nvGraphicFramePr>
        <xdr:cNvPr id="17" name="Gráfico 16">
          <a:extLst>
            <a:ext uri="{FF2B5EF4-FFF2-40B4-BE49-F238E27FC236}">
              <a16:creationId xmlns:a16="http://schemas.microsoft.com/office/drawing/2014/main" id="{7D939542-3F8B-48D4-85BF-AD0D5045B76C}"/>
            </a:ext>
            <a:ext uri="{147F2762-F138-4A5C-976F-8EAC2B608ADB}">
              <a16:predDERef xmlns:a16="http://schemas.microsoft.com/office/drawing/2014/main" pred="{123C3721-37C2-421C-AABE-24A1AA23B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351950</xdr:colOff>
      <xdr:row>10</xdr:row>
      <xdr:rowOff>2857</xdr:rowOff>
    </xdr:from>
    <xdr:to>
      <xdr:col>38</xdr:col>
      <xdr:colOff>104776</xdr:colOff>
      <xdr:row>25</xdr:row>
      <xdr:rowOff>104775</xdr:rowOff>
    </xdr:to>
    <xdr:graphicFrame macro="">
      <xdr:nvGraphicFramePr>
        <xdr:cNvPr id="18" name="Gráfico 17">
          <a:extLst>
            <a:ext uri="{FF2B5EF4-FFF2-40B4-BE49-F238E27FC236}">
              <a16:creationId xmlns:a16="http://schemas.microsoft.com/office/drawing/2014/main" id="{42688E2C-1993-43A2-A283-CF4F6C710193}"/>
            </a:ext>
            <a:ext uri="{147F2762-F138-4A5C-976F-8EAC2B608ADB}">
              <a16:predDERef xmlns:a16="http://schemas.microsoft.com/office/drawing/2014/main" pred="{5DC9BBBC-C90A-4E78-8635-EA71485D9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521970</xdr:colOff>
      <xdr:row>32</xdr:row>
      <xdr:rowOff>72390</xdr:rowOff>
    </xdr:from>
    <xdr:to>
      <xdr:col>21</xdr:col>
      <xdr:colOff>472507</xdr:colOff>
      <xdr:row>44</xdr:row>
      <xdr:rowOff>161924</xdr:rowOff>
    </xdr:to>
    <xdr:graphicFrame macro="">
      <xdr:nvGraphicFramePr>
        <xdr:cNvPr id="19" name="Gráfico 18">
          <a:extLst>
            <a:ext uri="{FF2B5EF4-FFF2-40B4-BE49-F238E27FC236}">
              <a16:creationId xmlns:a16="http://schemas.microsoft.com/office/drawing/2014/main" id="{B104184C-E225-4D3F-9361-1D3B497F377D}"/>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304801</xdr:colOff>
      <xdr:row>30</xdr:row>
      <xdr:rowOff>167640</xdr:rowOff>
    </xdr:from>
    <xdr:to>
      <xdr:col>29</xdr:col>
      <xdr:colOff>3809</xdr:colOff>
      <xdr:row>44</xdr:row>
      <xdr:rowOff>122872</xdr:rowOff>
    </xdr:to>
    <xdr:graphicFrame macro="">
      <xdr:nvGraphicFramePr>
        <xdr:cNvPr id="20" name="Gráfico 19">
          <a:extLst>
            <a:ext uri="{FF2B5EF4-FFF2-40B4-BE49-F238E27FC236}">
              <a16:creationId xmlns:a16="http://schemas.microsoft.com/office/drawing/2014/main" id="{F73AD62F-A89E-42DD-8C45-5358536A1430}"/>
            </a:ext>
            <a:ext uri="{147F2762-F138-4A5C-976F-8EAC2B608ADB}">
              <a16:predDERef xmlns:a16="http://schemas.microsoft.com/office/drawing/2014/main" pred="{55B49C84-AE72-4A9C-8EED-95E31DCC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723899</xdr:colOff>
      <xdr:row>47</xdr:row>
      <xdr:rowOff>68580</xdr:rowOff>
    </xdr:from>
    <xdr:to>
      <xdr:col>30</xdr:col>
      <xdr:colOff>249555</xdr:colOff>
      <xdr:row>60</xdr:row>
      <xdr:rowOff>30617</xdr:rowOff>
    </xdr:to>
    <xdr:graphicFrame macro="">
      <xdr:nvGraphicFramePr>
        <xdr:cNvPr id="21" name="Gráfico 20">
          <a:extLst>
            <a:ext uri="{FF2B5EF4-FFF2-40B4-BE49-F238E27FC236}">
              <a16:creationId xmlns:a16="http://schemas.microsoft.com/office/drawing/2014/main" id="{A74E756F-A6F5-4266-B0F2-ED6966C99492}"/>
            </a:ext>
            <a:ext uri="{147F2762-F138-4A5C-976F-8EAC2B608ADB}">
              <a16:predDERef xmlns:a16="http://schemas.microsoft.com/office/drawing/2014/main" pred="{8836561B-9CAF-441D-9319-11B867D5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428625</xdr:colOff>
      <xdr:row>5</xdr:row>
      <xdr:rowOff>104775</xdr:rowOff>
    </xdr:from>
    <xdr:to>
      <xdr:col>12</xdr:col>
      <xdr:colOff>438150</xdr:colOff>
      <xdr:row>65</xdr:row>
      <xdr:rowOff>114300</xdr:rowOff>
    </xdr:to>
    <xdr:cxnSp macro="">
      <xdr:nvCxnSpPr>
        <xdr:cNvPr id="24" name="Conector recto 23">
          <a:extLst>
            <a:ext uri="{FF2B5EF4-FFF2-40B4-BE49-F238E27FC236}">
              <a16:creationId xmlns:a16="http://schemas.microsoft.com/office/drawing/2014/main" id="{85BC1223-C42E-48EB-908A-BD57C98EDCBE}"/>
            </a:ext>
          </a:extLst>
        </xdr:cNvPr>
        <xdr:cNvCxnSpPr/>
      </xdr:nvCxnSpPr>
      <xdr:spPr>
        <a:xfrm flipH="1">
          <a:off x="17080230" y="1626870"/>
          <a:ext cx="3810" cy="1182243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24</xdr:col>
      <xdr:colOff>466725</xdr:colOff>
      <xdr:row>5</xdr:row>
      <xdr:rowOff>180975</xdr:rowOff>
    </xdr:from>
    <xdr:to>
      <xdr:col>24</xdr:col>
      <xdr:colOff>476250</xdr:colOff>
      <xdr:row>65</xdr:row>
      <xdr:rowOff>190500</xdr:rowOff>
    </xdr:to>
    <xdr:cxnSp macro="">
      <xdr:nvCxnSpPr>
        <xdr:cNvPr id="25" name="Conector recto 24">
          <a:extLst>
            <a:ext uri="{FF2B5EF4-FFF2-40B4-BE49-F238E27FC236}">
              <a16:creationId xmlns:a16="http://schemas.microsoft.com/office/drawing/2014/main" id="{9094E107-4974-4543-BAA7-716817E991FB}"/>
            </a:ext>
          </a:extLst>
        </xdr:cNvPr>
        <xdr:cNvCxnSpPr/>
      </xdr:nvCxnSpPr>
      <xdr:spPr>
        <a:xfrm flipH="1">
          <a:off x="28157805" y="1703070"/>
          <a:ext cx="3810" cy="1182243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20</xdr:col>
      <xdr:colOff>0</xdr:colOff>
      <xdr:row>48</xdr:row>
      <xdr:rowOff>0</xdr:rowOff>
    </xdr:from>
    <xdr:to>
      <xdr:col>24</xdr:col>
      <xdr:colOff>251527</xdr:colOff>
      <xdr:row>60</xdr:row>
      <xdr:rowOff>120015</xdr:rowOff>
    </xdr:to>
    <xdr:graphicFrame macro="">
      <xdr:nvGraphicFramePr>
        <xdr:cNvPr id="3" name="Gráfico 2">
          <a:extLst>
            <a:ext uri="{FF2B5EF4-FFF2-40B4-BE49-F238E27FC236}">
              <a16:creationId xmlns:a16="http://schemas.microsoft.com/office/drawing/2014/main" id="{3B3A25AB-B3DA-4539-888F-4E27C1A2298E}"/>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33</xdr:col>
      <xdr:colOff>590550</xdr:colOff>
      <xdr:row>48</xdr:row>
      <xdr:rowOff>85725</xdr:rowOff>
    </xdr:from>
    <xdr:to>
      <xdr:col>38</xdr:col>
      <xdr:colOff>53407</xdr:colOff>
      <xdr:row>61</xdr:row>
      <xdr:rowOff>9525</xdr:rowOff>
    </xdr:to>
    <xdr:graphicFrame macro="">
      <xdr:nvGraphicFramePr>
        <xdr:cNvPr id="4" name="Gráfico 3">
          <a:extLst>
            <a:ext uri="{FF2B5EF4-FFF2-40B4-BE49-F238E27FC236}">
              <a16:creationId xmlns:a16="http://schemas.microsoft.com/office/drawing/2014/main" id="{9FBB06FB-D22E-4B59-B251-0F1080187AEE}"/>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0FA6252F-DEF3-411D-A6B9-1267B20795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4144" cy="1116330"/>
        </a:xfrm>
        <a:prstGeom prst="rect">
          <a:avLst/>
        </a:prstGeom>
      </xdr:spPr>
    </xdr:pic>
    <xdr:clientData/>
  </xdr:twoCellAnchor>
  <xdr:twoCellAnchor editAs="oneCell">
    <xdr:from>
      <xdr:col>9</xdr:col>
      <xdr:colOff>546526</xdr:colOff>
      <xdr:row>0</xdr:row>
      <xdr:rowOff>149682</xdr:rowOff>
    </xdr:from>
    <xdr:to>
      <xdr:col>9</xdr:col>
      <xdr:colOff>1392235</xdr:colOff>
      <xdr:row>2</xdr:row>
      <xdr:rowOff>212401</xdr:rowOff>
    </xdr:to>
    <xdr:pic>
      <xdr:nvPicPr>
        <xdr:cNvPr id="34"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76CDE6A5-A07B-40B8-8176-E4743800BE2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3146740" y="149682"/>
          <a:ext cx="834279" cy="834244"/>
        </a:xfrm>
        <a:prstGeom prst="rect">
          <a:avLst/>
        </a:prstGeom>
      </xdr:spPr>
    </xdr:pic>
    <xdr:clientData/>
  </xdr:twoCellAnchor>
  <xdr:twoCellAnchor editAs="oneCell">
    <xdr:from>
      <xdr:col>8</xdr:col>
      <xdr:colOff>571501</xdr:colOff>
      <xdr:row>0</xdr:row>
      <xdr:rowOff>163289</xdr:rowOff>
    </xdr:from>
    <xdr:to>
      <xdr:col>9</xdr:col>
      <xdr:colOff>132006</xdr:colOff>
      <xdr:row>2</xdr:row>
      <xdr:rowOff>248868</xdr:rowOff>
    </xdr:to>
    <xdr:pic>
      <xdr:nvPicPr>
        <xdr:cNvPr id="35"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EA4C2B55-2D9A-4D22-9FB0-8037201E7F7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947072" y="163289"/>
          <a:ext cx="838760" cy="834244"/>
        </a:xfrm>
        <a:prstGeom prst="rect">
          <a:avLst/>
        </a:prstGeom>
      </xdr:spPr>
    </xdr:pic>
    <xdr:clientData/>
  </xdr:twoCellAnchor>
  <xdr:twoCellAnchor editAs="oneCell">
    <xdr:from>
      <xdr:col>20</xdr:col>
      <xdr:colOff>519000</xdr:colOff>
      <xdr:row>0</xdr:row>
      <xdr:rowOff>147280</xdr:rowOff>
    </xdr:from>
    <xdr:to>
      <xdr:col>21</xdr:col>
      <xdr:colOff>631396</xdr:colOff>
      <xdr:row>2</xdr:row>
      <xdr:rowOff>282960</xdr:rowOff>
    </xdr:to>
    <xdr:pic>
      <xdr:nvPicPr>
        <xdr:cNvPr id="29" name="Gráfico 4" descr="Libro abierto con relleno sólido">
          <a:hlinkClick xmlns:r="http://schemas.openxmlformats.org/officeDocument/2006/relationships" r:id="rId6"/>
          <a:extLst>
            <a:ext uri="{FF2B5EF4-FFF2-40B4-BE49-F238E27FC236}">
              <a16:creationId xmlns:a16="http://schemas.microsoft.com/office/drawing/2014/main" id="{FAAB4236-332B-4835-9E37-EC4A6CEA7C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4413143" y="147280"/>
          <a:ext cx="906781" cy="899585"/>
        </a:xfrm>
        <a:prstGeom prst="rect">
          <a:avLst/>
        </a:prstGeom>
      </xdr:spPr>
    </xdr:pic>
    <xdr:clientData/>
  </xdr:twoCellAnchor>
  <xdr:twoCellAnchor>
    <xdr:from>
      <xdr:col>2</xdr:col>
      <xdr:colOff>1184909</xdr:colOff>
      <xdr:row>96</xdr:row>
      <xdr:rowOff>281940</xdr:rowOff>
    </xdr:from>
    <xdr:to>
      <xdr:col>5</xdr:col>
      <xdr:colOff>1066799</xdr:colOff>
      <xdr:row>108</xdr:row>
      <xdr:rowOff>30956</xdr:rowOff>
    </xdr:to>
    <xdr:graphicFrame macro="">
      <xdr:nvGraphicFramePr>
        <xdr:cNvPr id="6" name="Gráfico 5">
          <a:extLst>
            <a:ext uri="{FF2B5EF4-FFF2-40B4-BE49-F238E27FC236}">
              <a16:creationId xmlns:a16="http://schemas.microsoft.com/office/drawing/2014/main" id="{E9D0D86F-F514-40CC-98CB-6F58FBF3D62A}"/>
            </a:ext>
            <a:ext uri="{147F2762-F138-4A5C-976F-8EAC2B608ADB}">
              <a16:predDERef xmlns:a16="http://schemas.microsoft.com/office/drawing/2014/main" pred="{466EA74B-E4A0-4256-8D46-665AF1991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631507</xdr:colOff>
      <xdr:row>96</xdr:row>
      <xdr:rowOff>182450</xdr:rowOff>
    </xdr:from>
    <xdr:to>
      <xdr:col>12</xdr:col>
      <xdr:colOff>578643</xdr:colOff>
      <xdr:row>110</xdr:row>
      <xdr:rowOff>141765</xdr:rowOff>
    </xdr:to>
    <xdr:graphicFrame macro="">
      <xdr:nvGraphicFramePr>
        <xdr:cNvPr id="7" name="Gráfico 6">
          <a:extLst>
            <a:ext uri="{FF2B5EF4-FFF2-40B4-BE49-F238E27FC236}">
              <a16:creationId xmlns:a16="http://schemas.microsoft.com/office/drawing/2014/main" id="{B705DF10-7C26-425D-905E-E230A69EE3F0}"/>
            </a:ext>
            <a:ext uri="{147F2762-F138-4A5C-976F-8EAC2B608ADB}">
              <a16:predDERef xmlns:a16="http://schemas.microsoft.com/office/drawing/2014/main" pred="{B14E1EB2-3C5B-4DEE-A3CF-63F590B5B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514350</xdr:colOff>
      <xdr:row>69</xdr:row>
      <xdr:rowOff>85725</xdr:rowOff>
    </xdr:from>
    <xdr:to>
      <xdr:col>20</xdr:col>
      <xdr:colOff>612117</xdr:colOff>
      <xdr:row>82</xdr:row>
      <xdr:rowOff>17756</xdr:rowOff>
    </xdr:to>
    <xdr:graphicFrame macro="">
      <xdr:nvGraphicFramePr>
        <xdr:cNvPr id="8" name="Gráfico 7">
          <a:extLst>
            <a:ext uri="{FF2B5EF4-FFF2-40B4-BE49-F238E27FC236}">
              <a16:creationId xmlns:a16="http://schemas.microsoft.com/office/drawing/2014/main" id="{C5956BD6-5B37-4DF6-853E-813899DBAEAF}"/>
            </a:ext>
            <a:ext uri="{147F2762-F138-4A5C-976F-8EAC2B608ADB}">
              <a16:predDERef xmlns:a16="http://schemas.microsoft.com/office/drawing/2014/main" pred="{61D60C5F-8A9A-4298-81E9-21328EB7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3470</xdr:colOff>
      <xdr:row>10</xdr:row>
      <xdr:rowOff>136549</xdr:rowOff>
    </xdr:from>
    <xdr:to>
      <xdr:col>23</xdr:col>
      <xdr:colOff>554831</xdr:colOff>
      <xdr:row>25</xdr:row>
      <xdr:rowOff>28576</xdr:rowOff>
    </xdr:to>
    <xdr:graphicFrame macro="">
      <xdr:nvGraphicFramePr>
        <xdr:cNvPr id="9" name="Gráfico 8">
          <a:extLst>
            <a:ext uri="{FF2B5EF4-FFF2-40B4-BE49-F238E27FC236}">
              <a16:creationId xmlns:a16="http://schemas.microsoft.com/office/drawing/2014/main" id="{E3241879-7263-45EF-91A8-0A19B3FA8218}"/>
            </a:ext>
            <a:ext uri="{147F2762-F138-4A5C-976F-8EAC2B608ADB}">
              <a16:predDERef xmlns:a16="http://schemas.microsoft.com/office/drawing/2014/main" pred="{C0B33165-DA71-4644-9536-80B1478AD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182880</xdr:colOff>
      <xdr:row>69</xdr:row>
      <xdr:rowOff>148590</xdr:rowOff>
    </xdr:from>
    <xdr:to>
      <xdr:col>27</xdr:col>
      <xdr:colOff>263434</xdr:colOff>
      <xdr:row>82</xdr:row>
      <xdr:rowOff>57150</xdr:rowOff>
    </xdr:to>
    <xdr:graphicFrame macro="">
      <xdr:nvGraphicFramePr>
        <xdr:cNvPr id="10" name="Gráfico 9">
          <a:extLst>
            <a:ext uri="{FF2B5EF4-FFF2-40B4-BE49-F238E27FC236}">
              <a16:creationId xmlns:a16="http://schemas.microsoft.com/office/drawing/2014/main" id="{3CBF4E4D-5F8B-49F5-994C-15F2B221B74F}"/>
            </a:ext>
            <a:ext uri="{147F2762-F138-4A5C-976F-8EAC2B608ADB}">
              <a16:predDERef xmlns:a16="http://schemas.microsoft.com/office/drawing/2014/main" pred="{49E453BE-126A-44CD-93ED-47015DE3F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1055915</xdr:colOff>
      <xdr:row>85</xdr:row>
      <xdr:rowOff>21771</xdr:rowOff>
    </xdr:from>
    <xdr:to>
      <xdr:col>6</xdr:col>
      <xdr:colOff>1080408</xdr:colOff>
      <xdr:row>112</xdr:row>
      <xdr:rowOff>164647</xdr:rowOff>
    </xdr:to>
    <xdr:cxnSp macro="">
      <xdr:nvCxnSpPr>
        <xdr:cNvPr id="11" name="Conector recto 10">
          <a:extLst>
            <a:ext uri="{FF2B5EF4-FFF2-40B4-BE49-F238E27FC236}">
              <a16:creationId xmlns:a16="http://schemas.microsoft.com/office/drawing/2014/main" id="{94051546-92AD-4B1C-B325-87868D8B5E4A}"/>
            </a:ext>
          </a:extLst>
        </xdr:cNvPr>
        <xdr:cNvCxnSpPr/>
      </xdr:nvCxnSpPr>
      <xdr:spPr>
        <a:xfrm>
          <a:off x="10255160" y="17705886"/>
          <a:ext cx="30208" cy="6160771"/>
        </a:xfrm>
        <a:prstGeom prst="line">
          <a:avLst/>
        </a:prstGeom>
        <a:ln w="76200">
          <a:solidFill>
            <a:srgbClr val="B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13</xdr:col>
      <xdr:colOff>1001485</xdr:colOff>
      <xdr:row>85</xdr:row>
      <xdr:rowOff>108857</xdr:rowOff>
    </xdr:from>
    <xdr:to>
      <xdr:col>14</xdr:col>
      <xdr:colOff>10885</xdr:colOff>
      <xdr:row>112</xdr:row>
      <xdr:rowOff>185057</xdr:rowOff>
    </xdr:to>
    <xdr:cxnSp macro="">
      <xdr:nvCxnSpPr>
        <xdr:cNvPr id="12" name="Conector recto 11">
          <a:extLst>
            <a:ext uri="{FF2B5EF4-FFF2-40B4-BE49-F238E27FC236}">
              <a16:creationId xmlns:a16="http://schemas.microsoft.com/office/drawing/2014/main" id="{9B703BCB-0BBB-454A-964A-2D4821C28C3D}"/>
            </a:ext>
          </a:extLst>
        </xdr:cNvPr>
        <xdr:cNvCxnSpPr/>
      </xdr:nvCxnSpPr>
      <xdr:spPr>
        <a:xfrm>
          <a:off x="18215065" y="17794877"/>
          <a:ext cx="9525" cy="6086475"/>
        </a:xfrm>
        <a:prstGeom prst="line">
          <a:avLst/>
        </a:prstGeom>
        <a:ln w="76200">
          <a:solidFill>
            <a:srgbClr val="C00000"/>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23</xdr:col>
      <xdr:colOff>772476</xdr:colOff>
      <xdr:row>94</xdr:row>
      <xdr:rowOff>179068</xdr:rowOff>
    </xdr:from>
    <xdr:to>
      <xdr:col>29</xdr:col>
      <xdr:colOff>730885</xdr:colOff>
      <xdr:row>104</xdr:row>
      <xdr:rowOff>144780</xdr:rowOff>
    </xdr:to>
    <xdr:graphicFrame macro="">
      <xdr:nvGraphicFramePr>
        <xdr:cNvPr id="13" name="Gráfico 12">
          <a:extLst>
            <a:ext uri="{FF2B5EF4-FFF2-40B4-BE49-F238E27FC236}">
              <a16:creationId xmlns:a16="http://schemas.microsoft.com/office/drawing/2014/main" id="{695EB84A-53A9-4126-8068-63727C8B9832}"/>
            </a:ext>
            <a:ext uri="{147F2762-F138-4A5C-976F-8EAC2B608ADB}">
              <a16:predDERef xmlns:a16="http://schemas.microsoft.com/office/drawing/2014/main" pred="{A99EF794-96CF-4616-B960-66E5F5006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742950</xdr:colOff>
      <xdr:row>11</xdr:row>
      <xdr:rowOff>91441</xdr:rowOff>
    </xdr:from>
    <xdr:to>
      <xdr:col>16</xdr:col>
      <xdr:colOff>657225</xdr:colOff>
      <xdr:row>25</xdr:row>
      <xdr:rowOff>105047</xdr:rowOff>
    </xdr:to>
    <xdr:graphicFrame macro="">
      <xdr:nvGraphicFramePr>
        <xdr:cNvPr id="14" name="Gráfico 13">
          <a:extLst>
            <a:ext uri="{FF2B5EF4-FFF2-40B4-BE49-F238E27FC236}">
              <a16:creationId xmlns:a16="http://schemas.microsoft.com/office/drawing/2014/main" id="{3FE5718C-BDF4-4869-808D-833FE543F984}"/>
            </a:ext>
            <a:ext uri="{147F2762-F138-4A5C-976F-8EAC2B608ADB}">
              <a16:predDERef xmlns:a16="http://schemas.microsoft.com/office/drawing/2014/main" pred="{ED605138-321E-48BE-B95A-8C18CB502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306704</xdr:colOff>
      <xdr:row>46</xdr:row>
      <xdr:rowOff>212271</xdr:rowOff>
    </xdr:from>
    <xdr:to>
      <xdr:col>17</xdr:col>
      <xdr:colOff>140017</xdr:colOff>
      <xdr:row>59</xdr:row>
      <xdr:rowOff>134779</xdr:rowOff>
    </xdr:to>
    <xdr:graphicFrame macro="">
      <xdr:nvGraphicFramePr>
        <xdr:cNvPr id="15" name="Gráfico 14">
          <a:extLst>
            <a:ext uri="{FF2B5EF4-FFF2-40B4-BE49-F238E27FC236}">
              <a16:creationId xmlns:a16="http://schemas.microsoft.com/office/drawing/2014/main" id="{0545796D-D0E3-4C91-A4F4-6C2695815F08}"/>
            </a:ext>
            <a:ext uri="{147F2762-F138-4A5C-976F-8EAC2B608ADB}">
              <a16:predDERef xmlns:a16="http://schemas.microsoft.com/office/drawing/2014/main" pred="{1D6EEBFC-3BFF-45CE-9988-E4D07537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702402</xdr:colOff>
      <xdr:row>32</xdr:row>
      <xdr:rowOff>98650</xdr:rowOff>
    </xdr:from>
    <xdr:to>
      <xdr:col>16</xdr:col>
      <xdr:colOff>1181100</xdr:colOff>
      <xdr:row>44</xdr:row>
      <xdr:rowOff>106680</xdr:rowOff>
    </xdr:to>
    <xdr:graphicFrame macro="">
      <xdr:nvGraphicFramePr>
        <xdr:cNvPr id="16" name="Gráfico 15">
          <a:extLst>
            <a:ext uri="{FF2B5EF4-FFF2-40B4-BE49-F238E27FC236}">
              <a16:creationId xmlns:a16="http://schemas.microsoft.com/office/drawing/2014/main" id="{1E9ED40B-866F-4905-951C-A3385A36387E}"/>
            </a:ext>
            <a:ext uri="{147F2762-F138-4A5C-976F-8EAC2B608ADB}">
              <a16:predDERef xmlns:a16="http://schemas.microsoft.com/office/drawing/2014/main" pred="{791DB38D-22A8-4BA3-955B-4E2235CA6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xdr:col>
      <xdr:colOff>665797</xdr:colOff>
      <xdr:row>10</xdr:row>
      <xdr:rowOff>125730</xdr:rowOff>
    </xdr:from>
    <xdr:to>
      <xdr:col>28</xdr:col>
      <xdr:colOff>580072</xdr:colOff>
      <xdr:row>24</xdr:row>
      <xdr:rowOff>134097</xdr:rowOff>
    </xdr:to>
    <xdr:graphicFrame macro="">
      <xdr:nvGraphicFramePr>
        <xdr:cNvPr id="17" name="Gráfico 16">
          <a:extLst>
            <a:ext uri="{FF2B5EF4-FFF2-40B4-BE49-F238E27FC236}">
              <a16:creationId xmlns:a16="http://schemas.microsoft.com/office/drawing/2014/main" id="{23D2B0DB-BE67-402F-AD1E-B86D42587142}"/>
            </a:ext>
            <a:ext uri="{147F2762-F138-4A5C-976F-8EAC2B608ADB}">
              <a16:predDERef xmlns:a16="http://schemas.microsoft.com/office/drawing/2014/main" pred="{123C3721-37C2-421C-AABE-24A1AA23B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30</xdr:col>
      <xdr:colOff>134779</xdr:colOff>
      <xdr:row>10</xdr:row>
      <xdr:rowOff>143827</xdr:rowOff>
    </xdr:from>
    <xdr:to>
      <xdr:col>36</xdr:col>
      <xdr:colOff>674710</xdr:colOff>
      <xdr:row>26</xdr:row>
      <xdr:rowOff>114300</xdr:rowOff>
    </xdr:to>
    <xdr:graphicFrame macro="">
      <xdr:nvGraphicFramePr>
        <xdr:cNvPr id="18" name="Gráfico 17">
          <a:extLst>
            <a:ext uri="{FF2B5EF4-FFF2-40B4-BE49-F238E27FC236}">
              <a16:creationId xmlns:a16="http://schemas.microsoft.com/office/drawing/2014/main" id="{78F27C76-802F-4703-BE73-E75B719FE4A3}"/>
            </a:ext>
            <a:ext uri="{147F2762-F138-4A5C-976F-8EAC2B608ADB}">
              <a16:predDERef xmlns:a16="http://schemas.microsoft.com/office/drawing/2014/main" pred="{5DC9BBBC-C90A-4E78-8635-EA71485D9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561975</xdr:colOff>
      <xdr:row>32</xdr:row>
      <xdr:rowOff>17145</xdr:rowOff>
    </xdr:from>
    <xdr:to>
      <xdr:col>21</xdr:col>
      <xdr:colOff>672532</xdr:colOff>
      <xdr:row>44</xdr:row>
      <xdr:rowOff>66675</xdr:rowOff>
    </xdr:to>
    <xdr:graphicFrame macro="">
      <xdr:nvGraphicFramePr>
        <xdr:cNvPr id="19" name="Gráfico 18">
          <a:extLst>
            <a:ext uri="{FF2B5EF4-FFF2-40B4-BE49-F238E27FC236}">
              <a16:creationId xmlns:a16="http://schemas.microsoft.com/office/drawing/2014/main" id="{A941B95A-03D6-413E-B693-583AC79AE46B}"/>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35719</xdr:colOff>
      <xdr:row>32</xdr:row>
      <xdr:rowOff>16670</xdr:rowOff>
    </xdr:from>
    <xdr:to>
      <xdr:col>29</xdr:col>
      <xdr:colOff>582930</xdr:colOff>
      <xdr:row>44</xdr:row>
      <xdr:rowOff>114300</xdr:rowOff>
    </xdr:to>
    <xdr:graphicFrame macro="">
      <xdr:nvGraphicFramePr>
        <xdr:cNvPr id="20" name="Gráfico 19">
          <a:extLst>
            <a:ext uri="{FF2B5EF4-FFF2-40B4-BE49-F238E27FC236}">
              <a16:creationId xmlns:a16="http://schemas.microsoft.com/office/drawing/2014/main" id="{8A29F9E3-1D77-44AC-87D2-C4BF1AE27493}"/>
            </a:ext>
            <a:ext uri="{147F2762-F138-4A5C-976F-8EAC2B608ADB}">
              <a16:predDERef xmlns:a16="http://schemas.microsoft.com/office/drawing/2014/main" pred="{55B49C84-AE72-4A9C-8EED-95E31DCC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41909</xdr:colOff>
      <xdr:row>48</xdr:row>
      <xdr:rowOff>83820</xdr:rowOff>
    </xdr:from>
    <xdr:to>
      <xdr:col>30</xdr:col>
      <xdr:colOff>344805</xdr:colOff>
      <xdr:row>61</xdr:row>
      <xdr:rowOff>74432</xdr:rowOff>
    </xdr:to>
    <xdr:graphicFrame macro="">
      <xdr:nvGraphicFramePr>
        <xdr:cNvPr id="21" name="Gráfico 20">
          <a:extLst>
            <a:ext uri="{FF2B5EF4-FFF2-40B4-BE49-F238E27FC236}">
              <a16:creationId xmlns:a16="http://schemas.microsoft.com/office/drawing/2014/main" id="{12B9A4FF-A55A-45AC-9D29-531412062CB3}"/>
            </a:ext>
            <a:ext uri="{147F2762-F138-4A5C-976F-8EAC2B608ADB}">
              <a16:predDERef xmlns:a16="http://schemas.microsoft.com/office/drawing/2014/main" pred="{8836561B-9CAF-441D-9319-11B867D5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428625</xdr:colOff>
      <xdr:row>5</xdr:row>
      <xdr:rowOff>104775</xdr:rowOff>
    </xdr:from>
    <xdr:to>
      <xdr:col>12</xdr:col>
      <xdr:colOff>438150</xdr:colOff>
      <xdr:row>65</xdr:row>
      <xdr:rowOff>114300</xdr:rowOff>
    </xdr:to>
    <xdr:cxnSp macro="">
      <xdr:nvCxnSpPr>
        <xdr:cNvPr id="24" name="Conector recto 23">
          <a:extLst>
            <a:ext uri="{FF2B5EF4-FFF2-40B4-BE49-F238E27FC236}">
              <a16:creationId xmlns:a16="http://schemas.microsoft.com/office/drawing/2014/main" id="{49BC165E-6443-434B-BD5A-41B384D536DF}"/>
            </a:ext>
          </a:extLst>
        </xdr:cNvPr>
        <xdr:cNvCxnSpPr/>
      </xdr:nvCxnSpPr>
      <xdr:spPr>
        <a:xfrm flipH="1">
          <a:off x="17080230" y="1626870"/>
          <a:ext cx="3810" cy="1182243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24</xdr:col>
      <xdr:colOff>466725</xdr:colOff>
      <xdr:row>5</xdr:row>
      <xdr:rowOff>180975</xdr:rowOff>
    </xdr:from>
    <xdr:to>
      <xdr:col>24</xdr:col>
      <xdr:colOff>476250</xdr:colOff>
      <xdr:row>65</xdr:row>
      <xdr:rowOff>190500</xdr:rowOff>
    </xdr:to>
    <xdr:cxnSp macro="">
      <xdr:nvCxnSpPr>
        <xdr:cNvPr id="25" name="Conector recto 24">
          <a:extLst>
            <a:ext uri="{FF2B5EF4-FFF2-40B4-BE49-F238E27FC236}">
              <a16:creationId xmlns:a16="http://schemas.microsoft.com/office/drawing/2014/main" id="{A2138470-E917-426F-BD93-6F8DA2FD2FFF}"/>
            </a:ext>
          </a:extLst>
        </xdr:cNvPr>
        <xdr:cNvCxnSpPr/>
      </xdr:nvCxnSpPr>
      <xdr:spPr>
        <a:xfrm flipH="1">
          <a:off x="28157805" y="1703070"/>
          <a:ext cx="3810" cy="11822430"/>
        </a:xfrm>
        <a:prstGeom prst="line">
          <a:avLst/>
        </a:prstGeom>
        <a:ln w="15875" cap="flat">
          <a:solidFill>
            <a:srgbClr val="B00000"/>
          </a:solidFill>
          <a:prstDash val="dash"/>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18</xdr:col>
      <xdr:colOff>1295400</xdr:colOff>
      <xdr:row>48</xdr:row>
      <xdr:rowOff>28575</xdr:rowOff>
    </xdr:from>
    <xdr:to>
      <xdr:col>22</xdr:col>
      <xdr:colOff>624907</xdr:colOff>
      <xdr:row>60</xdr:row>
      <xdr:rowOff>150495</xdr:rowOff>
    </xdr:to>
    <xdr:graphicFrame macro="">
      <xdr:nvGraphicFramePr>
        <xdr:cNvPr id="26" name="Gráfico 25">
          <a:extLst>
            <a:ext uri="{FF2B5EF4-FFF2-40B4-BE49-F238E27FC236}">
              <a16:creationId xmlns:a16="http://schemas.microsoft.com/office/drawing/2014/main" id="{BC512423-6C28-48E3-B1C1-FAC011F45CDF}"/>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33</xdr:col>
      <xdr:colOff>619125</xdr:colOff>
      <xdr:row>48</xdr:row>
      <xdr:rowOff>66675</xdr:rowOff>
    </xdr:from>
    <xdr:to>
      <xdr:col>38</xdr:col>
      <xdr:colOff>93412</xdr:colOff>
      <xdr:row>60</xdr:row>
      <xdr:rowOff>192405</xdr:rowOff>
    </xdr:to>
    <xdr:graphicFrame macro="">
      <xdr:nvGraphicFramePr>
        <xdr:cNvPr id="27" name="Gráfico 26">
          <a:extLst>
            <a:ext uri="{FF2B5EF4-FFF2-40B4-BE49-F238E27FC236}">
              <a16:creationId xmlns:a16="http://schemas.microsoft.com/office/drawing/2014/main" id="{905CC355-700C-43A1-AE72-F25CFDCD372B}"/>
            </a:ext>
            <a:ext uri="{147F2762-F138-4A5C-976F-8EAC2B608ADB}">
              <a16:predDERef xmlns:a16="http://schemas.microsoft.com/office/drawing/2014/main" pred="{0F410DFC-0943-4726-A6D9-08E7B873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337707E5-06B6-4865-BCA5-24FE4C0CDF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4144" cy="1116330"/>
        </a:xfrm>
        <a:prstGeom prst="rect">
          <a:avLst/>
        </a:prstGeom>
      </xdr:spPr>
    </xdr:pic>
    <xdr:clientData/>
  </xdr:twoCellAnchor>
  <xdr:twoCellAnchor editAs="oneCell">
    <xdr:from>
      <xdr:col>9</xdr:col>
      <xdr:colOff>36257</xdr:colOff>
      <xdr:row>0</xdr:row>
      <xdr:rowOff>217716</xdr:rowOff>
    </xdr:from>
    <xdr:to>
      <xdr:col>9</xdr:col>
      <xdr:colOff>917456</xdr:colOff>
      <xdr:row>2</xdr:row>
      <xdr:rowOff>284245</xdr:rowOff>
    </xdr:to>
    <xdr:pic>
      <xdr:nvPicPr>
        <xdr:cNvPr id="18" name="Gráfico 2" descr="Círculo con flecha a la izquierda con relleno sólido">
          <a:hlinkClick xmlns:r="http://schemas.openxmlformats.org/officeDocument/2006/relationships" r:id="rId2"/>
          <a:extLst>
            <a:ext uri="{FF2B5EF4-FFF2-40B4-BE49-F238E27FC236}">
              <a16:creationId xmlns:a16="http://schemas.microsoft.com/office/drawing/2014/main" id="{9B19817C-B819-41F7-B094-535C3B8D04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3303221" y="217716"/>
          <a:ext cx="881199" cy="830434"/>
        </a:xfrm>
        <a:prstGeom prst="rect">
          <a:avLst/>
        </a:prstGeom>
      </xdr:spPr>
    </xdr:pic>
    <xdr:clientData/>
  </xdr:twoCellAnchor>
  <xdr:twoCellAnchor editAs="oneCell">
    <xdr:from>
      <xdr:col>8</xdr:col>
      <xdr:colOff>217713</xdr:colOff>
      <xdr:row>0</xdr:row>
      <xdr:rowOff>217716</xdr:rowOff>
    </xdr:from>
    <xdr:to>
      <xdr:col>8</xdr:col>
      <xdr:colOff>1082470</xdr:colOff>
      <xdr:row>2</xdr:row>
      <xdr:rowOff>284245</xdr:rowOff>
    </xdr:to>
    <xdr:pic>
      <xdr:nvPicPr>
        <xdr:cNvPr id="19" name="Gráfico 3" descr="Círculo con flecha a la izquierda con relleno sólido">
          <a:hlinkClick xmlns:r="http://schemas.openxmlformats.org/officeDocument/2006/relationships" r:id="rId5"/>
          <a:extLst>
            <a:ext uri="{FF2B5EF4-FFF2-40B4-BE49-F238E27FC236}">
              <a16:creationId xmlns:a16="http://schemas.microsoft.com/office/drawing/2014/main" id="{A39AD925-E9AE-4374-8234-CB9600BD39F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396106" y="217716"/>
          <a:ext cx="860947" cy="830434"/>
        </a:xfrm>
        <a:prstGeom prst="rect">
          <a:avLst/>
        </a:prstGeom>
      </xdr:spPr>
    </xdr:pic>
    <xdr:clientData/>
  </xdr:twoCellAnchor>
  <xdr:twoCellAnchor editAs="oneCell">
    <xdr:from>
      <xdr:col>18</xdr:col>
      <xdr:colOff>197231</xdr:colOff>
      <xdr:row>0</xdr:row>
      <xdr:rowOff>219318</xdr:rowOff>
    </xdr:from>
    <xdr:to>
      <xdr:col>18</xdr:col>
      <xdr:colOff>1125236</xdr:colOff>
      <xdr:row>2</xdr:row>
      <xdr:rowOff>364523</xdr:rowOff>
    </xdr:to>
    <xdr:pic>
      <xdr:nvPicPr>
        <xdr:cNvPr id="21" name="Gráfico 4" descr="Libro abierto con relleno sólido">
          <a:extLst>
            <a:ext uri="{FF2B5EF4-FFF2-40B4-BE49-F238E27FC236}">
              <a16:creationId xmlns:a16="http://schemas.microsoft.com/office/drawing/2014/main" id="{3E8A917B-B549-47D1-B928-FE715426A0E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4363517" y="219318"/>
          <a:ext cx="918480" cy="918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1920334</xdr:colOff>
      <xdr:row>2</xdr:row>
      <xdr:rowOff>352426</xdr:rowOff>
    </xdr:to>
    <xdr:pic>
      <xdr:nvPicPr>
        <xdr:cNvPr id="2" name="Imagen 1">
          <a:extLst>
            <a:ext uri="{FF2B5EF4-FFF2-40B4-BE49-F238E27FC236}">
              <a16:creationId xmlns:a16="http://schemas.microsoft.com/office/drawing/2014/main" id="{1896F3DC-F3C1-4ECA-9A4E-35340AA6CC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924144" cy="1116330"/>
        </a:xfrm>
        <a:prstGeom prst="rect">
          <a:avLst/>
        </a:prstGeom>
      </xdr:spPr>
    </xdr:pic>
    <xdr:clientData/>
  </xdr:twoCellAnchor>
  <xdr:twoCellAnchor editAs="oneCell">
    <xdr:from>
      <xdr:col>12</xdr:col>
      <xdr:colOff>1183340</xdr:colOff>
      <xdr:row>0</xdr:row>
      <xdr:rowOff>176896</xdr:rowOff>
    </xdr:from>
    <xdr:to>
      <xdr:col>13</xdr:col>
      <xdr:colOff>876635</xdr:colOff>
      <xdr:row>2</xdr:row>
      <xdr:rowOff>249140</xdr:rowOff>
    </xdr:to>
    <xdr:pic>
      <xdr:nvPicPr>
        <xdr:cNvPr id="3" name="Gráfico 2" descr="Círculo con flecha a la izquierda con relleno sólido">
          <a:extLst>
            <a:ext uri="{FF2B5EF4-FFF2-40B4-BE49-F238E27FC236}">
              <a16:creationId xmlns:a16="http://schemas.microsoft.com/office/drawing/2014/main" id="{8478A68D-A8D2-47B0-A91E-EEAB6085F7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19061765" y="173086"/>
          <a:ext cx="874395" cy="834244"/>
        </a:xfrm>
        <a:prstGeom prst="rect">
          <a:avLst/>
        </a:prstGeom>
      </xdr:spPr>
    </xdr:pic>
    <xdr:clientData/>
  </xdr:twoCellAnchor>
  <xdr:twoCellAnchor editAs="oneCell">
    <xdr:from>
      <xdr:col>12</xdr:col>
      <xdr:colOff>0</xdr:colOff>
      <xdr:row>0</xdr:row>
      <xdr:rowOff>176896</xdr:rowOff>
    </xdr:from>
    <xdr:to>
      <xdr:col>12</xdr:col>
      <xdr:colOff>857137</xdr:colOff>
      <xdr:row>2</xdr:row>
      <xdr:rowOff>249140</xdr:rowOff>
    </xdr:to>
    <xdr:pic>
      <xdr:nvPicPr>
        <xdr:cNvPr id="4" name="Gráfico 3" descr="Círculo con flecha a la izquierda con relleno sólido">
          <a:extLst>
            <a:ext uri="{FF2B5EF4-FFF2-40B4-BE49-F238E27FC236}">
              <a16:creationId xmlns:a16="http://schemas.microsoft.com/office/drawing/2014/main" id="{B82D4277-3278-4698-B81B-DB073F1D4F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26075" y="173086"/>
          <a:ext cx="860947" cy="834244"/>
        </a:xfrm>
        <a:prstGeom prst="rect">
          <a:avLst/>
        </a:prstGeom>
      </xdr:spPr>
    </xdr:pic>
    <xdr:clientData/>
  </xdr:twoCellAnchor>
  <xdr:twoCellAnchor editAs="oneCell">
    <xdr:from>
      <xdr:col>26</xdr:col>
      <xdr:colOff>374125</xdr:colOff>
      <xdr:row>0</xdr:row>
      <xdr:rowOff>205711</xdr:rowOff>
    </xdr:from>
    <xdr:to>
      <xdr:col>27</xdr:col>
      <xdr:colOff>513188</xdr:colOff>
      <xdr:row>2</xdr:row>
      <xdr:rowOff>358536</xdr:rowOff>
    </xdr:to>
    <xdr:pic>
      <xdr:nvPicPr>
        <xdr:cNvPr id="5" name="Gráfico 4" descr="Libro abierto con relleno sólido">
          <a:extLst>
            <a:ext uri="{FF2B5EF4-FFF2-40B4-BE49-F238E27FC236}">
              <a16:creationId xmlns:a16="http://schemas.microsoft.com/office/drawing/2014/main" id="{8FA4AB95-E0F5-4DAD-8C29-6037372D448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1909495" y="209521"/>
          <a:ext cx="935353" cy="914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libraci&#243;n%20herramienta%20CC\5.Documentacion%20ELABORADA\2.%20Casos%20piloto\HERRAMIENTA\Revisi&#243;n_19072019\Herramienta%20CC_Orio%20Amb.%20Dique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M"/>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aime Jesus Montalvo Piñeiro" id="{AF058105-CC4C-4FA0-9036-482884C75A54}" userId="S::jaime.montalvo@co.idom.com::5bebfa0d-e1d4-4d43-beff-052871fcb1f2"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21" dT="2023-07-03T07:57:46.77" personId="{AF058105-CC4C-4FA0-9036-482884C75A54}" id="{5719B210-849A-42F2-945A-483D1DE76309}">
    <text>Celdas sin formulas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ghg-observatory.es/inventarios-gei-comunidad-valenciana/" TargetMode="External"/><Relationship Id="rId7" Type="http://schemas.openxmlformats.org/officeDocument/2006/relationships/printerSettings" Target="../printerSettings/printerSettings10.bin"/><Relationship Id="rId2" Type="http://schemas.openxmlformats.org/officeDocument/2006/relationships/hyperlink" Target="https://www.ine.es/jaxi/Tabla.htm?path=/t26/p069/p01/l0/&amp;file=02001.px&amp;L=0" TargetMode="External"/><Relationship Id="rId1" Type="http://schemas.openxmlformats.org/officeDocument/2006/relationships/hyperlink" Target="https://habitatge.gva.es/estatico/areas/urbanismo_ordenacion/infadm/publicaciones/pdf/planeamiento/analisis.pdf" TargetMode="External"/><Relationship Id="rId6" Type="http://schemas.openxmlformats.org/officeDocument/2006/relationships/hyperlink" Target="https://www.ine.es/jaxi/Datos.htm?path=/t20/p274/serie/def/p03/l0/&amp;file=03003.px" TargetMode="External"/><Relationship Id="rId5" Type="http://schemas.openxmlformats.org/officeDocument/2006/relationships/hyperlink" Target="https://pegv.gva.es/es/estad%C3%ADstica-sobre-el-subministrament-i-sanejament-de-l-aigua" TargetMode="External"/><Relationship Id="rId4" Type="http://schemas.openxmlformats.org/officeDocument/2006/relationships/hyperlink" Target="https://pegv.gva.es/es/bdt?tema=NOIN0004"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hyperlink" Target="https://energia.gob.es/desarrollo/EficienciaEnergetica/CertificacionEnergetica/DocumentosReconocidos/normativamodelosutilizacion/20151123-Calificacion-eficiencia-energetica-edificios.pdf" TargetMode="External"/><Relationship Id="rId2" Type="http://schemas.openxmlformats.org/officeDocument/2006/relationships/hyperlink" Target="https://energia.gob.es/desarrollo/EficienciaEnergetica/CertificacionEnergetica/DocumentosReconocidos/normativamodelosutilizacion/20151123-Calificacion-eficiencia-energetica-edificios.pdf" TargetMode="External"/><Relationship Id="rId1" Type="http://schemas.openxmlformats.org/officeDocument/2006/relationships/hyperlink" Target="https://www.codigotecnico.org/images/stories/pdf/ahorroEnergia/DccHE.pdf" TargetMode="External"/><Relationship Id="rId6" Type="http://schemas.openxmlformats.org/officeDocument/2006/relationships/drawing" Target="../drawings/drawing14.xml"/><Relationship Id="rId5" Type="http://schemas.openxmlformats.org/officeDocument/2006/relationships/printerSettings" Target="../printerSettings/printerSettings13.bin"/><Relationship Id="rId4" Type="http://schemas.openxmlformats.org/officeDocument/2006/relationships/hyperlink" Target="https://politicaterritorial.gva.es/documents/20551069/174233262/Cartograf%C3%ADa+Territorial+del+Stock+de+Carbono+en+la+Comunitat+Valenciana/7e2501f8-2737-426e-80c5-617f33e98f36"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hyperlink" Target="https://escenarios.adaptecca.es/" TargetMode="External"/><Relationship Id="rId13" Type="http://schemas.openxmlformats.org/officeDocument/2006/relationships/hyperlink" Target="https://pegv.gva.es/es/" TargetMode="External"/><Relationship Id="rId18" Type="http://schemas.openxmlformats.org/officeDocument/2006/relationships/hyperlink" Target="https://visor.gva.es/" TargetMode="External"/><Relationship Id="rId3" Type="http://schemas.openxmlformats.org/officeDocument/2006/relationships/hyperlink" Target="https://escenarios.adaptecca.es/" TargetMode="External"/><Relationship Id="rId7" Type="http://schemas.openxmlformats.org/officeDocument/2006/relationships/hyperlink" Target="https://pegv.gva.es/es/" TargetMode="External"/><Relationship Id="rId12" Type="http://schemas.openxmlformats.org/officeDocument/2006/relationships/hyperlink" Target="https://pegv.gva.es/es/" TargetMode="External"/><Relationship Id="rId17" Type="http://schemas.openxmlformats.org/officeDocument/2006/relationships/hyperlink" Target="https://visor.gva.es/" TargetMode="External"/><Relationship Id="rId2" Type="http://schemas.openxmlformats.org/officeDocument/2006/relationships/hyperlink" Target="https://visor.gva.es/" TargetMode="External"/><Relationship Id="rId16" Type="http://schemas.openxmlformats.org/officeDocument/2006/relationships/hyperlink" Target="https://visor.gva.es/" TargetMode="External"/><Relationship Id="rId20" Type="http://schemas.openxmlformats.org/officeDocument/2006/relationships/drawing" Target="../drawings/drawing16.xml"/><Relationship Id="rId1" Type="http://schemas.openxmlformats.org/officeDocument/2006/relationships/hyperlink" Target="https://escenarios.adaptecca.es/" TargetMode="External"/><Relationship Id="rId6" Type="http://schemas.openxmlformats.org/officeDocument/2006/relationships/hyperlink" Target="https://pegv.gva.es/es/" TargetMode="External"/><Relationship Id="rId11" Type="http://schemas.openxmlformats.org/officeDocument/2006/relationships/hyperlink" Target="https://visor.gva.es/" TargetMode="External"/><Relationship Id="rId5" Type="http://schemas.openxmlformats.org/officeDocument/2006/relationships/hyperlink" Target="https://escenarios.adaptecca.es/" TargetMode="External"/><Relationship Id="rId15" Type="http://schemas.openxmlformats.org/officeDocument/2006/relationships/hyperlink" Target="https://visor.gva.es/" TargetMode="External"/><Relationship Id="rId10" Type="http://schemas.openxmlformats.org/officeDocument/2006/relationships/hyperlink" Target="https://visor.gva.es/" TargetMode="External"/><Relationship Id="rId19" Type="http://schemas.openxmlformats.org/officeDocument/2006/relationships/printerSettings" Target="../printerSettings/printerSettings14.bin"/><Relationship Id="rId4" Type="http://schemas.openxmlformats.org/officeDocument/2006/relationships/hyperlink" Target="https://escenarios.adaptecca.es/" TargetMode="External"/><Relationship Id="rId9" Type="http://schemas.openxmlformats.org/officeDocument/2006/relationships/hyperlink" Target="https://escenarios.adaptecca.es/" TargetMode="External"/><Relationship Id="rId14" Type="http://schemas.openxmlformats.org/officeDocument/2006/relationships/hyperlink" Target="https://visor.gva.es/"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5.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AFCA6-E9D7-4EA0-B977-5E910C9A9E0C}">
  <sheetPr>
    <tabColor rgb="FFC00000"/>
  </sheetPr>
  <dimension ref="A1:S30"/>
  <sheetViews>
    <sheetView tabSelected="1" zoomScale="80" zoomScaleNormal="80" workbookViewId="0">
      <selection activeCell="E4" sqref="E4"/>
    </sheetView>
  </sheetViews>
  <sheetFormatPr baseColWidth="10" defaultColWidth="11.5546875" defaultRowHeight="14.4"/>
  <cols>
    <col min="1" max="11" width="11.5546875" style="1"/>
    <col min="12" max="12" width="25" style="1" customWidth="1"/>
    <col min="13" max="16384" width="11.5546875" style="1"/>
  </cols>
  <sheetData>
    <row r="1" spans="1:19" ht="25.5" customHeight="1">
      <c r="A1" s="599"/>
      <c r="B1" s="122"/>
      <c r="C1" s="122"/>
      <c r="D1" s="122"/>
      <c r="E1" s="122"/>
      <c r="F1" s="122"/>
      <c r="G1" s="122"/>
      <c r="H1" s="122"/>
      <c r="I1" s="122"/>
      <c r="J1" s="122"/>
      <c r="K1" s="122"/>
      <c r="L1" s="122"/>
      <c r="M1" s="122"/>
      <c r="N1" s="122"/>
      <c r="O1" s="122"/>
      <c r="P1" s="122"/>
      <c r="Q1" s="122"/>
      <c r="R1" s="122"/>
      <c r="S1" s="122"/>
    </row>
    <row r="2" spans="1:19" ht="25.5" customHeight="1">
      <c r="A2" s="122"/>
      <c r="B2" s="122"/>
      <c r="C2" s="122"/>
      <c r="D2" s="122"/>
      <c r="E2" s="615" t="str">
        <f>IF(Idioma=Castellano,"HERRAMIENTA DE SOPORTE PARA EL DIAGNÓSTICO DEL IMPACTO AL CAMBIO CLIMÁTICO DE INSTRUMENTOS DE PLANIFICACIÓN URBANÍSTICA",IF(Idioma=Valencià,"EINA DE SUPORT PER Al DIAGNÒSTIC DE L'IMPACTE Al CANVI CLIMÀTIC D'INSTRUMENTS DE PLANIFICACIÓ URBANÍSTIC",))</f>
        <v>HERRAMIENTA DE SOPORTE PARA EL DIAGNÓSTICO DEL IMPACTO AL CAMBIO CLIMÁTICO DE INSTRUMENTOS DE PLANIFICACIÓN URBANÍSTICA</v>
      </c>
      <c r="F2" s="615"/>
      <c r="G2" s="615"/>
      <c r="H2" s="615"/>
      <c r="I2" s="615"/>
      <c r="J2" s="615"/>
      <c r="K2" s="615"/>
      <c r="L2" s="615"/>
      <c r="M2" s="615"/>
      <c r="N2" s="122"/>
      <c r="O2" s="122"/>
      <c r="P2" s="122"/>
      <c r="Q2" s="122"/>
      <c r="R2" s="122"/>
      <c r="S2" s="122"/>
    </row>
    <row r="3" spans="1:19" ht="31.5" customHeight="1">
      <c r="A3" s="122"/>
      <c r="B3" s="122"/>
      <c r="C3" s="122"/>
      <c r="D3" s="122"/>
      <c r="E3" s="615"/>
      <c r="F3" s="615"/>
      <c r="G3" s="615"/>
      <c r="H3" s="615"/>
      <c r="I3" s="615"/>
      <c r="J3" s="615"/>
      <c r="K3" s="615"/>
      <c r="L3" s="615"/>
      <c r="M3" s="615"/>
      <c r="N3" s="122"/>
      <c r="O3" s="123" t="s">
        <v>0</v>
      </c>
      <c r="P3" s="122"/>
      <c r="Q3" s="122"/>
      <c r="R3" s="122"/>
      <c r="S3" s="122"/>
    </row>
    <row r="4" spans="1:19">
      <c r="A4" s="122"/>
      <c r="B4" s="122"/>
      <c r="C4" s="122"/>
      <c r="D4" s="122"/>
      <c r="E4" s="122"/>
      <c r="F4" s="122"/>
      <c r="G4" s="122"/>
      <c r="H4" s="122"/>
      <c r="I4" s="122"/>
      <c r="J4" s="122"/>
      <c r="K4" s="122"/>
      <c r="L4" s="122"/>
      <c r="M4" s="122"/>
      <c r="N4" s="122"/>
      <c r="O4" s="122"/>
      <c r="P4" s="122"/>
      <c r="Q4" s="122"/>
      <c r="R4" s="122"/>
      <c r="S4" s="122"/>
    </row>
    <row r="5" spans="1:19" s="135" customFormat="1" ht="18">
      <c r="A5" s="140"/>
      <c r="B5" s="137" t="str">
        <f>IF($Q$24=$B$29,"CONTENIDO E INSTRUCCIONES DE LA HERRAMIENTA",IF($Q$24=$B$30,"CONTINGUT I INSTRUCCIONS DE L'EINA","CONTENIDO E INSTRUCCIONES DE LA HERRAMIENTA"))</f>
        <v>CONTENIDO E INSTRUCCIONES DE LA HERRAMIENTA</v>
      </c>
      <c r="C5" s="140"/>
      <c r="D5" s="140"/>
      <c r="E5" s="140"/>
      <c r="F5" s="140"/>
      <c r="G5" s="140"/>
      <c r="H5" s="140"/>
      <c r="I5" s="140"/>
      <c r="J5" s="140"/>
      <c r="K5" s="140"/>
      <c r="L5" s="140"/>
      <c r="M5" s="140"/>
      <c r="N5" s="140"/>
      <c r="O5" s="140"/>
      <c r="P5" s="140"/>
      <c r="Q5" s="140"/>
      <c r="R5" s="140"/>
      <c r="S5" s="140"/>
    </row>
    <row r="6" spans="1:19">
      <c r="A6" s="122"/>
      <c r="B6" s="122"/>
      <c r="C6" s="122"/>
      <c r="D6" s="122"/>
      <c r="E6" s="122"/>
      <c r="F6" s="122"/>
      <c r="G6" s="122"/>
      <c r="H6" s="122"/>
      <c r="I6" s="122"/>
      <c r="J6" s="122"/>
      <c r="K6" s="122"/>
      <c r="L6" s="122"/>
      <c r="M6" s="122"/>
      <c r="N6" s="122"/>
      <c r="O6" s="122"/>
      <c r="P6" s="122"/>
      <c r="Q6" s="122"/>
      <c r="R6" s="122"/>
      <c r="S6" s="122"/>
    </row>
    <row r="7" spans="1:19" ht="21" customHeight="1">
      <c r="A7" s="122"/>
      <c r="B7" s="614" t="str">
        <f>IF(Idioma=Castellano,"Índice",IF(Idioma=Valencià,"Índex","Índice"))</f>
        <v>Índice</v>
      </c>
      <c r="C7" s="614"/>
      <c r="D7" s="614"/>
      <c r="E7" s="614"/>
      <c r="F7" s="614"/>
      <c r="G7" s="122"/>
      <c r="H7" s="122"/>
      <c r="I7" s="122"/>
      <c r="J7" s="121" t="str">
        <f>IF(Q24=B29,"INSTRUCCIONES PARA CUMPLIMENTAR LA HERRAMIENTA",IF(Q24=B30,"INSTRUCCIONS PER A EMPLENAR L'EINA","INSTRUCCIONES PARA CUMPLIMENTAR LA HERRAMIENTA"))</f>
        <v>INSTRUCCIONES PARA CUMPLIMENTAR LA HERRAMIENTA</v>
      </c>
      <c r="K7" s="122"/>
      <c r="L7" s="122"/>
      <c r="M7" s="122"/>
      <c r="N7" s="122"/>
      <c r="O7" s="122"/>
      <c r="P7" s="122"/>
      <c r="Q7" s="122"/>
      <c r="R7" s="122"/>
      <c r="S7" s="122"/>
    </row>
    <row r="8" spans="1:19" ht="18.75" customHeight="1">
      <c r="A8" s="122"/>
      <c r="B8" s="613" t="str">
        <f>IF(Idioma=Castellano,"Instrucciones",IF(Idioma=Valencià,"Instruccions","Instrucciones"))</f>
        <v>Instrucciones</v>
      </c>
      <c r="C8" s="613"/>
      <c r="D8" s="613"/>
      <c r="E8" s="613"/>
      <c r="F8" s="613"/>
      <c r="G8" s="122"/>
      <c r="H8" s="122"/>
      <c r="I8" s="122"/>
      <c r="J8" s="122"/>
      <c r="K8" s="122"/>
      <c r="L8" s="122"/>
      <c r="M8" s="122"/>
      <c r="N8" s="122"/>
      <c r="O8" s="122"/>
      <c r="P8" s="122"/>
      <c r="Q8" s="122"/>
      <c r="R8" s="122"/>
      <c r="S8" s="122"/>
    </row>
    <row r="9" spans="1:19" ht="18.75" customHeight="1">
      <c r="A9" s="122"/>
      <c r="B9" s="613" t="str">
        <f>IF(Idioma=Castellano,"Sección de Mitigación",IF(Idioma=Valencià,"Secció de Mitigació", "Sección de Mitigación"))</f>
        <v>Sección de Mitigación</v>
      </c>
      <c r="C9" s="613"/>
      <c r="D9" s="613"/>
      <c r="E9" s="613"/>
      <c r="F9" s="613"/>
      <c r="G9" s="122"/>
      <c r="H9" s="122"/>
      <c r="I9" s="122"/>
      <c r="J9" s="122"/>
      <c r="K9" s="122"/>
      <c r="L9" s="122"/>
      <c r="M9" s="122"/>
      <c r="N9" s="122"/>
      <c r="O9" s="122"/>
      <c r="P9" s="122"/>
      <c r="Q9" s="122"/>
      <c r="R9" s="122"/>
      <c r="S9" s="122"/>
    </row>
    <row r="10" spans="1:19" ht="15.75" customHeight="1">
      <c r="A10" s="122"/>
      <c r="B10" s="612" t="str">
        <f>IF(Idioma=Castellano,"1. Datos de entrada",IF(Idioma=Valencià,"1.Dades d'entrada","1. Datos de entrada"))</f>
        <v>1. Datos de entrada</v>
      </c>
      <c r="C10" s="612"/>
      <c r="D10" s="612"/>
      <c r="E10" s="612"/>
      <c r="F10" s="612"/>
      <c r="G10" s="122"/>
      <c r="H10" s="122"/>
      <c r="I10" s="124"/>
      <c r="J10" s="125" t="str">
        <f>IF(Idioma=Castellano,"SECCIÓN DE MITIGACIÓN",IF(Idioma=Valencià,"SECCIÓ DE MITIGACIÓ", "SECCIÓN DE MITIGACIÓN"))</f>
        <v>SECCIÓN DE MITIGACIÓN</v>
      </c>
      <c r="K10" s="122"/>
      <c r="L10" s="122"/>
      <c r="M10" s="122"/>
      <c r="N10" s="126"/>
      <c r="O10" s="127" t="str">
        <f>IF(Idioma=Castellano,"SECCIÓN DE ADAPTACIÓN",IF(Idioma=Valencià,"SECCIÓ D'ADAPTACIÓ","SECCIÓN DE ADAPTACIÓN"))</f>
        <v>SECCIÓN DE ADAPTACIÓN</v>
      </c>
      <c r="P10" s="122"/>
      <c r="Q10" s="122"/>
      <c r="R10" s="122"/>
      <c r="S10" s="122"/>
    </row>
    <row r="11" spans="1:19" ht="15.75" customHeight="1">
      <c r="A11" s="122"/>
      <c r="B11" s="612" t="str">
        <f>IF(Idioma=Castellano,"2. Cálculo de Alternativas:",IF(Idioma=Valencià,"2. Càlcul d'alternatives :","2. Cálculo de Alternativas:"))</f>
        <v>2. Cálculo de Alternativas:</v>
      </c>
      <c r="C11" s="612"/>
      <c r="D11" s="612"/>
      <c r="E11" s="612"/>
      <c r="F11" s="612"/>
      <c r="G11" s="122"/>
      <c r="H11" s="122"/>
      <c r="I11" s="122"/>
      <c r="J11" s="122"/>
      <c r="K11" s="122"/>
      <c r="L11" s="122"/>
      <c r="M11" s="122"/>
      <c r="N11" s="122"/>
      <c r="O11" s="122"/>
      <c r="P11" s="122"/>
      <c r="Q11" s="122"/>
      <c r="R11" s="122"/>
      <c r="S11" s="122"/>
    </row>
    <row r="12" spans="1:19" ht="15.75" customHeight="1">
      <c r="A12" s="122"/>
      <c r="B12" s="617" t="s">
        <v>1</v>
      </c>
      <c r="C12" s="617"/>
      <c r="D12" s="617"/>
      <c r="E12" s="617"/>
      <c r="F12" s="617"/>
      <c r="G12" s="122"/>
      <c r="H12" s="128" t="str">
        <f>IF(Idioma=Castellano,"CELDAS A CUMPLIMENTAR",IF(Idioma=Valencià,"CEL LES A EMPLENAR","CELDAS A CUMPLIMENTAR"))</f>
        <v>CELDAS A CUMPLIMENTAR</v>
      </c>
      <c r="I12" s="122"/>
      <c r="J12" s="122"/>
      <c r="K12" s="122"/>
      <c r="L12" s="122"/>
      <c r="M12" s="122"/>
      <c r="N12" s="128" t="str">
        <f>IF(Idioma=Castellano,"CELDAS A CUMPLIMENTAR",IF(Q24=B30,"CEL LES A EMPLENAR","CELDAS A CUMPLIMENTAR"))</f>
        <v>CELDAS A CUMPLIMENTAR</v>
      </c>
      <c r="O12" s="122"/>
      <c r="P12" s="122"/>
      <c r="Q12" s="122"/>
      <c r="R12" s="122"/>
      <c r="S12" s="122"/>
    </row>
    <row r="13" spans="1:19" ht="15.75" customHeight="1">
      <c r="A13" s="122"/>
      <c r="B13" s="617" t="s">
        <v>2</v>
      </c>
      <c r="C13" s="617"/>
      <c r="D13" s="617"/>
      <c r="E13" s="617"/>
      <c r="F13" s="617"/>
      <c r="G13" s="122"/>
      <c r="H13" s="129"/>
      <c r="I13" s="122" t="str">
        <f>IF(Idioma=Castellano,"Dato numérico a introducir en las unidades indicadas",IF(Idioma=Valencià,"Dada numèrica a introduir en les unitats indicades", "Dato numérico a introducir en las unidades indicadas"))</f>
        <v>Dato numérico a introducir en las unidades indicadas</v>
      </c>
      <c r="J13" s="122"/>
      <c r="K13" s="122"/>
      <c r="L13" s="122"/>
      <c r="M13" s="122"/>
      <c r="N13" s="129"/>
      <c r="O13" s="122" t="str">
        <f>IF(Idioma=Castellano,"Dato numérico a introducir en las unidades indicadas",IF(Idioma=Valencià,"Dada numèrica a introduir en les unitats indicades", "Dato numérico a introducir en las unidades indicadas"))</f>
        <v>Dato numérico a introducir en las unidades indicadas</v>
      </c>
      <c r="P13" s="122"/>
      <c r="Q13" s="122"/>
      <c r="R13" s="122"/>
      <c r="S13" s="122"/>
    </row>
    <row r="14" spans="1:19" ht="15.75" customHeight="1">
      <c r="A14" s="122"/>
      <c r="B14" s="618" t="s">
        <v>3</v>
      </c>
      <c r="C14" s="618"/>
      <c r="D14" s="618"/>
      <c r="E14" s="618"/>
      <c r="F14" s="618"/>
      <c r="G14" s="122"/>
      <c r="H14" s="130"/>
      <c r="I14" s="122" t="str">
        <f>IF(Idioma=Castellano,"Dato numérico a introducir de forma voluntaria",IF(Idioma=Valencià,"Dada numèrica a introduir de manera voluntària", "Dato numérico a introducir de forma voluntaria"))</f>
        <v>Dato numérico a introducir de forma voluntaria</v>
      </c>
      <c r="J14" s="122"/>
      <c r="K14" s="122"/>
      <c r="L14" s="122"/>
      <c r="M14" s="122"/>
      <c r="N14" s="130"/>
      <c r="O14" s="122" t="str">
        <f>IF(Idioma=Castellano,"Dato a introducir de forma voluntaria",IF(Idioma=Valencià,"Dada a introduir de manera voluntària", "Dato a introducir de forma voluntaria"))</f>
        <v>Dato a introducir de forma voluntaria</v>
      </c>
      <c r="P14" s="122"/>
      <c r="Q14" s="122"/>
      <c r="R14" s="122"/>
      <c r="S14" s="122"/>
    </row>
    <row r="15" spans="1:19" ht="15.75" customHeight="1">
      <c r="A15" s="122"/>
      <c r="B15" s="617" t="s">
        <v>4</v>
      </c>
      <c r="C15" s="617"/>
      <c r="D15" s="617"/>
      <c r="E15" s="617"/>
      <c r="F15" s="617"/>
      <c r="G15" s="122"/>
      <c r="H15" s="131"/>
      <c r="I15" s="122" t="str">
        <f>IF(Idioma=Castellano,"Dato a elegir desde el menú desplegable",IF(Idioma=Valencià,"Dada a triar des del menú desplegable", "Dato a elegir desde el menú desplegable"))</f>
        <v>Dato a elegir desde el menú desplegable</v>
      </c>
      <c r="J15" s="122"/>
      <c r="K15" s="122"/>
      <c r="L15" s="122"/>
      <c r="M15" s="122"/>
      <c r="N15" s="131"/>
      <c r="O15" s="122" t="str">
        <f>IF(Idioma=Castellano,"Dato a elegir desde el menú desplegable",IF(Idioma=Valencià,"Dada a triar des del menú desplegable", "Dato a elegir desde el menú desplegable"))</f>
        <v>Dato a elegir desde el menú desplegable</v>
      </c>
      <c r="P15" s="122"/>
      <c r="Q15" s="122"/>
      <c r="R15" s="122"/>
      <c r="S15" s="122"/>
    </row>
    <row r="16" spans="1:19" ht="15.75" customHeight="1">
      <c r="A16" s="122"/>
      <c r="B16" s="617" t="s">
        <v>5</v>
      </c>
      <c r="C16" s="617"/>
      <c r="D16" s="617"/>
      <c r="E16" s="617"/>
      <c r="F16" s="617"/>
      <c r="G16" s="122"/>
      <c r="H16" s="132"/>
      <c r="I16" s="122" t="str">
        <f>IF(Idioma=Castellano,"Resultado (celda autocompletada)",IF(Idioma=Valencià,"Resultat (cela autocompletada)", "Resultado (celda autocompletada)"))</f>
        <v>Resultado (celda autocompletada)</v>
      </c>
      <c r="J16" s="122"/>
      <c r="K16" s="122"/>
      <c r="L16" s="122"/>
      <c r="M16" s="122"/>
      <c r="N16" s="132"/>
      <c r="O16" s="122" t="str">
        <f>IF(Idioma=Castellano,"Resultado (celda autocompletada)",IF(Idioma=Valencià,"Resultat (cela autocompletada)", "Resultado (celda autocompletada)"))</f>
        <v>Resultado (celda autocompletada)</v>
      </c>
      <c r="P16" s="122"/>
      <c r="Q16" s="122"/>
      <c r="R16" s="122"/>
      <c r="S16" s="122"/>
    </row>
    <row r="17" spans="1:19" ht="15.75" customHeight="1">
      <c r="A17" s="122"/>
      <c r="B17" s="612" t="str">
        <f>IF(Idioma=Castellano,"3. Resultados",IF(Idioma=Valencià,"3. Resultats","3. Resultados"))</f>
        <v>3. Resultados</v>
      </c>
      <c r="C17" s="612"/>
      <c r="D17" s="612"/>
      <c r="E17" s="612"/>
      <c r="F17" s="612"/>
      <c r="G17" s="122"/>
      <c r="H17" s="133"/>
      <c r="I17" s="122" t="str">
        <f>IF(Idioma=Castellano,"Factores de emisión",IF(Idioma=Valencià,"Factors d'emissió", "Factores de emisión"))</f>
        <v>Factores de emisión</v>
      </c>
      <c r="J17" s="122"/>
      <c r="K17" s="122"/>
      <c r="L17" s="122"/>
      <c r="M17" s="122"/>
      <c r="N17" s="206"/>
      <c r="O17" s="616" t="str">
        <f>IF(Idioma=Castellano,"Celdas no aplicables en caso de no disponer de información pormenorizada", "Cel les no aplicables en cas de no disposar d'informació detallada")</f>
        <v>Celdas no aplicables en caso de no disponer de información pormenorizada</v>
      </c>
      <c r="P17" s="616"/>
      <c r="Q17" s="616"/>
      <c r="R17" s="616"/>
      <c r="S17" s="616"/>
    </row>
    <row r="18" spans="1:19" ht="15.75" customHeight="1">
      <c r="A18" s="122"/>
      <c r="B18" s="612" t="str">
        <f>IF(Idioma=Castellano,"4. Factores de emisión",IF(Idioma=Valencià,"4. Factors d'emissió","4. Factores de emisión"))</f>
        <v>4. Factores de emisión</v>
      </c>
      <c r="C18" s="612"/>
      <c r="D18" s="612"/>
      <c r="E18" s="612"/>
      <c r="F18" s="612"/>
      <c r="G18" s="122"/>
      <c r="H18" s="206"/>
      <c r="I18" s="616" t="str">
        <f>IF(Idioma=Castellano,"Celdas no aplicables en caso de no disponer de información pormenorizada", "Cel les no aplicables en cas de no disposar d'informació detallada")</f>
        <v>Celdas no aplicables en caso de no disponer de información pormenorizada</v>
      </c>
      <c r="J18" s="616"/>
      <c r="K18" s="616"/>
      <c r="L18" s="616"/>
      <c r="M18" s="122"/>
      <c r="N18" s="122"/>
      <c r="O18" s="616"/>
      <c r="P18" s="616"/>
      <c r="Q18" s="616"/>
      <c r="R18" s="616"/>
      <c r="S18" s="616"/>
    </row>
    <row r="19" spans="1:19" ht="18.75" customHeight="1">
      <c r="A19" s="122"/>
      <c r="B19" s="613" t="str">
        <f>IF(Idioma=Castellano,"Sección de Adaptación",IF(Idioma=Valencià,"Secció d'Adaptació","Sección de Adaptación"))</f>
        <v>Sección de Adaptación</v>
      </c>
      <c r="C19" s="613"/>
      <c r="D19" s="613"/>
      <c r="E19" s="613"/>
      <c r="F19" s="613"/>
      <c r="G19" s="122"/>
      <c r="H19" s="122"/>
      <c r="I19" s="616"/>
      <c r="J19" s="616"/>
      <c r="K19" s="616"/>
      <c r="L19" s="616"/>
      <c r="M19" s="122"/>
      <c r="N19" s="122"/>
      <c r="O19" s="616"/>
      <c r="P19" s="616"/>
      <c r="Q19" s="616"/>
      <c r="R19" s="616"/>
      <c r="S19" s="616"/>
    </row>
    <row r="20" spans="1:19" ht="15.75" customHeight="1">
      <c r="A20" s="122"/>
      <c r="B20" s="612" t="str">
        <f>IF(Idioma=Castellano,"1. Alcance",IF(Idioma=Valencià,"1. Abast","1. Alcance"))</f>
        <v>1. Alcance</v>
      </c>
      <c r="C20" s="612"/>
      <c r="D20" s="612"/>
      <c r="E20" s="612"/>
      <c r="F20" s="612"/>
      <c r="G20" s="122"/>
      <c r="H20" s="122"/>
      <c r="I20" s="122"/>
      <c r="J20" s="122"/>
      <c r="K20" s="122"/>
      <c r="L20" s="122"/>
      <c r="M20" s="122"/>
      <c r="N20" s="122"/>
      <c r="O20" s="122"/>
      <c r="P20" s="122"/>
      <c r="Q20" s="122"/>
      <c r="R20" s="122"/>
      <c r="S20" s="122"/>
    </row>
    <row r="21" spans="1:19" ht="15.75" customHeight="1">
      <c r="A21" s="122"/>
      <c r="B21" s="612" t="s">
        <v>6</v>
      </c>
      <c r="C21" s="612"/>
      <c r="D21" s="612"/>
      <c r="E21" s="612"/>
      <c r="F21" s="612"/>
      <c r="G21" s="122"/>
      <c r="H21" s="122"/>
      <c r="I21" s="122"/>
      <c r="J21" s="122"/>
      <c r="K21" s="122"/>
      <c r="L21" s="122"/>
      <c r="M21" s="122"/>
      <c r="N21" s="122"/>
      <c r="O21" s="122"/>
      <c r="P21" s="122"/>
      <c r="Q21" s="122"/>
      <c r="R21" s="122"/>
      <c r="S21" s="122"/>
    </row>
    <row r="22" spans="1:19" ht="15.75" customHeight="1">
      <c r="A22" s="122"/>
      <c r="B22" s="612" t="str">
        <f>IF(Idioma=Castellano,"3. Resultados",IF(Idioma=Valencià,"3. Resultats","3. Resultados"))</f>
        <v>3. Resultados</v>
      </c>
      <c r="C22" s="612"/>
      <c r="D22" s="612"/>
      <c r="E22" s="612"/>
      <c r="F22" s="612"/>
      <c r="G22" s="122"/>
      <c r="H22" s="122"/>
      <c r="I22" s="122"/>
      <c r="J22" s="122"/>
      <c r="K22" s="122"/>
      <c r="L22" s="122"/>
      <c r="M22" s="122"/>
      <c r="N22" s="122"/>
      <c r="O22" s="122"/>
      <c r="P22" s="122"/>
      <c r="Q22" s="122"/>
      <c r="R22" s="122"/>
      <c r="S22" s="122"/>
    </row>
    <row r="23" spans="1:19" ht="18.75" customHeight="1">
      <c r="A23" s="122"/>
      <c r="B23" s="613" t="str">
        <f>IF(Idioma=Castellano,"Resultados generales",IF(Idioma=Valencià,"Resultats generals","Resultados generales"))</f>
        <v>Resultados generales</v>
      </c>
      <c r="C23" s="613"/>
      <c r="D23" s="613"/>
      <c r="E23" s="613"/>
      <c r="F23" s="613"/>
      <c r="G23" s="122"/>
      <c r="H23" s="122"/>
      <c r="I23" s="122"/>
      <c r="J23" s="122"/>
      <c r="K23" s="122"/>
      <c r="L23" s="122"/>
      <c r="M23" s="122"/>
      <c r="N23" s="122"/>
      <c r="O23" s="122"/>
      <c r="P23" s="122"/>
      <c r="Q23" s="122"/>
      <c r="R23" s="122"/>
      <c r="S23" s="122"/>
    </row>
    <row r="24" spans="1:19" ht="18">
      <c r="A24" s="122"/>
      <c r="B24" s="613" t="str">
        <f>IF(Idioma=Castellano,"Medidas Propuestas",IF(Idioma=Valencià,"Mesures Proposades","Medidas Propuestas"))</f>
        <v>Medidas Propuestas</v>
      </c>
      <c r="C24" s="613"/>
      <c r="D24" s="613"/>
      <c r="E24" s="613"/>
      <c r="F24" s="613"/>
      <c r="G24" s="122"/>
      <c r="H24" s="122"/>
      <c r="I24" s="122"/>
      <c r="J24" s="122"/>
      <c r="K24" s="122"/>
      <c r="L24" s="122"/>
      <c r="M24" s="122"/>
      <c r="N24" s="122"/>
      <c r="O24" s="122"/>
      <c r="P24" s="121" t="s">
        <v>7</v>
      </c>
      <c r="Q24" s="122" t="s">
        <v>8</v>
      </c>
      <c r="R24" s="122"/>
      <c r="S24" s="122"/>
    </row>
    <row r="25" spans="1:19">
      <c r="A25" s="122"/>
      <c r="B25" s="122"/>
      <c r="C25" s="122"/>
      <c r="D25" s="122"/>
      <c r="E25" s="122"/>
      <c r="F25" s="122"/>
      <c r="G25" s="122"/>
      <c r="H25" s="122"/>
      <c r="I25" s="122"/>
      <c r="J25" s="122"/>
      <c r="K25" s="122"/>
      <c r="L25" s="122"/>
      <c r="M25" s="122"/>
      <c r="N25" s="122"/>
      <c r="O25" s="122"/>
      <c r="P25" s="122"/>
      <c r="Q25" s="122"/>
      <c r="R25" s="122"/>
      <c r="S25" s="122"/>
    </row>
    <row r="26" spans="1:19">
      <c r="A26" s="122"/>
      <c r="B26" s="122"/>
      <c r="C26" s="122"/>
      <c r="D26" s="122"/>
      <c r="E26" s="122"/>
      <c r="F26" s="122"/>
      <c r="G26" s="122"/>
      <c r="H26" s="122"/>
      <c r="I26" s="122"/>
      <c r="J26" s="122"/>
      <c r="K26" s="122"/>
      <c r="L26" s="122"/>
      <c r="M26" s="122"/>
      <c r="N26" s="122"/>
      <c r="O26" s="122"/>
      <c r="P26" s="122"/>
      <c r="Q26" s="122"/>
      <c r="R26" s="122"/>
      <c r="S26" s="122"/>
    </row>
    <row r="28" spans="1:19" ht="12.75" customHeight="1"/>
    <row r="29" spans="1:19" ht="15.75" hidden="1" customHeight="1">
      <c r="B29" s="1" t="s">
        <v>8</v>
      </c>
    </row>
    <row r="30" spans="1:19" ht="24" hidden="1" customHeight="1">
      <c r="B30" s="1" t="s">
        <v>9</v>
      </c>
    </row>
  </sheetData>
  <mergeCells count="21">
    <mergeCell ref="E2:M3"/>
    <mergeCell ref="I18:L19"/>
    <mergeCell ref="O17:S19"/>
    <mergeCell ref="B24:F24"/>
    <mergeCell ref="B23:F23"/>
    <mergeCell ref="B22:F22"/>
    <mergeCell ref="B21:F21"/>
    <mergeCell ref="B20:F20"/>
    <mergeCell ref="B19:F19"/>
    <mergeCell ref="B18:F18"/>
    <mergeCell ref="B17:F17"/>
    <mergeCell ref="B16:F16"/>
    <mergeCell ref="B15:F15"/>
    <mergeCell ref="B14:F14"/>
    <mergeCell ref="B13:F13"/>
    <mergeCell ref="B12:F12"/>
    <mergeCell ref="B11:F11"/>
    <mergeCell ref="B10:F10"/>
    <mergeCell ref="B9:F9"/>
    <mergeCell ref="B8:F8"/>
    <mergeCell ref="B7:F7"/>
  </mergeCells>
  <dataValidations count="1">
    <dataValidation type="list" allowBlank="1" showInputMessage="1" showErrorMessage="1" sqref="Q24" xr:uid="{5C6C0112-11AD-481D-9F83-BC44F77EA356}">
      <formula1>$B$29:$B$30</formula1>
    </dataValidation>
  </dataValidations>
  <hyperlinks>
    <hyperlink ref="B8" location="Instrucciones_Valencia!A1" display="Instrucciones_Valencia!A1" xr:uid="{65F20091-074D-4906-931C-46504A84E1D4}"/>
    <hyperlink ref="B10" location="M_Datos!A1" display="M_Datos!A1" xr:uid="{7FCDF2E5-A8FA-48D3-B53F-FD979CC3C87D}"/>
    <hyperlink ref="B12" location="M_A0!A1" display="2.1. Alternativa 0 (A0)" xr:uid="{0FD15EB1-685E-46A1-82A6-AB19793BDA2C}"/>
    <hyperlink ref="B13" location="M_A1!A1" display="2.2. Alternativa 1 (A1)" xr:uid="{C71F06AE-CAE2-4158-AB6A-5AA72E875220}"/>
    <hyperlink ref="B14" location="M_A2!A1" display="2.3. Alternativa 2 (A2)" xr:uid="{FB0B8D03-0E81-4AAC-B702-DAA27345B304}"/>
    <hyperlink ref="B15" location="M_A3!A1" display="2.4. Alternativa 3 (A3)" xr:uid="{9FACC51D-A37B-40DF-B6E5-705C1455D11A}"/>
    <hyperlink ref="B16" location="M_A4!A1" display="2.5. Alternativa 4 (A4)" xr:uid="{57AD7689-2064-4631-BC3A-2BC00BEBBBB7}"/>
    <hyperlink ref="B17" location="M_Resultados!A1" display="M_Resultados!A1" xr:uid="{07859B86-B374-4BF0-8A83-02CC1CDAC296}"/>
    <hyperlink ref="B18" location="M_Factores!A1" display="M_Factores!A1" xr:uid="{94F3494F-110D-4AAA-9CE4-DA684C5E4ADE}"/>
    <hyperlink ref="B20" location="B_Alcance!A1" display="B_Alcance!A1" xr:uid="{8960353B-4BCD-478F-B828-D311B8DC6C27}"/>
    <hyperlink ref="B21" location="B_Checklist!A1" display="2. Checklist" xr:uid="{3683C909-8B67-48C0-A21A-260B34C69712}"/>
    <hyperlink ref="B22" location="B_Checklist!A1" display="B_Checklist!A1" xr:uid="{B507443F-8373-491E-870E-65978F49EDC1}"/>
    <hyperlink ref="B23" location="B_Resultados!A1" display="B_Resultados!A1" xr:uid="{0456065B-6390-42A8-AB97-EC7E36650FCA}"/>
    <hyperlink ref="B24" location="Medidas_Propuestas!A1" display="Medidas_Propuestas!A1" xr:uid="{8FEBA318-A70F-4633-928C-6E14BB87A69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5ED68-2F95-4250-98E5-11316928A49A}">
  <sheetPr>
    <tabColor theme="5" tint="0.79998168889431442"/>
  </sheetPr>
  <dimension ref="A1:BE129"/>
  <sheetViews>
    <sheetView zoomScale="80" zoomScaleNormal="80" workbookViewId="0">
      <selection activeCell="F89" sqref="F89"/>
    </sheetView>
  </sheetViews>
  <sheetFormatPr baseColWidth="10" defaultColWidth="11.44140625" defaultRowHeight="15.6"/>
  <cols>
    <col min="1" max="1" width="29.5546875" style="145" customWidth="1"/>
    <col min="2" max="2" width="11.44140625" style="1"/>
    <col min="3" max="3" width="29.33203125" style="1" bestFit="1" customWidth="1"/>
    <col min="4" max="16384" width="11.44140625" style="1"/>
  </cols>
  <sheetData>
    <row r="1" spans="1:24" s="135" customFormat="1" ht="30" customHeight="1">
      <c r="A1" s="1"/>
      <c r="B1" s="137"/>
    </row>
    <row r="2" spans="1:24" s="135" customFormat="1" ht="30" customHeight="1">
      <c r="A2" s="1"/>
      <c r="B2" s="137"/>
      <c r="C2" s="136" t="str">
        <f>IF(Idioma=Castellano,"3. Resultados",IF(Idioma=Valencià,"3. Resultats","3. Resultados"))</f>
        <v>3. Resultados</v>
      </c>
    </row>
    <row r="3" spans="1:24" s="135" customFormat="1" ht="30" customHeight="1">
      <c r="A3" s="1"/>
      <c r="B3" s="137"/>
    </row>
    <row r="4" spans="1:24" ht="14.4">
      <c r="A4" s="143"/>
      <c r="O4" s="7"/>
      <c r="P4" s="7"/>
      <c r="Q4" s="7"/>
      <c r="R4" s="7"/>
      <c r="S4" s="7"/>
      <c r="T4" s="7"/>
      <c r="U4" s="7"/>
      <c r="V4" s="7"/>
      <c r="W4" s="7"/>
    </row>
    <row r="5" spans="1:24" ht="14.4">
      <c r="A5" s="143"/>
      <c r="O5" s="7"/>
      <c r="P5" s="3"/>
      <c r="Q5" s="9"/>
      <c r="R5" s="9"/>
      <c r="S5" s="9"/>
      <c r="T5" s="9"/>
      <c r="U5" s="9"/>
      <c r="V5" s="3"/>
      <c r="W5" s="3"/>
      <c r="X5" s="3"/>
    </row>
    <row r="6" spans="1:24">
      <c r="A6" s="201" t="str">
        <f>IF(Idioma=Castellano,"Índice",IF(Idioma=Valencià,"Índex","Índice"))</f>
        <v>Índice</v>
      </c>
      <c r="C6" s="62" t="str">
        <f>IF(Idioma=Castellano,"Nombre del plan",IF(Idioma=Valencià,"Nom del pla","Nombre del plan"))</f>
        <v>Nombre del plan</v>
      </c>
      <c r="D6" s="673">
        <f>M_Datos!E7</f>
        <v>0</v>
      </c>
      <c r="E6" s="674"/>
      <c r="F6" s="674"/>
      <c r="G6" s="674"/>
      <c r="H6" s="674"/>
      <c r="I6" s="674"/>
      <c r="J6" s="674"/>
      <c r="K6" s="674"/>
      <c r="O6" s="7"/>
      <c r="P6" s="3"/>
      <c r="Q6" s="9" t="str">
        <f>E18</f>
        <v>Alternativa 0</v>
      </c>
      <c r="R6" s="9" t="str">
        <f>G18</f>
        <v>Alternativa 1</v>
      </c>
      <c r="S6" s="9" t="str">
        <f>I18</f>
        <v>Alternativa 2</v>
      </c>
      <c r="T6" s="9" t="str">
        <f>K18</f>
        <v>Alternativa 3</v>
      </c>
      <c r="U6" s="9" t="str">
        <f>M18</f>
        <v>Alternativa 4</v>
      </c>
      <c r="V6" s="3"/>
      <c r="W6" s="3"/>
      <c r="X6" s="3"/>
    </row>
    <row r="7" spans="1:24" ht="14.4">
      <c r="A7" s="202" t="str">
        <f>IF(Idioma=Castellano,"Instrucciones",IF(Idioma=Valencià,"Instruccions","Instrucciones"))</f>
        <v>Instrucciones</v>
      </c>
      <c r="C7" s="62" t="s">
        <v>10</v>
      </c>
      <c r="D7" s="673">
        <f>M_Datos!E8</f>
        <v>0</v>
      </c>
      <c r="E7" s="674"/>
      <c r="F7" s="674"/>
      <c r="G7" s="674"/>
      <c r="H7" s="674"/>
      <c r="I7" s="674"/>
      <c r="J7" s="674"/>
      <c r="K7" s="674"/>
      <c r="O7" s="7"/>
      <c r="P7" s="3"/>
      <c r="Q7" s="10" t="e">
        <f>E26</f>
        <v>#N/A</v>
      </c>
      <c r="R7" s="10" t="e">
        <f>G26</f>
        <v>#N/A</v>
      </c>
      <c r="S7" s="10" t="e">
        <f>I26</f>
        <v>#N/A</v>
      </c>
      <c r="T7" s="10" t="e">
        <f>K26</f>
        <v>#N/A</v>
      </c>
      <c r="U7" s="10" t="e">
        <f>M26</f>
        <v>#N/A</v>
      </c>
      <c r="V7" s="3"/>
      <c r="W7" s="3"/>
      <c r="X7" s="3"/>
    </row>
    <row r="8" spans="1:24" ht="14.4">
      <c r="A8" s="203" t="str">
        <f>IF(Idioma=Castellano,"Sección de Mitigación",IF(Idioma=Valencià,"Secció de Mitigació", "Sección de Mitigación"))</f>
        <v>Sección de Mitigación</v>
      </c>
      <c r="C8" s="62" t="str">
        <f>IF(Idioma=Castellano,"Municipio",IF(Idioma=Valencià,"Municipi","Municipio"))</f>
        <v>Municipio</v>
      </c>
      <c r="D8" s="673">
        <f>M_Datos!E9</f>
        <v>0</v>
      </c>
      <c r="E8" s="674"/>
      <c r="F8" s="674"/>
      <c r="G8" s="674"/>
      <c r="H8" s="674"/>
      <c r="I8" s="674"/>
      <c r="J8" s="674"/>
      <c r="K8" s="674"/>
      <c r="O8" s="7"/>
      <c r="P8" s="32"/>
      <c r="Q8" s="32"/>
      <c r="R8" s="32"/>
      <c r="S8" s="32"/>
      <c r="T8" s="32"/>
      <c r="U8" s="32"/>
      <c r="V8" s="32"/>
      <c r="W8" s="32"/>
      <c r="X8" s="32"/>
    </row>
    <row r="9" spans="1:24" ht="14.4">
      <c r="A9" s="204" t="str">
        <f>IF(Idioma=Castellano,"1. Datos de entrada",IF(Idioma=Valencià,"1.Dades d'entrada","1. Datos de entrada"))</f>
        <v>1. Datos de entrada</v>
      </c>
      <c r="C9" s="279"/>
      <c r="D9" s="280"/>
      <c r="E9" s="6"/>
      <c r="F9" s="6"/>
      <c r="G9" s="6"/>
      <c r="H9" s="6"/>
      <c r="I9" s="6"/>
      <c r="J9" s="6"/>
      <c r="K9" s="6"/>
      <c r="O9" s="7"/>
      <c r="P9" s="32"/>
      <c r="Q9" s="32"/>
      <c r="R9" s="32"/>
      <c r="S9" s="32"/>
      <c r="T9" s="32"/>
      <c r="U9" s="32"/>
      <c r="V9" s="32"/>
      <c r="W9" s="32"/>
      <c r="X9" s="32"/>
    </row>
    <row r="10" spans="1:24" ht="14.4">
      <c r="A10" s="204" t="str">
        <f>IF(Idioma=Castellano,"2. Cálculo de Alternativas:",IF(Idioma=Valencià,"2. Càlcul d'alternatives :","2. Cálculo de Alternativas:"))</f>
        <v>2. Cálculo de Alternativas:</v>
      </c>
      <c r="O10" s="7"/>
      <c r="P10" s="32"/>
      <c r="Q10" s="32"/>
      <c r="R10" s="32"/>
      <c r="S10" s="32"/>
      <c r="T10" s="32"/>
      <c r="U10" s="32"/>
      <c r="V10" s="32"/>
      <c r="W10" s="32"/>
      <c r="X10" s="32"/>
    </row>
    <row r="11" spans="1:24" s="281" customFormat="1" ht="21">
      <c r="A11" s="205" t="s">
        <v>1</v>
      </c>
      <c r="C11" s="282" t="str">
        <f>IF(Idioma=Castellano,"RESULTADOS EMISIONES DE GEI",IF(Idioma=Valencià,"RESULTATS EMISSIONS DE GEH","RESULTADOS EMISIONES DE GEI"))</f>
        <v>RESULTADOS EMISIONES DE GEI</v>
      </c>
    </row>
    <row r="12" spans="1:24" ht="14.4">
      <c r="A12" s="205" t="s">
        <v>2</v>
      </c>
      <c r="O12" s="7"/>
      <c r="P12" s="32"/>
      <c r="Q12" s="32"/>
      <c r="R12" s="32"/>
      <c r="S12" s="32"/>
      <c r="T12" s="32"/>
      <c r="U12" s="32"/>
      <c r="V12" s="32"/>
      <c r="W12" s="32"/>
      <c r="X12" s="32"/>
    </row>
    <row r="13" spans="1:24" ht="18">
      <c r="A13" s="205" t="s">
        <v>3</v>
      </c>
      <c r="O13" s="7"/>
      <c r="P13" s="32"/>
      <c r="Q13" s="32"/>
      <c r="R13" s="547" t="str">
        <f>IF(Idioma=Castellano,"Emisiones resultantes por alternativa (tCO2/año)",IF(Idioma=Valencià,"Emissions resultants per alternativa (tCO2/any)"))</f>
        <v>Emisiones resultantes por alternativa (tCO2/año)</v>
      </c>
      <c r="S13" s="32"/>
      <c r="T13" s="32"/>
      <c r="U13" s="32"/>
      <c r="V13" s="32"/>
      <c r="W13" s="32"/>
      <c r="X13" s="32"/>
    </row>
    <row r="14" spans="1:24" ht="14.4">
      <c r="A14" s="205" t="s">
        <v>4</v>
      </c>
    </row>
    <row r="15" spans="1:24" ht="14.4">
      <c r="A15" s="205" t="s">
        <v>5</v>
      </c>
      <c r="C15" s="250" t="str">
        <f>IF(Idioma=Castellano,"TABLA RESUMEN DE EMISIONES DE GEI",IF(Idioma=Valencià,"RESULTATS EMISSIONS DE GEH","TABLA RESUMEN DE EMISIONES DE GEI"))</f>
        <v>TABLA RESUMEN DE EMISIONES DE GEI</v>
      </c>
      <c r="L15" s="7"/>
      <c r="M15" s="7"/>
      <c r="N15" s="7"/>
      <c r="O15" s="7"/>
    </row>
    <row r="16" spans="1:24" ht="14.4">
      <c r="A16" s="204" t="str">
        <f>IF(Idioma=Castellano,"3. Resultados",IF(Idioma=Valencià,"3. Resultats","3. Resultados"))</f>
        <v>3. Resultados</v>
      </c>
      <c r="C16" s="7"/>
      <c r="D16" s="7"/>
      <c r="E16" s="7"/>
      <c r="F16" s="7"/>
      <c r="G16" s="7"/>
      <c r="H16" s="7"/>
      <c r="I16" s="7"/>
      <c r="J16" s="7"/>
      <c r="K16" s="7"/>
      <c r="L16" s="7"/>
      <c r="M16" s="7"/>
      <c r="N16" s="7"/>
      <c r="O16" s="7"/>
    </row>
    <row r="17" spans="1:57" ht="14.4">
      <c r="A17" s="204" t="str">
        <f>IF(Idioma=Castellano,"4. Factores de emisión",IF(Idioma=Valencià,"4. Factors d'emissió","4. Factores de emisión"))</f>
        <v>4. Factores de emisión</v>
      </c>
      <c r="C17"/>
      <c r="E17" s="7"/>
      <c r="F17" s="7"/>
      <c r="G17" s="7"/>
      <c r="H17" s="7"/>
      <c r="I17" s="7"/>
      <c r="J17" s="7"/>
      <c r="K17" s="7"/>
      <c r="L17" s="7"/>
      <c r="M17" s="7"/>
      <c r="N17" s="7"/>
      <c r="O17" s="7"/>
      <c r="P17" s="7"/>
    </row>
    <row r="18" spans="1:57" ht="14.4">
      <c r="A18" s="203" t="str">
        <f>IF(Idioma=Castellano,"Sección de Adaptación",IF(Idioma=Valencià,"Secció d'Adaptació","Sección de Adaptación"))</f>
        <v>Sección de Adaptación</v>
      </c>
      <c r="C18" s="7"/>
      <c r="D18" s="7"/>
      <c r="E18" s="668" t="s">
        <v>23</v>
      </c>
      <c r="F18" s="668"/>
      <c r="G18" s="669" t="s">
        <v>31</v>
      </c>
      <c r="H18" s="669"/>
      <c r="I18" s="670" t="s">
        <v>36</v>
      </c>
      <c r="J18" s="670"/>
      <c r="K18" s="671" t="s">
        <v>39</v>
      </c>
      <c r="L18" s="671"/>
      <c r="M18" s="672" t="s">
        <v>42</v>
      </c>
      <c r="N18" s="672"/>
      <c r="O18" s="7"/>
      <c r="P18" s="7"/>
    </row>
    <row r="19" spans="1:57" ht="14.4">
      <c r="A19" s="204" t="str">
        <f>IF(Idioma=Castellano,"1. Alcance",IF(Idioma=Valencià,"1. Abast","1. Alcance"))</f>
        <v>1. Alcance</v>
      </c>
      <c r="E19" s="63" t="s">
        <v>631</v>
      </c>
      <c r="F19" s="63" t="s">
        <v>647</v>
      </c>
      <c r="G19" s="63" t="s">
        <v>631</v>
      </c>
      <c r="H19" s="63" t="s">
        <v>647</v>
      </c>
      <c r="I19" s="63" t="s">
        <v>631</v>
      </c>
      <c r="J19" s="63" t="s">
        <v>647</v>
      </c>
      <c r="K19" s="63" t="s">
        <v>631</v>
      </c>
      <c r="L19" s="63" t="s">
        <v>647</v>
      </c>
      <c r="M19" s="63" t="s">
        <v>631</v>
      </c>
      <c r="N19" s="63" t="s">
        <v>647</v>
      </c>
      <c r="O19" s="7"/>
      <c r="P19" s="7"/>
      <c r="AH19" s="603" t="e">
        <f>1-(G26/E26)</f>
        <v>#N/A</v>
      </c>
    </row>
    <row r="20" spans="1:57" ht="14.4">
      <c r="A20" s="204" t="s">
        <v>6</v>
      </c>
      <c r="C20" s="7" t="str">
        <f>IF(Idioma=Castellano,"Emisiones energia",IF(Idioma=Valencià,"Emissions energia","Emisiones energia"))</f>
        <v>Emisiones energia</v>
      </c>
      <c r="D20" s="7"/>
      <c r="E20" s="251" t="e">
        <f>M_A0!F60</f>
        <v>#N/A</v>
      </c>
      <c r="F20" s="251" t="e">
        <f>IF(E20=0, 0,E20/M_Datos!$F$15)</f>
        <v>#N/A</v>
      </c>
      <c r="G20" s="251" t="e">
        <f>M_A1!F60</f>
        <v>#N/A</v>
      </c>
      <c r="H20" s="251" t="e">
        <f>IF(G20=0, 0,G20/M_Datos!$G$15)</f>
        <v>#N/A</v>
      </c>
      <c r="I20" s="251" t="e">
        <f>M_A2!F60</f>
        <v>#N/A</v>
      </c>
      <c r="J20" s="251" t="e">
        <f>IF(I20=0, 0, I20/M_Datos!$H$15)</f>
        <v>#N/A</v>
      </c>
      <c r="K20" s="251" t="e">
        <f>M_A3!F60</f>
        <v>#N/A</v>
      </c>
      <c r="L20" s="251" t="e">
        <f>IF(K20=0, 0, K20/M_Datos!$I$15)</f>
        <v>#N/A</v>
      </c>
      <c r="M20" s="251" t="e">
        <f>M_A4!F60</f>
        <v>#N/A</v>
      </c>
      <c r="N20" s="251" t="e">
        <f>IF(M20=0,0,M20/M_Datos!$J$15)</f>
        <v>#N/A</v>
      </c>
      <c r="O20" s="7"/>
      <c r="P20" s="7"/>
      <c r="AH20" s="603" t="e">
        <f>1-(I26/E26)</f>
        <v>#N/A</v>
      </c>
    </row>
    <row r="21" spans="1:57" ht="14.4">
      <c r="A21" s="204" t="str">
        <f>IF(Idioma=Castellano,"3. Resultados",IF(Idioma=Valencià,"3. Resultats","3. Resultados"))</f>
        <v>3. Resultados</v>
      </c>
      <c r="B21" s="3"/>
      <c r="C21" s="7" t="str">
        <f>IF(Idioma=Castellano,"Emisiones movilidad",IF(Idioma=Valencià,"Emissions mobilitat","Emisiones movilidad"))</f>
        <v>Emisiones movilidad</v>
      </c>
      <c r="D21" s="7"/>
      <c r="E21" s="251">
        <f>M_A0!O84</f>
        <v>0</v>
      </c>
      <c r="F21" s="251">
        <f>IF(E21=0, 0,E21/M_Datos!$F$15)</f>
        <v>0</v>
      </c>
      <c r="G21" s="251">
        <f>M_A1!O84</f>
        <v>0</v>
      </c>
      <c r="H21" s="251">
        <f>IF(G21=0, 0,G21/M_Datos!$G$15)</f>
        <v>0</v>
      </c>
      <c r="I21" s="251">
        <f>M_A2!O84</f>
        <v>0</v>
      </c>
      <c r="J21" s="251">
        <f>IF(I21=0, 0, I21/M_Datos!$H$15)</f>
        <v>0</v>
      </c>
      <c r="K21" s="251">
        <f>M_A3!O84</f>
        <v>0</v>
      </c>
      <c r="L21" s="251">
        <f>IF(K21=0, 0, K21/M_Datos!$I$15)</f>
        <v>0</v>
      </c>
      <c r="M21" s="251">
        <f>M_A4!O84</f>
        <v>0</v>
      </c>
      <c r="N21" s="251">
        <f>IF(M21=0,0,M21/M_Datos!$J$15)</f>
        <v>0</v>
      </c>
      <c r="O21" s="7"/>
      <c r="P21" s="7"/>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row>
    <row r="22" spans="1:57" ht="14.4">
      <c r="A22" s="203" t="str">
        <f>IF(Idioma=Castellano,"Resultados generales",IF(Idioma=Valencià,"Resultats generals","Resultados generales"))</f>
        <v>Resultados generales</v>
      </c>
      <c r="B22" s="3"/>
      <c r="C22" s="7" t="str">
        <f>IF(Idioma=Castellano,"Emisiones agua",IF(Idioma=Valencià,"Emissions aigua","Emisiones agua"))</f>
        <v>Emisiones agua</v>
      </c>
      <c r="D22" s="7"/>
      <c r="E22" s="251">
        <f>M_A0!F93</f>
        <v>0</v>
      </c>
      <c r="F22" s="251">
        <f>IF(E22=0, 0,E22/M_Datos!$F$15)</f>
        <v>0</v>
      </c>
      <c r="G22" s="251">
        <f>M_A1!F93</f>
        <v>0</v>
      </c>
      <c r="H22" s="251">
        <f>IF(G22=0, 0,G22/M_Datos!$G$15)</f>
        <v>0</v>
      </c>
      <c r="I22" s="251">
        <f>M_A2!F93</f>
        <v>0</v>
      </c>
      <c r="J22" s="251">
        <f>IF(I22=0, 0, I22/M_Datos!$H$15)</f>
        <v>0</v>
      </c>
      <c r="K22" s="251">
        <f>M_A3!F93</f>
        <v>0</v>
      </c>
      <c r="L22" s="251">
        <f>IF(K22=0, 0, K22/M_Datos!$I$15)</f>
        <v>0</v>
      </c>
      <c r="M22" s="251">
        <f>M_A4!F93</f>
        <v>0</v>
      </c>
      <c r="N22" s="251">
        <f>IF(M22=0,0,M22/M_Datos!$J$15)</f>
        <v>0</v>
      </c>
      <c r="O22" s="7"/>
      <c r="P22" s="7"/>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row>
    <row r="23" spans="1:57" ht="14.4">
      <c r="A23" s="203" t="str">
        <f>IF(Idioma=Castellano,"Medidas Propuestas",IF(Idioma=Valencià,"Mesures Proposades","Medidas Propuestas"))</f>
        <v>Medidas Propuestas</v>
      </c>
      <c r="C23" s="7" t="str">
        <f>IF(Idioma=Castellano,"Emisiones residuos",IF(Idioma=Valencià,"Emissions residus","Emisiones residuos"))</f>
        <v>Emisiones residuos</v>
      </c>
      <c r="D23" s="7"/>
      <c r="E23" s="251">
        <f>M_A0!K92</f>
        <v>0</v>
      </c>
      <c r="F23" s="251">
        <f>IF(E23=0, 0,E23/M_Datos!$F$15)</f>
        <v>0</v>
      </c>
      <c r="G23" s="251">
        <f>M_A1!K91</f>
        <v>0</v>
      </c>
      <c r="H23" s="251">
        <f>IF(G23=0, 0,G23/M_Datos!$G$15)</f>
        <v>0</v>
      </c>
      <c r="I23" s="251">
        <f>M_A2!K91</f>
        <v>0</v>
      </c>
      <c r="J23" s="251">
        <f>IF(I23=0, 0, I23/M_Datos!$H$15)</f>
        <v>0</v>
      </c>
      <c r="K23" s="251">
        <f>M_A3!K91</f>
        <v>0</v>
      </c>
      <c r="L23" s="251">
        <f>IF(K23=0, 0, K23/M_Datos!$I$15)</f>
        <v>0</v>
      </c>
      <c r="M23" s="251">
        <f>M_A4!K91</f>
        <v>0</v>
      </c>
      <c r="N23" s="251">
        <f>IF(M23=0,0,M23/M_Datos!$J$15)</f>
        <v>0</v>
      </c>
      <c r="O23" s="7"/>
      <c r="P23" s="7"/>
    </row>
    <row r="24" spans="1:57">
      <c r="C24" s="7" t="str">
        <f>IF(Idioma=Castellano,"Sumideros de CO2",IF(Idioma=Valencià,"Embornals de CO₂","Sumideros de CO2"))</f>
        <v>Sumideros de CO2</v>
      </c>
      <c r="D24" s="7"/>
      <c r="E24" s="251">
        <f>M_A0!S89</f>
        <v>0</v>
      </c>
      <c r="F24" s="251">
        <f>IF(E24=0, 0,E24/M_Datos!$F$15)</f>
        <v>0</v>
      </c>
      <c r="G24" s="251">
        <f>M_A1!S90</f>
        <v>0</v>
      </c>
      <c r="H24" s="251">
        <f>IF(G24=0, 0,G24/M_Datos!$G$15)</f>
        <v>0</v>
      </c>
      <c r="I24" s="251">
        <f>M_A2!S90</f>
        <v>0</v>
      </c>
      <c r="J24" s="251">
        <f>IF(I24=0, 0, I24/M_Datos!$H$15)</f>
        <v>0</v>
      </c>
      <c r="K24" s="251">
        <f>M_A3!S90</f>
        <v>0</v>
      </c>
      <c r="L24" s="251">
        <f>IF(K24=0, 0, K24/M_Datos!$I$15)</f>
        <v>0</v>
      </c>
      <c r="M24" s="251">
        <f>M_A4!S90</f>
        <v>0</v>
      </c>
      <c r="N24" s="251">
        <f>IF(M24=0,0,M24/M_Datos!$J$15)</f>
        <v>0</v>
      </c>
      <c r="O24" s="7"/>
      <c r="P24" s="7"/>
    </row>
    <row r="25" spans="1:57">
      <c r="B25" s="3"/>
      <c r="C25" s="7" t="str">
        <f>IF(Idioma=Castellano,"Cambio de usos del suelo",IF(Idioma=Valencià,"Canvi d'usos del sòl","Cambio de usos del suelo"))</f>
        <v>Cambio de usos del suelo</v>
      </c>
      <c r="D25" s="7"/>
      <c r="E25" s="251">
        <f>M_A0!V101</f>
        <v>0</v>
      </c>
      <c r="F25" s="251">
        <f>IF(E25=0, 0,E25/M_Datos!$F$15)</f>
        <v>0</v>
      </c>
      <c r="G25" s="251">
        <f>M_A1!U101</f>
        <v>0</v>
      </c>
      <c r="H25" s="251">
        <f>IF(G25=0, 0,G25/M_Datos!$G$15)</f>
        <v>0</v>
      </c>
      <c r="I25" s="251">
        <f>M_A2!U101</f>
        <v>0</v>
      </c>
      <c r="J25" s="251">
        <f>IF(I25=0, 0, I25/M_Datos!$H$15)</f>
        <v>0</v>
      </c>
      <c r="K25" s="251">
        <f>M_A3!U101</f>
        <v>0</v>
      </c>
      <c r="L25" s="251">
        <f>IF(K25=0, 0, K25/M_Datos!$I$15)</f>
        <v>0</v>
      </c>
      <c r="M25" s="251">
        <f>M_A4!U101</f>
        <v>0</v>
      </c>
      <c r="N25" s="251">
        <f>IF(M25=0,0,M25/M_Datos!$J$15)</f>
        <v>0</v>
      </c>
      <c r="O25" s="7"/>
      <c r="P25" s="7"/>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row>
    <row r="26" spans="1:57">
      <c r="B26" s="7"/>
      <c r="C26" s="8" t="str">
        <f>IF(Idioma=Castellano,"Total emisiones  (t CO2/año)",IF(Idioma=Valencià,"Total emissions (t CO2/any)","Total emisiones  (t CO2/año)"))</f>
        <v>Total emisiones  (t CO2/año)</v>
      </c>
      <c r="D26" s="7"/>
      <c r="E26" s="252" t="e">
        <f>(SUM(E20:E25))</f>
        <v>#N/A</v>
      </c>
      <c r="F26" s="252" t="e">
        <f t="shared" ref="F26:N26" si="0">(SUM(F20:F25))</f>
        <v>#N/A</v>
      </c>
      <c r="G26" s="252" t="e">
        <f t="shared" si="0"/>
        <v>#N/A</v>
      </c>
      <c r="H26" s="252" t="e">
        <f t="shared" si="0"/>
        <v>#N/A</v>
      </c>
      <c r="I26" s="252" t="e">
        <f t="shared" si="0"/>
        <v>#N/A</v>
      </c>
      <c r="J26" s="252" t="e">
        <f t="shared" si="0"/>
        <v>#N/A</v>
      </c>
      <c r="K26" s="252" t="e">
        <f t="shared" si="0"/>
        <v>#N/A</v>
      </c>
      <c r="L26" s="252" t="e">
        <f t="shared" si="0"/>
        <v>#N/A</v>
      </c>
      <c r="M26" s="252" t="e">
        <f t="shared" si="0"/>
        <v>#N/A</v>
      </c>
      <c r="N26" s="252" t="e">
        <f t="shared" si="0"/>
        <v>#N/A</v>
      </c>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row>
    <row r="27" spans="1:57" ht="16.2" thickBot="1">
      <c r="B27" s="7"/>
      <c r="C27" s="8"/>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row>
    <row r="28" spans="1:57" ht="21.6" thickBot="1">
      <c r="B28" s="3"/>
      <c r="C28" s="660" t="str">
        <f>IF(Idioma=Castellano,"COMPARATIVA POR ALTERNATIVAS",IF(Idioma=Valencià,"COMPARATIVA PER ALTERNATIVES","COMPARATIVA POR ALTERNATIVAS"))</f>
        <v>COMPARATIVA POR ALTERNATIVAS</v>
      </c>
      <c r="D28" s="661"/>
      <c r="E28" s="661"/>
      <c r="F28" s="661"/>
      <c r="G28" s="661"/>
      <c r="H28" s="661"/>
      <c r="I28" s="661"/>
      <c r="J28" s="661"/>
      <c r="K28" s="661"/>
      <c r="L28" s="661"/>
      <c r="M28" s="661"/>
      <c r="N28" s="661"/>
      <c r="O28" s="661"/>
      <c r="P28" s="661"/>
      <c r="Q28" s="661"/>
      <c r="R28" s="661"/>
      <c r="S28" s="661"/>
      <c r="T28" s="661"/>
      <c r="U28" s="661"/>
      <c r="V28" s="661"/>
      <c r="W28" s="661"/>
      <c r="X28" s="662"/>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row>
    <row r="29" spans="1:57">
      <c r="G29" s="7"/>
      <c r="H29" s="7"/>
      <c r="I29" s="7"/>
      <c r="J29" s="7"/>
      <c r="K29" s="7"/>
      <c r="L29" s="7"/>
      <c r="M29" s="7"/>
      <c r="N29" s="7"/>
      <c r="O29" s="7"/>
      <c r="P29" s="7"/>
      <c r="Q29" s="7"/>
      <c r="R29" s="7"/>
      <c r="S29" s="7"/>
      <c r="T29" s="7"/>
      <c r="U29" s="7"/>
      <c r="V29" s="7"/>
      <c r="W29" s="7"/>
      <c r="X29" s="7"/>
    </row>
    <row r="30" spans="1:57" ht="18">
      <c r="G30" s="7"/>
      <c r="H30" s="7"/>
      <c r="I30" s="7"/>
      <c r="J30" s="7"/>
      <c r="K30" s="7"/>
      <c r="L30" s="7"/>
      <c r="M30" s="7"/>
      <c r="N30" s="7"/>
      <c r="O30" s="7"/>
      <c r="P30" s="547" t="str">
        <f>IF(Idioma=Castellano,"Comparativa de emisiones desagregadas por alternativa y categoría (t CO2/año)",IF(Idioma=Valencià,"Comparativa d'emissions desagregades per alternativa i categoria (t CO2/any)"))</f>
        <v>Comparativa de emisiones desagregadas por alternativa y categoría (t CO2/año)</v>
      </c>
      <c r="Q30" s="7"/>
      <c r="R30" s="7"/>
      <c r="S30" s="7"/>
      <c r="T30" s="7"/>
      <c r="U30" s="7"/>
      <c r="V30" s="7"/>
      <c r="W30" s="7"/>
      <c r="X30" s="7"/>
      <c r="Y30" s="7"/>
      <c r="Z30" s="7"/>
      <c r="AA30" s="7"/>
      <c r="AB30" s="7"/>
      <c r="AC30" s="7"/>
      <c r="AD30" s="7"/>
      <c r="AE30" s="7"/>
    </row>
    <row r="31" spans="1:57">
      <c r="G31" s="7"/>
      <c r="H31" s="7"/>
      <c r="I31" s="7"/>
      <c r="J31" s="7"/>
      <c r="K31" s="7"/>
      <c r="L31" s="7"/>
      <c r="M31" s="7"/>
      <c r="N31" s="7"/>
      <c r="O31" s="7"/>
      <c r="P31" s="7"/>
      <c r="Q31" s="7"/>
      <c r="R31" s="7"/>
      <c r="S31" s="7"/>
      <c r="T31" s="7"/>
      <c r="U31" s="7"/>
      <c r="V31" s="7"/>
      <c r="W31" s="7"/>
      <c r="X31" s="7"/>
      <c r="Y31" s="7"/>
      <c r="Z31" s="7"/>
      <c r="AA31" s="7"/>
      <c r="AB31" s="7"/>
      <c r="AC31" s="7"/>
      <c r="AD31" s="7"/>
      <c r="AE31" s="7"/>
    </row>
    <row r="32" spans="1:57">
      <c r="G32" s="7"/>
      <c r="H32" s="7"/>
      <c r="I32" s="7"/>
      <c r="J32" s="7"/>
      <c r="K32" s="7"/>
      <c r="L32" s="7"/>
      <c r="M32" s="7"/>
      <c r="N32" s="7"/>
      <c r="O32" s="7"/>
      <c r="P32" s="7"/>
      <c r="Q32" s="7"/>
      <c r="R32" s="7"/>
      <c r="S32" s="7"/>
      <c r="T32" s="7"/>
      <c r="U32" s="7"/>
      <c r="V32" s="7"/>
      <c r="W32" s="7"/>
      <c r="X32" s="7"/>
      <c r="Y32" s="3"/>
      <c r="Z32" s="3"/>
      <c r="AA32" s="3"/>
      <c r="AB32" s="3"/>
      <c r="AC32" s="3"/>
      <c r="AD32" s="7"/>
      <c r="AE32" s="7"/>
    </row>
    <row r="33" spans="3:56">
      <c r="G33" s="7"/>
      <c r="H33" s="7"/>
      <c r="I33" s="7"/>
      <c r="J33" s="7"/>
      <c r="K33" s="7"/>
      <c r="L33" s="7"/>
      <c r="M33" s="7"/>
      <c r="N33" s="7"/>
      <c r="O33" s="7"/>
      <c r="P33" s="7"/>
      <c r="Q33" s="7"/>
      <c r="R33" s="7"/>
      <c r="S33" s="7"/>
      <c r="T33" s="7"/>
      <c r="U33" s="7"/>
      <c r="V33" s="7"/>
      <c r="W33" s="7"/>
      <c r="X33" s="7"/>
      <c r="Y33" s="3"/>
      <c r="Z33" s="3"/>
      <c r="AA33" s="3"/>
      <c r="AB33" s="3"/>
      <c r="AC33" s="3"/>
      <c r="AD33" s="7"/>
      <c r="AE33" s="7"/>
    </row>
    <row r="34" spans="3:56">
      <c r="C34" s="50"/>
      <c r="D34" s="50"/>
      <c r="E34" s="51"/>
      <c r="F34" s="51"/>
      <c r="G34" s="50"/>
      <c r="H34" s="50"/>
      <c r="I34" s="50"/>
      <c r="J34" s="50"/>
      <c r="K34" s="50"/>
      <c r="L34" s="7"/>
      <c r="M34" s="7"/>
      <c r="N34" s="7"/>
      <c r="O34" s="7"/>
      <c r="P34" s="7"/>
      <c r="Q34" s="7" t="str">
        <f>Q6</f>
        <v>Alternativa 0</v>
      </c>
      <c r="R34" s="7" t="str">
        <f>R6</f>
        <v>Alternativa 1</v>
      </c>
      <c r="S34" s="7" t="str">
        <f>S6</f>
        <v>Alternativa 2</v>
      </c>
      <c r="T34" s="7" t="str">
        <f>T6</f>
        <v>Alternativa 3</v>
      </c>
      <c r="U34" s="7" t="str">
        <f>U6</f>
        <v>Alternativa 4</v>
      </c>
      <c r="V34" s="7"/>
      <c r="W34" s="7"/>
      <c r="X34" s="7"/>
      <c r="AD34" s="7"/>
      <c r="AE34" s="7"/>
    </row>
    <row r="35" spans="3:56">
      <c r="C35" s="65"/>
      <c r="D35" s="66"/>
      <c r="E35" s="51"/>
      <c r="F35" s="51"/>
      <c r="G35" s="663"/>
      <c r="H35" s="664"/>
      <c r="I35" s="664"/>
      <c r="J35" s="664"/>
      <c r="K35" s="664"/>
      <c r="L35" s="7"/>
      <c r="M35" s="7"/>
      <c r="N35" s="7"/>
      <c r="O35" s="7"/>
      <c r="P35" s="7" t="s">
        <v>648</v>
      </c>
      <c r="Q35" s="87" t="e">
        <f t="shared" ref="Q35:Q40" si="1">E20</f>
        <v>#N/A</v>
      </c>
      <c r="R35" s="87" t="e">
        <f t="shared" ref="R35:R40" si="2">G20</f>
        <v>#N/A</v>
      </c>
      <c r="S35" s="87" t="e">
        <f t="shared" ref="S35:S40" si="3">I20</f>
        <v>#N/A</v>
      </c>
      <c r="T35" s="87" t="e">
        <f t="shared" ref="T35:T40" si="4">K20</f>
        <v>#N/A</v>
      </c>
      <c r="U35" s="87" t="e">
        <f t="shared" ref="U35:U40" si="5">M20</f>
        <v>#N/A</v>
      </c>
      <c r="V35" s="7"/>
      <c r="W35" s="7"/>
      <c r="X35" s="7"/>
      <c r="AD35" s="7"/>
      <c r="AE35" s="7"/>
      <c r="BD35" s="67" t="s">
        <v>648</v>
      </c>
    </row>
    <row r="36" spans="3:56">
      <c r="C36" s="68"/>
      <c r="D36" s="69"/>
      <c r="E36" s="51"/>
      <c r="F36" s="51"/>
      <c r="G36" s="12"/>
      <c r="H36" s="12"/>
      <c r="I36" s="7"/>
      <c r="J36" s="7"/>
      <c r="K36" s="7"/>
      <c r="L36" s="7"/>
      <c r="M36" s="7"/>
      <c r="N36" s="7"/>
      <c r="O36" s="7"/>
      <c r="P36" s="7" t="s">
        <v>649</v>
      </c>
      <c r="Q36" s="87">
        <f t="shared" si="1"/>
        <v>0</v>
      </c>
      <c r="R36" s="87">
        <f t="shared" si="2"/>
        <v>0</v>
      </c>
      <c r="S36" s="87">
        <f t="shared" si="3"/>
        <v>0</v>
      </c>
      <c r="T36" s="87">
        <f t="shared" si="4"/>
        <v>0</v>
      </c>
      <c r="U36" s="87">
        <f t="shared" si="5"/>
        <v>0</v>
      </c>
      <c r="V36" s="7"/>
      <c r="W36" s="7"/>
      <c r="X36" s="7"/>
      <c r="AD36" s="7"/>
      <c r="AE36" s="7"/>
      <c r="BD36" s="67" t="s">
        <v>649</v>
      </c>
    </row>
    <row r="37" spans="3:56">
      <c r="C37" s="65"/>
      <c r="D37" s="69"/>
      <c r="E37" s="51"/>
      <c r="F37" s="51"/>
      <c r="G37" s="665"/>
      <c r="H37" s="666"/>
      <c r="I37" s="7"/>
      <c r="J37" s="7"/>
      <c r="K37" s="7"/>
      <c r="L37" s="7"/>
      <c r="M37" s="7"/>
      <c r="N37" s="7"/>
      <c r="O37" s="7"/>
      <c r="P37" s="7" t="s">
        <v>643</v>
      </c>
      <c r="Q37" s="87">
        <f t="shared" si="1"/>
        <v>0</v>
      </c>
      <c r="R37" s="87">
        <f t="shared" si="2"/>
        <v>0</v>
      </c>
      <c r="S37" s="87">
        <f t="shared" si="3"/>
        <v>0</v>
      </c>
      <c r="T37" s="87">
        <f t="shared" si="4"/>
        <v>0</v>
      </c>
      <c r="U37" s="87">
        <f t="shared" si="5"/>
        <v>0</v>
      </c>
      <c r="V37" s="7"/>
      <c r="W37" s="7"/>
      <c r="X37" s="7"/>
      <c r="AD37" s="7"/>
      <c r="AE37" s="7"/>
      <c r="BD37" s="67" t="s">
        <v>643</v>
      </c>
    </row>
    <row r="38" spans="3:56">
      <c r="C38" s="65"/>
      <c r="D38" s="69"/>
      <c r="E38" s="51"/>
      <c r="F38" s="51"/>
      <c r="G38" s="667"/>
      <c r="H38" s="666"/>
      <c r="I38" s="7"/>
      <c r="J38" s="7"/>
      <c r="K38" s="7"/>
      <c r="L38" s="7"/>
      <c r="M38" s="7"/>
      <c r="N38" s="7"/>
      <c r="O38" s="7"/>
      <c r="P38" s="7" t="s">
        <v>650</v>
      </c>
      <c r="Q38" s="87">
        <f t="shared" si="1"/>
        <v>0</v>
      </c>
      <c r="R38" s="87">
        <f t="shared" si="2"/>
        <v>0</v>
      </c>
      <c r="S38" s="87">
        <f t="shared" si="3"/>
        <v>0</v>
      </c>
      <c r="T38" s="87">
        <f t="shared" si="4"/>
        <v>0</v>
      </c>
      <c r="U38" s="87">
        <f t="shared" si="5"/>
        <v>0</v>
      </c>
      <c r="V38" s="7"/>
      <c r="W38" s="7"/>
      <c r="X38" s="7"/>
      <c r="AD38" s="7"/>
      <c r="AE38" s="7"/>
      <c r="BD38" s="67" t="s">
        <v>650</v>
      </c>
    </row>
    <row r="39" spans="3:56">
      <c r="C39" s="70"/>
      <c r="D39" s="71"/>
      <c r="E39" s="50"/>
      <c r="F39" s="50"/>
      <c r="G39" s="50"/>
      <c r="H39" s="50"/>
      <c r="I39" s="50"/>
      <c r="J39" s="50"/>
      <c r="K39" s="50"/>
      <c r="L39" s="7"/>
      <c r="M39" s="7"/>
      <c r="N39" s="7"/>
      <c r="O39" s="7"/>
      <c r="P39" s="7" t="s">
        <v>651</v>
      </c>
      <c r="Q39" s="87">
        <f t="shared" si="1"/>
        <v>0</v>
      </c>
      <c r="R39" s="87">
        <f t="shared" si="2"/>
        <v>0</v>
      </c>
      <c r="S39" s="87">
        <f t="shared" si="3"/>
        <v>0</v>
      </c>
      <c r="T39" s="87">
        <f t="shared" si="4"/>
        <v>0</v>
      </c>
      <c r="U39" s="87">
        <f t="shared" si="5"/>
        <v>0</v>
      </c>
      <c r="V39" s="7"/>
      <c r="W39" s="7"/>
      <c r="X39" s="7"/>
      <c r="AD39" s="7"/>
      <c r="AE39" s="7"/>
      <c r="BD39" s="67" t="s">
        <v>651</v>
      </c>
    </row>
    <row r="40" spans="3:56">
      <c r="C40" s="50"/>
      <c r="D40" s="50"/>
      <c r="E40" s="50"/>
      <c r="F40" s="50"/>
      <c r="G40" s="50"/>
      <c r="H40" s="50"/>
      <c r="I40" s="50"/>
      <c r="J40" s="50"/>
      <c r="K40" s="50"/>
      <c r="L40" s="7"/>
      <c r="M40" s="7"/>
      <c r="N40" s="7"/>
      <c r="O40" s="7"/>
      <c r="P40" s="7" t="str">
        <f>C25</f>
        <v>Cambio de usos del suelo</v>
      </c>
      <c r="Q40" s="87">
        <f t="shared" si="1"/>
        <v>0</v>
      </c>
      <c r="R40" s="87">
        <f t="shared" si="2"/>
        <v>0</v>
      </c>
      <c r="S40" s="87">
        <f t="shared" si="3"/>
        <v>0</v>
      </c>
      <c r="T40" s="87">
        <f t="shared" si="4"/>
        <v>0</v>
      </c>
      <c r="U40" s="87">
        <f t="shared" si="5"/>
        <v>0</v>
      </c>
      <c r="V40" s="7"/>
      <c r="W40" s="7"/>
      <c r="X40" s="7"/>
      <c r="AD40" s="7"/>
      <c r="AE40" s="7"/>
    </row>
    <row r="41" spans="3:56">
      <c r="C41" s="50"/>
      <c r="D41" s="50"/>
      <c r="E41" s="50"/>
      <c r="F41" s="50"/>
      <c r="G41" s="50"/>
      <c r="H41" s="50"/>
      <c r="I41" s="50"/>
      <c r="J41" s="50"/>
      <c r="K41" s="50"/>
      <c r="L41" s="7"/>
      <c r="M41" s="7"/>
      <c r="N41" s="7"/>
      <c r="O41" s="7"/>
      <c r="P41" s="7"/>
      <c r="Q41" s="7"/>
      <c r="R41" s="7"/>
      <c r="S41" s="7"/>
      <c r="T41" s="7"/>
      <c r="U41" s="7"/>
      <c r="V41" s="7"/>
      <c r="W41" s="7"/>
      <c r="X41" s="7"/>
      <c r="AD41" s="7"/>
      <c r="AE41" s="7"/>
    </row>
    <row r="42" spans="3:56">
      <c r="C42" s="50"/>
      <c r="D42" s="50"/>
      <c r="E42" s="50"/>
      <c r="F42" s="50"/>
      <c r="G42" s="50"/>
      <c r="H42" s="50"/>
      <c r="I42" s="72"/>
      <c r="J42" s="50"/>
      <c r="K42" s="50"/>
      <c r="L42" s="7"/>
      <c r="M42" s="7"/>
      <c r="N42" s="7"/>
      <c r="O42" s="7"/>
      <c r="P42" s="7"/>
      <c r="Q42" s="7"/>
      <c r="R42" s="7"/>
      <c r="S42" s="7"/>
      <c r="T42" s="7"/>
      <c r="U42" s="7"/>
      <c r="V42" s="7"/>
      <c r="W42" s="7"/>
      <c r="X42" s="7"/>
      <c r="Y42" s="7"/>
      <c r="Z42" s="7"/>
      <c r="AA42" s="7"/>
      <c r="AB42" s="7"/>
      <c r="AC42" s="7"/>
      <c r="AD42" s="7"/>
      <c r="AE42" s="7"/>
    </row>
    <row r="43" spans="3:56">
      <c r="C43" s="50"/>
      <c r="D43" s="50"/>
      <c r="E43" s="50"/>
      <c r="F43" s="50"/>
      <c r="G43" s="50"/>
      <c r="H43" s="50"/>
      <c r="I43" s="50"/>
      <c r="J43" s="50"/>
      <c r="K43" s="50"/>
      <c r="L43" s="7"/>
      <c r="M43" s="7"/>
      <c r="N43" s="7"/>
      <c r="O43" s="7"/>
      <c r="P43" s="7"/>
      <c r="Q43" s="7"/>
      <c r="R43" s="7"/>
      <c r="S43" s="7"/>
      <c r="T43" s="7"/>
      <c r="U43" s="7"/>
      <c r="V43" s="7"/>
      <c r="W43" s="7"/>
      <c r="X43" s="7"/>
      <c r="Y43" s="7"/>
      <c r="Z43" s="7"/>
      <c r="AA43" s="7"/>
      <c r="AB43" s="7"/>
      <c r="AC43" s="7"/>
      <c r="AD43" s="7"/>
      <c r="AE43" s="7"/>
    </row>
    <row r="44" spans="3:56">
      <c r="C44" s="50"/>
      <c r="D44" s="50"/>
      <c r="E44" s="50"/>
      <c r="F44" s="50"/>
      <c r="G44" s="50"/>
      <c r="H44" s="50"/>
      <c r="I44" s="50"/>
      <c r="J44" s="50"/>
      <c r="K44" s="50"/>
      <c r="L44" s="7"/>
      <c r="M44" s="7"/>
      <c r="N44" s="7"/>
      <c r="O44" s="7"/>
      <c r="P44" s="7"/>
      <c r="Q44" s="7"/>
      <c r="R44" s="7"/>
      <c r="S44" s="7"/>
      <c r="T44" s="7"/>
      <c r="U44" s="7"/>
      <c r="V44" s="7"/>
      <c r="W44" s="7"/>
      <c r="X44" s="7"/>
      <c r="Y44" s="7"/>
      <c r="Z44" s="7"/>
      <c r="AA44" s="7"/>
      <c r="AB44" s="7"/>
      <c r="AC44" s="7"/>
      <c r="AD44" s="7"/>
      <c r="AE44" s="7"/>
    </row>
    <row r="45" spans="3:56">
      <c r="C45" s="50"/>
      <c r="D45" s="50"/>
      <c r="E45" s="50"/>
      <c r="F45" s="50"/>
      <c r="G45" s="50"/>
      <c r="H45" s="50"/>
      <c r="I45" s="50"/>
      <c r="J45" s="50"/>
      <c r="K45" s="50"/>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row>
    <row r="46" spans="3:56">
      <c r="E46" s="50"/>
      <c r="F46" s="50"/>
      <c r="G46" s="50"/>
      <c r="H46" s="50"/>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row>
    <row r="47" spans="3:56">
      <c r="E47" s="50"/>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row>
    <row r="48" spans="3:56">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row>
    <row r="49" spans="7:44">
      <c r="G49" s="7"/>
      <c r="H49" s="7"/>
      <c r="I49" s="7"/>
      <c r="J49" s="7"/>
      <c r="K49" s="7"/>
      <c r="L49" s="7"/>
      <c r="M49" s="7"/>
      <c r="N49" s="7"/>
      <c r="O49" s="7"/>
      <c r="P49" s="7"/>
      <c r="Q49" s="7"/>
      <c r="R49" s="7"/>
      <c r="S49" s="7"/>
      <c r="T49" s="7"/>
      <c r="U49" s="7"/>
      <c r="V49" s="7"/>
      <c r="W49" s="7"/>
      <c r="X49" s="7"/>
      <c r="AD49" s="7"/>
      <c r="AE49" s="7"/>
      <c r="AF49" s="7"/>
      <c r="AG49" s="7"/>
      <c r="AH49" s="7"/>
      <c r="AI49" s="7"/>
      <c r="AJ49" s="7"/>
      <c r="AK49" s="7"/>
      <c r="AL49" s="7"/>
      <c r="AM49" s="7"/>
      <c r="AN49" s="7"/>
      <c r="AO49" s="7"/>
      <c r="AP49" s="7"/>
      <c r="AQ49" s="7"/>
      <c r="AR49" s="7"/>
    </row>
    <row r="50" spans="7:44">
      <c r="AD50" s="7"/>
      <c r="AE50" s="7"/>
      <c r="AF50" s="7"/>
      <c r="AG50" s="7"/>
      <c r="AH50" s="7"/>
      <c r="AI50" s="7"/>
      <c r="AJ50" s="7"/>
      <c r="AK50" s="7"/>
      <c r="AL50" s="7"/>
      <c r="AM50" s="7"/>
      <c r="AN50" s="7"/>
      <c r="AO50" s="7"/>
      <c r="AP50" s="7"/>
      <c r="AQ50" s="7"/>
      <c r="AR50" s="7"/>
    </row>
    <row r="51" spans="7:44" ht="18">
      <c r="P51" s="547" t="str">
        <f>IF(Idioma=Castellano,"Comparativa de emisiones per cápita desagregadas por alternativa y categoría (t CO2/año)",IF(Idioma=Valencià,"Comparativa d'emissions per càpita desagregades per alternativa i categoria (t CO2/any)"))</f>
        <v>Comparativa de emisiones per cápita desagregadas por alternativa y categoría (t CO2/año)</v>
      </c>
      <c r="AD51" s="7"/>
      <c r="AE51" s="7"/>
      <c r="AF51" s="7"/>
      <c r="AG51" s="7"/>
      <c r="AH51" s="7"/>
      <c r="AI51" s="7"/>
      <c r="AJ51" s="7"/>
      <c r="AK51" s="7"/>
      <c r="AL51" s="7"/>
      <c r="AM51" s="7"/>
      <c r="AN51" s="7"/>
      <c r="AO51" s="7"/>
      <c r="AP51" s="7"/>
      <c r="AQ51" s="7"/>
      <c r="AR51" s="7"/>
    </row>
    <row r="52" spans="7:44">
      <c r="AD52" s="7"/>
      <c r="AE52" s="7"/>
      <c r="AF52" s="7"/>
      <c r="AG52" s="7"/>
      <c r="AH52" s="7"/>
      <c r="AI52" s="7"/>
      <c r="AJ52" s="7"/>
      <c r="AK52" s="7"/>
      <c r="AL52" s="7"/>
      <c r="AM52" s="7"/>
      <c r="AN52" s="7"/>
      <c r="AO52" s="7"/>
      <c r="AP52" s="7"/>
      <c r="AQ52" s="7"/>
      <c r="AR52" s="7"/>
    </row>
    <row r="53" spans="7:44">
      <c r="AD53" s="7"/>
      <c r="AE53" s="7"/>
      <c r="AF53" s="7"/>
      <c r="AG53" s="7"/>
      <c r="AH53" s="7"/>
      <c r="AI53" s="7"/>
      <c r="AJ53" s="7"/>
      <c r="AK53" s="7"/>
      <c r="AL53" s="7"/>
      <c r="AM53" s="7"/>
      <c r="AN53" s="7"/>
      <c r="AO53" s="7"/>
      <c r="AP53" s="7"/>
      <c r="AQ53" s="7"/>
      <c r="AR53" s="7"/>
    </row>
    <row r="54" spans="7:44">
      <c r="P54" s="7"/>
      <c r="Q54" s="7" t="str">
        <f>Q34</f>
        <v>Alternativa 0</v>
      </c>
      <c r="R54" s="7" t="str">
        <f>R34</f>
        <v>Alternativa 1</v>
      </c>
      <c r="S54" s="7" t="str">
        <f>S34</f>
        <v>Alternativa 2</v>
      </c>
      <c r="T54" s="7" t="str">
        <f>T34</f>
        <v>Alternativa 3</v>
      </c>
      <c r="U54" s="7" t="str">
        <f>U34</f>
        <v>Alternativa 4</v>
      </c>
      <c r="V54" s="7"/>
      <c r="AD54" s="7"/>
      <c r="AE54" s="7"/>
      <c r="AF54" s="7"/>
      <c r="AG54" s="7"/>
      <c r="AH54" s="7"/>
      <c r="AI54" s="7"/>
      <c r="AJ54" s="7"/>
      <c r="AK54" s="7"/>
      <c r="AL54" s="7"/>
      <c r="AM54" s="7"/>
      <c r="AN54" s="7"/>
      <c r="AO54" s="7"/>
      <c r="AP54" s="7"/>
      <c r="AQ54" s="7"/>
      <c r="AR54" s="7"/>
    </row>
    <row r="55" spans="7:44">
      <c r="P55" s="7" t="s">
        <v>648</v>
      </c>
      <c r="Q55" s="87" t="e">
        <f>F20</f>
        <v>#N/A</v>
      </c>
      <c r="R55" s="87" t="e">
        <f>H20</f>
        <v>#N/A</v>
      </c>
      <c r="S55" s="87" t="e">
        <f>J20</f>
        <v>#N/A</v>
      </c>
      <c r="T55" s="87" t="e">
        <f>L20</f>
        <v>#N/A</v>
      </c>
      <c r="U55" s="87" t="e">
        <f>N20</f>
        <v>#N/A</v>
      </c>
      <c r="Y55" s="7"/>
      <c r="Z55" s="7"/>
      <c r="AA55" s="7"/>
      <c r="AB55" s="7"/>
      <c r="AC55" s="7"/>
      <c r="AD55" s="7"/>
      <c r="AE55" s="7"/>
      <c r="AF55" s="7"/>
      <c r="AG55" s="7"/>
      <c r="AH55" s="7"/>
      <c r="AI55" s="7"/>
      <c r="AJ55" s="7"/>
      <c r="AK55" s="7"/>
      <c r="AL55" s="7"/>
      <c r="AM55" s="7"/>
      <c r="AN55" s="7"/>
      <c r="AO55" s="7"/>
      <c r="AP55" s="7"/>
      <c r="AQ55" s="7"/>
      <c r="AR55" s="7"/>
    </row>
    <row r="56" spans="7:44">
      <c r="P56" s="7" t="s">
        <v>649</v>
      </c>
      <c r="Q56" s="87">
        <f>F21</f>
        <v>0</v>
      </c>
      <c r="R56" s="87">
        <f>H21</f>
        <v>0</v>
      </c>
      <c r="S56" s="87">
        <f>J21</f>
        <v>0</v>
      </c>
      <c r="T56" s="87">
        <f>L21</f>
        <v>0</v>
      </c>
      <c r="U56" s="87">
        <f>N21</f>
        <v>0</v>
      </c>
      <c r="Y56" s="7"/>
      <c r="Z56" s="7"/>
      <c r="AA56" s="7"/>
      <c r="AB56" s="7"/>
      <c r="AC56" s="7"/>
      <c r="AD56" s="7"/>
      <c r="AE56" s="7"/>
      <c r="AF56" s="7"/>
      <c r="AG56" s="7"/>
      <c r="AH56" s="7"/>
      <c r="AI56" s="7"/>
      <c r="AJ56" s="7"/>
      <c r="AK56" s="7"/>
      <c r="AL56" s="7"/>
      <c r="AM56" s="7"/>
      <c r="AN56" s="7"/>
      <c r="AO56" s="7"/>
      <c r="AP56" s="7"/>
      <c r="AQ56" s="7"/>
      <c r="AR56" s="7"/>
    </row>
    <row r="57" spans="7:44">
      <c r="P57" s="7" t="s">
        <v>643</v>
      </c>
      <c r="Q57" s="87">
        <f>F22</f>
        <v>0</v>
      </c>
      <c r="R57" s="87">
        <f>H22</f>
        <v>0</v>
      </c>
      <c r="S57" s="87">
        <f>J22</f>
        <v>0</v>
      </c>
      <c r="T57" s="87">
        <f>L22</f>
        <v>0</v>
      </c>
      <c r="U57" s="87">
        <f>N22</f>
        <v>0</v>
      </c>
      <c r="Y57" s="7"/>
      <c r="Z57" s="7"/>
      <c r="AA57" s="7"/>
      <c r="AB57" s="7"/>
      <c r="AC57" s="7"/>
      <c r="AD57" s="7"/>
      <c r="AE57" s="7"/>
      <c r="AF57" s="7"/>
      <c r="AG57" s="7"/>
      <c r="AH57" s="7"/>
      <c r="AI57" s="7"/>
      <c r="AJ57" s="7"/>
      <c r="AK57" s="7"/>
      <c r="AL57" s="7"/>
      <c r="AM57" s="7"/>
      <c r="AN57" s="7"/>
      <c r="AO57" s="7"/>
      <c r="AP57" s="7"/>
      <c r="AQ57" s="7"/>
      <c r="AR57" s="7"/>
    </row>
    <row r="58" spans="7:44">
      <c r="P58" s="7" t="s">
        <v>650</v>
      </c>
      <c r="Q58" s="87">
        <f>F23</f>
        <v>0</v>
      </c>
      <c r="R58" s="87">
        <f>H23</f>
        <v>0</v>
      </c>
      <c r="S58" s="87">
        <f>J23</f>
        <v>0</v>
      </c>
      <c r="T58" s="87">
        <f>L23</f>
        <v>0</v>
      </c>
      <c r="U58" s="87">
        <f>N23</f>
        <v>0</v>
      </c>
    </row>
    <row r="59" spans="7:44">
      <c r="P59" s="7" t="s">
        <v>651</v>
      </c>
      <c r="Q59" s="87">
        <f>F24</f>
        <v>0</v>
      </c>
      <c r="R59" s="87">
        <f>H24</f>
        <v>0</v>
      </c>
      <c r="S59" s="87">
        <f>J24</f>
        <v>0</v>
      </c>
      <c r="T59" s="87">
        <f>L24</f>
        <v>0</v>
      </c>
      <c r="U59" s="87">
        <f>N24</f>
        <v>0</v>
      </c>
    </row>
    <row r="60" spans="7:44">
      <c r="U60" s="87"/>
    </row>
    <row r="81" spans="1:26" s="3" customFormat="1" ht="21">
      <c r="A81" s="145"/>
      <c r="B81" s="281"/>
      <c r="C81" s="282" t="str">
        <f>IF(Idioma=Castellano,"RESULTADOS DEMANDA ENERGÉTICA",IF(Idioma=Valencià,"RESULTATS DEMANDA ENERGÈTICA","RESULTADOS DEMANDA ENERGÉTICA"))</f>
        <v>RESULTADOS DEMANDA ENERGÉTICA</v>
      </c>
      <c r="D81" s="281"/>
      <c r="E81" s="281"/>
      <c r="F81" s="281"/>
      <c r="G81" s="281"/>
      <c r="H81" s="281"/>
      <c r="I81" s="281"/>
      <c r="J81" s="281"/>
      <c r="K81" s="281"/>
      <c r="L81" s="281"/>
      <c r="M81" s="281"/>
      <c r="N81" s="281"/>
      <c r="O81" s="281"/>
      <c r="P81" s="281"/>
      <c r="Q81" s="281"/>
      <c r="R81" s="281"/>
      <c r="S81" s="281"/>
      <c r="T81" s="281"/>
      <c r="U81" s="281"/>
      <c r="V81" s="281"/>
      <c r="W81" s="281"/>
      <c r="X81" s="281"/>
      <c r="Y81" s="281"/>
      <c r="Z81" s="281"/>
    </row>
    <row r="84" spans="1:26" ht="18">
      <c r="C84" s="253" t="str">
        <f>IF(Idioma=Castellano,"RESUMEN DE CONSUMO ENERGÉTICO",IF(Idioma=Valencià,"RESUM DE CONSUM ENERGÈTIC","RESUMEN DE CONSUMO ENERGÉTICO"))</f>
        <v>RESUMEN DE CONSUMO ENERGÉTICO</v>
      </c>
      <c r="Q84" s="547" t="str">
        <f>IF(Idioma=Castellano,"Demanda energética resultante por alternativa (MWh/año)",IF(Idioma=Valencià,"Demanda energètica resultant per alternativa (MWh/any)"))</f>
        <v>Demanda energética resultante por alternativa (MWh/año)</v>
      </c>
    </row>
    <row r="86" spans="1:26">
      <c r="E86" s="7"/>
      <c r="F86" s="7"/>
      <c r="G86" s="7"/>
      <c r="H86" s="7"/>
      <c r="I86" s="7"/>
      <c r="J86" s="7"/>
      <c r="K86" s="7"/>
      <c r="L86" s="7"/>
      <c r="M86" s="7"/>
      <c r="N86" s="7"/>
      <c r="O86" s="7"/>
      <c r="P86" s="7"/>
    </row>
    <row r="87" spans="1:26">
      <c r="C87" s="7"/>
      <c r="D87" s="7"/>
      <c r="E87" s="668" t="s">
        <v>23</v>
      </c>
      <c r="F87" s="668"/>
      <c r="G87" s="669" t="s">
        <v>31</v>
      </c>
      <c r="H87" s="669"/>
      <c r="I87" s="670" t="s">
        <v>36</v>
      </c>
      <c r="J87" s="670"/>
      <c r="K87" s="671" t="s">
        <v>39</v>
      </c>
      <c r="L87" s="671"/>
      <c r="M87" s="672" t="s">
        <v>42</v>
      </c>
      <c r="N87" s="672"/>
      <c r="O87" s="7"/>
      <c r="P87" s="7"/>
    </row>
    <row r="88" spans="1:26">
      <c r="E88" s="63" t="s">
        <v>631</v>
      </c>
      <c r="F88" s="63" t="s">
        <v>647</v>
      </c>
      <c r="G88" s="63" t="s">
        <v>631</v>
      </c>
      <c r="H88" s="63" t="s">
        <v>647</v>
      </c>
      <c r="I88" s="63" t="s">
        <v>631</v>
      </c>
      <c r="J88" s="63" t="s">
        <v>647</v>
      </c>
      <c r="K88" s="63" t="s">
        <v>631</v>
      </c>
      <c r="L88" s="63" t="s">
        <v>647</v>
      </c>
      <c r="M88" s="63" t="s">
        <v>631</v>
      </c>
      <c r="N88" s="63" t="s">
        <v>647</v>
      </c>
      <c r="O88" s="7"/>
      <c r="P88" s="7"/>
    </row>
    <row r="89" spans="1:26">
      <c r="C89" s="7" t="s">
        <v>652</v>
      </c>
      <c r="D89" s="7"/>
      <c r="E89" s="251" t="e">
        <f>M_A0!J22</f>
        <v>#N/A</v>
      </c>
      <c r="F89" s="251" t="e">
        <f>E89/M_Datos!$F$15</f>
        <v>#N/A</v>
      </c>
      <c r="G89" s="251" t="e">
        <f>M_A1!J22</f>
        <v>#N/A</v>
      </c>
      <c r="H89" s="251" t="e">
        <f>IF(G89=0,0,G89/M_Datos!$G$15)</f>
        <v>#N/A</v>
      </c>
      <c r="I89" s="251" t="e">
        <f>M_A2!J22</f>
        <v>#N/A</v>
      </c>
      <c r="J89" s="251" t="e">
        <f>IF(I89=0,0,I89/M_Datos!$H$15)</f>
        <v>#N/A</v>
      </c>
      <c r="K89" s="251" t="e">
        <f>M_A3!J22</f>
        <v>#N/A</v>
      </c>
      <c r="L89" s="251" t="e">
        <f>IF(K89=0,0,K89/M_Datos!$I$15)</f>
        <v>#N/A</v>
      </c>
      <c r="M89" s="251" t="e">
        <f>M_A4!J22</f>
        <v>#N/A</v>
      </c>
      <c r="N89" s="251" t="e">
        <f>IF(M89=0,0,M89/M_Datos!$J$15)</f>
        <v>#N/A</v>
      </c>
      <c r="O89" s="7"/>
      <c r="P89" s="7"/>
    </row>
    <row r="90" spans="1:26">
      <c r="C90" s="7" t="s">
        <v>653</v>
      </c>
      <c r="D90" s="7"/>
      <c r="E90" s="251">
        <f>M_A0!E34</f>
        <v>0</v>
      </c>
      <c r="F90" s="251" t="e">
        <f>E90/M_Datos!$F$15</f>
        <v>#DIV/0!</v>
      </c>
      <c r="G90" s="251">
        <f>M_A1!E34</f>
        <v>0</v>
      </c>
      <c r="H90" s="251">
        <f>IF(G90=0,0,G90/M_Datos!$G$15)</f>
        <v>0</v>
      </c>
      <c r="I90" s="251">
        <f>M_A2!E34</f>
        <v>0</v>
      </c>
      <c r="J90" s="251">
        <f>IF(I90=0,0,I90/M_Datos!$H$15)</f>
        <v>0</v>
      </c>
      <c r="K90" s="251">
        <f>M_A3!E34</f>
        <v>0</v>
      </c>
      <c r="L90" s="251">
        <f>IF(K90=0,0,K90/M_Datos!$I$15)</f>
        <v>0</v>
      </c>
      <c r="M90" s="251">
        <f>M_A4!E34</f>
        <v>0</v>
      </c>
      <c r="N90" s="251">
        <f>IF(M90=0,0,M90/M_Datos!$J$15)</f>
        <v>0</v>
      </c>
      <c r="O90" s="7"/>
      <c r="P90" s="7"/>
      <c r="Q90" s="3"/>
      <c r="R90" s="3"/>
      <c r="S90" s="3"/>
      <c r="T90" s="3"/>
      <c r="U90" s="3"/>
      <c r="V90" s="3"/>
      <c r="W90" s="3"/>
      <c r="X90" s="3"/>
      <c r="Y90" s="3"/>
    </row>
    <row r="91" spans="1:26">
      <c r="C91" s="543" t="str">
        <f>IF(Idioma=Castellano,"Usos terciarios",IF(Idioma=Valencià,"Usos terciaris","Usos terciarios"))</f>
        <v>Usos terciarios</v>
      </c>
      <c r="D91" s="7"/>
      <c r="E91" s="251">
        <f>M_A0!E43</f>
        <v>0</v>
      </c>
      <c r="F91" s="251" t="e">
        <f>E91/M_Datos!$F$15</f>
        <v>#DIV/0!</v>
      </c>
      <c r="G91" s="251">
        <f>M_A1!E43</f>
        <v>0</v>
      </c>
      <c r="H91" s="251">
        <f>IF(G91=0,0,G91/M_Datos!$G$15)</f>
        <v>0</v>
      </c>
      <c r="I91" s="251">
        <f>M_A2!E43</f>
        <v>0</v>
      </c>
      <c r="J91" s="251">
        <f>IF(I91=0,0,I91/M_Datos!$H$15)</f>
        <v>0</v>
      </c>
      <c r="K91" s="251">
        <f>M_A3!E43</f>
        <v>0</v>
      </c>
      <c r="L91" s="251">
        <f>IF(K91=0,0,K91/M_Datos!$I$15)</f>
        <v>0</v>
      </c>
      <c r="M91" s="251">
        <f>M_A4!E43</f>
        <v>0</v>
      </c>
      <c r="N91" s="251">
        <f>IF(M91=0,0,M91/M_Datos!$J$15)</f>
        <v>0</v>
      </c>
      <c r="O91" s="7"/>
      <c r="P91" s="7"/>
      <c r="Q91" s="3"/>
      <c r="R91" s="3"/>
      <c r="S91" s="3"/>
      <c r="T91" s="3"/>
      <c r="U91" s="3"/>
      <c r="V91" s="3"/>
      <c r="W91" s="3"/>
      <c r="X91" s="3"/>
      <c r="Y91" s="3"/>
    </row>
    <row r="92" spans="1:26">
      <c r="C92" s="543" t="str">
        <f>IF(Idioma=Castellano,"Equipamientos",IF(Idioma=Valencià,"Equipaments ","Equipamientos"))</f>
        <v>Equipamientos</v>
      </c>
      <c r="D92" s="7"/>
      <c r="E92" s="251" t="e">
        <f>M_A0!E56</f>
        <v>#N/A</v>
      </c>
      <c r="F92" s="251" t="e">
        <f>E92/M_Datos!$F$15</f>
        <v>#N/A</v>
      </c>
      <c r="G92" s="251" t="e">
        <f>M_A1!E56</f>
        <v>#N/A</v>
      </c>
      <c r="H92" s="251" t="e">
        <f>IF(G92=0,0,G92/M_Datos!$G$15)</f>
        <v>#N/A</v>
      </c>
      <c r="I92" s="251" t="e">
        <f>M_A2!E56</f>
        <v>#N/A</v>
      </c>
      <c r="J92" s="251" t="e">
        <f>IF(I92=0,0,I92/M_Datos!$H$15)</f>
        <v>#N/A</v>
      </c>
      <c r="K92" s="251" t="e">
        <f>M_A3!E56</f>
        <v>#N/A</v>
      </c>
      <c r="L92" s="251" t="e">
        <f>IF(K92=0,0,K92/M_Datos!$I$15)</f>
        <v>#N/A</v>
      </c>
      <c r="M92" s="251" t="e">
        <f>M_A4!E56</f>
        <v>#N/A</v>
      </c>
      <c r="N92" s="251" t="e">
        <f>IF(M92=0,0,M92/M_Datos!$J$15)</f>
        <v>#N/A</v>
      </c>
      <c r="O92" s="7"/>
      <c r="P92" s="7"/>
    </row>
    <row r="93" spans="1:26">
      <c r="C93" s="8" t="str">
        <f>IF(Idioma=Castellano,"Total Demanda (MW/año)",IF(Idioma=Valencià,"Total Demanda (kW/any)","Total Demanda (MW/año)"))</f>
        <v>Total Demanda (MW/año)</v>
      </c>
      <c r="D93" s="7"/>
      <c r="E93" s="252" t="e">
        <f>SUM(E89:E92)</f>
        <v>#N/A</v>
      </c>
      <c r="F93" s="252" t="e">
        <f t="shared" ref="F93:N93" si="6">SUM(F89:F92)</f>
        <v>#N/A</v>
      </c>
      <c r="G93" s="252" t="e">
        <f t="shared" si="6"/>
        <v>#N/A</v>
      </c>
      <c r="H93" s="252" t="e">
        <f t="shared" si="6"/>
        <v>#N/A</v>
      </c>
      <c r="I93" s="252" t="e">
        <f t="shared" si="6"/>
        <v>#N/A</v>
      </c>
      <c r="J93" s="252" t="e">
        <f t="shared" si="6"/>
        <v>#N/A</v>
      </c>
      <c r="K93" s="252" t="e">
        <f t="shared" si="6"/>
        <v>#N/A</v>
      </c>
      <c r="L93" s="252" t="e">
        <f t="shared" si="6"/>
        <v>#N/A</v>
      </c>
      <c r="M93" s="252" t="e">
        <f t="shared" si="6"/>
        <v>#N/A</v>
      </c>
      <c r="N93" s="252" t="e">
        <f t="shared" si="6"/>
        <v>#N/A</v>
      </c>
      <c r="O93" s="7"/>
      <c r="P93" s="7"/>
    </row>
    <row r="94" spans="1:26">
      <c r="C94" s="7"/>
      <c r="P94" s="7"/>
      <c r="Q94" s="3"/>
      <c r="R94" s="3"/>
      <c r="S94" s="3"/>
      <c r="T94" s="3"/>
      <c r="U94" s="3"/>
      <c r="V94" s="3"/>
      <c r="W94" s="3"/>
      <c r="X94" s="3"/>
      <c r="Y94" s="3"/>
    </row>
    <row r="95" spans="1:26">
      <c r="P95" s="7"/>
      <c r="Q95" s="7"/>
      <c r="R95" s="7"/>
      <c r="S95" s="7"/>
      <c r="T95" s="7"/>
      <c r="U95" s="7"/>
      <c r="V95" s="7"/>
      <c r="W95" s="7"/>
      <c r="X95" s="7"/>
      <c r="Y95" s="7"/>
    </row>
    <row r="96" spans="1:26" ht="16.2" thickBot="1">
      <c r="C96" s="8"/>
      <c r="D96" s="7"/>
      <c r="E96" s="7"/>
      <c r="F96" s="7"/>
      <c r="G96" s="7"/>
      <c r="H96" s="7"/>
      <c r="I96" s="7"/>
      <c r="J96" s="7"/>
      <c r="K96" s="7"/>
      <c r="L96" s="7"/>
      <c r="M96" s="7"/>
      <c r="N96" s="7"/>
      <c r="O96" s="7"/>
      <c r="P96" s="7"/>
      <c r="Q96" s="7"/>
      <c r="R96" s="7"/>
      <c r="S96" s="7"/>
      <c r="T96" s="7"/>
      <c r="U96" s="7"/>
      <c r="V96" s="7"/>
      <c r="W96" s="7"/>
      <c r="X96" s="7"/>
      <c r="Y96" s="7"/>
    </row>
    <row r="97" spans="3:25" ht="21.6" thickBot="1">
      <c r="C97" s="660" t="str">
        <f>IF(Idioma=Castellano,"COMPARATIVA POR ALTERNATIVAS",IF(Idioma=Valencià,"COMPARATIVA PER ALTERNATIVES","COMPARATIVA POR ALTERNATIVAS"))</f>
        <v>COMPARATIVA POR ALTERNATIVAS</v>
      </c>
      <c r="D97" s="661"/>
      <c r="E97" s="661"/>
      <c r="F97" s="661"/>
      <c r="G97" s="661"/>
      <c r="H97" s="661"/>
      <c r="I97" s="661"/>
      <c r="J97" s="661"/>
      <c r="K97" s="661"/>
      <c r="L97" s="661"/>
      <c r="M97" s="661"/>
      <c r="N97" s="661"/>
      <c r="O97" s="661"/>
      <c r="P97" s="661"/>
      <c r="Q97" s="661"/>
      <c r="R97" s="661"/>
      <c r="S97" s="661"/>
      <c r="T97" s="661"/>
      <c r="U97" s="661"/>
      <c r="V97" s="661"/>
      <c r="W97" s="661"/>
      <c r="X97" s="662"/>
      <c r="Y97" s="64"/>
    </row>
    <row r="98" spans="3:25">
      <c r="G98" s="7"/>
      <c r="H98" s="7"/>
      <c r="I98" s="7"/>
      <c r="J98" s="7"/>
      <c r="K98" s="7"/>
      <c r="L98" s="7"/>
      <c r="M98" s="7"/>
      <c r="N98" s="7"/>
      <c r="O98" s="7"/>
      <c r="P98" s="7"/>
      <c r="Q98" s="7"/>
      <c r="R98" s="7"/>
      <c r="S98" s="7"/>
      <c r="T98" s="7"/>
      <c r="U98" s="7"/>
      <c r="V98" s="7"/>
      <c r="W98" s="7"/>
      <c r="X98" s="7"/>
    </row>
    <row r="99" spans="3:25" ht="18">
      <c r="G99" s="7"/>
      <c r="H99" s="7"/>
      <c r="I99" s="7"/>
      <c r="J99" s="7"/>
      <c r="K99" s="7"/>
      <c r="L99" s="7"/>
      <c r="M99" s="7"/>
      <c r="N99" s="7"/>
      <c r="O99" s="7"/>
      <c r="P99" s="547" t="str">
        <f>IF(Idioma=Castellano,"Comparativa demanda energética desagregada por alternativa y categoría (MWh/año)",IF(Idioma=Valencià,"Comparativa demanda energètica desagregade per alternativa i categoria (MWh/any)"))</f>
        <v>Comparativa demanda energética desagregada por alternativa y categoría (MWh/año)</v>
      </c>
      <c r="Q99" s="7"/>
      <c r="R99" s="7"/>
      <c r="S99" s="7"/>
      <c r="T99" s="7"/>
      <c r="U99" s="7"/>
      <c r="V99" s="7"/>
      <c r="W99" s="7"/>
      <c r="X99" s="7"/>
      <c r="Y99" s="7"/>
    </row>
    <row r="100" spans="3:25">
      <c r="G100" s="7"/>
      <c r="H100" s="7"/>
      <c r="I100" s="7"/>
      <c r="J100" s="7"/>
      <c r="K100" s="7"/>
      <c r="L100" s="7"/>
      <c r="M100" s="7"/>
      <c r="N100" s="7"/>
      <c r="O100" s="7"/>
      <c r="P100" s="7"/>
      <c r="Q100" s="7"/>
      <c r="R100" s="7"/>
      <c r="S100" s="7"/>
      <c r="T100" s="7"/>
      <c r="U100" s="7"/>
      <c r="V100" s="7"/>
      <c r="W100" s="7"/>
      <c r="X100" s="7"/>
      <c r="Y100" s="7"/>
    </row>
    <row r="101" spans="3:25">
      <c r="G101" s="7"/>
      <c r="H101" s="7"/>
      <c r="I101" s="7"/>
      <c r="J101" s="7"/>
      <c r="K101" s="7"/>
      <c r="L101" s="7"/>
      <c r="M101" s="7"/>
      <c r="N101" s="7"/>
      <c r="O101" s="7"/>
      <c r="P101" s="7"/>
      <c r="Q101" s="7"/>
      <c r="R101" s="7"/>
      <c r="S101" s="7"/>
      <c r="T101" s="7"/>
      <c r="U101" s="7"/>
      <c r="V101" s="7"/>
      <c r="W101" s="7"/>
      <c r="X101" s="7"/>
      <c r="Y101" s="3"/>
    </row>
    <row r="102" spans="3:25">
      <c r="G102" s="7"/>
      <c r="H102" s="7"/>
      <c r="I102" s="7"/>
      <c r="J102" s="7"/>
      <c r="K102" s="7"/>
      <c r="L102" s="7"/>
      <c r="M102" s="7"/>
      <c r="N102" s="7"/>
      <c r="O102" s="7"/>
      <c r="P102" s="7"/>
      <c r="Q102" s="7"/>
      <c r="R102" s="7"/>
      <c r="S102" s="7"/>
      <c r="T102" s="7"/>
      <c r="U102" s="7"/>
      <c r="V102" s="7"/>
      <c r="W102" s="7"/>
      <c r="X102" s="7"/>
      <c r="Y102" s="3"/>
    </row>
    <row r="103" spans="3:25">
      <c r="C103" s="50"/>
      <c r="D103" s="50"/>
      <c r="E103" s="51"/>
      <c r="F103" s="51"/>
      <c r="G103" s="50"/>
      <c r="H103" s="50"/>
      <c r="I103" s="50"/>
      <c r="J103" s="50"/>
      <c r="K103" s="50"/>
      <c r="L103" s="7"/>
      <c r="M103" s="7"/>
      <c r="N103" s="7"/>
      <c r="O103" s="7"/>
      <c r="P103" s="7"/>
      <c r="Q103" s="7">
        <f>Q81</f>
        <v>0</v>
      </c>
      <c r="R103" s="7">
        <f>R81</f>
        <v>0</v>
      </c>
      <c r="S103" s="7">
        <f>S81</f>
        <v>0</v>
      </c>
      <c r="T103" s="7">
        <f>T81</f>
        <v>0</v>
      </c>
      <c r="U103" s="7">
        <f>U81</f>
        <v>0</v>
      </c>
      <c r="V103" s="7"/>
      <c r="W103" s="7"/>
      <c r="X103" s="7"/>
    </row>
    <row r="104" spans="3:25">
      <c r="C104" s="65"/>
      <c r="D104" s="66"/>
      <c r="E104" s="51"/>
      <c r="F104" s="51"/>
      <c r="G104" s="663"/>
      <c r="H104" s="664"/>
      <c r="I104" s="664"/>
      <c r="J104" s="664"/>
      <c r="K104" s="664"/>
      <c r="L104" s="7"/>
      <c r="M104" s="7"/>
      <c r="N104" s="7"/>
      <c r="O104" s="7"/>
      <c r="P104" s="7" t="s">
        <v>648</v>
      </c>
      <c r="Q104" s="87" t="e">
        <f t="shared" ref="Q104:Q109" si="7">E89</f>
        <v>#N/A</v>
      </c>
      <c r="R104" s="87" t="e">
        <f t="shared" ref="R104:R109" si="8">G89</f>
        <v>#N/A</v>
      </c>
      <c r="S104" s="87" t="e">
        <f t="shared" ref="S104:S109" si="9">I89</f>
        <v>#N/A</v>
      </c>
      <c r="T104" s="87" t="e">
        <f t="shared" ref="T104:T109" si="10">K89</f>
        <v>#N/A</v>
      </c>
      <c r="U104" s="87" t="e">
        <f t="shared" ref="U104:U109" si="11">M89</f>
        <v>#N/A</v>
      </c>
      <c r="V104" s="7"/>
      <c r="W104" s="7"/>
      <c r="X104" s="7"/>
    </row>
    <row r="105" spans="3:25">
      <c r="C105" s="68"/>
      <c r="D105" s="69"/>
      <c r="E105" s="51"/>
      <c r="F105" s="51"/>
      <c r="G105" s="12"/>
      <c r="H105" s="12"/>
      <c r="I105" s="7"/>
      <c r="J105" s="7"/>
      <c r="K105" s="7"/>
      <c r="L105" s="7"/>
      <c r="M105" s="7"/>
      <c r="N105" s="7"/>
      <c r="O105" s="7"/>
      <c r="P105" s="7" t="s">
        <v>649</v>
      </c>
      <c r="Q105" s="87">
        <f t="shared" si="7"/>
        <v>0</v>
      </c>
      <c r="R105" s="87">
        <f t="shared" si="8"/>
        <v>0</v>
      </c>
      <c r="S105" s="87">
        <f t="shared" si="9"/>
        <v>0</v>
      </c>
      <c r="T105" s="87">
        <f t="shared" si="10"/>
        <v>0</v>
      </c>
      <c r="U105" s="87">
        <f t="shared" si="11"/>
        <v>0</v>
      </c>
      <c r="V105" s="7"/>
      <c r="W105" s="7"/>
      <c r="X105" s="7"/>
    </row>
    <row r="106" spans="3:25">
      <c r="C106" s="65"/>
      <c r="D106" s="69"/>
      <c r="E106" s="51"/>
      <c r="F106" s="51"/>
      <c r="G106" s="665"/>
      <c r="H106" s="666"/>
      <c r="I106" s="7"/>
      <c r="J106" s="7"/>
      <c r="K106" s="7"/>
      <c r="L106" s="7"/>
      <c r="M106" s="7"/>
      <c r="N106" s="7"/>
      <c r="O106" s="7"/>
      <c r="P106" s="7" t="s">
        <v>643</v>
      </c>
      <c r="Q106" s="87">
        <f t="shared" si="7"/>
        <v>0</v>
      </c>
      <c r="R106" s="87">
        <f t="shared" si="8"/>
        <v>0</v>
      </c>
      <c r="S106" s="87">
        <f t="shared" si="9"/>
        <v>0</v>
      </c>
      <c r="T106" s="87">
        <f t="shared" si="10"/>
        <v>0</v>
      </c>
      <c r="U106" s="87">
        <f t="shared" si="11"/>
        <v>0</v>
      </c>
      <c r="V106" s="7"/>
      <c r="W106" s="7"/>
      <c r="X106" s="7"/>
    </row>
    <row r="107" spans="3:25">
      <c r="C107" s="65"/>
      <c r="D107" s="69"/>
      <c r="E107" s="51"/>
      <c r="F107" s="51"/>
      <c r="G107" s="667"/>
      <c r="H107" s="666"/>
      <c r="I107" s="7"/>
      <c r="J107" s="7"/>
      <c r="K107" s="7"/>
      <c r="L107" s="7"/>
      <c r="M107" s="7"/>
      <c r="N107" s="7"/>
      <c r="O107" s="7"/>
      <c r="P107" s="7" t="s">
        <v>650</v>
      </c>
      <c r="Q107" s="87" t="e">
        <f t="shared" si="7"/>
        <v>#N/A</v>
      </c>
      <c r="R107" s="87" t="e">
        <f t="shared" si="8"/>
        <v>#N/A</v>
      </c>
      <c r="S107" s="87" t="e">
        <f t="shared" si="9"/>
        <v>#N/A</v>
      </c>
      <c r="T107" s="87" t="e">
        <f t="shared" si="10"/>
        <v>#N/A</v>
      </c>
      <c r="U107" s="87" t="e">
        <f t="shared" si="11"/>
        <v>#N/A</v>
      </c>
      <c r="V107" s="7"/>
      <c r="W107" s="7"/>
      <c r="X107" s="7"/>
    </row>
    <row r="108" spans="3:25">
      <c r="C108" s="70"/>
      <c r="D108" s="71"/>
      <c r="E108" s="50"/>
      <c r="F108" s="50"/>
      <c r="G108" s="50"/>
      <c r="H108" s="50"/>
      <c r="I108" s="50"/>
      <c r="J108" s="50"/>
      <c r="K108" s="50"/>
      <c r="L108" s="7"/>
      <c r="M108" s="7"/>
      <c r="N108" s="7"/>
      <c r="O108" s="7"/>
      <c r="P108" s="7" t="s">
        <v>651</v>
      </c>
      <c r="Q108" s="87" t="e">
        <f>#REF!</f>
        <v>#REF!</v>
      </c>
      <c r="R108" s="87" t="e">
        <f>#REF!</f>
        <v>#REF!</v>
      </c>
      <c r="S108" s="87" t="e">
        <f>#REF!</f>
        <v>#REF!</v>
      </c>
      <c r="T108" s="87" t="e">
        <f>#REF!</f>
        <v>#REF!</v>
      </c>
      <c r="U108" s="87" t="e">
        <f>#REF!</f>
        <v>#REF!</v>
      </c>
      <c r="V108" s="7"/>
      <c r="W108" s="7"/>
      <c r="X108" s="7"/>
    </row>
    <row r="109" spans="3:25">
      <c r="C109" s="50"/>
      <c r="D109" s="50"/>
      <c r="E109" s="50"/>
      <c r="F109" s="50"/>
      <c r="G109" s="50"/>
      <c r="H109" s="50"/>
      <c r="I109" s="50"/>
      <c r="J109" s="50"/>
      <c r="K109" s="50"/>
      <c r="L109" s="7"/>
      <c r="M109" s="7"/>
      <c r="N109" s="7"/>
      <c r="O109" s="7"/>
      <c r="P109" s="7">
        <f>C94</f>
        <v>0</v>
      </c>
      <c r="Q109" s="87">
        <f t="shared" si="7"/>
        <v>0</v>
      </c>
      <c r="R109" s="87">
        <f t="shared" si="8"/>
        <v>0</v>
      </c>
      <c r="S109" s="87">
        <f t="shared" si="9"/>
        <v>0</v>
      </c>
      <c r="T109" s="87">
        <f t="shared" si="10"/>
        <v>0</v>
      </c>
      <c r="U109" s="87">
        <f t="shared" si="11"/>
        <v>0</v>
      </c>
      <c r="V109" s="7"/>
      <c r="W109" s="7"/>
      <c r="X109" s="7"/>
    </row>
    <row r="110" spans="3:25">
      <c r="C110" s="50"/>
      <c r="D110" s="50"/>
      <c r="E110" s="50"/>
      <c r="F110" s="50"/>
      <c r="G110" s="50"/>
      <c r="H110" s="50"/>
      <c r="I110" s="50"/>
      <c r="J110" s="50"/>
      <c r="K110" s="50"/>
      <c r="L110" s="7"/>
      <c r="M110" s="7"/>
      <c r="N110" s="7"/>
      <c r="O110" s="7"/>
      <c r="P110" s="7"/>
      <c r="Q110" s="7"/>
      <c r="R110" s="7"/>
      <c r="S110" s="7"/>
      <c r="T110" s="7"/>
      <c r="U110" s="7"/>
      <c r="V110" s="7"/>
      <c r="W110" s="7"/>
      <c r="X110" s="7"/>
    </row>
    <row r="111" spans="3:25">
      <c r="C111" s="50"/>
      <c r="D111" s="50"/>
      <c r="E111" s="50"/>
      <c r="F111" s="50"/>
      <c r="G111" s="50"/>
      <c r="H111" s="50"/>
      <c r="I111" s="72"/>
      <c r="J111" s="50"/>
      <c r="K111" s="50"/>
      <c r="L111" s="7"/>
      <c r="M111" s="7"/>
      <c r="N111" s="7"/>
      <c r="O111" s="7"/>
      <c r="P111" s="7"/>
      <c r="Q111" s="7"/>
      <c r="R111" s="7"/>
      <c r="S111" s="7"/>
      <c r="T111" s="7"/>
      <c r="U111" s="7"/>
      <c r="V111" s="7"/>
      <c r="W111" s="7"/>
      <c r="X111" s="7"/>
      <c r="Y111" s="7"/>
    </row>
    <row r="112" spans="3:25">
      <c r="C112" s="50"/>
      <c r="D112" s="50"/>
      <c r="E112" s="50"/>
      <c r="F112" s="50"/>
      <c r="G112" s="50"/>
      <c r="H112" s="50"/>
      <c r="I112" s="50"/>
      <c r="J112" s="50"/>
      <c r="K112" s="50"/>
      <c r="L112" s="7"/>
      <c r="M112" s="7"/>
      <c r="N112" s="7"/>
      <c r="O112" s="7"/>
      <c r="P112" s="7"/>
      <c r="Q112" s="7"/>
      <c r="R112" s="7"/>
      <c r="S112" s="7"/>
      <c r="T112" s="7"/>
      <c r="U112" s="7"/>
      <c r="V112" s="7"/>
      <c r="W112" s="7"/>
      <c r="X112" s="7"/>
      <c r="Y112" s="7"/>
    </row>
    <row r="113" spans="3:25">
      <c r="C113" s="50"/>
      <c r="D113" s="50"/>
      <c r="E113" s="50"/>
      <c r="F113" s="50"/>
      <c r="G113" s="50"/>
      <c r="H113" s="50"/>
      <c r="I113" s="50"/>
      <c r="J113" s="50"/>
      <c r="K113" s="50"/>
      <c r="L113" s="7"/>
      <c r="M113" s="7"/>
      <c r="N113" s="7"/>
      <c r="O113" s="7"/>
      <c r="P113" s="7"/>
      <c r="Q113" s="7"/>
      <c r="R113" s="7"/>
      <c r="S113" s="7"/>
      <c r="T113" s="7"/>
      <c r="U113" s="7"/>
      <c r="V113" s="7"/>
      <c r="W113" s="7"/>
      <c r="X113" s="7"/>
      <c r="Y113" s="7"/>
    </row>
    <row r="114" spans="3:25">
      <c r="C114" s="50"/>
      <c r="D114" s="50"/>
      <c r="E114" s="50"/>
      <c r="F114" s="50"/>
      <c r="G114" s="50"/>
      <c r="H114" s="50"/>
      <c r="I114" s="50"/>
      <c r="J114" s="50"/>
      <c r="K114" s="50"/>
      <c r="L114" s="7"/>
      <c r="M114" s="7"/>
      <c r="N114" s="7"/>
      <c r="O114" s="7"/>
      <c r="P114" s="7"/>
      <c r="Q114" s="7"/>
      <c r="R114" s="7"/>
      <c r="S114" s="7"/>
      <c r="T114" s="7"/>
      <c r="U114" s="7"/>
      <c r="V114" s="7"/>
      <c r="W114" s="7"/>
      <c r="X114" s="7"/>
      <c r="Y114" s="7"/>
    </row>
    <row r="115" spans="3:25">
      <c r="E115" s="50"/>
      <c r="F115" s="50"/>
      <c r="G115" s="50"/>
      <c r="H115" s="50"/>
      <c r="I115" s="7"/>
      <c r="J115" s="7"/>
      <c r="K115" s="7"/>
      <c r="L115" s="7"/>
      <c r="M115" s="7"/>
      <c r="N115" s="7"/>
      <c r="O115" s="7"/>
      <c r="P115" s="7"/>
      <c r="Q115" s="7"/>
      <c r="R115" s="7"/>
      <c r="S115" s="7"/>
      <c r="T115" s="7"/>
      <c r="U115" s="7"/>
      <c r="V115" s="7"/>
      <c r="W115" s="7"/>
      <c r="X115" s="7"/>
      <c r="Y115" s="7"/>
    </row>
    <row r="116" spans="3:25">
      <c r="E116" s="50"/>
      <c r="G116" s="7"/>
      <c r="H116" s="7"/>
      <c r="I116" s="7"/>
      <c r="J116" s="7"/>
      <c r="K116" s="7"/>
      <c r="L116" s="7"/>
      <c r="M116" s="7"/>
      <c r="N116" s="7"/>
      <c r="O116" s="7"/>
      <c r="P116" s="7"/>
      <c r="Q116" s="7"/>
      <c r="R116" s="7"/>
      <c r="S116" s="7"/>
      <c r="T116" s="7"/>
      <c r="U116" s="7"/>
      <c r="V116" s="7"/>
      <c r="W116" s="7"/>
      <c r="X116" s="7"/>
      <c r="Y116" s="7"/>
    </row>
    <row r="117" spans="3:25">
      <c r="G117" s="7"/>
      <c r="H117" s="7"/>
      <c r="I117" s="7"/>
      <c r="J117" s="7"/>
      <c r="K117" s="7"/>
      <c r="L117" s="7"/>
      <c r="M117" s="7"/>
      <c r="N117" s="7"/>
      <c r="O117" s="7"/>
      <c r="P117" s="7"/>
      <c r="Q117" s="7"/>
      <c r="R117" s="7"/>
      <c r="S117" s="7"/>
      <c r="T117" s="7"/>
      <c r="U117" s="7"/>
      <c r="V117" s="7"/>
      <c r="W117" s="7"/>
      <c r="X117" s="7"/>
      <c r="Y117" s="7"/>
    </row>
    <row r="118" spans="3:25">
      <c r="G118" s="7"/>
      <c r="H118" s="7"/>
      <c r="I118" s="7"/>
      <c r="J118" s="7"/>
      <c r="K118" s="7"/>
      <c r="L118" s="7"/>
      <c r="M118" s="7"/>
      <c r="N118" s="7"/>
      <c r="O118" s="7"/>
      <c r="P118" s="7"/>
      <c r="Q118" s="7"/>
      <c r="R118" s="7"/>
      <c r="S118" s="7"/>
      <c r="T118" s="7"/>
      <c r="U118" s="7"/>
      <c r="V118" s="7"/>
      <c r="W118" s="7"/>
      <c r="X118" s="7"/>
    </row>
    <row r="119" spans="3:25" ht="18">
      <c r="P119" s="547" t="str">
        <f>IF(Idioma=Castellano,"Comparativa demanda energética per cápita desagregada por alternativa y categoría (MWh/año)",IF(Idioma=Valencià,"Comparativa demanda energètica per càpita desagregade per alternativa i categoria (MWh/any)"))</f>
        <v>Comparativa demanda energética per cápita desagregada por alternativa y categoría (MWh/año)</v>
      </c>
    </row>
    <row r="123" spans="3:25">
      <c r="P123" s="7"/>
      <c r="Q123" s="7">
        <f>Q103</f>
        <v>0</v>
      </c>
      <c r="R123" s="7">
        <f>R103</f>
        <v>0</v>
      </c>
      <c r="S123" s="7">
        <f>S103</f>
        <v>0</v>
      </c>
      <c r="T123" s="7">
        <f>T103</f>
        <v>0</v>
      </c>
      <c r="U123" s="7">
        <f>U103</f>
        <v>0</v>
      </c>
      <c r="V123" s="7"/>
    </row>
    <row r="124" spans="3:25">
      <c r="P124" s="7" t="s">
        <v>648</v>
      </c>
      <c r="Q124" s="87" t="e">
        <f>F89</f>
        <v>#N/A</v>
      </c>
      <c r="R124" s="87" t="e">
        <f>H89</f>
        <v>#N/A</v>
      </c>
      <c r="S124" s="87" t="e">
        <f>J89</f>
        <v>#N/A</v>
      </c>
      <c r="T124" s="87" t="e">
        <f>L89</f>
        <v>#N/A</v>
      </c>
      <c r="U124" s="87" t="e">
        <f>N89</f>
        <v>#N/A</v>
      </c>
      <c r="Y124" s="7"/>
    </row>
    <row r="125" spans="3:25">
      <c r="P125" s="7" t="s">
        <v>649</v>
      </c>
      <c r="Q125" s="87" t="e">
        <f>F90</f>
        <v>#DIV/0!</v>
      </c>
      <c r="R125" s="87">
        <f>H90</f>
        <v>0</v>
      </c>
      <c r="S125" s="87">
        <f>J90</f>
        <v>0</v>
      </c>
      <c r="T125" s="87">
        <f>L90</f>
        <v>0</v>
      </c>
      <c r="U125" s="87">
        <f>N90</f>
        <v>0</v>
      </c>
      <c r="Y125" s="7"/>
    </row>
    <row r="126" spans="3:25">
      <c r="P126" s="7" t="s">
        <v>643</v>
      </c>
      <c r="Q126" s="87" t="e">
        <f>F91</f>
        <v>#DIV/0!</v>
      </c>
      <c r="R126" s="87">
        <f>H91</f>
        <v>0</v>
      </c>
      <c r="S126" s="87">
        <f>J91</f>
        <v>0</v>
      </c>
      <c r="T126" s="87">
        <f>L91</f>
        <v>0</v>
      </c>
      <c r="U126" s="87">
        <f>N91</f>
        <v>0</v>
      </c>
      <c r="Y126" s="7"/>
    </row>
    <row r="127" spans="3:25">
      <c r="P127" s="7" t="s">
        <v>650</v>
      </c>
      <c r="Q127" s="87" t="e">
        <f>F92</f>
        <v>#N/A</v>
      </c>
      <c r="R127" s="87" t="e">
        <f>H92</f>
        <v>#N/A</v>
      </c>
      <c r="S127" s="87" t="e">
        <f>J92</f>
        <v>#N/A</v>
      </c>
      <c r="T127" s="87" t="e">
        <f>L92</f>
        <v>#N/A</v>
      </c>
      <c r="U127" s="87" t="e">
        <f>N92</f>
        <v>#N/A</v>
      </c>
    </row>
    <row r="128" spans="3:25">
      <c r="P128" s="7" t="s">
        <v>651</v>
      </c>
      <c r="Q128" s="87" t="e">
        <f>#REF!</f>
        <v>#REF!</v>
      </c>
      <c r="R128" s="87" t="e">
        <f>#REF!</f>
        <v>#REF!</v>
      </c>
      <c r="S128" s="87" t="e">
        <f>#REF!</f>
        <v>#REF!</v>
      </c>
      <c r="T128" s="87" t="e">
        <f>#REF!</f>
        <v>#REF!</v>
      </c>
      <c r="U128" s="87" t="e">
        <f>#REF!</f>
        <v>#REF!</v>
      </c>
    </row>
    <row r="129" spans="21:21">
      <c r="U129" s="87"/>
    </row>
  </sheetData>
  <sheetProtection algorithmName="SHA-512" hashValue="0NOO1LccbbfQ8yUgUn8xXof7vgbJjKbQIJQVInaLBrZ2u7ViaWwrlaVhlTqruS8UMl+JJolrF5ZMzZVpJVmGGA==" saltValue="G5p9dgJPtD1JnhT66gjzww==" spinCount="100000" sheet="1" objects="1" scenarios="1"/>
  <mergeCells count="19">
    <mergeCell ref="M18:N18"/>
    <mergeCell ref="C28:X28"/>
    <mergeCell ref="G35:K35"/>
    <mergeCell ref="G37:H38"/>
    <mergeCell ref="D6:K6"/>
    <mergeCell ref="D7:K7"/>
    <mergeCell ref="D8:K8"/>
    <mergeCell ref="E18:F18"/>
    <mergeCell ref="G18:H18"/>
    <mergeCell ref="I18:J18"/>
    <mergeCell ref="K18:L18"/>
    <mergeCell ref="C97:X97"/>
    <mergeCell ref="G104:K104"/>
    <mergeCell ref="G106:H107"/>
    <mergeCell ref="E87:F87"/>
    <mergeCell ref="G87:H87"/>
    <mergeCell ref="I87:J87"/>
    <mergeCell ref="K87:L87"/>
    <mergeCell ref="M87:N87"/>
  </mergeCells>
  <hyperlinks>
    <hyperlink ref="A7" location="Instrucciones_Valencia!A1" display="Instrucciones_Valencia!A1" xr:uid="{D3598BEF-C8E0-498D-AB6C-4CEDB2F38777}"/>
    <hyperlink ref="A9" location="M_Datos_Valencia!A1" display="M_Datos_Valencia!A1" xr:uid="{63CE3BB3-0201-4E82-A0A5-235F8D0967FF}"/>
    <hyperlink ref="A11" location="V_A0!A1" display="2.1. Alternativa 0 (A0)" xr:uid="{A07BEE76-EE56-434D-97E6-2497373224B5}"/>
    <hyperlink ref="A12" location="V_A1!A1" display="2.2. Alternativa 1 (A1)" xr:uid="{140DD531-E1D1-4194-B360-10FBC151438F}"/>
    <hyperlink ref="A13" location="V_A2!A1" display="2.3. Alternativa 2 (A2)" xr:uid="{BCA4CA1A-97C2-4475-A3D4-A4B64F1E0D05}"/>
    <hyperlink ref="A14" location="V_A3!A1" display="2.4. Alternativa 3 (A3)" xr:uid="{07B64205-BFA7-4549-B51B-6AB7CACDB29D}"/>
    <hyperlink ref="A15" location="V_A4!A1" display="2.5. Alternativa 4 (A4)" xr:uid="{066E86FD-282D-486A-9383-CD9DA6E7053D}"/>
    <hyperlink ref="A16" location="B_Resultados!A1" display="B_Resultados!A1" xr:uid="{E3DECBAD-B3E8-4F6C-AD11-8C72A587DC15}"/>
    <hyperlink ref="A17" location="V_Factores!A1" display="V_Factores!A1" xr:uid="{683C4BAD-D515-4C87-97FD-6A82204B2D22}"/>
    <hyperlink ref="A19" location="B_Alcance!A1" display="B_Alcance!A1" xr:uid="{46313258-3437-47AE-A50E-C6EC982ED48B}"/>
    <hyperlink ref="A20" location="B_Checklist!A1" display="2. Checklist" xr:uid="{A921A3B0-2A50-45CB-9F95-C1A5033B9BC3}"/>
    <hyperlink ref="A21" location="B_Resultados!A1" display="B_Resultados!A1" xr:uid="{5AA509DF-A355-4378-8939-7BBA6CBC9CC8}"/>
    <hyperlink ref="A22" location="Resultados_generales!A1" display="Resultados_generales!A1" xr:uid="{5A695166-608A-4B1E-85B1-B9F686C4E647}"/>
    <hyperlink ref="A23" location="Medidas_Propuestas!A1" display="Medidas_Propuestas!A1" xr:uid="{C218BB16-8CAA-408F-BFD1-2C06B87079F9}"/>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35DDA-DC94-4BDB-A0CD-5C69F13CFB0B}">
  <sheetPr>
    <tabColor theme="0"/>
  </sheetPr>
  <dimension ref="A1:V301"/>
  <sheetViews>
    <sheetView workbookViewId="0">
      <selection activeCell="F35" sqref="F35"/>
    </sheetView>
  </sheetViews>
  <sheetFormatPr baseColWidth="10" defaultColWidth="11.5546875" defaultRowHeight="15.6"/>
  <cols>
    <col min="1" max="1" width="29.5546875" style="145" customWidth="1"/>
    <col min="3" max="3" width="33.6640625" customWidth="1"/>
    <col min="4" max="4" width="25.109375" customWidth="1"/>
    <col min="5" max="5" width="38.109375" customWidth="1"/>
    <col min="6" max="6" width="22.109375" customWidth="1"/>
    <col min="7" max="7" width="26.44140625" customWidth="1"/>
    <col min="8" max="8" width="22.6640625" customWidth="1"/>
    <col min="9" max="9" width="16.33203125" customWidth="1"/>
    <col min="10" max="10" width="28.44140625" bestFit="1" customWidth="1"/>
    <col min="11" max="11" width="17" customWidth="1"/>
    <col min="12" max="12" width="12.6640625" bestFit="1" customWidth="1"/>
    <col min="13" max="13" width="13.5546875" customWidth="1"/>
    <col min="14" max="14" width="19.5546875" customWidth="1"/>
    <col min="15" max="15" width="13.44140625" bestFit="1" customWidth="1"/>
    <col min="16" max="16" width="11.6640625" bestFit="1" customWidth="1"/>
    <col min="17" max="17" width="15.88671875" customWidth="1"/>
    <col min="18" max="18" width="15.44140625" bestFit="1" customWidth="1"/>
    <col min="19" max="20" width="11.6640625" bestFit="1" customWidth="1"/>
    <col min="21" max="21" width="16.5546875" bestFit="1" customWidth="1"/>
  </cols>
  <sheetData>
    <row r="1" spans="1:22" s="136" customFormat="1" ht="30" customHeight="1">
      <c r="A1" s="1"/>
      <c r="B1" s="135"/>
    </row>
    <row r="2" spans="1:22" s="136" customFormat="1" ht="30" customHeight="1">
      <c r="A2" s="1"/>
      <c r="B2" s="135"/>
      <c r="C2" s="136" t="str">
        <f>IF(Idioma=Castellano,"6. Cálculos propios",IF(Idioma=Valencià,"4. Factors d'emissió","4. Factores de emisión"))</f>
        <v>6. Cálculos propios</v>
      </c>
    </row>
    <row r="3" spans="1:22" s="136" customFormat="1" ht="30" customHeight="1">
      <c r="A3" s="1"/>
      <c r="B3" s="135"/>
    </row>
    <row r="4" spans="1:22" s="257" customFormat="1" ht="14.4">
      <c r="A4" s="143"/>
      <c r="B4" s="254"/>
      <c r="C4" s="255" t="s">
        <v>731</v>
      </c>
      <c r="D4" s="256"/>
      <c r="E4" s="256"/>
      <c r="F4" s="256"/>
      <c r="G4" s="256"/>
      <c r="H4" s="256"/>
      <c r="I4" s="256"/>
      <c r="J4" s="254"/>
      <c r="K4" s="254"/>
      <c r="L4" s="254"/>
      <c r="M4" s="254"/>
      <c r="N4" s="254"/>
      <c r="O4" s="254"/>
      <c r="P4" s="254"/>
      <c r="Q4" s="254"/>
      <c r="R4" s="254"/>
      <c r="S4" s="254"/>
      <c r="T4" s="254"/>
      <c r="U4" s="254"/>
      <c r="V4" s="254"/>
    </row>
    <row r="5" spans="1:22" ht="14.4">
      <c r="A5" s="143"/>
      <c r="B5" s="11"/>
      <c r="C5" s="73"/>
      <c r="D5" s="12"/>
      <c r="E5" s="12"/>
      <c r="F5" s="12"/>
      <c r="G5" s="12"/>
      <c r="H5" s="12"/>
      <c r="I5" s="12"/>
      <c r="J5" s="11"/>
      <c r="K5" s="11"/>
      <c r="L5" s="11"/>
      <c r="M5" s="11"/>
      <c r="N5" s="11"/>
      <c r="O5" s="11"/>
      <c r="P5" s="11"/>
      <c r="Q5" s="11"/>
      <c r="R5" s="11"/>
      <c r="S5" s="11"/>
      <c r="T5" s="11"/>
      <c r="U5" s="11"/>
      <c r="V5" s="11"/>
    </row>
    <row r="6" spans="1:22">
      <c r="A6" s="201" t="str">
        <f>IF(Idioma=Castellano,"Índice",IF(Idioma=Valencià,"Índex","Índice"))</f>
        <v>Índice</v>
      </c>
      <c r="B6" s="11"/>
      <c r="C6" s="12" t="s">
        <v>732</v>
      </c>
      <c r="D6" s="12"/>
      <c r="E6" s="12"/>
      <c r="F6" s="12"/>
      <c r="G6" s="12"/>
      <c r="H6" s="12"/>
      <c r="I6" s="12"/>
      <c r="J6" s="12"/>
      <c r="K6" s="12"/>
      <c r="L6" s="12"/>
      <c r="M6" s="12"/>
      <c r="N6" s="12"/>
      <c r="O6" s="12"/>
      <c r="P6" s="12"/>
      <c r="Q6" s="12"/>
      <c r="R6" s="12"/>
      <c r="S6" s="12"/>
      <c r="T6" s="12"/>
      <c r="U6" s="12"/>
      <c r="V6" s="12"/>
    </row>
    <row r="7" spans="1:22" ht="14.4">
      <c r="A7" s="202" t="str">
        <f>IF(Idioma=Castellano,"Instrucciones",IF(Idioma=Valencià,"Instruccions","Instrucciones"))</f>
        <v>Instrucciones</v>
      </c>
      <c r="B7" s="11"/>
      <c r="C7" s="176"/>
      <c r="D7" s="177"/>
      <c r="E7" s="177"/>
      <c r="F7" s="177"/>
      <c r="G7" s="177"/>
      <c r="H7" s="177"/>
      <c r="I7" s="12"/>
      <c r="J7" s="176"/>
      <c r="K7" s="177"/>
      <c r="L7" s="177"/>
      <c r="M7" s="177"/>
      <c r="N7" s="177"/>
      <c r="O7" s="12"/>
      <c r="P7" s="12"/>
      <c r="Q7" s="12"/>
      <c r="R7" s="12"/>
      <c r="S7" s="12"/>
      <c r="T7" s="12"/>
      <c r="U7" s="12"/>
      <c r="V7" s="12"/>
    </row>
    <row r="8" spans="1:22" ht="14.4">
      <c r="A8" s="202" t="str">
        <f>IF(Idioma=Castellano,"Sección de Mitigación",IF(Idioma=Valencià,"Secció de Mitigació", "Sección de Mitigación"))</f>
        <v>Sección de Mitigación</v>
      </c>
      <c r="B8" s="11"/>
      <c r="C8" s="177" t="s">
        <v>733</v>
      </c>
      <c r="D8" s="177"/>
      <c r="E8" s="190" t="s">
        <v>655</v>
      </c>
      <c r="F8" s="675" t="s">
        <v>734</v>
      </c>
      <c r="G8" s="676"/>
      <c r="H8" s="176"/>
      <c r="I8" s="7"/>
      <c r="J8" s="178"/>
      <c r="K8" s="178"/>
      <c r="L8" s="677"/>
      <c r="M8" s="677"/>
      <c r="N8" s="677"/>
      <c r="O8" s="12"/>
      <c r="P8" s="12"/>
      <c r="Q8" s="12"/>
      <c r="R8" s="12"/>
      <c r="S8" s="12"/>
      <c r="T8" s="12"/>
      <c r="U8" s="12"/>
      <c r="V8" s="12"/>
    </row>
    <row r="9" spans="1:22" ht="14.4">
      <c r="A9" s="204" t="str">
        <f>IF(Idioma=Castellano,"1. Datos de entrada",IF(Idioma=Valencià,"1.Dades d'entrada","1. Datos de entrada"))</f>
        <v>1. Datos de entrada</v>
      </c>
      <c r="B9" s="11"/>
      <c r="C9" s="177"/>
      <c r="D9" s="177"/>
      <c r="E9" s="177"/>
      <c r="F9" s="176"/>
      <c r="G9" s="176"/>
      <c r="H9" s="176"/>
      <c r="I9" s="7"/>
      <c r="J9" s="178"/>
      <c r="K9" s="178"/>
      <c r="L9" s="176"/>
      <c r="M9" s="176"/>
      <c r="N9" s="176"/>
      <c r="O9" s="12"/>
      <c r="P9" s="12"/>
      <c r="Q9" s="12"/>
      <c r="R9" s="12"/>
      <c r="S9" s="12"/>
      <c r="T9" s="12"/>
      <c r="U9" s="12"/>
      <c r="V9" s="12"/>
    </row>
    <row r="10" spans="1:22" ht="14.4">
      <c r="A10" s="204" t="str">
        <f>IF(Idioma=Castellano,"2. Cálculo de Alternativas:",IF(Idioma=Valencià,"2. Càlcul d'alternatives :","2. Cálculo de Alternativas:"))</f>
        <v>2. Cálculo de Alternativas:</v>
      </c>
      <c r="B10" s="11"/>
      <c r="C10" s="12"/>
      <c r="D10" s="179"/>
      <c r="E10" s="12"/>
      <c r="F10" s="12"/>
      <c r="G10" s="180"/>
      <c r="H10" s="181"/>
      <c r="I10" s="7"/>
      <c r="J10" s="179"/>
      <c r="K10" s="12"/>
      <c r="L10" s="12"/>
      <c r="M10" s="180"/>
      <c r="N10" s="181"/>
      <c r="O10" s="12"/>
      <c r="P10" s="12"/>
      <c r="Q10" s="12"/>
      <c r="R10" s="12"/>
      <c r="S10" s="12"/>
      <c r="T10" s="12"/>
      <c r="U10" s="12"/>
      <c r="V10" s="12"/>
    </row>
    <row r="11" spans="1:22" ht="14.4">
      <c r="A11" s="205" t="s">
        <v>1</v>
      </c>
      <c r="B11" s="11"/>
      <c r="C11" s="327"/>
      <c r="D11" s="327" t="s">
        <v>652</v>
      </c>
      <c r="E11" s="327"/>
      <c r="F11" s="327"/>
      <c r="G11" s="328" t="s">
        <v>653</v>
      </c>
      <c r="H11" s="329"/>
      <c r="I11" s="327"/>
      <c r="J11" s="330" t="s">
        <v>634</v>
      </c>
      <c r="K11" s="289"/>
      <c r="L11" s="289"/>
      <c r="M11" s="328" t="s">
        <v>642</v>
      </c>
      <c r="N11" s="329"/>
      <c r="O11" s="289"/>
      <c r="P11" s="289" t="s">
        <v>735</v>
      </c>
      <c r="Q11" s="289"/>
      <c r="R11" s="289"/>
      <c r="S11" s="289" t="s">
        <v>736</v>
      </c>
      <c r="T11" s="289"/>
      <c r="U11" s="331"/>
      <c r="V11" s="12"/>
    </row>
    <row r="12" spans="1:22" ht="14.4">
      <c r="A12" s="205" t="s">
        <v>2</v>
      </c>
      <c r="B12" s="11"/>
      <c r="C12" s="289"/>
      <c r="D12" s="330" t="s">
        <v>737</v>
      </c>
      <c r="E12" s="289" t="s">
        <v>738</v>
      </c>
      <c r="F12" s="289" t="s">
        <v>739</v>
      </c>
      <c r="G12" s="330" t="s">
        <v>737</v>
      </c>
      <c r="H12" s="289" t="s">
        <v>738</v>
      </c>
      <c r="I12" s="289" t="s">
        <v>739</v>
      </c>
      <c r="J12" s="330" t="s">
        <v>737</v>
      </c>
      <c r="K12" s="289" t="s">
        <v>738</v>
      </c>
      <c r="L12" s="289" t="s">
        <v>739</v>
      </c>
      <c r="M12" s="330" t="s">
        <v>737</v>
      </c>
      <c r="N12" s="289" t="s">
        <v>738</v>
      </c>
      <c r="O12" s="289" t="s">
        <v>739</v>
      </c>
      <c r="P12" s="330" t="s">
        <v>737</v>
      </c>
      <c r="Q12" s="289" t="s">
        <v>738</v>
      </c>
      <c r="R12" s="289" t="s">
        <v>739</v>
      </c>
      <c r="S12" s="330" t="s">
        <v>737</v>
      </c>
      <c r="T12" s="289" t="s">
        <v>738</v>
      </c>
      <c r="U12" s="331" t="s">
        <v>739</v>
      </c>
      <c r="V12" s="1"/>
    </row>
    <row r="13" spans="1:22" ht="14.4">
      <c r="A13" s="205" t="s">
        <v>3</v>
      </c>
      <c r="B13" s="11"/>
      <c r="C13" s="289" t="s">
        <v>740</v>
      </c>
      <c r="D13" s="330">
        <v>57149.2</v>
      </c>
      <c r="E13" s="289">
        <v>47927.83</v>
      </c>
      <c r="F13" s="289"/>
      <c r="G13" s="328">
        <v>10603.39</v>
      </c>
      <c r="H13" s="329">
        <v>10627.1</v>
      </c>
      <c r="I13" s="327"/>
      <c r="J13" s="330">
        <v>524.15</v>
      </c>
      <c r="K13" s="289">
        <v>786.31</v>
      </c>
      <c r="L13" s="289"/>
      <c r="M13" s="328">
        <v>6907.11</v>
      </c>
      <c r="N13" s="329">
        <v>2920.21</v>
      </c>
      <c r="O13" s="289">
        <v>9947.4500000000007</v>
      </c>
      <c r="P13" s="289"/>
      <c r="Q13" s="289"/>
      <c r="R13" s="289">
        <v>985764.22</v>
      </c>
      <c r="S13" s="289"/>
      <c r="T13" s="289"/>
      <c r="U13" s="331">
        <v>1183014.3999999999</v>
      </c>
      <c r="V13" s="11"/>
    </row>
    <row r="14" spans="1:22" ht="14.4">
      <c r="A14" s="205" t="s">
        <v>4</v>
      </c>
      <c r="B14" s="11"/>
      <c r="C14" s="289" t="s">
        <v>741</v>
      </c>
      <c r="D14" s="330">
        <f>D13*10000</f>
        <v>571492000</v>
      </c>
      <c r="E14" s="330">
        <f t="shared" ref="E14:U14" si="0">E13*10000</f>
        <v>479278300</v>
      </c>
      <c r="F14" s="330">
        <f t="shared" si="0"/>
        <v>0</v>
      </c>
      <c r="G14" s="330">
        <f t="shared" si="0"/>
        <v>106033900</v>
      </c>
      <c r="H14" s="330">
        <f t="shared" si="0"/>
        <v>106271000</v>
      </c>
      <c r="I14" s="330">
        <f t="shared" si="0"/>
        <v>0</v>
      </c>
      <c r="J14" s="330">
        <f t="shared" si="0"/>
        <v>5241500</v>
      </c>
      <c r="K14" s="330">
        <f t="shared" si="0"/>
        <v>7863099.9999999991</v>
      </c>
      <c r="L14" s="330">
        <f t="shared" si="0"/>
        <v>0</v>
      </c>
      <c r="M14" s="330">
        <f t="shared" si="0"/>
        <v>69071100</v>
      </c>
      <c r="N14" s="330">
        <f t="shared" si="0"/>
        <v>29202100</v>
      </c>
      <c r="O14" s="330">
        <f t="shared" si="0"/>
        <v>99474500</v>
      </c>
      <c r="P14" s="330">
        <f t="shared" si="0"/>
        <v>0</v>
      </c>
      <c r="Q14" s="330">
        <f t="shared" si="0"/>
        <v>0</v>
      </c>
      <c r="R14" s="330">
        <f t="shared" si="0"/>
        <v>9857642200</v>
      </c>
      <c r="S14" s="330">
        <f t="shared" si="0"/>
        <v>0</v>
      </c>
      <c r="T14" s="330">
        <f t="shared" si="0"/>
        <v>0</v>
      </c>
      <c r="U14" s="330">
        <f t="shared" si="0"/>
        <v>11830144000</v>
      </c>
      <c r="V14" s="11"/>
    </row>
    <row r="15" spans="1:22" ht="14.4">
      <c r="A15" s="205" t="s">
        <v>5</v>
      </c>
      <c r="B15" s="11"/>
      <c r="C15" s="169"/>
      <c r="D15" s="173"/>
      <c r="E15" s="169"/>
      <c r="F15" s="169"/>
      <c r="G15" s="174"/>
      <c r="H15" s="175"/>
      <c r="I15" s="172"/>
      <c r="J15" s="173"/>
      <c r="K15" s="169"/>
      <c r="L15" s="169"/>
      <c r="M15" s="174"/>
      <c r="N15" s="175"/>
      <c r="O15" s="11"/>
      <c r="P15" s="11"/>
      <c r="Q15" s="11"/>
      <c r="R15" s="11"/>
      <c r="S15" s="11"/>
      <c r="T15" s="11"/>
      <c r="U15" s="11"/>
      <c r="V15" s="11"/>
    </row>
    <row r="16" spans="1:22" ht="14.4">
      <c r="A16" s="204" t="str">
        <f>IF(Idioma=Castellano,"3. Resultados",IF(Idioma=Valencià,"3. Resultats","3. Resultados"))</f>
        <v>3. Resultados</v>
      </c>
      <c r="B16" s="11"/>
      <c r="C16" s="169"/>
      <c r="D16" s="173"/>
      <c r="E16" s="169"/>
      <c r="F16" s="169"/>
      <c r="G16" s="174"/>
      <c r="H16" s="175"/>
      <c r="I16" s="172"/>
      <c r="J16" s="173"/>
      <c r="K16" s="169"/>
      <c r="L16" s="169"/>
      <c r="M16" s="174"/>
      <c r="N16" s="175"/>
      <c r="O16" s="11"/>
      <c r="P16" s="11"/>
      <c r="Q16" s="11"/>
      <c r="R16" s="11"/>
      <c r="S16" s="11"/>
      <c r="T16" s="11"/>
      <c r="U16" s="11"/>
      <c r="V16" s="11"/>
    </row>
    <row r="17" spans="1:22" ht="14.4">
      <c r="A17" s="204" t="str">
        <f>IF(Idioma=Castellano,"4. Factores de emisión",IF(Idioma=Valencià,"4. Factors d'emissió","4. Factores de emisión"))</f>
        <v>4. Factores de emisión</v>
      </c>
      <c r="B17" s="11"/>
      <c r="C17" s="81" t="s">
        <v>742</v>
      </c>
      <c r="D17" s="94" t="s">
        <v>743</v>
      </c>
      <c r="E17" s="169"/>
      <c r="F17" s="169"/>
      <c r="G17" s="174"/>
      <c r="H17" s="175"/>
      <c r="I17" s="172"/>
      <c r="J17" s="173"/>
      <c r="K17" s="169"/>
      <c r="L17" s="169"/>
      <c r="M17" s="174"/>
      <c r="N17" s="175"/>
      <c r="O17" s="11"/>
      <c r="P17" s="11"/>
      <c r="Q17" s="11"/>
      <c r="R17" s="11"/>
      <c r="S17" s="11"/>
      <c r="T17" s="11"/>
      <c r="U17" s="11"/>
      <c r="V17" s="11"/>
    </row>
    <row r="18" spans="1:22" ht="14.4">
      <c r="A18" s="203" t="str">
        <f>IF(Idioma=Castellano,"Sección de Adaptación",IF(Idioma=Valencià,"Secció d'Adaptació","Sección de Adaptación"))</f>
        <v>Sección de Adaptación</v>
      </c>
      <c r="B18" s="11"/>
      <c r="C18" s="169"/>
      <c r="D18" s="173"/>
      <c r="E18" s="169"/>
      <c r="F18" s="169"/>
      <c r="G18" s="174"/>
      <c r="H18" s="171"/>
      <c r="I18" s="172"/>
      <c r="J18" s="173"/>
      <c r="K18" s="169"/>
      <c r="L18" s="169"/>
      <c r="M18" s="174"/>
      <c r="N18" s="171"/>
      <c r="O18" s="11"/>
      <c r="P18" s="11"/>
      <c r="Q18" s="11"/>
      <c r="R18" s="11"/>
      <c r="S18" s="11"/>
      <c r="T18" s="11"/>
      <c r="U18" s="11"/>
      <c r="V18" s="11"/>
    </row>
    <row r="19" spans="1:22" ht="14.4">
      <c r="A19" s="204" t="str">
        <f>IF(Idioma=Castellano,"1. Alcance",IF(Idioma=Valencià,"1. Abast","1. Alcance"))</f>
        <v>1. Alcance</v>
      </c>
      <c r="B19" s="11"/>
      <c r="C19" s="289" t="s">
        <v>744</v>
      </c>
      <c r="D19" s="289" t="s">
        <v>652</v>
      </c>
      <c r="E19" s="289" t="s">
        <v>653</v>
      </c>
      <c r="F19" s="289" t="s">
        <v>634</v>
      </c>
      <c r="G19" s="289" t="s">
        <v>642</v>
      </c>
      <c r="H19" s="175"/>
      <c r="I19" s="172"/>
      <c r="J19" s="173"/>
      <c r="K19" s="169"/>
      <c r="L19" s="169"/>
      <c r="M19" s="174"/>
      <c r="N19" s="175"/>
      <c r="O19" s="11"/>
      <c r="P19" s="11"/>
      <c r="Q19" s="11"/>
      <c r="R19" s="11"/>
      <c r="S19" s="11"/>
      <c r="T19" s="11"/>
      <c r="U19" s="11"/>
      <c r="V19" s="11"/>
    </row>
    <row r="20" spans="1:22" ht="14.4">
      <c r="A20" s="204" t="s">
        <v>6</v>
      </c>
      <c r="B20" s="11"/>
      <c r="C20" s="289" t="s">
        <v>745</v>
      </c>
      <c r="D20" s="289">
        <v>57149</v>
      </c>
      <c r="E20" s="289">
        <v>10603</v>
      </c>
      <c r="F20" s="289"/>
      <c r="G20" s="289">
        <v>6097</v>
      </c>
      <c r="H20" s="175"/>
      <c r="I20" s="172"/>
      <c r="J20" s="173"/>
      <c r="K20" s="169"/>
      <c r="L20" s="169"/>
      <c r="M20" s="174"/>
      <c r="N20" s="175"/>
      <c r="O20" s="11"/>
      <c r="P20" s="11"/>
      <c r="Q20" s="11"/>
      <c r="R20" s="11"/>
      <c r="S20" s="11"/>
      <c r="T20" s="11"/>
      <c r="U20" s="11"/>
      <c r="V20" s="11"/>
    </row>
    <row r="21" spans="1:22" ht="14.4">
      <c r="A21" s="204" t="str">
        <f>IF(Idioma=Castellano,"3. Resultados",IF(Idioma=Valencià,"3. Resultats","3. Resultados"))</f>
        <v>3. Resultados</v>
      </c>
      <c r="B21" s="11"/>
      <c r="C21" s="289" t="s">
        <v>746</v>
      </c>
      <c r="D21" s="289">
        <v>47928</v>
      </c>
      <c r="E21" s="289">
        <v>10627</v>
      </c>
      <c r="F21" s="289">
        <v>786</v>
      </c>
      <c r="G21" s="289">
        <v>2920</v>
      </c>
      <c r="H21" s="175"/>
      <c r="I21" s="172"/>
      <c r="J21" s="173"/>
      <c r="K21" s="169"/>
      <c r="L21" s="169"/>
      <c r="M21" s="174"/>
      <c r="N21" s="175"/>
      <c r="O21" s="11"/>
      <c r="P21" s="11"/>
      <c r="Q21" s="11"/>
      <c r="R21" s="11"/>
      <c r="S21" s="11"/>
      <c r="T21" s="11"/>
      <c r="U21" s="11"/>
      <c r="V21" s="11"/>
    </row>
    <row r="22" spans="1:22" ht="14.4">
      <c r="A22" s="203" t="str">
        <f>IF(Idioma=Castellano,"Resultados generales",IF(Idioma=Valencià,"Resultats generals","Resultados generales"))</f>
        <v>Resultados generales</v>
      </c>
      <c r="B22" s="11"/>
      <c r="C22" s="289" t="s">
        <v>747</v>
      </c>
      <c r="D22" s="289">
        <v>105077</v>
      </c>
      <c r="E22" s="289">
        <v>21230</v>
      </c>
      <c r="F22" s="289">
        <v>786</v>
      </c>
      <c r="G22" s="289">
        <v>9827</v>
      </c>
      <c r="H22" s="175"/>
      <c r="I22" s="172"/>
      <c r="J22" s="173"/>
      <c r="K22" s="169"/>
      <c r="L22" s="169"/>
      <c r="M22" s="174"/>
      <c r="N22" s="175"/>
      <c r="O22" s="11"/>
      <c r="P22" s="11"/>
      <c r="Q22" s="11"/>
      <c r="R22" s="11"/>
      <c r="S22" s="11"/>
      <c r="T22" s="11"/>
      <c r="U22" s="11"/>
      <c r="V22" s="11"/>
    </row>
    <row r="23" spans="1:22" ht="14.4">
      <c r="A23" s="203" t="str">
        <f>IF(Idioma=Castellano,"Medidas Propuestas",IF(Idioma=Valencià,"Mesures Proposades","Medidas Propuestas"))</f>
        <v>Medidas Propuestas</v>
      </c>
      <c r="B23" s="11"/>
      <c r="C23" s="169"/>
      <c r="D23" s="173"/>
      <c r="E23" s="169"/>
      <c r="F23" s="169"/>
      <c r="G23" s="174"/>
      <c r="H23" s="175"/>
      <c r="I23" s="172"/>
      <c r="J23" s="173"/>
      <c r="K23" s="169"/>
      <c r="L23" s="169"/>
      <c r="M23" s="174"/>
      <c r="N23" s="175"/>
      <c r="O23" s="11"/>
      <c r="P23" s="11"/>
      <c r="Q23" s="11"/>
      <c r="R23" s="11"/>
      <c r="S23" s="11"/>
      <c r="T23" s="11"/>
      <c r="U23" s="11"/>
      <c r="V23" s="11"/>
    </row>
    <row r="24" spans="1:22" ht="14.4">
      <c r="A24" s="515"/>
      <c r="B24" s="11"/>
      <c r="C24" s="169"/>
      <c r="D24" s="173"/>
      <c r="E24" s="169"/>
      <c r="F24" s="169"/>
      <c r="G24" s="174"/>
      <c r="H24" s="175"/>
      <c r="I24" s="172"/>
      <c r="J24" s="173"/>
      <c r="K24" s="169"/>
      <c r="L24" s="169"/>
      <c r="M24" s="174"/>
      <c r="N24" s="175"/>
      <c r="O24" s="11"/>
      <c r="P24" s="11"/>
      <c r="Q24" s="11"/>
      <c r="R24" s="11"/>
      <c r="S24" s="11"/>
      <c r="T24" s="11"/>
      <c r="U24" s="11"/>
      <c r="V24" s="11"/>
    </row>
    <row r="25" spans="1:22" ht="14.4">
      <c r="A25" s="515"/>
      <c r="B25" s="11"/>
      <c r="C25" s="81" t="s">
        <v>947</v>
      </c>
      <c r="D25" s="173"/>
      <c r="E25" s="169"/>
      <c r="F25" s="169"/>
      <c r="G25" s="174"/>
      <c r="H25" s="175"/>
      <c r="I25" s="172"/>
      <c r="J25" s="173"/>
      <c r="K25" s="169"/>
      <c r="L25" s="169"/>
      <c r="M25" s="174"/>
      <c r="N25" s="175"/>
      <c r="O25" s="11"/>
      <c r="P25" s="11"/>
      <c r="Q25" s="11"/>
      <c r="R25" s="11"/>
      <c r="S25" s="11"/>
      <c r="T25" s="11"/>
      <c r="U25" s="11"/>
      <c r="V25" s="11"/>
    </row>
    <row r="26" spans="1:22" ht="14.4">
      <c r="A26" s="515"/>
      <c r="B26" s="11"/>
      <c r="C26" s="169"/>
      <c r="D26" s="173"/>
      <c r="E26" s="169"/>
      <c r="F26" s="169"/>
      <c r="G26" s="174"/>
      <c r="H26" s="175"/>
      <c r="I26" s="172"/>
      <c r="J26" s="173"/>
      <c r="K26" s="169"/>
      <c r="L26" s="169"/>
      <c r="M26" s="174"/>
      <c r="N26" s="175"/>
      <c r="O26" s="11"/>
      <c r="P26" s="11"/>
      <c r="Q26" s="11"/>
      <c r="R26" s="11"/>
      <c r="S26" s="11"/>
      <c r="T26" s="11"/>
      <c r="U26" s="11"/>
      <c r="V26" s="11"/>
    </row>
    <row r="27" spans="1:22" ht="14.4">
      <c r="A27" s="515"/>
      <c r="B27" s="11"/>
      <c r="C27" s="289" t="s">
        <v>1002</v>
      </c>
      <c r="D27" s="289" t="s">
        <v>652</v>
      </c>
      <c r="E27" s="289" t="s">
        <v>653</v>
      </c>
      <c r="F27" s="289" t="s">
        <v>634</v>
      </c>
      <c r="G27" s="289" t="s">
        <v>642</v>
      </c>
      <c r="H27" s="175"/>
      <c r="I27" s="172"/>
      <c r="J27" s="173"/>
      <c r="K27" s="169"/>
      <c r="L27" s="169"/>
      <c r="M27" s="174"/>
      <c r="N27" s="175"/>
      <c r="O27" s="11"/>
      <c r="P27" s="11"/>
      <c r="Q27" s="11"/>
      <c r="R27" s="11"/>
      <c r="S27" s="11"/>
      <c r="T27" s="11"/>
      <c r="U27" s="11"/>
      <c r="V27" s="11"/>
    </row>
    <row r="28" spans="1:22" ht="14.4">
      <c r="A28" s="515"/>
      <c r="B28" s="11"/>
      <c r="C28" s="289" t="s">
        <v>745</v>
      </c>
      <c r="D28" s="289">
        <v>569467384.98914492</v>
      </c>
      <c r="E28" s="289">
        <v>125150907.41425662</v>
      </c>
      <c r="F28" s="289">
        <v>12301240.707924239</v>
      </c>
      <c r="G28" s="289">
        <v>115660242.83006422</v>
      </c>
      <c r="H28" s="175"/>
      <c r="I28" s="172"/>
      <c r="J28" s="173"/>
      <c r="K28" s="169"/>
      <c r="L28" s="169"/>
      <c r="M28" s="174"/>
      <c r="N28" s="175"/>
      <c r="O28" s="11"/>
      <c r="P28" s="11"/>
      <c r="Q28" s="11"/>
      <c r="R28" s="11"/>
      <c r="S28" s="11"/>
      <c r="T28" s="11"/>
      <c r="U28" s="11"/>
      <c r="V28" s="11"/>
    </row>
    <row r="29" spans="1:22" ht="14.4">
      <c r="A29" s="515"/>
      <c r="B29" s="11"/>
      <c r="C29" s="289" t="s">
        <v>746</v>
      </c>
      <c r="D29" s="289">
        <v>466896798.23429841</v>
      </c>
      <c r="E29" s="289">
        <v>147525077.82896566</v>
      </c>
      <c r="F29" s="289">
        <v>22593687.966088116</v>
      </c>
      <c r="G29" s="289">
        <v>117557594.04264659</v>
      </c>
      <c r="H29" s="175"/>
      <c r="I29" s="172"/>
      <c r="J29" s="173"/>
      <c r="K29" s="169"/>
      <c r="L29" s="169"/>
      <c r="M29" s="174"/>
      <c r="N29" s="175"/>
      <c r="O29" s="11"/>
      <c r="P29" s="11"/>
      <c r="Q29" s="11"/>
      <c r="R29" s="11"/>
      <c r="S29" s="11"/>
      <c r="T29" s="11"/>
      <c r="U29" s="11"/>
      <c r="V29" s="11"/>
    </row>
    <row r="30" spans="1:22" ht="15" customHeight="1">
      <c r="A30" s="515"/>
      <c r="B30" s="11"/>
      <c r="C30" s="289" t="s">
        <v>747</v>
      </c>
      <c r="D30" s="289"/>
      <c r="E30" s="289"/>
      <c r="F30" s="289"/>
      <c r="G30" s="289"/>
      <c r="H30" s="175"/>
      <c r="I30" s="172"/>
      <c r="J30" s="173"/>
      <c r="K30" s="169"/>
      <c r="L30" s="169"/>
      <c r="M30" s="174"/>
      <c r="N30" s="175"/>
      <c r="O30" s="11"/>
      <c r="P30" s="11"/>
      <c r="Q30" s="11"/>
      <c r="R30" s="11"/>
      <c r="S30" s="11"/>
      <c r="T30" s="11"/>
      <c r="U30" s="11"/>
      <c r="V30" s="11"/>
    </row>
    <row r="31" spans="1:22" ht="15" customHeight="1">
      <c r="A31" s="515"/>
      <c r="B31" s="11"/>
      <c r="C31" s="510"/>
      <c r="D31" s="510"/>
      <c r="E31" s="510"/>
      <c r="F31" s="510"/>
      <c r="G31" s="510"/>
      <c r="H31" s="175"/>
      <c r="I31" s="172"/>
      <c r="J31" s="173"/>
      <c r="K31" s="169"/>
      <c r="L31" s="169"/>
      <c r="M31" s="174"/>
      <c r="N31" s="175"/>
      <c r="O31" s="11"/>
      <c r="P31" s="11"/>
      <c r="Q31" s="11"/>
      <c r="R31" s="11"/>
      <c r="S31" s="11"/>
      <c r="T31" s="11"/>
      <c r="U31" s="11"/>
      <c r="V31" s="11"/>
    </row>
    <row r="32" spans="1:22" ht="15" customHeight="1">
      <c r="A32" s="515"/>
      <c r="B32" s="11"/>
      <c r="C32" s="510"/>
      <c r="D32" s="510"/>
      <c r="E32" s="510"/>
      <c r="F32" s="510"/>
      <c r="G32" s="510"/>
      <c r="H32" s="175"/>
      <c r="I32" s="172"/>
      <c r="J32" s="173"/>
      <c r="K32" s="169"/>
      <c r="L32" s="169"/>
      <c r="M32" s="174"/>
      <c r="N32" s="175"/>
      <c r="O32" s="11"/>
      <c r="P32" s="11"/>
      <c r="Q32" s="11"/>
      <c r="R32" s="11"/>
      <c r="S32" s="11"/>
      <c r="T32" s="11"/>
      <c r="U32" s="11"/>
      <c r="V32" s="11"/>
    </row>
    <row r="33" spans="1:22" ht="14.4">
      <c r="A33" s="515"/>
      <c r="B33" s="11"/>
      <c r="C33" s="169"/>
      <c r="D33" s="173"/>
      <c r="E33" s="169"/>
      <c r="F33" s="169"/>
      <c r="G33" s="174"/>
      <c r="H33" s="175"/>
      <c r="I33" s="172"/>
      <c r="J33" s="173"/>
      <c r="K33" s="169"/>
      <c r="L33" s="169"/>
      <c r="M33" s="174"/>
      <c r="N33" s="175"/>
      <c r="O33" s="11"/>
      <c r="P33" s="11"/>
      <c r="Q33" s="11"/>
      <c r="R33" s="11"/>
      <c r="S33" s="11"/>
      <c r="T33" s="11"/>
      <c r="U33" s="11"/>
      <c r="V33" s="11"/>
    </row>
    <row r="34" spans="1:22">
      <c r="B34" s="11"/>
      <c r="C34" s="170"/>
      <c r="D34" s="170"/>
      <c r="E34" s="170"/>
      <c r="F34" s="170"/>
      <c r="G34" s="170"/>
      <c r="H34" s="170"/>
      <c r="I34" s="170"/>
      <c r="J34" s="170"/>
      <c r="K34" s="170"/>
      <c r="L34" s="170"/>
      <c r="M34" s="169"/>
      <c r="N34" s="169"/>
      <c r="O34" s="11"/>
      <c r="P34" s="11"/>
      <c r="Q34" s="11"/>
      <c r="R34" s="11"/>
      <c r="S34" s="11"/>
      <c r="T34" s="11"/>
      <c r="U34" s="11"/>
      <c r="V34" s="11"/>
    </row>
    <row r="35" spans="1:22" s="257" customFormat="1">
      <c r="A35" s="145"/>
      <c r="B35" s="254"/>
      <c r="C35" s="255" t="s">
        <v>748</v>
      </c>
      <c r="D35" s="283"/>
      <c r="E35" s="283"/>
      <c r="F35" s="283"/>
      <c r="G35" s="283"/>
      <c r="H35" s="283"/>
      <c r="I35" s="283"/>
      <c r="J35" s="283"/>
      <c r="K35" s="283"/>
      <c r="L35" s="283"/>
      <c r="M35" s="283"/>
      <c r="N35" s="283"/>
      <c r="O35" s="254"/>
      <c r="P35" s="254"/>
      <c r="Q35" s="254"/>
      <c r="R35" s="254"/>
      <c r="S35" s="254"/>
      <c r="T35" s="254"/>
      <c r="U35" s="254"/>
      <c r="V35" s="254"/>
    </row>
    <row r="36" spans="1:22">
      <c r="B36" s="11"/>
      <c r="C36" s="169"/>
      <c r="D36" s="169"/>
      <c r="E36" s="169"/>
      <c r="F36" s="169"/>
      <c r="G36" s="169"/>
      <c r="H36" s="169"/>
      <c r="I36" s="169"/>
      <c r="J36" s="169"/>
      <c r="K36" s="169"/>
      <c r="L36" s="169"/>
      <c r="M36" s="169"/>
      <c r="N36" s="169"/>
      <c r="O36" s="11"/>
      <c r="P36" s="11"/>
      <c r="Q36" s="11"/>
      <c r="R36" s="11"/>
      <c r="S36" s="11"/>
      <c r="T36" s="11"/>
      <c r="U36" s="11"/>
      <c r="V36" s="11"/>
    </row>
    <row r="37" spans="1:22">
      <c r="B37" s="11"/>
      <c r="C37" s="169"/>
      <c r="D37" s="169"/>
      <c r="E37" s="169"/>
      <c r="F37" s="169"/>
      <c r="G37" s="169"/>
      <c r="H37" s="169"/>
      <c r="I37" s="169"/>
      <c r="J37" s="169"/>
      <c r="K37" s="169"/>
      <c r="L37" s="169"/>
      <c r="M37" s="169"/>
      <c r="N37" s="169"/>
      <c r="O37" s="11"/>
      <c r="P37" s="11"/>
      <c r="Q37" s="11"/>
      <c r="R37" s="11"/>
      <c r="S37" s="11"/>
      <c r="T37" s="11"/>
      <c r="U37" s="11"/>
      <c r="V37" s="11"/>
    </row>
    <row r="38" spans="1:22">
      <c r="B38" s="11"/>
      <c r="C38" s="81" t="s">
        <v>749</v>
      </c>
      <c r="D38" s="169"/>
      <c r="E38" s="169"/>
      <c r="F38" s="169"/>
      <c r="G38" s="169"/>
      <c r="H38" s="169"/>
      <c r="I38" s="169"/>
      <c r="J38" s="169"/>
      <c r="K38" s="169"/>
      <c r="L38" s="169"/>
      <c r="M38" s="169"/>
      <c r="N38" s="169"/>
      <c r="O38" s="11"/>
      <c r="P38" s="11"/>
      <c r="Q38" s="11"/>
      <c r="R38" s="11"/>
      <c r="S38" s="11"/>
      <c r="T38" s="11"/>
      <c r="U38" s="11"/>
      <c r="V38" s="11"/>
    </row>
    <row r="39" spans="1:22">
      <c r="B39" s="11"/>
      <c r="C39" s="169"/>
      <c r="D39" s="169"/>
      <c r="E39" s="169"/>
      <c r="F39" s="169"/>
      <c r="G39" s="169"/>
      <c r="H39" s="169"/>
      <c r="I39" s="169"/>
      <c r="J39" s="169"/>
      <c r="K39" s="169"/>
      <c r="L39" s="169"/>
      <c r="M39" s="169"/>
      <c r="N39" s="169"/>
      <c r="O39" s="11"/>
      <c r="P39" s="11"/>
      <c r="Q39" s="11"/>
      <c r="R39" s="11"/>
      <c r="S39" s="11"/>
      <c r="T39" s="11"/>
      <c r="U39" s="11"/>
      <c r="V39" s="11"/>
    </row>
    <row r="40" spans="1:22">
      <c r="B40" s="11"/>
      <c r="C40" s="169"/>
      <c r="D40" s="169"/>
      <c r="E40" s="169"/>
      <c r="F40" s="169"/>
      <c r="G40" s="169"/>
      <c r="H40" s="169"/>
      <c r="I40" s="169"/>
      <c r="J40" s="169"/>
      <c r="K40" s="169"/>
      <c r="L40" s="169"/>
      <c r="M40" s="169"/>
      <c r="N40" s="169"/>
      <c r="O40" s="11"/>
      <c r="P40" s="11"/>
      <c r="Q40" s="11"/>
      <c r="R40" s="11"/>
      <c r="S40" s="11"/>
      <c r="T40" s="11"/>
      <c r="U40" s="11"/>
      <c r="V40" s="11"/>
    </row>
    <row r="41" spans="1:22">
      <c r="B41" s="11"/>
      <c r="C41" s="12" t="s">
        <v>750</v>
      </c>
      <c r="D41" s="169"/>
      <c r="E41" s="169"/>
      <c r="F41" s="332" t="s">
        <v>751</v>
      </c>
      <c r="G41" s="169"/>
      <c r="H41" s="169"/>
      <c r="I41" s="169"/>
      <c r="J41" s="169"/>
      <c r="K41" s="169"/>
      <c r="L41" s="169"/>
      <c r="M41" s="169"/>
      <c r="N41" s="169"/>
      <c r="O41" s="11"/>
      <c r="P41" s="11"/>
      <c r="Q41" s="11"/>
      <c r="R41" s="11"/>
      <c r="S41" s="11"/>
      <c r="T41" s="11"/>
      <c r="U41" s="11"/>
      <c r="V41" s="11"/>
    </row>
    <row r="42" spans="1:22">
      <c r="B42" s="11"/>
      <c r="C42" s="169"/>
      <c r="D42" s="169"/>
      <c r="E42" s="169"/>
      <c r="F42" s="169"/>
      <c r="G42" s="169"/>
      <c r="H42" s="169"/>
      <c r="I42" s="169"/>
      <c r="J42" s="169"/>
      <c r="K42" s="169"/>
      <c r="L42" s="169"/>
      <c r="M42" s="169"/>
      <c r="N42" s="169"/>
      <c r="O42" s="11"/>
      <c r="P42" s="11"/>
      <c r="Q42" s="11"/>
      <c r="R42" s="11"/>
      <c r="S42" s="11"/>
      <c r="T42" s="11"/>
      <c r="U42" s="11"/>
      <c r="V42" s="11"/>
    </row>
    <row r="43" spans="1:22">
      <c r="B43" s="11"/>
      <c r="C43" s="289" t="s">
        <v>752</v>
      </c>
      <c r="D43" s="289">
        <v>2010</v>
      </c>
      <c r="E43" s="289">
        <v>2011</v>
      </c>
      <c r="F43" s="289">
        <v>2012</v>
      </c>
      <c r="G43" s="289">
        <v>2013</v>
      </c>
      <c r="H43" s="289">
        <v>2014</v>
      </c>
      <c r="I43" s="289">
        <v>2015</v>
      </c>
      <c r="J43" s="289">
        <v>2016</v>
      </c>
      <c r="K43" s="289">
        <v>2017</v>
      </c>
      <c r="L43" s="289">
        <v>2018</v>
      </c>
      <c r="M43" s="289">
        <v>2019</v>
      </c>
      <c r="N43" s="289">
        <v>2020</v>
      </c>
      <c r="O43" s="11" t="s">
        <v>753</v>
      </c>
      <c r="P43" s="11"/>
      <c r="Q43" s="11"/>
      <c r="R43" s="11"/>
      <c r="S43" s="11"/>
      <c r="T43" s="11"/>
      <c r="U43" s="11"/>
      <c r="V43" s="11"/>
    </row>
    <row r="44" spans="1:22">
      <c r="B44" s="11"/>
      <c r="C44" s="289" t="s">
        <v>754</v>
      </c>
      <c r="D44" s="289">
        <v>411</v>
      </c>
      <c r="E44" s="289">
        <v>381</v>
      </c>
      <c r="F44" s="289">
        <v>297</v>
      </c>
      <c r="G44" s="289">
        <v>291</v>
      </c>
      <c r="H44" s="289">
        <v>286</v>
      </c>
      <c r="I44" s="289">
        <v>287</v>
      </c>
      <c r="J44" s="289">
        <v>307</v>
      </c>
      <c r="K44" s="289">
        <v>320</v>
      </c>
      <c r="L44" s="289">
        <v>352</v>
      </c>
      <c r="M44" s="289">
        <v>344</v>
      </c>
      <c r="N44" s="289">
        <v>341</v>
      </c>
      <c r="O44" s="185">
        <f>AVERAGE(D44:N44)</f>
        <v>328.81818181818181</v>
      </c>
      <c r="P44" s="11"/>
      <c r="Q44" s="11"/>
      <c r="R44" s="11"/>
      <c r="S44" s="11"/>
      <c r="T44" s="11"/>
      <c r="U44" s="11"/>
      <c r="V44" s="11"/>
    </row>
    <row r="45" spans="1:22">
      <c r="B45" s="11"/>
      <c r="C45" s="289" t="s">
        <v>653</v>
      </c>
      <c r="D45" s="289">
        <v>2563</v>
      </c>
      <c r="E45" s="289">
        <v>2471</v>
      </c>
      <c r="F45" s="289">
        <v>2377</v>
      </c>
      <c r="G45" s="289">
        <v>2368</v>
      </c>
      <c r="H45" s="289">
        <v>2430</v>
      </c>
      <c r="I45" s="289">
        <v>2532</v>
      </c>
      <c r="J45" s="289">
        <v>2646</v>
      </c>
      <c r="K45" s="289">
        <v>2637</v>
      </c>
      <c r="L45" s="289">
        <v>2667</v>
      </c>
      <c r="M45" s="289">
        <v>2623</v>
      </c>
      <c r="N45" s="289">
        <v>2372</v>
      </c>
      <c r="O45" s="185">
        <f t="shared" ref="O45:O49" si="1">AVERAGE(D45:N45)</f>
        <v>2516.909090909091</v>
      </c>
      <c r="P45" s="11"/>
      <c r="Q45" s="11"/>
      <c r="R45" s="11"/>
      <c r="S45" s="11"/>
      <c r="T45" s="11"/>
      <c r="U45" s="11"/>
      <c r="V45" s="11"/>
    </row>
    <row r="46" spans="1:22">
      <c r="B46" s="11"/>
      <c r="C46" s="289" t="s">
        <v>755</v>
      </c>
      <c r="D46" s="289">
        <v>848</v>
      </c>
      <c r="E46" s="289">
        <v>878</v>
      </c>
      <c r="F46" s="289">
        <v>875</v>
      </c>
      <c r="G46" s="289">
        <v>827</v>
      </c>
      <c r="H46" s="289">
        <v>823</v>
      </c>
      <c r="I46" s="289">
        <v>839</v>
      </c>
      <c r="J46" s="289">
        <v>7</v>
      </c>
      <c r="K46" s="289">
        <v>869</v>
      </c>
      <c r="L46" s="289">
        <v>880</v>
      </c>
      <c r="M46" s="289">
        <v>895</v>
      </c>
      <c r="N46" s="289">
        <v>808</v>
      </c>
      <c r="O46" s="185">
        <f t="shared" si="1"/>
        <v>777.18181818181813</v>
      </c>
      <c r="P46" s="11"/>
      <c r="Q46" s="11"/>
      <c r="R46" s="11"/>
      <c r="S46" s="11"/>
      <c r="T46" s="11"/>
      <c r="U46" s="11"/>
      <c r="V46" s="11"/>
    </row>
    <row r="47" spans="1:22">
      <c r="B47" s="11"/>
      <c r="C47" s="289" t="s">
        <v>756</v>
      </c>
      <c r="D47" s="289">
        <v>1179</v>
      </c>
      <c r="E47" s="289">
        <v>1151</v>
      </c>
      <c r="F47" s="289">
        <v>1130</v>
      </c>
      <c r="G47" s="289">
        <v>1091</v>
      </c>
      <c r="H47" s="289">
        <v>1066</v>
      </c>
      <c r="I47" s="289">
        <v>1092</v>
      </c>
      <c r="J47" s="289">
        <v>1056</v>
      </c>
      <c r="K47" s="289">
        <v>1096</v>
      </c>
      <c r="L47" s="289">
        <v>1103</v>
      </c>
      <c r="M47" s="289">
        <v>1105</v>
      </c>
      <c r="N47" s="289">
        <v>1159</v>
      </c>
      <c r="O47" s="185">
        <f t="shared" si="1"/>
        <v>1111.6363636363637</v>
      </c>
      <c r="P47" s="11"/>
      <c r="Q47" s="11"/>
      <c r="R47" s="11"/>
      <c r="S47" s="11"/>
      <c r="T47" s="11"/>
      <c r="U47" s="11"/>
      <c r="V47" s="11"/>
    </row>
    <row r="48" spans="1:22">
      <c r="B48" s="11"/>
      <c r="C48" s="289" t="s">
        <v>757</v>
      </c>
      <c r="D48" s="289">
        <v>3408</v>
      </c>
      <c r="E48" s="289">
        <v>3286</v>
      </c>
      <c r="F48" s="289">
        <v>3036</v>
      </c>
      <c r="G48" s="289">
        <v>2990</v>
      </c>
      <c r="H48" s="289">
        <v>3073</v>
      </c>
      <c r="I48" s="289">
        <v>3160</v>
      </c>
      <c r="J48" s="289">
        <v>3270</v>
      </c>
      <c r="K48" s="289">
        <v>3345</v>
      </c>
      <c r="L48" s="289">
        <v>3414</v>
      </c>
      <c r="M48" s="289">
        <v>3471</v>
      </c>
      <c r="N48" s="289">
        <v>2747</v>
      </c>
      <c r="O48" s="185">
        <f t="shared" si="1"/>
        <v>3200</v>
      </c>
      <c r="P48" s="11"/>
      <c r="Q48" s="11"/>
      <c r="R48" s="11"/>
      <c r="S48" s="11"/>
      <c r="T48" s="11"/>
      <c r="U48" s="11"/>
      <c r="V48" s="11"/>
    </row>
    <row r="49" spans="2:22">
      <c r="B49" s="11"/>
      <c r="C49" s="289" t="s">
        <v>602</v>
      </c>
      <c r="D49" s="289">
        <v>8408</v>
      </c>
      <c r="E49" s="289">
        <v>8166</v>
      </c>
      <c r="F49" s="289">
        <v>7715</v>
      </c>
      <c r="G49" s="289">
        <v>7567</v>
      </c>
      <c r="H49" s="289">
        <v>7680</v>
      </c>
      <c r="I49" s="289">
        <v>7910</v>
      </c>
      <c r="J49" s="289">
        <v>8125</v>
      </c>
      <c r="K49" s="289">
        <v>8266</v>
      </c>
      <c r="L49" s="289">
        <v>8416</v>
      </c>
      <c r="M49" s="289">
        <v>8438</v>
      </c>
      <c r="N49" s="289">
        <v>7427</v>
      </c>
      <c r="O49" s="185">
        <f t="shared" si="1"/>
        <v>8010.727272727273</v>
      </c>
      <c r="P49" s="11"/>
      <c r="Q49" s="11"/>
      <c r="R49" s="11"/>
      <c r="S49" s="11"/>
      <c r="T49" s="11"/>
      <c r="U49" s="11"/>
      <c r="V49" s="11"/>
    </row>
    <row r="50" spans="2:22">
      <c r="B50" s="11"/>
      <c r="C50" s="1"/>
      <c r="D50" s="169"/>
      <c r="E50" s="169"/>
      <c r="F50" s="169"/>
      <c r="G50" s="169"/>
      <c r="H50" s="169"/>
      <c r="I50" s="169"/>
      <c r="J50" s="169"/>
      <c r="K50" s="169"/>
      <c r="L50" s="169"/>
      <c r="M50" s="169"/>
      <c r="N50" s="169"/>
      <c r="O50" s="11"/>
      <c r="P50" s="11"/>
      <c r="Q50" s="11"/>
      <c r="R50" s="11"/>
      <c r="S50" s="11"/>
      <c r="T50" s="11"/>
      <c r="U50" s="11"/>
      <c r="V50" s="11"/>
    </row>
    <row r="51" spans="2:22">
      <c r="B51" s="11"/>
      <c r="C51" s="1" t="s">
        <v>758</v>
      </c>
      <c r="D51" s="12">
        <v>11630</v>
      </c>
      <c r="E51" s="169"/>
      <c r="F51" s="12" t="s">
        <v>945</v>
      </c>
      <c r="G51" s="169"/>
      <c r="H51" s="169"/>
      <c r="I51" s="169"/>
      <c r="J51" s="169"/>
      <c r="K51" s="169"/>
      <c r="L51" s="169"/>
      <c r="M51" s="169"/>
      <c r="N51" s="169"/>
      <c r="O51" s="11"/>
      <c r="P51" s="11"/>
      <c r="Q51" s="11"/>
      <c r="R51" s="11"/>
      <c r="S51" s="11"/>
      <c r="T51" s="11"/>
      <c r="U51" s="11"/>
      <c r="V51" s="11"/>
    </row>
    <row r="52" spans="2:22">
      <c r="B52" s="11"/>
      <c r="C52" s="1"/>
      <c r="D52" s="12"/>
      <c r="E52" s="169"/>
      <c r="F52" s="169"/>
      <c r="G52" s="169"/>
      <c r="H52" s="169"/>
      <c r="I52" s="169"/>
      <c r="J52" s="169"/>
      <c r="K52" s="169"/>
      <c r="L52" s="169"/>
      <c r="M52" s="169"/>
      <c r="N52" s="169"/>
      <c r="O52" s="11"/>
      <c r="P52" s="11"/>
      <c r="Q52" s="11"/>
      <c r="R52" s="11"/>
      <c r="S52" s="11"/>
      <c r="T52" s="11"/>
      <c r="U52" s="11"/>
      <c r="V52" s="11"/>
    </row>
    <row r="53" spans="2:22">
      <c r="B53" s="11"/>
      <c r="C53" s="1"/>
      <c r="D53" s="12"/>
      <c r="E53" s="169"/>
      <c r="F53" s="169"/>
      <c r="G53" s="169"/>
      <c r="H53" s="169"/>
      <c r="I53" s="169"/>
      <c r="J53" s="169"/>
      <c r="K53" s="169"/>
      <c r="L53" s="169"/>
      <c r="M53" s="169"/>
      <c r="N53" s="169"/>
      <c r="O53" s="11"/>
      <c r="P53" s="11"/>
      <c r="Q53" s="11"/>
      <c r="R53" s="11"/>
      <c r="S53" s="11"/>
      <c r="T53" s="11"/>
      <c r="U53" s="11"/>
      <c r="V53" s="11"/>
    </row>
    <row r="54" spans="2:22">
      <c r="B54" s="11"/>
      <c r="C54" s="1" t="s">
        <v>927</v>
      </c>
      <c r="D54" s="12"/>
      <c r="E54" s="169"/>
      <c r="F54" s="169"/>
      <c r="G54" s="169"/>
      <c r="H54" s="169"/>
      <c r="I54" s="169"/>
      <c r="J54" s="169"/>
      <c r="K54" s="169"/>
      <c r="L54" s="169"/>
      <c r="M54" s="169"/>
      <c r="N54" s="169"/>
      <c r="O54" s="11"/>
      <c r="P54" s="11"/>
      <c r="Q54" s="11"/>
      <c r="R54" s="11"/>
      <c r="S54" s="11"/>
      <c r="T54" s="11"/>
      <c r="U54" s="11"/>
      <c r="V54" s="11"/>
    </row>
    <row r="55" spans="2:22">
      <c r="B55" s="11"/>
      <c r="C55" s="1"/>
      <c r="D55" s="12"/>
      <c r="E55" s="169"/>
      <c r="F55" s="169"/>
      <c r="G55" s="169"/>
      <c r="H55" s="169"/>
      <c r="I55" s="169"/>
      <c r="J55" s="169"/>
      <c r="K55" s="169"/>
      <c r="L55" s="169"/>
      <c r="M55" s="169"/>
      <c r="N55" s="169"/>
      <c r="O55" s="11"/>
      <c r="P55" s="11"/>
      <c r="Q55" s="11"/>
      <c r="R55" s="11"/>
      <c r="S55" s="11"/>
      <c r="T55" s="11"/>
      <c r="U55" s="11"/>
      <c r="V55" s="11"/>
    </row>
    <row r="56" spans="2:22">
      <c r="B56" s="11"/>
      <c r="C56" s="1" t="s">
        <v>752</v>
      </c>
      <c r="D56" s="289" t="s">
        <v>928</v>
      </c>
      <c r="E56" s="289" t="s">
        <v>929</v>
      </c>
      <c r="F56" s="289" t="s">
        <v>930</v>
      </c>
      <c r="G56" s="289" t="s">
        <v>931</v>
      </c>
      <c r="H56" s="289" t="s">
        <v>932</v>
      </c>
      <c r="I56" s="289" t="s">
        <v>631</v>
      </c>
      <c r="J56" s="169"/>
      <c r="K56" s="169"/>
      <c r="L56" s="169"/>
      <c r="M56" s="169"/>
      <c r="N56" s="169"/>
      <c r="O56" s="11"/>
      <c r="P56" s="11"/>
      <c r="Q56" s="11"/>
      <c r="R56" s="11"/>
      <c r="S56" s="11"/>
      <c r="T56" s="11"/>
      <c r="U56" s="11"/>
      <c r="V56" s="11"/>
    </row>
    <row r="57" spans="2:22">
      <c r="B57" s="11"/>
      <c r="C57" s="331" t="s">
        <v>754</v>
      </c>
      <c r="D57" s="289">
        <v>0</v>
      </c>
      <c r="E57" s="289">
        <v>274</v>
      </c>
      <c r="F57" s="289">
        <v>6</v>
      </c>
      <c r="G57" s="289">
        <v>56</v>
      </c>
      <c r="H57" s="289">
        <v>5</v>
      </c>
      <c r="I57" s="289">
        <v>341</v>
      </c>
      <c r="J57" s="169"/>
      <c r="K57" s="169"/>
      <c r="L57" s="169"/>
      <c r="M57" s="169"/>
      <c r="N57" s="169"/>
      <c r="O57" s="11"/>
      <c r="P57" s="11"/>
      <c r="Q57" s="11"/>
      <c r="R57" s="11"/>
      <c r="S57" s="11"/>
      <c r="T57" s="11"/>
      <c r="U57" s="11"/>
      <c r="V57" s="11"/>
    </row>
    <row r="58" spans="2:22">
      <c r="B58" s="11"/>
      <c r="C58" s="331" t="s">
        <v>653</v>
      </c>
      <c r="D58" s="289">
        <v>1</v>
      </c>
      <c r="E58" s="289">
        <v>185</v>
      </c>
      <c r="F58" s="289">
        <v>1506</v>
      </c>
      <c r="G58" s="289">
        <v>569</v>
      </c>
      <c r="H58" s="289">
        <v>110</v>
      </c>
      <c r="I58" s="289">
        <v>2372</v>
      </c>
      <c r="J58" s="169"/>
      <c r="K58" s="169"/>
      <c r="L58" s="169"/>
      <c r="M58" s="169"/>
      <c r="N58" s="169"/>
      <c r="O58" s="11"/>
      <c r="P58" s="11"/>
      <c r="Q58" s="11"/>
      <c r="R58" s="11"/>
      <c r="S58" s="11"/>
      <c r="T58" s="11"/>
      <c r="U58" s="11"/>
      <c r="V58" s="11"/>
    </row>
    <row r="59" spans="2:22">
      <c r="B59" s="11"/>
      <c r="C59" s="331" t="s">
        <v>755</v>
      </c>
      <c r="D59" s="289">
        <v>0</v>
      </c>
      <c r="E59" s="289">
        <v>25</v>
      </c>
      <c r="F59" s="289">
        <v>181</v>
      </c>
      <c r="G59" s="289">
        <v>586</v>
      </c>
      <c r="H59" s="289">
        <v>16</v>
      </c>
      <c r="I59" s="289">
        <v>808</v>
      </c>
      <c r="J59" s="169"/>
      <c r="K59" s="169"/>
      <c r="L59" s="169"/>
      <c r="M59" s="169"/>
      <c r="N59" s="169"/>
      <c r="O59" s="11"/>
      <c r="P59" s="11"/>
      <c r="Q59" s="11"/>
      <c r="R59" s="11"/>
      <c r="S59" s="11"/>
      <c r="T59" s="11"/>
      <c r="U59" s="11"/>
      <c r="V59" s="11"/>
    </row>
    <row r="60" spans="2:22">
      <c r="B60" s="11"/>
      <c r="C60" s="331" t="s">
        <v>756</v>
      </c>
      <c r="D60" s="289">
        <v>0</v>
      </c>
      <c r="E60" s="289">
        <v>151</v>
      </c>
      <c r="F60" s="289">
        <v>214</v>
      </c>
      <c r="G60" s="289">
        <v>645</v>
      </c>
      <c r="H60" s="289">
        <v>149</v>
      </c>
      <c r="I60" s="289">
        <v>1159</v>
      </c>
      <c r="J60" s="169"/>
      <c r="K60" s="169"/>
      <c r="L60" s="169"/>
      <c r="M60" s="169"/>
      <c r="N60" s="169"/>
      <c r="O60" s="11"/>
      <c r="P60" s="11"/>
      <c r="Q60" s="11"/>
      <c r="R60" s="11"/>
      <c r="S60" s="11"/>
      <c r="T60" s="11"/>
      <c r="U60" s="11"/>
      <c r="V60" s="11"/>
    </row>
    <row r="61" spans="2:22">
      <c r="B61" s="11"/>
      <c r="C61" s="331" t="s">
        <v>757</v>
      </c>
      <c r="D61" s="289">
        <v>0</v>
      </c>
      <c r="E61" s="289">
        <v>2478</v>
      </c>
      <c r="F61" s="289">
        <v>16</v>
      </c>
      <c r="G61" s="289">
        <v>117</v>
      </c>
      <c r="H61" s="289">
        <v>136</v>
      </c>
      <c r="I61" s="289">
        <v>2748</v>
      </c>
      <c r="J61" s="169"/>
      <c r="K61" s="169"/>
      <c r="L61" s="169"/>
      <c r="M61" s="169"/>
      <c r="N61" s="169"/>
      <c r="O61" s="11"/>
      <c r="P61" s="11"/>
      <c r="Q61" s="11"/>
      <c r="R61" s="11"/>
      <c r="S61" s="11"/>
      <c r="T61" s="11"/>
      <c r="U61" s="11"/>
      <c r="V61" s="11"/>
    </row>
    <row r="62" spans="2:22">
      <c r="B62" s="11"/>
      <c r="C62" s="331" t="s">
        <v>602</v>
      </c>
      <c r="D62" s="289">
        <v>1</v>
      </c>
      <c r="E62" s="289">
        <v>3114</v>
      </c>
      <c r="F62" s="289">
        <v>1923</v>
      </c>
      <c r="G62" s="289">
        <v>1973</v>
      </c>
      <c r="H62" s="289">
        <v>416</v>
      </c>
      <c r="I62" s="289">
        <v>7427</v>
      </c>
      <c r="J62" s="169"/>
      <c r="K62" s="169"/>
      <c r="L62" s="169"/>
      <c r="M62" s="169"/>
      <c r="N62" s="169"/>
      <c r="O62" s="11"/>
      <c r="P62" s="11"/>
      <c r="Q62" s="11"/>
      <c r="R62" s="11"/>
      <c r="S62" s="11"/>
      <c r="T62" s="11"/>
      <c r="U62" s="11"/>
      <c r="V62" s="11"/>
    </row>
    <row r="63" spans="2:22">
      <c r="B63" s="11"/>
      <c r="C63" s="510"/>
      <c r="D63" s="510"/>
      <c r="E63" s="510"/>
      <c r="F63" s="510"/>
      <c r="G63" s="510"/>
      <c r="H63" s="510"/>
      <c r="I63" s="510"/>
      <c r="J63" s="169"/>
      <c r="K63" s="169"/>
      <c r="L63" s="169"/>
      <c r="M63" s="169"/>
      <c r="N63" s="169"/>
      <c r="O63" s="11"/>
      <c r="P63" s="11"/>
      <c r="Q63" s="11"/>
      <c r="R63" s="11"/>
      <c r="S63" s="11"/>
      <c r="T63" s="11"/>
      <c r="U63" s="11"/>
      <c r="V63" s="11"/>
    </row>
    <row r="64" spans="2:22">
      <c r="B64" s="11"/>
      <c r="C64" s="1" t="s">
        <v>933</v>
      </c>
      <c r="D64" s="510"/>
      <c r="E64" s="510"/>
      <c r="F64" s="510"/>
      <c r="G64" s="510"/>
      <c r="H64" s="510"/>
      <c r="I64" s="510"/>
      <c r="J64" s="169"/>
      <c r="K64" s="169"/>
      <c r="L64" s="169"/>
      <c r="M64" s="169"/>
      <c r="N64" s="169"/>
      <c r="O64" s="11"/>
      <c r="P64" s="11"/>
      <c r="Q64" s="11"/>
      <c r="R64" s="11"/>
      <c r="S64" s="11"/>
      <c r="T64" s="11"/>
      <c r="U64" s="11"/>
      <c r="V64" s="11"/>
    </row>
    <row r="65" spans="2:22">
      <c r="B65" s="11"/>
      <c r="C65" s="510"/>
      <c r="D65" s="510"/>
      <c r="E65" s="510"/>
      <c r="F65" s="510"/>
      <c r="G65" s="510"/>
      <c r="H65" s="510"/>
      <c r="I65" s="510"/>
      <c r="J65" s="169"/>
      <c r="K65" s="169"/>
      <c r="L65" s="169"/>
      <c r="M65" s="169"/>
      <c r="N65" s="169"/>
      <c r="O65" s="11"/>
      <c r="P65" s="11"/>
      <c r="Q65" s="11"/>
      <c r="R65" s="11"/>
      <c r="S65" s="11"/>
      <c r="T65" s="11"/>
      <c r="U65" s="11"/>
      <c r="V65" s="11"/>
    </row>
    <row r="66" spans="2:22">
      <c r="B66" s="11"/>
      <c r="C66" s="1" t="s">
        <v>752</v>
      </c>
      <c r="D66" s="289" t="s">
        <v>928</v>
      </c>
      <c r="E66" s="289" t="s">
        <v>929</v>
      </c>
      <c r="F66" s="289" t="s">
        <v>930</v>
      </c>
      <c r="G66" s="289" t="s">
        <v>931</v>
      </c>
      <c r="H66" s="289" t="s">
        <v>932</v>
      </c>
      <c r="I66" s="289" t="s">
        <v>631</v>
      </c>
      <c r="J66" s="169"/>
      <c r="K66" s="169"/>
      <c r="L66" s="169"/>
      <c r="M66" s="169"/>
      <c r="N66" s="169"/>
      <c r="O66" s="11"/>
      <c r="P66" s="11"/>
      <c r="Q66" s="11"/>
      <c r="R66" s="11"/>
      <c r="S66" s="11"/>
      <c r="T66" s="11"/>
      <c r="U66" s="11"/>
      <c r="V66" s="11"/>
    </row>
    <row r="67" spans="2:22">
      <c r="B67" s="11"/>
      <c r="C67" s="331" t="s">
        <v>754</v>
      </c>
      <c r="D67" s="289"/>
      <c r="E67" s="289"/>
      <c r="F67" s="289"/>
      <c r="G67" s="289"/>
      <c r="H67" s="289"/>
      <c r="I67" s="289"/>
      <c r="J67" s="169"/>
      <c r="K67" s="169"/>
      <c r="L67" s="169"/>
      <c r="M67" s="169"/>
      <c r="N67" s="169"/>
      <c r="O67" s="11"/>
      <c r="P67" s="11"/>
      <c r="Q67" s="11"/>
      <c r="R67" s="11"/>
      <c r="S67" s="11"/>
      <c r="T67" s="11"/>
      <c r="U67" s="11"/>
      <c r="V67" s="11"/>
    </row>
    <row r="68" spans="2:22">
      <c r="B68" s="11"/>
      <c r="C68" s="331" t="s">
        <v>653</v>
      </c>
      <c r="D68" s="289"/>
      <c r="E68" s="289"/>
      <c r="F68" s="289"/>
      <c r="G68" s="289"/>
      <c r="H68" s="289"/>
      <c r="I68" s="289"/>
      <c r="J68" s="169"/>
      <c r="K68" s="169"/>
      <c r="L68" s="169"/>
      <c r="M68" s="169"/>
      <c r="N68" s="169"/>
      <c r="O68" s="11"/>
      <c r="P68" s="11"/>
      <c r="Q68" s="11"/>
      <c r="R68" s="11"/>
      <c r="S68" s="11"/>
      <c r="T68" s="11"/>
      <c r="U68" s="11"/>
      <c r="V68" s="11"/>
    </row>
    <row r="69" spans="2:22">
      <c r="B69" s="11"/>
      <c r="C69" s="331" t="s">
        <v>755</v>
      </c>
      <c r="D69" s="289"/>
      <c r="E69" s="289"/>
      <c r="F69" s="289"/>
      <c r="G69" s="289"/>
      <c r="H69" s="289"/>
      <c r="I69" s="289"/>
      <c r="J69" s="169"/>
      <c r="K69" s="169"/>
      <c r="L69" s="169"/>
      <c r="M69" s="169"/>
      <c r="N69" s="169"/>
      <c r="O69" s="11"/>
      <c r="P69" s="11"/>
      <c r="Q69" s="11"/>
      <c r="R69" s="11"/>
      <c r="S69" s="11"/>
      <c r="T69" s="11"/>
      <c r="U69" s="11"/>
      <c r="V69" s="11"/>
    </row>
    <row r="70" spans="2:22">
      <c r="B70" s="11"/>
      <c r="C70" s="331" t="s">
        <v>756</v>
      </c>
      <c r="D70" s="289"/>
      <c r="E70" s="289"/>
      <c r="F70" s="289"/>
      <c r="G70" s="289"/>
      <c r="H70" s="289"/>
      <c r="I70" s="289"/>
      <c r="J70" s="169"/>
      <c r="K70" s="169"/>
      <c r="L70" s="169"/>
      <c r="M70" s="169"/>
      <c r="N70" s="169"/>
      <c r="O70" s="11"/>
      <c r="P70" s="11"/>
      <c r="Q70" s="11"/>
      <c r="R70" s="11"/>
      <c r="S70" s="11"/>
      <c r="T70" s="11"/>
      <c r="U70" s="11"/>
      <c r="V70" s="11"/>
    </row>
    <row r="71" spans="2:22">
      <c r="B71" s="11"/>
      <c r="C71" s="331" t="s">
        <v>757</v>
      </c>
      <c r="D71" s="289"/>
      <c r="E71" s="289"/>
      <c r="F71" s="289"/>
      <c r="G71" s="289"/>
      <c r="H71" s="289"/>
      <c r="I71" s="289"/>
      <c r="J71" s="169"/>
      <c r="K71" s="169"/>
      <c r="L71" s="169"/>
      <c r="M71" s="169"/>
      <c r="N71" s="169"/>
      <c r="O71" s="11"/>
      <c r="P71" s="11"/>
      <c r="Q71" s="11"/>
      <c r="R71" s="11"/>
      <c r="S71" s="11"/>
      <c r="T71" s="11"/>
      <c r="U71" s="11"/>
      <c r="V71" s="11"/>
    </row>
    <row r="72" spans="2:22">
      <c r="B72" s="11"/>
      <c r="C72" s="331" t="s">
        <v>602</v>
      </c>
      <c r="D72" s="289"/>
      <c r="E72" s="289"/>
      <c r="F72" s="289"/>
      <c r="G72" s="289"/>
      <c r="H72" s="289"/>
      <c r="I72" s="289"/>
      <c r="J72" s="169"/>
      <c r="K72" s="169"/>
      <c r="L72" s="169"/>
      <c r="M72" s="169"/>
      <c r="N72" s="169"/>
      <c r="O72" s="11"/>
      <c r="P72" s="11"/>
      <c r="Q72" s="11"/>
      <c r="R72" s="11"/>
      <c r="S72" s="11"/>
      <c r="T72" s="11"/>
      <c r="U72" s="11"/>
      <c r="V72" s="11"/>
    </row>
    <row r="73" spans="2:22">
      <c r="B73" s="11"/>
      <c r="C73" s="510"/>
      <c r="D73" s="510"/>
      <c r="E73" s="510"/>
      <c r="F73" s="510"/>
      <c r="G73" s="510"/>
      <c r="H73" s="510"/>
      <c r="I73" s="510"/>
      <c r="J73" s="169"/>
      <c r="K73" s="169"/>
      <c r="L73" s="169"/>
      <c r="M73" s="169"/>
      <c r="N73" s="169"/>
      <c r="O73" s="11"/>
      <c r="P73" s="11"/>
      <c r="Q73" s="11"/>
      <c r="R73" s="11"/>
      <c r="S73" s="11"/>
      <c r="T73" s="11"/>
      <c r="U73" s="11"/>
      <c r="V73" s="11"/>
    </row>
    <row r="74" spans="2:22">
      <c r="B74" s="11"/>
      <c r="C74" s="510"/>
      <c r="D74" s="510"/>
      <c r="E74" s="510"/>
      <c r="F74" s="510"/>
      <c r="G74" s="510"/>
      <c r="H74" s="510"/>
      <c r="I74" s="510"/>
      <c r="J74" s="169"/>
      <c r="K74" s="169"/>
      <c r="L74" s="169"/>
      <c r="M74" s="169"/>
      <c r="N74" s="169"/>
      <c r="O74" s="11"/>
      <c r="P74" s="11"/>
      <c r="Q74" s="11"/>
      <c r="R74" s="11"/>
      <c r="S74" s="11"/>
      <c r="T74" s="11"/>
      <c r="U74" s="11"/>
      <c r="V74" s="11"/>
    </row>
    <row r="75" spans="2:22">
      <c r="B75" s="11"/>
      <c r="D75" s="678" t="s">
        <v>937</v>
      </c>
      <c r="E75" s="679"/>
      <c r="F75" s="679"/>
      <c r="G75" s="680"/>
      <c r="H75" s="289" t="s">
        <v>939</v>
      </c>
      <c r="J75" s="169"/>
      <c r="K75" s="169"/>
      <c r="L75" s="169"/>
      <c r="M75" s="169"/>
      <c r="N75" s="169"/>
      <c r="O75" s="11"/>
      <c r="P75" s="11"/>
      <c r="Q75" s="11"/>
      <c r="R75" s="11"/>
      <c r="S75" s="11"/>
      <c r="T75" s="11"/>
      <c r="U75" s="11"/>
      <c r="V75" s="11"/>
    </row>
    <row r="76" spans="2:22">
      <c r="B76" s="11"/>
      <c r="C76" s="289" t="s">
        <v>934</v>
      </c>
      <c r="D76" s="289" t="s">
        <v>724</v>
      </c>
      <c r="E76" s="289" t="s">
        <v>727</v>
      </c>
      <c r="F76" s="289" t="s">
        <v>935</v>
      </c>
      <c r="G76" s="289" t="s">
        <v>936</v>
      </c>
      <c r="H76" s="289"/>
      <c r="I76" s="510" t="s">
        <v>655</v>
      </c>
      <c r="J76" s="169"/>
      <c r="K76" s="169"/>
      <c r="L76" s="169"/>
      <c r="M76" s="169"/>
      <c r="N76" s="169"/>
      <c r="O76" s="11"/>
      <c r="P76" s="11"/>
      <c r="Q76" s="11"/>
      <c r="R76" s="11"/>
      <c r="S76" s="11"/>
      <c r="T76" s="11"/>
      <c r="U76" s="11"/>
      <c r="V76" s="11"/>
    </row>
    <row r="77" spans="2:22">
      <c r="B77" s="11"/>
      <c r="C77" s="289" t="s">
        <v>928</v>
      </c>
      <c r="D77" s="289">
        <v>96100</v>
      </c>
      <c r="E77" s="289">
        <v>1</v>
      </c>
      <c r="F77" s="289">
        <v>1.5</v>
      </c>
      <c r="G77" s="289">
        <f>D77*M_Factores!$D$315+'M_Cálculos propios'!E77*M_Factores!$D$316+'M_Cálculos propios'!F77*M_Factores!$D$317</f>
        <v>96525.5</v>
      </c>
      <c r="H77" s="289"/>
      <c r="I77" t="s">
        <v>943</v>
      </c>
      <c r="J77" s="169"/>
      <c r="K77" s="169"/>
      <c r="L77" s="169"/>
      <c r="M77" s="169"/>
      <c r="N77" s="169"/>
      <c r="O77" s="11"/>
      <c r="P77" s="11"/>
      <c r="Q77" s="11"/>
      <c r="R77" s="11"/>
      <c r="S77" s="11"/>
      <c r="T77" s="11"/>
      <c r="U77" s="11"/>
      <c r="V77" s="11"/>
    </row>
    <row r="78" spans="2:22" ht="41.4">
      <c r="B78" s="11"/>
      <c r="C78" s="289" t="s">
        <v>929</v>
      </c>
      <c r="D78" s="289">
        <v>77400</v>
      </c>
      <c r="E78" s="289">
        <v>3</v>
      </c>
      <c r="F78" s="289">
        <v>0.6</v>
      </c>
      <c r="G78" s="289">
        <f>D78*M_Factores!$D$315+'M_Cálculos propios'!E78*M_Factores!$D$316+'M_Cálculos propios'!F78*M_Factores!$D$317</f>
        <v>77643</v>
      </c>
      <c r="H78" s="289"/>
      <c r="I78" s="513" t="s">
        <v>943</v>
      </c>
      <c r="J78" s="169"/>
      <c r="K78" s="169"/>
      <c r="L78" s="169"/>
      <c r="M78" s="169"/>
      <c r="N78" s="169"/>
      <c r="O78" s="11"/>
      <c r="P78" s="11"/>
      <c r="Q78" s="11"/>
      <c r="R78" s="11"/>
      <c r="S78" s="11"/>
      <c r="T78" s="11"/>
      <c r="U78" s="11"/>
      <c r="V78" s="11"/>
    </row>
    <row r="79" spans="2:22">
      <c r="B79" s="11"/>
      <c r="C79" s="289" t="s">
        <v>930</v>
      </c>
      <c r="D79" s="289">
        <v>56292.878508872316</v>
      </c>
      <c r="E79" s="289">
        <v>1</v>
      </c>
      <c r="F79" s="289">
        <v>0.1</v>
      </c>
      <c r="G79" s="289">
        <f>D79*M_Factores!$D$315+'M_Cálculos propios'!E79*M_Factores!$D$316+'M_Cálculos propios'!F79*M_Factores!$D$317</f>
        <v>56347.378508872316</v>
      </c>
      <c r="H79" s="289"/>
      <c r="I79" s="510" t="s">
        <v>942</v>
      </c>
      <c r="J79" s="169"/>
      <c r="K79" s="169"/>
      <c r="L79" s="169"/>
      <c r="M79" s="169"/>
      <c r="N79" s="169"/>
      <c r="O79" s="11"/>
      <c r="P79" s="11"/>
      <c r="Q79" s="11"/>
      <c r="R79" s="11"/>
      <c r="S79" s="11"/>
      <c r="T79" s="11"/>
      <c r="U79" s="11"/>
      <c r="V79" s="11"/>
    </row>
    <row r="80" spans="2:22">
      <c r="B80" s="11"/>
      <c r="C80" s="289" t="s">
        <v>931</v>
      </c>
      <c r="D80" s="289"/>
      <c r="E80" s="289"/>
      <c r="F80" s="289"/>
      <c r="G80" s="289"/>
      <c r="H80" s="289">
        <v>118</v>
      </c>
      <c r="I80" s="510" t="s">
        <v>944</v>
      </c>
      <c r="J80" s="169"/>
      <c r="K80" s="169"/>
      <c r="L80" s="169"/>
      <c r="M80" s="169"/>
      <c r="N80" s="169"/>
      <c r="O80" s="11"/>
      <c r="P80" s="11"/>
      <c r="Q80" s="11"/>
      <c r="R80" s="11"/>
      <c r="S80" s="11"/>
      <c r="T80" s="11"/>
      <c r="U80" s="11"/>
      <c r="V80" s="11"/>
    </row>
    <row r="81" spans="2:22">
      <c r="B81" s="11"/>
      <c r="C81" s="289" t="s">
        <v>932</v>
      </c>
      <c r="D81" s="289"/>
      <c r="E81" s="289"/>
      <c r="F81" s="289"/>
      <c r="G81" s="289"/>
      <c r="H81" s="289">
        <v>0</v>
      </c>
      <c r="I81" s="510"/>
      <c r="J81" s="169"/>
      <c r="K81" s="169"/>
      <c r="L81" s="169"/>
      <c r="M81" s="169"/>
      <c r="N81" s="169"/>
      <c r="O81" s="11"/>
      <c r="P81" s="11"/>
      <c r="Q81" s="11"/>
      <c r="R81" s="11"/>
      <c r="S81" s="11"/>
      <c r="T81" s="11"/>
      <c r="U81" s="11"/>
      <c r="V81" s="11"/>
    </row>
    <row r="82" spans="2:22">
      <c r="B82" s="11"/>
      <c r="C82" s="510"/>
      <c r="D82" s="510"/>
      <c r="E82" s="510"/>
      <c r="F82" s="510"/>
      <c r="G82" s="510"/>
      <c r="H82" s="510"/>
      <c r="I82" s="510"/>
      <c r="J82" s="169"/>
      <c r="K82" s="169"/>
      <c r="L82" s="169"/>
      <c r="M82" s="169"/>
      <c r="N82" s="169"/>
      <c r="O82" s="11"/>
      <c r="P82" s="11"/>
      <c r="Q82" s="11"/>
      <c r="R82" s="11"/>
      <c r="S82" s="11"/>
      <c r="T82" s="11"/>
      <c r="U82" s="11"/>
      <c r="V82" s="11"/>
    </row>
    <row r="83" spans="2:22">
      <c r="B83" s="11"/>
      <c r="C83" s="510"/>
      <c r="D83" s="510"/>
      <c r="E83" s="510"/>
      <c r="F83" s="510"/>
      <c r="G83" s="510"/>
      <c r="H83" s="510"/>
      <c r="I83" s="510"/>
      <c r="J83" s="169"/>
      <c r="K83" s="169"/>
      <c r="L83" s="169"/>
      <c r="M83" s="169"/>
      <c r="N83" s="169"/>
      <c r="O83" s="11"/>
      <c r="P83" s="11"/>
      <c r="Q83" s="11"/>
      <c r="R83" s="11"/>
      <c r="S83" s="11"/>
      <c r="T83" s="11"/>
      <c r="U83" s="11"/>
      <c r="V83" s="11"/>
    </row>
    <row r="84" spans="2:22">
      <c r="B84" s="11"/>
      <c r="C84" s="1" t="s">
        <v>941</v>
      </c>
      <c r="D84" s="12">
        <v>4.1868000000000002E-2</v>
      </c>
      <c r="E84" s="12" t="s">
        <v>938</v>
      </c>
      <c r="F84" s="12" t="s">
        <v>945</v>
      </c>
      <c r="G84" s="169"/>
      <c r="H84" s="169"/>
      <c r="I84" s="169"/>
      <c r="J84" s="169"/>
      <c r="K84" s="169"/>
      <c r="L84" s="169"/>
      <c r="M84" s="169"/>
      <c r="N84" s="169"/>
      <c r="O84" s="11"/>
      <c r="P84" s="11"/>
      <c r="Q84" s="11"/>
      <c r="R84" s="11"/>
      <c r="S84" s="11"/>
      <c r="T84" s="11"/>
      <c r="U84" s="11"/>
      <c r="V84" s="11"/>
    </row>
    <row r="85" spans="2:22">
      <c r="B85" s="11"/>
      <c r="C85" s="1"/>
      <c r="D85" s="12"/>
      <c r="E85" s="169"/>
      <c r="F85" s="169"/>
      <c r="G85" s="169"/>
      <c r="H85" s="169"/>
      <c r="I85" s="169"/>
      <c r="J85" s="169"/>
      <c r="K85" s="169"/>
      <c r="L85" s="169"/>
      <c r="M85" s="169"/>
      <c r="N85" s="169"/>
      <c r="O85" s="11"/>
      <c r="P85" s="11"/>
      <c r="Q85" s="11"/>
      <c r="R85" s="11"/>
      <c r="S85" s="11"/>
      <c r="T85" s="11"/>
      <c r="U85" s="11"/>
      <c r="V85" s="11"/>
    </row>
    <row r="86" spans="2:22">
      <c r="B86" s="11"/>
      <c r="C86" s="510"/>
      <c r="D86" s="510"/>
      <c r="E86" s="510"/>
      <c r="F86" s="510"/>
      <c r="G86" s="510"/>
      <c r="H86" s="510"/>
      <c r="I86" s="510"/>
      <c r="J86" s="169"/>
      <c r="K86" s="169"/>
      <c r="L86" s="169"/>
      <c r="M86" s="169"/>
      <c r="N86" s="169"/>
      <c r="O86" s="11"/>
      <c r="P86" s="11"/>
      <c r="Q86" s="11"/>
      <c r="R86" s="11"/>
      <c r="S86" s="11"/>
      <c r="T86" s="11"/>
      <c r="U86" s="11"/>
      <c r="V86" s="11"/>
    </row>
    <row r="87" spans="2:22">
      <c r="B87" s="11"/>
      <c r="C87" s="1" t="s">
        <v>940</v>
      </c>
      <c r="D87" s="289" t="s">
        <v>928</v>
      </c>
      <c r="E87" s="289" t="s">
        <v>929</v>
      </c>
      <c r="F87" s="289" t="s">
        <v>930</v>
      </c>
      <c r="G87" s="289" t="s">
        <v>931</v>
      </c>
      <c r="H87" s="289" t="s">
        <v>932</v>
      </c>
      <c r="I87" s="315" t="s">
        <v>631</v>
      </c>
      <c r="J87" s="169"/>
      <c r="K87" s="169"/>
      <c r="L87" s="169"/>
      <c r="M87" s="169"/>
      <c r="N87" s="169"/>
      <c r="O87" s="11"/>
      <c r="P87" s="11"/>
      <c r="Q87" s="11"/>
      <c r="R87" s="11"/>
      <c r="S87" s="11"/>
      <c r="T87" s="11"/>
      <c r="U87" s="11"/>
      <c r="V87" s="11"/>
    </row>
    <row r="88" spans="2:22">
      <c r="B88" s="11"/>
      <c r="C88" s="514" t="s">
        <v>754</v>
      </c>
      <c r="D88" s="289">
        <f>D57*$G$77*$D$84*1000</f>
        <v>0</v>
      </c>
      <c r="E88" s="289">
        <f>E57*$G$78*$D$84*1000</f>
        <v>890707451.97600007</v>
      </c>
      <c r="F88" s="289">
        <f>F57*$G$79*$D$84*1000</f>
        <v>14154912.260456797</v>
      </c>
      <c r="G88" s="289">
        <f>G57*1000*$H$80*$D$51/1000</f>
        <v>76851040</v>
      </c>
      <c r="H88" s="289">
        <v>0</v>
      </c>
      <c r="I88" s="315">
        <f>SUM(D88:H88)</f>
        <v>981713404.23645687</v>
      </c>
      <c r="J88" s="169"/>
      <c r="K88" s="169"/>
      <c r="L88" s="169"/>
      <c r="M88" s="169"/>
      <c r="N88" s="169"/>
      <c r="O88" s="11"/>
      <c r="P88" s="11"/>
      <c r="Q88" s="11"/>
      <c r="R88" s="11"/>
      <c r="S88" s="11"/>
      <c r="T88" s="11"/>
      <c r="U88" s="11"/>
      <c r="V88" s="11"/>
    </row>
    <row r="89" spans="2:22">
      <c r="B89" s="11"/>
      <c r="C89" s="514" t="s">
        <v>653</v>
      </c>
      <c r="D89" s="289">
        <f t="shared" ref="D89:D92" si="2">D58*$G$77*$D$84*1000</f>
        <v>4041329.6340000001</v>
      </c>
      <c r="E89" s="289">
        <f t="shared" ref="E89:E92" si="3">E58*$G$78*$D$84*1000</f>
        <v>601390067.93999994</v>
      </c>
      <c r="F89" s="289">
        <f t="shared" ref="F89:F92" si="4">F58*$G$79*$D$84*1000</f>
        <v>3552882977.3746562</v>
      </c>
      <c r="G89" s="289">
        <f t="shared" ref="G89:G91" si="5">G58*1000*$H$80*$D$51/1000</f>
        <v>780861460</v>
      </c>
      <c r="H89" s="289">
        <v>0</v>
      </c>
      <c r="I89" s="315">
        <f t="shared" ref="I89:I92" si="6">SUM(D89:H89)</f>
        <v>4939175834.9486561</v>
      </c>
      <c r="J89" s="169"/>
      <c r="K89" s="169"/>
      <c r="L89" s="169"/>
      <c r="M89" s="169"/>
      <c r="N89" s="169"/>
      <c r="O89" s="11"/>
      <c r="P89" s="11"/>
      <c r="Q89" s="11"/>
      <c r="R89" s="11"/>
      <c r="S89" s="11"/>
      <c r="T89" s="11"/>
      <c r="U89" s="11"/>
      <c r="V89" s="11"/>
    </row>
    <row r="90" spans="2:22">
      <c r="B90" s="11"/>
      <c r="C90" s="514" t="s">
        <v>755</v>
      </c>
      <c r="D90" s="289">
        <f t="shared" si="2"/>
        <v>0</v>
      </c>
      <c r="E90" s="289">
        <f t="shared" si="3"/>
        <v>81268928.100000009</v>
      </c>
      <c r="F90" s="289">
        <f t="shared" si="4"/>
        <v>427006519.85711342</v>
      </c>
      <c r="G90" s="289">
        <f t="shared" si="5"/>
        <v>804191240</v>
      </c>
      <c r="H90" s="289">
        <v>0</v>
      </c>
      <c r="I90" s="315">
        <f t="shared" si="6"/>
        <v>1312466687.9571135</v>
      </c>
      <c r="J90" s="169"/>
      <c r="K90" s="169"/>
      <c r="L90" s="169"/>
      <c r="M90" s="169"/>
      <c r="N90" s="169"/>
      <c r="O90" s="11"/>
      <c r="P90" s="11"/>
      <c r="Q90" s="11"/>
      <c r="R90" s="11"/>
      <c r="S90" s="11"/>
      <c r="T90" s="11"/>
      <c r="U90" s="11"/>
      <c r="V90" s="11"/>
    </row>
    <row r="91" spans="2:22">
      <c r="B91" s="11"/>
      <c r="C91" s="514" t="s">
        <v>756</v>
      </c>
      <c r="D91" s="289">
        <f t="shared" si="2"/>
        <v>0</v>
      </c>
      <c r="E91" s="289">
        <f t="shared" si="3"/>
        <v>490864325.72400004</v>
      </c>
      <c r="F91" s="289">
        <f t="shared" si="4"/>
        <v>504858537.28962576</v>
      </c>
      <c r="G91" s="289">
        <f t="shared" si="5"/>
        <v>885159300</v>
      </c>
      <c r="H91" s="289">
        <v>0</v>
      </c>
      <c r="I91" s="315">
        <f t="shared" si="6"/>
        <v>1880882163.0136259</v>
      </c>
      <c r="J91" s="169"/>
      <c r="K91" s="169"/>
      <c r="L91" s="169"/>
      <c r="M91" s="169"/>
      <c r="N91" s="169"/>
      <c r="O91" s="11"/>
      <c r="P91" s="11"/>
      <c r="Q91" s="11"/>
      <c r="R91" s="11"/>
      <c r="S91" s="11"/>
      <c r="T91" s="11"/>
      <c r="U91" s="11"/>
      <c r="V91" s="11"/>
    </row>
    <row r="92" spans="2:22">
      <c r="B92" s="11"/>
      <c r="C92" s="514" t="s">
        <v>757</v>
      </c>
      <c r="D92" s="289">
        <f t="shared" si="2"/>
        <v>0</v>
      </c>
      <c r="E92" s="289">
        <f t="shared" si="3"/>
        <v>8055376153.2720003</v>
      </c>
      <c r="F92" s="289">
        <f t="shared" si="4"/>
        <v>37746432.69455146</v>
      </c>
      <c r="G92" s="289">
        <f>G61*1000*$H$80*$D$51/1000</f>
        <v>160563780</v>
      </c>
      <c r="H92" s="289">
        <v>0</v>
      </c>
      <c r="I92" s="315">
        <f t="shared" si="6"/>
        <v>8253686365.9665518</v>
      </c>
      <c r="J92" s="169"/>
      <c r="K92" s="169"/>
      <c r="L92" s="169"/>
      <c r="M92" s="169"/>
      <c r="N92" s="169"/>
      <c r="O92" s="11"/>
      <c r="P92" s="11"/>
      <c r="Q92" s="11"/>
      <c r="R92" s="11"/>
      <c r="S92" s="11"/>
      <c r="T92" s="11"/>
      <c r="U92" s="11"/>
      <c r="V92" s="11"/>
    </row>
    <row r="93" spans="2:22">
      <c r="B93" s="11"/>
      <c r="C93" s="331" t="s">
        <v>602</v>
      </c>
      <c r="D93" s="289"/>
      <c r="E93" s="289"/>
      <c r="F93" s="289"/>
      <c r="G93" s="289"/>
      <c r="H93" s="289"/>
      <c r="I93" s="289"/>
      <c r="J93" s="169"/>
      <c r="K93" s="169"/>
      <c r="L93" s="169"/>
      <c r="M93" s="169"/>
      <c r="N93" s="169"/>
      <c r="O93" s="11"/>
      <c r="P93" s="11"/>
      <c r="Q93" s="11"/>
      <c r="R93" s="11"/>
      <c r="S93" s="11"/>
      <c r="T93" s="11"/>
      <c r="U93" s="11"/>
      <c r="V93" s="11"/>
    </row>
    <row r="94" spans="2:22">
      <c r="B94" s="11"/>
      <c r="C94" s="1"/>
      <c r="D94" s="169"/>
      <c r="E94" s="169"/>
      <c r="F94" s="169"/>
      <c r="G94" s="169"/>
      <c r="H94" s="169"/>
      <c r="I94" s="169"/>
      <c r="J94" s="169"/>
      <c r="K94" s="169"/>
      <c r="L94" s="169"/>
      <c r="M94" s="169"/>
      <c r="N94" s="169"/>
      <c r="O94" s="11"/>
      <c r="P94" s="11"/>
      <c r="Q94" s="11"/>
      <c r="R94" s="11"/>
      <c r="S94" s="11"/>
      <c r="T94" s="11"/>
      <c r="U94" s="11"/>
      <c r="V94" s="11"/>
    </row>
    <row r="95" spans="2:22">
      <c r="B95" s="11"/>
      <c r="C95" s="81" t="s">
        <v>946</v>
      </c>
      <c r="D95" s="169"/>
      <c r="E95" s="169"/>
      <c r="F95" s="169"/>
      <c r="G95" s="169"/>
      <c r="H95" s="169"/>
      <c r="I95" s="169"/>
      <c r="J95" s="169"/>
      <c r="K95" s="169"/>
      <c r="L95" s="169"/>
      <c r="M95" s="169"/>
      <c r="N95" s="169"/>
      <c r="O95" s="11"/>
      <c r="P95" s="11"/>
      <c r="Q95" s="11"/>
      <c r="R95" s="11"/>
      <c r="S95" s="11"/>
      <c r="T95" s="11"/>
      <c r="U95" s="11"/>
      <c r="V95" s="11"/>
    </row>
    <row r="96" spans="2:22">
      <c r="B96" s="11"/>
      <c r="C96" s="169"/>
      <c r="D96" s="169"/>
      <c r="E96" s="169"/>
      <c r="F96" s="169"/>
      <c r="G96" s="169"/>
      <c r="H96" s="169"/>
      <c r="I96" s="169"/>
      <c r="J96" s="169"/>
      <c r="K96" s="169"/>
      <c r="L96" s="169"/>
      <c r="M96" s="169"/>
      <c r="N96" s="169"/>
      <c r="O96" s="11"/>
      <c r="P96" s="11"/>
      <c r="Q96" s="11"/>
      <c r="R96" s="11"/>
      <c r="S96" s="11"/>
      <c r="T96" s="11"/>
      <c r="U96" s="11"/>
      <c r="V96" s="11"/>
    </row>
    <row r="97" spans="2:22">
      <c r="B97" s="11"/>
      <c r="C97" s="12" t="s">
        <v>759</v>
      </c>
      <c r="D97" s="169"/>
      <c r="E97" s="333" t="s">
        <v>760</v>
      </c>
      <c r="F97" s="169"/>
      <c r="G97" s="169"/>
      <c r="H97" s="169"/>
      <c r="I97" s="169"/>
      <c r="J97" s="169"/>
      <c r="K97" s="169"/>
      <c r="L97" s="169"/>
      <c r="M97" s="169"/>
      <c r="N97" s="169"/>
      <c r="O97" s="11"/>
      <c r="P97" s="11"/>
      <c r="Q97" s="11"/>
      <c r="R97" s="11"/>
      <c r="S97" s="11"/>
      <c r="T97" s="11"/>
      <c r="U97" s="11"/>
      <c r="V97" s="11"/>
    </row>
    <row r="98" spans="2:22">
      <c r="B98" s="11"/>
      <c r="C98" s="1"/>
      <c r="D98" s="169"/>
      <c r="E98" s="169"/>
      <c r="F98" s="169"/>
      <c r="G98" s="169"/>
      <c r="H98" s="169"/>
      <c r="I98" s="169"/>
      <c r="J98" s="169"/>
      <c r="K98" s="169"/>
      <c r="L98" s="169"/>
      <c r="M98" s="169"/>
      <c r="N98" s="169"/>
      <c r="O98" s="11"/>
      <c r="P98" s="11"/>
      <c r="Q98" s="11"/>
      <c r="R98" s="11"/>
      <c r="S98" s="11"/>
      <c r="T98" s="11"/>
      <c r="U98" s="11"/>
      <c r="V98" s="11"/>
    </row>
    <row r="99" spans="2:22">
      <c r="B99" s="11"/>
      <c r="C99" s="1" t="s">
        <v>761</v>
      </c>
      <c r="D99" s="289">
        <v>2020</v>
      </c>
      <c r="E99" s="169"/>
      <c r="F99" s="169"/>
      <c r="G99" s="169"/>
      <c r="H99" s="169"/>
      <c r="I99" s="169"/>
      <c r="J99" s="169"/>
      <c r="K99" s="169"/>
      <c r="L99" s="169"/>
      <c r="M99" s="169"/>
      <c r="N99" s="169"/>
      <c r="O99" s="11"/>
      <c r="P99" s="11"/>
      <c r="Q99" s="11"/>
      <c r="R99" s="11"/>
      <c r="S99" s="11"/>
      <c r="T99" s="11"/>
      <c r="U99" s="11"/>
      <c r="V99" s="11"/>
    </row>
    <row r="100" spans="2:22">
      <c r="B100" s="11"/>
      <c r="C100" s="289" t="s">
        <v>632</v>
      </c>
      <c r="D100" s="334">
        <f>3.7*10^6</f>
        <v>3700000</v>
      </c>
      <c r="E100" s="169"/>
      <c r="F100" s="169"/>
      <c r="G100" s="169"/>
      <c r="H100" s="169"/>
      <c r="I100" s="169"/>
      <c r="J100" s="169"/>
      <c r="K100" s="169"/>
      <c r="L100" s="169"/>
      <c r="M100" s="169"/>
      <c r="N100" s="169"/>
      <c r="O100" s="11"/>
      <c r="P100" s="11"/>
      <c r="Q100" s="11"/>
      <c r="R100" s="11"/>
      <c r="S100" s="11"/>
      <c r="T100" s="11"/>
      <c r="U100" s="11"/>
      <c r="V100" s="11"/>
    </row>
    <row r="101" spans="2:22">
      <c r="B101" s="11"/>
      <c r="C101" s="289" t="s">
        <v>762</v>
      </c>
      <c r="D101" s="334">
        <f>2*10^6</f>
        <v>2000000</v>
      </c>
      <c r="E101" s="169"/>
      <c r="F101" s="169"/>
      <c r="G101" s="169"/>
      <c r="H101" s="169"/>
      <c r="I101" s="512"/>
      <c r="J101" s="169"/>
      <c r="K101" s="169"/>
      <c r="L101" s="169"/>
      <c r="M101" s="169"/>
      <c r="N101" s="169"/>
      <c r="O101" s="11"/>
      <c r="P101" s="11"/>
      <c r="Q101" s="11"/>
      <c r="R101" s="11"/>
      <c r="S101" s="11"/>
      <c r="T101" s="11"/>
      <c r="U101" s="11"/>
      <c r="V101" s="11"/>
    </row>
    <row r="102" spans="2:22">
      <c r="B102" s="11"/>
      <c r="C102" s="289" t="s">
        <v>763</v>
      </c>
      <c r="D102" s="334">
        <f>2.7*10^6</f>
        <v>2700000</v>
      </c>
      <c r="E102" s="169"/>
      <c r="F102" s="169"/>
      <c r="G102" s="169"/>
      <c r="H102" s="169"/>
      <c r="I102" s="169"/>
      <c r="J102" s="169"/>
      <c r="K102" s="169"/>
      <c r="L102" s="169"/>
      <c r="M102" s="169"/>
      <c r="N102" s="169"/>
      <c r="O102" s="11"/>
      <c r="P102" s="11"/>
      <c r="Q102" s="11"/>
      <c r="R102" s="11"/>
      <c r="S102" s="11"/>
      <c r="T102" s="11"/>
      <c r="U102" s="11"/>
      <c r="V102" s="11"/>
    </row>
    <row r="103" spans="2:22">
      <c r="B103" s="11"/>
      <c r="C103" s="289" t="s">
        <v>764</v>
      </c>
      <c r="D103" s="334">
        <f>7.2*10^6</f>
        <v>7200000</v>
      </c>
      <c r="E103" s="169"/>
      <c r="F103" s="169"/>
      <c r="G103" s="169"/>
      <c r="H103" s="169"/>
      <c r="I103" s="169"/>
      <c r="J103" s="169"/>
      <c r="K103" s="169"/>
      <c r="L103" s="169"/>
      <c r="M103" s="169"/>
      <c r="N103" s="169"/>
      <c r="O103" s="11"/>
      <c r="P103" s="11"/>
      <c r="Q103" s="11"/>
      <c r="R103" s="11"/>
      <c r="S103" s="11"/>
      <c r="T103" s="11"/>
      <c r="U103" s="11"/>
      <c r="V103" s="11"/>
    </row>
    <row r="104" spans="2:22">
      <c r="B104" s="11"/>
      <c r="C104" s="289" t="s">
        <v>641</v>
      </c>
      <c r="D104" s="334">
        <f>0.5*10^6</f>
        <v>500000</v>
      </c>
      <c r="E104" s="169"/>
      <c r="F104" s="169"/>
      <c r="G104" s="169"/>
      <c r="H104" s="169"/>
      <c r="I104" s="169"/>
      <c r="J104" s="169"/>
      <c r="K104" s="169"/>
      <c r="L104" s="169"/>
      <c r="M104" s="169"/>
      <c r="N104" s="169"/>
      <c r="O104" s="11"/>
      <c r="P104" s="11"/>
      <c r="Q104" s="11"/>
      <c r="R104" s="11"/>
      <c r="S104" s="11"/>
      <c r="T104" s="11"/>
      <c r="U104" s="11"/>
      <c r="V104" s="11"/>
    </row>
    <row r="105" spans="2:22">
      <c r="B105" s="11"/>
      <c r="C105" s="289" t="s">
        <v>765</v>
      </c>
      <c r="D105" s="334">
        <f>7.2*10^6</f>
        <v>7200000</v>
      </c>
      <c r="E105" s="169"/>
      <c r="F105" s="169"/>
      <c r="G105" s="169"/>
      <c r="H105" s="169"/>
      <c r="I105" s="169"/>
      <c r="J105" s="169"/>
      <c r="K105" s="169"/>
      <c r="L105" s="169"/>
      <c r="M105" s="169"/>
      <c r="N105" s="169"/>
      <c r="O105" s="11"/>
      <c r="P105" s="11"/>
      <c r="Q105" s="11"/>
      <c r="R105" s="11"/>
      <c r="S105" s="11"/>
      <c r="T105" s="11"/>
      <c r="U105" s="11"/>
      <c r="V105" s="11"/>
    </row>
    <row r="106" spans="2:22">
      <c r="B106" s="11"/>
      <c r="C106" s="289" t="s">
        <v>766</v>
      </c>
      <c r="D106" s="334">
        <f>-4.9*10^6</f>
        <v>-4900000</v>
      </c>
      <c r="E106" s="169"/>
      <c r="F106" s="169"/>
      <c r="G106" s="169"/>
      <c r="H106" s="169"/>
      <c r="I106" s="169"/>
      <c r="J106" s="169"/>
      <c r="K106" s="169"/>
      <c r="L106" s="169"/>
      <c r="M106" s="169"/>
      <c r="N106" s="169"/>
      <c r="O106" s="11"/>
      <c r="P106" s="11"/>
      <c r="Q106" s="11"/>
      <c r="R106" s="11"/>
      <c r="S106" s="11"/>
      <c r="T106" s="11"/>
      <c r="U106" s="11"/>
      <c r="V106" s="11"/>
    </row>
    <row r="107" spans="2:22">
      <c r="B107" s="11"/>
      <c r="C107" s="289" t="s">
        <v>767</v>
      </c>
      <c r="D107" s="334">
        <f>2.2*10^6</f>
        <v>2200000</v>
      </c>
      <c r="E107" s="12" t="s">
        <v>768</v>
      </c>
      <c r="F107" s="169"/>
      <c r="G107" s="169"/>
      <c r="H107" s="169"/>
      <c r="I107" s="169"/>
      <c r="J107" s="169"/>
      <c r="K107" s="169"/>
      <c r="L107" s="169"/>
      <c r="M107" s="169"/>
      <c r="N107" s="169"/>
      <c r="O107" s="11"/>
      <c r="P107" s="11"/>
      <c r="Q107" s="11"/>
      <c r="R107" s="11"/>
      <c r="S107" s="11"/>
      <c r="T107" s="11"/>
      <c r="U107" s="11"/>
      <c r="V107" s="11"/>
    </row>
    <row r="108" spans="2:22">
      <c r="B108" s="11"/>
      <c r="C108" s="289" t="s">
        <v>605</v>
      </c>
      <c r="D108" s="334">
        <f>2*10^6</f>
        <v>2000000</v>
      </c>
      <c r="E108" s="12" t="s">
        <v>768</v>
      </c>
      <c r="F108" s="169"/>
      <c r="G108" s="169"/>
      <c r="H108" s="169"/>
      <c r="I108" s="169"/>
      <c r="J108" s="169"/>
      <c r="K108" s="169"/>
      <c r="L108" s="169"/>
      <c r="M108" s="169"/>
      <c r="N108" s="169"/>
      <c r="O108" s="11"/>
      <c r="P108" s="11"/>
      <c r="Q108" s="11"/>
      <c r="R108" s="11"/>
      <c r="S108" s="11"/>
      <c r="T108" s="11"/>
      <c r="U108" s="11"/>
      <c r="V108" s="11"/>
    </row>
    <row r="109" spans="2:22">
      <c r="B109" s="11"/>
      <c r="C109" s="289" t="s">
        <v>769</v>
      </c>
      <c r="D109" s="334">
        <f>0.4*10^6</f>
        <v>400000</v>
      </c>
      <c r="E109" s="12" t="s">
        <v>770</v>
      </c>
      <c r="F109" s="169"/>
      <c r="G109" s="169"/>
      <c r="H109" s="169"/>
      <c r="I109" s="169"/>
      <c r="J109" s="169"/>
      <c r="K109" s="169"/>
      <c r="L109" s="169"/>
      <c r="M109" s="169"/>
      <c r="N109" s="169"/>
      <c r="O109" s="11"/>
      <c r="P109" s="11"/>
      <c r="Q109" s="11"/>
      <c r="R109" s="11"/>
      <c r="S109" s="11"/>
      <c r="T109" s="11"/>
      <c r="U109" s="11"/>
      <c r="V109" s="11"/>
    </row>
    <row r="110" spans="2:22">
      <c r="B110" s="11"/>
      <c r="C110" s="510"/>
      <c r="D110" s="511"/>
      <c r="E110" s="12"/>
      <c r="F110" s="169"/>
      <c r="G110" s="169"/>
      <c r="H110" s="169"/>
      <c r="I110" s="169"/>
      <c r="J110" s="169"/>
      <c r="K110" s="169"/>
      <c r="L110" s="169"/>
      <c r="M110" s="169"/>
      <c r="N110" s="169"/>
      <c r="O110" s="11"/>
      <c r="P110" s="11"/>
      <c r="Q110" s="11"/>
      <c r="R110" s="11"/>
      <c r="S110" s="11"/>
      <c r="T110" s="11"/>
      <c r="U110" s="11"/>
      <c r="V110" s="11"/>
    </row>
    <row r="111" spans="2:22">
      <c r="B111" s="11"/>
      <c r="C111" s="510"/>
      <c r="D111" s="511"/>
      <c r="E111" s="12"/>
      <c r="F111" s="169"/>
      <c r="G111" s="169"/>
      <c r="H111" s="169"/>
      <c r="I111" s="169"/>
      <c r="J111" s="169"/>
      <c r="K111" s="169"/>
      <c r="L111" s="169"/>
      <c r="M111" s="169"/>
      <c r="N111" s="169"/>
      <c r="O111" s="11"/>
      <c r="P111" s="11"/>
      <c r="Q111" s="11"/>
      <c r="R111" s="11"/>
      <c r="S111" s="11"/>
      <c r="T111" s="11"/>
      <c r="U111" s="11"/>
      <c r="V111" s="11"/>
    </row>
    <row r="112" spans="2:22">
      <c r="B112" s="11"/>
      <c r="C112" s="510"/>
      <c r="D112" s="511"/>
      <c r="E112" s="12"/>
      <c r="F112" s="169"/>
      <c r="G112" s="169"/>
      <c r="H112" s="169"/>
      <c r="I112" s="169"/>
      <c r="J112" s="169"/>
      <c r="K112" s="169"/>
      <c r="L112" s="169"/>
      <c r="M112" s="169"/>
      <c r="N112" s="169"/>
      <c r="O112" s="11"/>
      <c r="P112" s="11"/>
      <c r="Q112" s="11"/>
      <c r="R112" s="11"/>
      <c r="S112" s="11"/>
      <c r="T112" s="11"/>
      <c r="U112" s="11"/>
      <c r="V112" s="11"/>
    </row>
    <row r="113" spans="1:22" s="257" customFormat="1">
      <c r="A113" s="145"/>
      <c r="B113" s="254"/>
      <c r="C113" s="255" t="s">
        <v>664</v>
      </c>
      <c r="D113" s="254"/>
      <c r="E113" s="254"/>
      <c r="F113" s="254"/>
      <c r="G113" s="254"/>
      <c r="H113" s="254"/>
      <c r="I113" s="256"/>
      <c r="J113" s="254"/>
      <c r="K113" s="254"/>
      <c r="L113" s="254"/>
      <c r="M113" s="254"/>
      <c r="N113" s="254"/>
      <c r="O113" s="254"/>
      <c r="P113" s="254"/>
      <c r="Q113" s="254"/>
      <c r="R113" s="254"/>
      <c r="S113" s="254"/>
      <c r="T113" s="254"/>
      <c r="U113" s="254"/>
      <c r="V113" s="254"/>
    </row>
    <row r="114" spans="1:22">
      <c r="B114" s="11"/>
      <c r="C114" s="510"/>
      <c r="D114" s="511"/>
      <c r="E114" s="12"/>
      <c r="F114" s="169"/>
      <c r="G114" s="169"/>
      <c r="H114" s="169"/>
      <c r="I114" s="169"/>
      <c r="J114" s="169"/>
      <c r="K114" s="169"/>
      <c r="L114" s="169"/>
      <c r="M114" s="169"/>
      <c r="N114" s="169"/>
      <c r="O114" s="11"/>
      <c r="P114" s="11"/>
      <c r="Q114" s="11"/>
      <c r="R114" s="11"/>
      <c r="S114" s="11"/>
      <c r="T114" s="11"/>
      <c r="U114" s="11"/>
      <c r="V114" s="11"/>
    </row>
    <row r="115" spans="1:22">
      <c r="B115" s="11"/>
      <c r="C115" s="510"/>
      <c r="D115" s="511"/>
      <c r="E115" s="12"/>
      <c r="F115" s="169"/>
      <c r="G115" s="169"/>
      <c r="H115" s="169"/>
      <c r="I115" s="169"/>
      <c r="J115" s="169"/>
      <c r="K115" s="169"/>
      <c r="L115" s="169"/>
      <c r="M115" s="169"/>
      <c r="N115" s="169"/>
      <c r="O115" s="11"/>
      <c r="P115" s="11"/>
      <c r="Q115" s="11"/>
      <c r="R115" s="11"/>
      <c r="S115" s="11"/>
      <c r="T115" s="11"/>
      <c r="U115" s="11"/>
      <c r="V115" s="11"/>
    </row>
    <row r="116" spans="1:22">
      <c r="B116" s="11"/>
      <c r="C116" s="510"/>
      <c r="D116" s="334" t="s">
        <v>603</v>
      </c>
      <c r="E116" s="289"/>
      <c r="F116" s="289"/>
      <c r="G116" s="289" t="s">
        <v>31</v>
      </c>
      <c r="H116" s="289"/>
      <c r="I116" s="289"/>
      <c r="J116" s="289" t="s">
        <v>36</v>
      </c>
      <c r="K116" s="289"/>
      <c r="L116" s="289"/>
      <c r="M116" s="289" t="s">
        <v>39</v>
      </c>
      <c r="N116" s="289"/>
      <c r="O116" s="289"/>
      <c r="P116" s="289" t="s">
        <v>42</v>
      </c>
      <c r="Q116" s="289"/>
      <c r="R116" s="289"/>
      <c r="S116" s="11"/>
      <c r="T116" s="11"/>
      <c r="U116" s="11"/>
      <c r="V116" s="11"/>
    </row>
    <row r="117" spans="1:22">
      <c r="B117" s="11"/>
      <c r="C117" s="289" t="s">
        <v>950</v>
      </c>
      <c r="D117" s="334" t="s">
        <v>951</v>
      </c>
      <c r="E117" s="289" t="s">
        <v>953</v>
      </c>
      <c r="F117" s="289" t="s">
        <v>952</v>
      </c>
      <c r="G117" s="334" t="s">
        <v>951</v>
      </c>
      <c r="H117" s="289" t="s">
        <v>953</v>
      </c>
      <c r="I117" s="289" t="s">
        <v>952</v>
      </c>
      <c r="J117" s="334" t="s">
        <v>951</v>
      </c>
      <c r="K117" s="289" t="s">
        <v>953</v>
      </c>
      <c r="L117" s="289" t="s">
        <v>952</v>
      </c>
      <c r="M117" s="334" t="s">
        <v>951</v>
      </c>
      <c r="N117" s="289" t="s">
        <v>953</v>
      </c>
      <c r="O117" s="289" t="s">
        <v>952</v>
      </c>
      <c r="P117" s="334" t="s">
        <v>951</v>
      </c>
      <c r="Q117" s="289" t="s">
        <v>953</v>
      </c>
      <c r="R117" s="289" t="s">
        <v>952</v>
      </c>
      <c r="S117" s="11"/>
      <c r="T117" s="11"/>
      <c r="U117" s="11"/>
      <c r="V117" s="11"/>
    </row>
    <row r="118" spans="1:22">
      <c r="B118" s="11"/>
      <c r="C118" s="289" t="s">
        <v>608</v>
      </c>
      <c r="D118" s="522">
        <f>M_Datos!F105</f>
        <v>0</v>
      </c>
      <c r="E118" s="522">
        <v>0.40910000000000002</v>
      </c>
      <c r="F118" s="522">
        <f>IF(M_Datos!$F$111=1,M_Datos!F105,'M_Cálculos propios'!E118)</f>
        <v>0.40910000000000002</v>
      </c>
      <c r="G118" s="522">
        <f>M_Datos!G5</f>
        <v>0</v>
      </c>
      <c r="H118" s="522">
        <f>E118</f>
        <v>0.40910000000000002</v>
      </c>
      <c r="I118" s="522">
        <f>IF(M_Datos!$G$111=1,M_Datos!G105,'M_Cálculos propios'!H118)</f>
        <v>0.40910000000000002</v>
      </c>
      <c r="J118" s="522">
        <f>M_Datos!H5</f>
        <v>0</v>
      </c>
      <c r="K118" s="522">
        <f>H118</f>
        <v>0.40910000000000002</v>
      </c>
      <c r="L118" s="522">
        <f>IF(M_Datos!$H$111=1,M_Datos!H105,'M_Cálculos propios'!K118)</f>
        <v>0.40910000000000002</v>
      </c>
      <c r="M118" s="522">
        <f>M_Datos!I5</f>
        <v>0</v>
      </c>
      <c r="N118" s="522">
        <f>K118</f>
        <v>0.40910000000000002</v>
      </c>
      <c r="O118" s="522">
        <f>IF(M_Datos!$I$111=1,M_Datos!I105,'M_Cálculos propios'!N118)</f>
        <v>0.40910000000000002</v>
      </c>
      <c r="P118" s="522">
        <f>M_Datos!J5</f>
        <v>0</v>
      </c>
      <c r="Q118" s="522">
        <f>N118</f>
        <v>0.40910000000000002</v>
      </c>
      <c r="R118" s="522">
        <f>IF(M_Datos!$J$111=1,M_Datos!IJ5,'M_Cálculos propios'!Q118)</f>
        <v>0.40910000000000002</v>
      </c>
      <c r="S118" s="11"/>
      <c r="T118" s="11"/>
      <c r="U118" s="11"/>
      <c r="V118" s="11"/>
    </row>
    <row r="119" spans="1:22">
      <c r="B119" s="11"/>
      <c r="C119" s="289" t="s">
        <v>610</v>
      </c>
      <c r="D119" s="522">
        <f>M_Datos!F106</f>
        <v>0</v>
      </c>
      <c r="E119" s="522">
        <v>2.4299999999999999E-2</v>
      </c>
      <c r="F119" s="522">
        <f>IF(M_Datos!$F$111=1,M_Datos!F106,'M_Cálculos propios'!E119)</f>
        <v>2.4299999999999999E-2</v>
      </c>
      <c r="G119" s="522">
        <f>M_Datos!G6</f>
        <v>0</v>
      </c>
      <c r="H119" s="522">
        <f t="shared" ref="H119:H123" si="7">E119</f>
        <v>2.4299999999999999E-2</v>
      </c>
      <c r="I119" s="522">
        <f>IF(M_Datos!$G$111=1,M_Datos!G106,'M_Cálculos propios'!H119)</f>
        <v>2.4299999999999999E-2</v>
      </c>
      <c r="J119" s="522"/>
      <c r="K119" s="522">
        <f t="shared" ref="K119:K123" si="8">H119</f>
        <v>2.4299999999999999E-2</v>
      </c>
      <c r="L119" s="522">
        <f>IF(M_Datos!$H$111=1,M_Datos!H106,'M_Cálculos propios'!K119)</f>
        <v>2.4299999999999999E-2</v>
      </c>
      <c r="M119" s="522"/>
      <c r="N119" s="522">
        <f t="shared" ref="N119:N123" si="9">K119</f>
        <v>2.4299999999999999E-2</v>
      </c>
      <c r="O119" s="522">
        <f>IF(M_Datos!$I$111=1,M_Datos!I106,'M_Cálculos propios'!N119)</f>
        <v>2.4299999999999999E-2</v>
      </c>
      <c r="P119" s="522"/>
      <c r="Q119" s="522">
        <f t="shared" ref="Q119:Q123" si="10">N119</f>
        <v>2.4299999999999999E-2</v>
      </c>
      <c r="R119" s="522">
        <f>IF(M_Datos!$J$111=1,M_Datos!IJ6,'M_Cálculos propios'!Q119)</f>
        <v>2.4299999999999999E-2</v>
      </c>
      <c r="S119" s="11"/>
      <c r="T119" s="11"/>
      <c r="U119" s="11"/>
      <c r="V119" s="11"/>
    </row>
    <row r="120" spans="1:22">
      <c r="B120" s="11"/>
      <c r="C120" s="289" t="s">
        <v>611</v>
      </c>
      <c r="D120" s="522">
        <f>M_Datos!F107</f>
        <v>0</v>
      </c>
      <c r="E120" s="522">
        <v>0.41880000000000001</v>
      </c>
      <c r="F120" s="522">
        <f>IF(M_Datos!$F$111=1,M_Datos!F107,'M_Cálculos propios'!E120)</f>
        <v>0.41880000000000001</v>
      </c>
      <c r="G120" s="522">
        <f>M_Datos!G7</f>
        <v>0</v>
      </c>
      <c r="H120" s="522">
        <f t="shared" si="7"/>
        <v>0.41880000000000001</v>
      </c>
      <c r="I120" s="522">
        <f>IF(M_Datos!$G$111=1,M_Datos!G107,'M_Cálculos propios'!H120)</f>
        <v>0.41880000000000001</v>
      </c>
      <c r="J120" s="522"/>
      <c r="K120" s="522">
        <f t="shared" si="8"/>
        <v>0.41880000000000001</v>
      </c>
      <c r="L120" s="522">
        <f>IF(M_Datos!$H$111=1,M_Datos!H107,'M_Cálculos propios'!K120)</f>
        <v>0.41880000000000001</v>
      </c>
      <c r="M120" s="522"/>
      <c r="N120" s="522">
        <f t="shared" si="9"/>
        <v>0.41880000000000001</v>
      </c>
      <c r="O120" s="522">
        <f>IF(M_Datos!$I$111=1,M_Datos!I107,'M_Cálculos propios'!N120)</f>
        <v>0.41880000000000001</v>
      </c>
      <c r="P120" s="522"/>
      <c r="Q120" s="522">
        <f t="shared" si="10"/>
        <v>0.41880000000000001</v>
      </c>
      <c r="R120" s="522">
        <f>IF(M_Datos!$J$111=1,M_Datos!IJ7,'M_Cálculos propios'!Q120)</f>
        <v>0.41880000000000001</v>
      </c>
      <c r="S120" s="11"/>
      <c r="T120" s="11"/>
      <c r="U120" s="11"/>
      <c r="V120" s="11"/>
    </row>
    <row r="121" spans="1:22">
      <c r="B121" s="11"/>
      <c r="C121" s="289" t="s">
        <v>613</v>
      </c>
      <c r="D121" s="522">
        <f>M_Datos!F108</f>
        <v>0</v>
      </c>
      <c r="E121" s="522">
        <v>1.2E-2</v>
      </c>
      <c r="F121" s="522">
        <f>IF(M_Datos!$F$111=1,M_Datos!F108,'M_Cálculos propios'!E121)</f>
        <v>1.2E-2</v>
      </c>
      <c r="G121" s="522">
        <f>M_Datos!G9</f>
        <v>0</v>
      </c>
      <c r="H121" s="522">
        <f t="shared" si="7"/>
        <v>1.2E-2</v>
      </c>
      <c r="I121" s="522">
        <f>IF(M_Datos!$G$111=1,M_Datos!G108,'M_Cálculos propios'!H121)</f>
        <v>1.2E-2</v>
      </c>
      <c r="J121" s="522"/>
      <c r="K121" s="522">
        <f t="shared" si="8"/>
        <v>1.2E-2</v>
      </c>
      <c r="L121" s="522">
        <f>IF(M_Datos!$H$111=1,M_Datos!H109,'M_Cálculos propios'!K121)</f>
        <v>1.2E-2</v>
      </c>
      <c r="M121" s="522"/>
      <c r="N121" s="522">
        <f t="shared" si="9"/>
        <v>1.2E-2</v>
      </c>
      <c r="O121" s="522">
        <f>IF(M_Datos!$I$111=1,M_Datos!I109,'M_Cálculos propios'!N121)</f>
        <v>1.2E-2</v>
      </c>
      <c r="P121" s="522"/>
      <c r="Q121" s="522">
        <f t="shared" si="10"/>
        <v>1.2E-2</v>
      </c>
      <c r="R121" s="522">
        <f>IF(M_Datos!$J$111=1,M_Datos!IJ9,'M_Cálculos propios'!Q121)</f>
        <v>1.2E-2</v>
      </c>
      <c r="S121" s="11"/>
      <c r="T121" s="11"/>
      <c r="U121" s="11"/>
      <c r="V121" s="11"/>
    </row>
    <row r="122" spans="1:22">
      <c r="B122" s="11"/>
      <c r="C122" s="289" t="s">
        <v>614</v>
      </c>
      <c r="D122" s="522">
        <f>M_Datos!F109</f>
        <v>0</v>
      </c>
      <c r="E122" s="522">
        <v>0.13569999999999999</v>
      </c>
      <c r="F122" s="522">
        <f>IF(M_Datos!$F$111=1,M_Datos!F109,'M_Cálculos propios'!E122)</f>
        <v>0.13569999999999999</v>
      </c>
      <c r="G122" s="522">
        <f>M_Datos!G10</f>
        <v>0</v>
      </c>
      <c r="H122" s="522">
        <f t="shared" si="7"/>
        <v>0.13569999999999999</v>
      </c>
      <c r="I122" s="522">
        <f>IF(M_Datos!$G$111=1,M_Datos!G109,'M_Cálculos propios'!H122)</f>
        <v>0.13569999999999999</v>
      </c>
      <c r="J122" s="522"/>
      <c r="K122" s="522">
        <f t="shared" si="8"/>
        <v>0.13569999999999999</v>
      </c>
      <c r="L122" s="522">
        <f>IF(M_Datos!$H$111=1,M_Datos!H110,'M_Cálculos propios'!K122)</f>
        <v>0.13569999999999999</v>
      </c>
      <c r="M122" s="522"/>
      <c r="N122" s="522">
        <f t="shared" si="9"/>
        <v>0.13569999999999999</v>
      </c>
      <c r="O122" s="522">
        <f>IF(M_Datos!$I$111=1,M_Datos!I110,'M_Cálculos propios'!N122)</f>
        <v>0.13569999999999999</v>
      </c>
      <c r="P122" s="522"/>
      <c r="Q122" s="522">
        <f t="shared" si="10"/>
        <v>0.13569999999999999</v>
      </c>
      <c r="R122" s="522">
        <f>IF(M_Datos!$J$111=1,M_Datos!IJ10,'M_Cálculos propios'!Q122)</f>
        <v>0.13569999999999999</v>
      </c>
      <c r="S122" s="11"/>
      <c r="T122" s="11"/>
      <c r="U122" s="11"/>
      <c r="V122" s="11"/>
    </row>
    <row r="123" spans="1:22">
      <c r="B123" s="11"/>
      <c r="C123" s="289" t="s">
        <v>615</v>
      </c>
      <c r="D123" s="522">
        <f>M_Datos!F110</f>
        <v>0</v>
      </c>
      <c r="E123" s="522">
        <v>1E-4</v>
      </c>
      <c r="F123" s="522">
        <f>IF(M_Datos!$F$111=1,M_Datos!F110,'M_Cálculos propios'!E123)</f>
        <v>1E-4</v>
      </c>
      <c r="G123" s="522">
        <f>M_Datos!G11</f>
        <v>0</v>
      </c>
      <c r="H123" s="522">
        <f t="shared" si="7"/>
        <v>1E-4</v>
      </c>
      <c r="I123" s="522">
        <f>IF(M_Datos!$G$111=1,M_Datos!G110,'M_Cálculos propios'!H123)</f>
        <v>1E-4</v>
      </c>
      <c r="J123" s="522"/>
      <c r="K123" s="522">
        <f t="shared" si="8"/>
        <v>1E-4</v>
      </c>
      <c r="L123" s="522">
        <f>IF(M_Datos!$H$111=1,M_Datos!H111,'M_Cálculos propios'!K123)</f>
        <v>1E-4</v>
      </c>
      <c r="M123" s="522"/>
      <c r="N123" s="522">
        <f t="shared" si="9"/>
        <v>1E-4</v>
      </c>
      <c r="O123" s="522">
        <f>IF(M_Datos!$I$111=1,M_Datos!I111,'M_Cálculos propios'!N123)</f>
        <v>1E-4</v>
      </c>
      <c r="P123" s="522"/>
      <c r="Q123" s="522">
        <f t="shared" si="10"/>
        <v>1E-4</v>
      </c>
      <c r="R123" s="522">
        <f>IF(M_Datos!$J$111=1,M_Datos!IJ11,'M_Cálculos propios'!Q123)</f>
        <v>1E-4</v>
      </c>
      <c r="S123" s="11"/>
      <c r="T123" s="11"/>
      <c r="U123" s="11"/>
      <c r="V123" s="11"/>
    </row>
    <row r="124" spans="1:22">
      <c r="B124" s="11"/>
      <c r="C124" s="289"/>
      <c r="D124" s="522">
        <v>0</v>
      </c>
      <c r="E124" s="522">
        <f>SUM(E118:E123)</f>
        <v>1</v>
      </c>
      <c r="F124" s="522"/>
      <c r="G124" s="522"/>
      <c r="H124" s="522"/>
      <c r="I124" s="522"/>
      <c r="J124" s="522"/>
      <c r="K124" s="522"/>
      <c r="L124" s="522"/>
      <c r="M124" s="522"/>
      <c r="N124" s="522"/>
      <c r="O124" s="522"/>
      <c r="P124" s="522"/>
      <c r="Q124" s="522"/>
      <c r="R124" s="522"/>
      <c r="S124" s="11"/>
      <c r="T124" s="11"/>
      <c r="U124" s="11"/>
      <c r="V124" s="11"/>
    </row>
    <row r="125" spans="1:22">
      <c r="B125" s="11"/>
      <c r="C125" s="510"/>
      <c r="D125" s="511"/>
      <c r="E125" s="12"/>
      <c r="F125" s="169"/>
      <c r="G125" s="169"/>
      <c r="H125" s="169"/>
      <c r="I125" s="169"/>
      <c r="J125" s="169"/>
      <c r="K125" s="169"/>
      <c r="L125" s="169"/>
      <c r="M125" s="169"/>
      <c r="N125" s="169"/>
      <c r="O125" s="11"/>
      <c r="P125" s="11"/>
      <c r="Q125" s="11"/>
      <c r="R125" s="11"/>
      <c r="S125" s="11"/>
      <c r="T125" s="11"/>
      <c r="U125" s="11"/>
      <c r="V125" s="11"/>
    </row>
    <row r="126" spans="1:22">
      <c r="B126" s="11"/>
      <c r="C126" s="510"/>
      <c r="D126" s="511"/>
      <c r="E126" s="12" t="s">
        <v>954</v>
      </c>
      <c r="F126" s="169"/>
      <c r="G126" s="169"/>
      <c r="H126" s="169"/>
      <c r="I126" s="169"/>
      <c r="J126" s="169"/>
      <c r="K126" s="169"/>
      <c r="L126" s="169"/>
      <c r="M126" s="169"/>
      <c r="N126" s="169"/>
      <c r="O126" s="11"/>
      <c r="P126" s="11"/>
      <c r="Q126" s="11"/>
      <c r="R126" s="11"/>
      <c r="S126" s="11"/>
      <c r="T126" s="11"/>
      <c r="U126" s="11"/>
      <c r="V126" s="11"/>
    </row>
    <row r="127" spans="1:22">
      <c r="B127" s="11"/>
      <c r="C127" s="510"/>
      <c r="D127" s="511"/>
      <c r="E127" s="12" t="s">
        <v>955</v>
      </c>
      <c r="F127" s="169"/>
      <c r="G127" s="169"/>
      <c r="H127" s="169"/>
      <c r="I127" s="169"/>
      <c r="J127" s="169"/>
      <c r="K127" s="169"/>
      <c r="L127" s="169"/>
      <c r="M127" s="169"/>
      <c r="N127" s="169"/>
      <c r="O127" s="11"/>
      <c r="P127" s="11"/>
      <c r="Q127" s="11"/>
      <c r="R127" s="11"/>
      <c r="S127" s="11"/>
      <c r="T127" s="11"/>
      <c r="U127" s="11"/>
      <c r="V127" s="11"/>
    </row>
    <row r="128" spans="1:22">
      <c r="B128" s="11"/>
      <c r="C128" s="510"/>
      <c r="D128" s="511"/>
      <c r="E128" s="12"/>
      <c r="F128" s="169"/>
      <c r="G128" s="169"/>
      <c r="H128" s="169"/>
      <c r="I128" s="169"/>
      <c r="J128" s="169"/>
      <c r="K128" s="169"/>
      <c r="L128" s="169"/>
      <c r="M128" s="169"/>
      <c r="N128" s="169"/>
      <c r="O128" s="11"/>
      <c r="P128" s="11"/>
      <c r="Q128" s="11"/>
      <c r="R128" s="11"/>
      <c r="S128" s="11"/>
      <c r="T128" s="11"/>
      <c r="U128" s="11"/>
      <c r="V128" s="11"/>
    </row>
    <row r="129" spans="1:22">
      <c r="B129" s="11"/>
      <c r="C129" s="510"/>
      <c r="D129" s="511"/>
      <c r="E129" s="12"/>
      <c r="F129" s="169"/>
      <c r="G129" s="169"/>
      <c r="H129" s="169"/>
      <c r="I129" s="169"/>
      <c r="J129" s="169"/>
      <c r="K129" s="169"/>
      <c r="L129" s="169"/>
      <c r="M129" s="169"/>
      <c r="N129" s="169"/>
      <c r="O129" s="11"/>
      <c r="P129" s="11"/>
      <c r="Q129" s="11"/>
      <c r="R129" s="11"/>
      <c r="S129" s="11"/>
      <c r="T129" s="11"/>
      <c r="U129" s="11"/>
      <c r="V129" s="11"/>
    </row>
    <row r="130" spans="1:22" ht="20.399999999999999" customHeight="1">
      <c r="B130" s="11"/>
      <c r="C130" s="1"/>
      <c r="D130" s="12"/>
      <c r="E130" s="12"/>
      <c r="F130" s="12"/>
      <c r="G130" s="1"/>
      <c r="H130" s="11"/>
      <c r="I130" s="11"/>
      <c r="J130" s="12"/>
      <c r="K130" s="11"/>
      <c r="L130" s="11"/>
      <c r="M130" s="11"/>
      <c r="N130" s="11"/>
      <c r="O130" s="11"/>
      <c r="P130" s="11"/>
      <c r="Q130" s="11"/>
      <c r="R130" s="11"/>
      <c r="S130" s="11"/>
      <c r="T130" s="11"/>
      <c r="U130" s="11"/>
      <c r="V130" s="11"/>
    </row>
    <row r="131" spans="1:22" s="257" customFormat="1">
      <c r="A131" s="145"/>
      <c r="B131" s="254"/>
      <c r="C131" s="255" t="s">
        <v>672</v>
      </c>
      <c r="D131" s="254"/>
      <c r="E131" s="254"/>
      <c r="F131" s="254"/>
      <c r="G131" s="254"/>
      <c r="H131" s="254"/>
      <c r="I131" s="256"/>
      <c r="J131" s="254"/>
      <c r="K131" s="254"/>
      <c r="L131" s="254"/>
      <c r="M131" s="254"/>
      <c r="N131" s="254"/>
      <c r="O131" s="254"/>
      <c r="P131" s="254"/>
      <c r="Q131" s="254"/>
      <c r="R131" s="254"/>
      <c r="S131" s="254"/>
      <c r="T131" s="254"/>
      <c r="U131" s="254"/>
      <c r="V131" s="254"/>
    </row>
    <row r="132" spans="1:22">
      <c r="B132" s="11"/>
      <c r="C132" s="81"/>
      <c r="D132" s="12"/>
      <c r="E132" s="12"/>
      <c r="F132" s="12"/>
      <c r="G132" s="12"/>
      <c r="H132" s="11"/>
      <c r="I132" s="11"/>
      <c r="J132" s="11"/>
      <c r="K132" s="11"/>
      <c r="L132" s="11"/>
      <c r="M132" s="11"/>
      <c r="N132" s="11"/>
      <c r="O132" s="11"/>
      <c r="P132" s="11"/>
      <c r="Q132" s="11"/>
      <c r="R132" s="11"/>
      <c r="S132" s="11"/>
      <c r="T132" s="11"/>
      <c r="U132" s="11"/>
      <c r="V132" s="11"/>
    </row>
    <row r="133" spans="1:22">
      <c r="B133" s="11"/>
      <c r="C133" s="81"/>
      <c r="D133" s="12"/>
      <c r="E133" s="12"/>
      <c r="F133" s="12"/>
      <c r="G133" s="12"/>
      <c r="H133" s="11"/>
      <c r="I133" s="11"/>
      <c r="J133" s="11"/>
      <c r="K133" s="11"/>
      <c r="L133" s="11"/>
      <c r="M133" s="11"/>
      <c r="N133" s="11"/>
      <c r="O133" s="11"/>
      <c r="P133" s="11"/>
      <c r="Q133" s="11"/>
      <c r="R133" s="11"/>
      <c r="S133" s="11"/>
      <c r="T133" s="11"/>
      <c r="U133" s="11"/>
      <c r="V133" s="11"/>
    </row>
    <row r="134" spans="1:22">
      <c r="B134" s="11"/>
      <c r="C134" s="81" t="s">
        <v>771</v>
      </c>
      <c r="D134" s="12"/>
      <c r="E134" s="276" t="s">
        <v>772</v>
      </c>
      <c r="F134" s="12"/>
      <c r="G134" s="12"/>
      <c r="H134" s="11"/>
      <c r="I134" s="11"/>
      <c r="J134" s="11"/>
      <c r="K134" s="11"/>
      <c r="L134" s="11"/>
      <c r="M134" s="11"/>
      <c r="N134" s="11"/>
      <c r="O134" s="11"/>
      <c r="P134" s="11"/>
      <c r="Q134" s="11"/>
      <c r="R134" s="11"/>
      <c r="S134" s="11"/>
      <c r="T134" s="11"/>
      <c r="U134" s="11"/>
      <c r="V134" s="11"/>
    </row>
    <row r="135" spans="1:22">
      <c r="B135" s="11"/>
      <c r="C135" s="81"/>
      <c r="D135" s="12"/>
      <c r="E135" s="12"/>
      <c r="F135" s="12"/>
      <c r="G135" s="12"/>
      <c r="H135" s="11"/>
      <c r="I135" s="11"/>
      <c r="J135" s="11"/>
      <c r="K135" s="11"/>
      <c r="L135" s="11"/>
      <c r="M135" s="11"/>
      <c r="N135" s="11"/>
      <c r="O135" s="11"/>
      <c r="P135" s="11"/>
      <c r="Q135" s="11"/>
      <c r="R135" s="11"/>
      <c r="S135" s="11"/>
      <c r="T135" s="11"/>
      <c r="U135" s="11"/>
      <c r="V135" s="11"/>
    </row>
    <row r="136" spans="1:22">
      <c r="B136" s="11"/>
      <c r="C136" s="315" t="s">
        <v>773</v>
      </c>
      <c r="D136" s="289" t="s">
        <v>774</v>
      </c>
      <c r="E136" s="289" t="s">
        <v>775</v>
      </c>
      <c r="F136" s="289" t="s">
        <v>776</v>
      </c>
      <c r="G136" s="289" t="s">
        <v>777</v>
      </c>
      <c r="H136" s="289" t="s">
        <v>631</v>
      </c>
      <c r="I136" s="11"/>
      <c r="J136" s="11"/>
      <c r="K136" s="11"/>
      <c r="L136" s="11"/>
      <c r="M136" s="11"/>
      <c r="N136" s="11"/>
      <c r="O136" s="11"/>
      <c r="P136" s="11"/>
      <c r="Q136" s="11"/>
      <c r="R136" s="11"/>
      <c r="S136" s="11"/>
      <c r="T136" s="11"/>
      <c r="U136" s="11"/>
      <c r="V136" s="11"/>
    </row>
    <row r="137" spans="1:22">
      <c r="B137" s="11"/>
      <c r="C137" s="315" t="s">
        <v>778</v>
      </c>
      <c r="D137" s="289">
        <v>401</v>
      </c>
      <c r="E137" s="289">
        <v>15.9</v>
      </c>
      <c r="F137" s="289">
        <v>16.600000000000001</v>
      </c>
      <c r="G137" s="289">
        <v>14</v>
      </c>
      <c r="H137" s="239">
        <v>483.3</v>
      </c>
      <c r="I137" s="11"/>
      <c r="J137" s="11"/>
      <c r="K137" s="11"/>
      <c r="L137" s="11"/>
      <c r="M137" s="11"/>
      <c r="N137" s="11"/>
      <c r="O137" s="11"/>
      <c r="P137" s="11"/>
      <c r="Q137" s="11"/>
      <c r="R137" s="11"/>
      <c r="S137" s="11"/>
      <c r="T137" s="11"/>
      <c r="U137" s="11"/>
      <c r="V137" s="11"/>
    </row>
    <row r="138" spans="1:22">
      <c r="B138" s="11"/>
      <c r="C138" s="81"/>
      <c r="D138" s="12"/>
      <c r="E138" s="12"/>
      <c r="F138" s="12"/>
      <c r="G138" s="12"/>
      <c r="H138" s="11"/>
      <c r="I138" s="11"/>
      <c r="J138" s="11"/>
      <c r="K138" s="11"/>
      <c r="L138" s="11"/>
      <c r="M138" s="11"/>
      <c r="N138" s="11"/>
      <c r="O138" s="11"/>
      <c r="P138" s="11"/>
      <c r="Q138" s="11"/>
      <c r="R138" s="11"/>
      <c r="S138" s="11"/>
      <c r="T138" s="11"/>
      <c r="U138" s="11"/>
      <c r="V138" s="11"/>
    </row>
    <row r="139" spans="1:22">
      <c r="B139" s="11"/>
      <c r="C139" s="81" t="s">
        <v>779</v>
      </c>
      <c r="D139" s="12"/>
      <c r="E139" s="12"/>
      <c r="F139" s="12" t="s">
        <v>962</v>
      </c>
      <c r="G139" s="12"/>
      <c r="H139" s="11"/>
      <c r="I139" s="11"/>
      <c r="J139" s="11"/>
      <c r="K139" s="11"/>
      <c r="L139" s="11"/>
      <c r="M139" s="11"/>
      <c r="N139" s="11"/>
      <c r="O139" s="11"/>
      <c r="P139" s="11"/>
      <c r="Q139" s="11"/>
      <c r="R139" s="11"/>
      <c r="S139" s="11"/>
      <c r="T139" s="11"/>
      <c r="U139" s="11"/>
      <c r="V139" s="11"/>
    </row>
    <row r="140" spans="1:22">
      <c r="B140" s="11"/>
      <c r="C140" s="81"/>
      <c r="D140" s="12"/>
      <c r="E140" s="12"/>
      <c r="F140" s="12"/>
      <c r="G140" s="12"/>
      <c r="H140" s="11"/>
      <c r="I140" s="11"/>
      <c r="J140" s="11"/>
      <c r="K140" s="11"/>
      <c r="L140" s="11"/>
      <c r="M140" s="11"/>
      <c r="N140" s="11"/>
      <c r="O140" s="11"/>
      <c r="P140" s="11"/>
      <c r="Q140" s="11"/>
      <c r="R140" s="11"/>
      <c r="S140" s="11"/>
      <c r="T140" s="11"/>
      <c r="U140" s="11"/>
      <c r="V140" s="11"/>
    </row>
    <row r="141" spans="1:22">
      <c r="B141" s="11"/>
      <c r="C141" s="81"/>
      <c r="D141" s="289" t="s">
        <v>780</v>
      </c>
      <c r="E141" s="289" t="s">
        <v>781</v>
      </c>
      <c r="F141" s="289" t="s">
        <v>782</v>
      </c>
      <c r="G141" s="289" t="s">
        <v>681</v>
      </c>
      <c r="H141" s="11"/>
      <c r="I141" s="11"/>
      <c r="J141" s="11"/>
      <c r="K141" s="11"/>
      <c r="L141" s="11"/>
      <c r="M141" s="11"/>
      <c r="N141" s="11"/>
      <c r="O141" s="11"/>
      <c r="P141" s="11"/>
      <c r="Q141" s="11"/>
      <c r="R141" s="11"/>
      <c r="S141" s="11"/>
      <c r="T141" s="11"/>
      <c r="U141" s="11"/>
      <c r="V141" s="11"/>
    </row>
    <row r="142" spans="1:22">
      <c r="B142" s="11"/>
      <c r="C142" s="315" t="s">
        <v>783</v>
      </c>
      <c r="D142" s="289">
        <v>2020</v>
      </c>
      <c r="E142" s="289">
        <v>39.619999999999997</v>
      </c>
      <c r="F142" s="289">
        <v>48.23</v>
      </c>
      <c r="G142" s="289">
        <v>12.15</v>
      </c>
      <c r="H142" s="11"/>
      <c r="I142" s="11"/>
      <c r="J142" s="11"/>
      <c r="K142" s="11"/>
      <c r="L142" s="11"/>
      <c r="M142" s="11"/>
      <c r="N142" s="11"/>
      <c r="O142" s="11"/>
      <c r="P142" s="11"/>
      <c r="Q142" s="11"/>
      <c r="R142" s="11"/>
      <c r="S142" s="11"/>
      <c r="T142" s="11"/>
      <c r="U142" s="11"/>
      <c r="V142" s="11"/>
    </row>
    <row r="143" spans="1:22">
      <c r="B143" s="11"/>
      <c r="C143" s="81"/>
      <c r="D143" s="12"/>
      <c r="E143" s="12"/>
      <c r="F143" s="12"/>
      <c r="G143" s="12"/>
      <c r="H143" s="11"/>
      <c r="I143" s="11"/>
      <c r="J143" s="11"/>
      <c r="K143" s="11"/>
      <c r="L143" s="11"/>
      <c r="M143" s="11"/>
      <c r="N143" s="11"/>
      <c r="O143" s="11"/>
      <c r="P143" s="11"/>
      <c r="Q143" s="11"/>
      <c r="R143" s="11"/>
      <c r="S143" s="11"/>
      <c r="T143" s="11"/>
      <c r="U143" s="11"/>
      <c r="V143" s="11"/>
    </row>
    <row r="144" spans="1:22">
      <c r="B144" s="11"/>
      <c r="C144" s="81" t="s">
        <v>967</v>
      </c>
      <c r="D144" s="12"/>
      <c r="E144" s="12" t="s">
        <v>968</v>
      </c>
      <c r="F144" s="12"/>
      <c r="G144" s="12"/>
      <c r="H144" s="11"/>
      <c r="I144" s="11"/>
      <c r="J144" s="11"/>
      <c r="K144" s="11"/>
      <c r="L144" s="11"/>
      <c r="M144" s="11"/>
      <c r="N144" s="11"/>
      <c r="O144" s="11"/>
      <c r="P144" s="11"/>
      <c r="Q144" s="11"/>
      <c r="R144" s="11"/>
      <c r="S144" s="11"/>
      <c r="T144" s="11"/>
      <c r="U144" s="11"/>
      <c r="V144" s="11"/>
    </row>
    <row r="145" spans="2:22">
      <c r="B145" s="11"/>
      <c r="C145" s="81"/>
      <c r="D145" s="12"/>
      <c r="E145" s="12"/>
      <c r="F145" s="12"/>
      <c r="G145" s="12"/>
      <c r="H145" s="11"/>
      <c r="I145" s="11"/>
      <c r="J145" s="11"/>
      <c r="K145" s="11"/>
      <c r="L145" s="11"/>
      <c r="M145" s="11"/>
      <c r="N145" s="11"/>
      <c r="O145" s="11"/>
      <c r="P145" s="11"/>
      <c r="Q145" s="11"/>
      <c r="R145" s="11"/>
      <c r="S145" s="11"/>
      <c r="T145" s="11"/>
      <c r="U145" s="11"/>
      <c r="V145" s="11"/>
    </row>
    <row r="146" spans="2:22">
      <c r="B146" s="11"/>
      <c r="D146" s="289" t="s">
        <v>780</v>
      </c>
      <c r="E146" s="289" t="s">
        <v>963</v>
      </c>
      <c r="F146" s="289" t="s">
        <v>964</v>
      </c>
      <c r="G146" s="289" t="s">
        <v>965</v>
      </c>
      <c r="H146" s="11"/>
      <c r="I146" s="11"/>
      <c r="J146" s="11"/>
      <c r="K146" s="11"/>
      <c r="L146" s="11"/>
      <c r="M146" s="11"/>
      <c r="N146" s="11"/>
      <c r="O146" s="11"/>
      <c r="P146" s="11"/>
      <c r="Q146" s="11"/>
      <c r="R146" s="11"/>
      <c r="S146" s="11"/>
      <c r="T146" s="11"/>
      <c r="U146" s="11"/>
      <c r="V146" s="11"/>
    </row>
    <row r="147" spans="2:22">
      <c r="B147" s="11"/>
      <c r="C147" s="315" t="s">
        <v>966</v>
      </c>
      <c r="D147" s="289">
        <v>2020</v>
      </c>
      <c r="E147" s="334">
        <v>15249237</v>
      </c>
      <c r="F147" s="334">
        <v>1200753</v>
      </c>
      <c r="G147" s="334">
        <v>16449989</v>
      </c>
      <c r="H147" s="11"/>
      <c r="I147" s="11"/>
      <c r="J147" s="11"/>
      <c r="K147" s="11"/>
      <c r="L147" s="11"/>
      <c r="M147" s="11"/>
      <c r="N147" s="11"/>
      <c r="O147" s="11"/>
      <c r="P147" s="11"/>
      <c r="Q147" s="11"/>
      <c r="R147" s="11"/>
      <c r="S147" s="11"/>
      <c r="T147" s="11"/>
      <c r="U147" s="11"/>
      <c r="V147" s="11"/>
    </row>
    <row r="148" spans="2:22">
      <c r="B148" s="11"/>
      <c r="C148" s="81"/>
      <c r="D148" s="12"/>
      <c r="E148" s="12"/>
      <c r="F148" s="12"/>
      <c r="G148" s="12"/>
      <c r="H148" s="11"/>
      <c r="I148" s="11"/>
      <c r="J148" s="11"/>
      <c r="K148" s="11"/>
      <c r="L148" s="11"/>
      <c r="M148" s="11"/>
      <c r="N148" s="11"/>
      <c r="O148" s="11"/>
      <c r="P148" s="11"/>
      <c r="Q148" s="11"/>
      <c r="R148" s="11"/>
      <c r="S148" s="11"/>
      <c r="T148" s="11"/>
      <c r="U148" s="11"/>
      <c r="V148" s="11"/>
    </row>
    <row r="149" spans="2:22">
      <c r="B149" s="11"/>
      <c r="C149" t="s">
        <v>773</v>
      </c>
      <c r="D149" s="289" t="s">
        <v>991</v>
      </c>
      <c r="E149" s="289" t="s">
        <v>992</v>
      </c>
      <c r="F149" s="289" t="s">
        <v>993</v>
      </c>
      <c r="G149" s="12"/>
      <c r="H149" s="11"/>
      <c r="I149" s="11"/>
      <c r="J149" s="11"/>
      <c r="K149" s="11"/>
      <c r="L149" s="11"/>
      <c r="M149" s="11"/>
      <c r="N149" s="11"/>
      <c r="O149" s="11"/>
      <c r="P149" s="11"/>
      <c r="Q149" s="11"/>
      <c r="R149" s="11"/>
      <c r="S149" s="11"/>
      <c r="T149" s="11"/>
      <c r="U149" s="11"/>
      <c r="V149" s="11"/>
    </row>
    <row r="150" spans="2:22">
      <c r="B150" s="11"/>
      <c r="C150" s="315" t="s">
        <v>998</v>
      </c>
      <c r="D150" s="289">
        <v>163195000</v>
      </c>
      <c r="E150" s="289">
        <v>18013507</v>
      </c>
      <c r="F150" s="289">
        <f>E150/D150</f>
        <v>0.11038026287570085</v>
      </c>
      <c r="G150" s="12" t="s">
        <v>1004</v>
      </c>
      <c r="H150" s="11"/>
      <c r="I150" s="11"/>
      <c r="J150" s="11"/>
      <c r="K150" s="11"/>
      <c r="L150" s="11"/>
      <c r="M150" s="11"/>
      <c r="N150" s="11"/>
      <c r="O150" s="11"/>
      <c r="P150" s="11"/>
      <c r="Q150" s="11"/>
      <c r="R150" s="11"/>
      <c r="S150" s="11"/>
      <c r="T150" s="11"/>
      <c r="U150" s="11"/>
      <c r="V150" s="11"/>
    </row>
    <row r="151" spans="2:22">
      <c r="B151" s="11"/>
      <c r="C151" s="81"/>
      <c r="D151" s="12"/>
      <c r="E151" s="12"/>
      <c r="F151" s="12"/>
      <c r="G151" s="12"/>
      <c r="H151" s="11"/>
      <c r="I151" s="11"/>
      <c r="J151" s="11"/>
      <c r="K151" s="11"/>
      <c r="L151" s="11"/>
      <c r="M151" s="11"/>
      <c r="N151" s="11"/>
      <c r="O151" s="11"/>
      <c r="P151" s="11"/>
      <c r="Q151" s="11"/>
      <c r="R151" s="11"/>
      <c r="S151" s="11"/>
      <c r="T151" s="11"/>
      <c r="U151" s="11"/>
      <c r="V151" s="11"/>
    </row>
    <row r="152" spans="2:22">
      <c r="B152" s="11"/>
      <c r="C152" s="81" t="s">
        <v>657</v>
      </c>
      <c r="D152" s="289" t="s">
        <v>988</v>
      </c>
      <c r="E152" s="12"/>
      <c r="F152" s="12"/>
      <c r="G152" s="12"/>
      <c r="H152" s="11"/>
      <c r="I152" s="11"/>
      <c r="J152" s="11"/>
      <c r="K152" s="11"/>
      <c r="L152" s="11"/>
      <c r="M152" s="11"/>
      <c r="N152" s="11"/>
      <c r="O152" s="11"/>
      <c r="P152" s="11"/>
      <c r="Q152" s="11"/>
      <c r="R152" s="11"/>
      <c r="S152" s="11"/>
      <c r="T152" s="11"/>
      <c r="U152" s="11"/>
      <c r="V152" s="11"/>
    </row>
    <row r="153" spans="2:22">
      <c r="B153" s="11"/>
      <c r="C153" s="81" t="s">
        <v>657</v>
      </c>
      <c r="D153" s="289" t="s">
        <v>989</v>
      </c>
      <c r="E153" s="12"/>
      <c r="F153" s="12"/>
      <c r="G153" s="12"/>
      <c r="H153" s="11"/>
      <c r="I153" s="11"/>
      <c r="J153" s="11"/>
      <c r="K153" s="11"/>
      <c r="L153" s="11"/>
      <c r="M153" s="11"/>
      <c r="N153" s="11"/>
      <c r="O153" s="11"/>
      <c r="P153" s="11"/>
      <c r="Q153" s="11"/>
      <c r="R153" s="11"/>
      <c r="S153" s="11"/>
      <c r="T153" s="11"/>
      <c r="U153" s="11"/>
      <c r="V153" s="11"/>
    </row>
    <row r="154" spans="2:22">
      <c r="B154" s="11"/>
      <c r="C154" s="315" t="s">
        <v>970</v>
      </c>
      <c r="D154" s="289">
        <v>1949731</v>
      </c>
      <c r="E154" s="12"/>
      <c r="F154" s="12"/>
      <c r="G154" s="12"/>
      <c r="H154" s="11"/>
      <c r="I154" s="11"/>
      <c r="J154" s="11"/>
      <c r="K154" s="11"/>
      <c r="L154" s="11"/>
      <c r="M154" s="11"/>
      <c r="N154" s="11"/>
      <c r="O154" s="11"/>
      <c r="P154" s="11"/>
      <c r="Q154" s="11"/>
      <c r="R154" s="11"/>
      <c r="S154" s="11"/>
      <c r="T154" s="11"/>
      <c r="U154" s="11"/>
      <c r="V154" s="11"/>
    </row>
    <row r="155" spans="2:22">
      <c r="B155" s="11"/>
      <c r="C155" s="315" t="s">
        <v>971</v>
      </c>
      <c r="D155" s="289">
        <v>70056</v>
      </c>
      <c r="E155" s="12"/>
      <c r="F155" s="12"/>
      <c r="G155" s="12"/>
      <c r="H155" s="11"/>
      <c r="I155" s="11"/>
      <c r="J155" s="11"/>
      <c r="K155" s="11"/>
      <c r="L155" s="11"/>
      <c r="M155" s="11"/>
      <c r="N155" s="11"/>
      <c r="O155" s="11"/>
      <c r="P155" s="11"/>
      <c r="Q155" s="11"/>
      <c r="R155" s="11"/>
      <c r="S155" s="11"/>
      <c r="T155" s="11"/>
      <c r="U155" s="11"/>
      <c r="V155" s="11"/>
    </row>
    <row r="156" spans="2:22">
      <c r="B156" s="11"/>
      <c r="C156" s="315" t="s">
        <v>972</v>
      </c>
      <c r="D156" s="289">
        <v>3778</v>
      </c>
      <c r="E156" s="12"/>
      <c r="F156" s="12"/>
      <c r="G156" s="12"/>
      <c r="H156" s="11"/>
      <c r="I156" s="11"/>
      <c r="J156" s="11"/>
      <c r="K156" s="11"/>
      <c r="L156" s="11"/>
      <c r="M156" s="11"/>
      <c r="N156" s="11"/>
      <c r="O156" s="11"/>
      <c r="P156" s="11"/>
      <c r="Q156" s="11"/>
      <c r="R156" s="11"/>
      <c r="S156" s="11"/>
      <c r="T156" s="11"/>
      <c r="U156" s="11"/>
      <c r="V156" s="11"/>
    </row>
    <row r="157" spans="2:22">
      <c r="B157" s="11"/>
      <c r="C157" s="315" t="s">
        <v>973</v>
      </c>
      <c r="D157" s="289">
        <v>83548</v>
      </c>
      <c r="E157" s="12"/>
      <c r="F157" s="12"/>
      <c r="G157" s="12"/>
      <c r="H157" s="11"/>
      <c r="I157" s="11"/>
      <c r="J157" s="11"/>
      <c r="K157" s="11"/>
      <c r="L157" s="11"/>
      <c r="M157" s="11"/>
      <c r="N157" s="11"/>
      <c r="O157" s="11"/>
      <c r="P157" s="11"/>
      <c r="Q157" s="11"/>
      <c r="R157" s="11"/>
      <c r="S157" s="11"/>
      <c r="T157" s="11"/>
      <c r="U157" s="11"/>
      <c r="V157" s="11"/>
    </row>
    <row r="158" spans="2:22">
      <c r="B158" s="11"/>
      <c r="C158" s="315" t="s">
        <v>974</v>
      </c>
      <c r="D158" s="289">
        <v>80324</v>
      </c>
      <c r="E158" s="12"/>
      <c r="F158" s="12"/>
      <c r="G158" s="12"/>
      <c r="H158" s="11"/>
      <c r="I158" s="11"/>
      <c r="J158" s="11"/>
      <c r="K158" s="11"/>
      <c r="L158" s="11"/>
      <c r="M158" s="11"/>
      <c r="N158" s="11"/>
      <c r="O158" s="11"/>
      <c r="P158" s="11"/>
      <c r="Q158" s="11"/>
      <c r="R158" s="11"/>
      <c r="S158" s="11"/>
      <c r="T158" s="11"/>
      <c r="U158" s="11"/>
      <c r="V158" s="11"/>
    </row>
    <row r="159" spans="2:22">
      <c r="B159" s="11"/>
      <c r="C159" s="315" t="s">
        <v>975</v>
      </c>
      <c r="D159" s="289">
        <v>555</v>
      </c>
      <c r="E159" s="12"/>
      <c r="F159" s="12"/>
      <c r="G159" s="12"/>
      <c r="H159" s="11"/>
      <c r="I159" s="11"/>
      <c r="J159" s="11"/>
      <c r="K159" s="11"/>
      <c r="L159" s="11"/>
      <c r="M159" s="11"/>
      <c r="N159" s="11"/>
      <c r="O159" s="11"/>
      <c r="P159" s="11"/>
      <c r="Q159" s="11"/>
      <c r="R159" s="11"/>
      <c r="S159" s="11"/>
      <c r="T159" s="11"/>
      <c r="U159" s="11"/>
      <c r="V159" s="11"/>
    </row>
    <row r="160" spans="2:22">
      <c r="B160" s="11"/>
      <c r="C160" s="315" t="s">
        <v>976</v>
      </c>
      <c r="D160" s="289">
        <v>16319</v>
      </c>
      <c r="E160" s="12"/>
      <c r="F160" s="12"/>
      <c r="G160" s="12"/>
      <c r="H160" s="11"/>
      <c r="I160" s="11"/>
      <c r="J160" s="11"/>
      <c r="K160" s="11"/>
      <c r="L160" s="11"/>
      <c r="M160" s="11"/>
      <c r="N160" s="11"/>
      <c r="O160" s="11"/>
      <c r="P160" s="11"/>
      <c r="Q160" s="11"/>
      <c r="R160" s="11"/>
      <c r="S160" s="11"/>
      <c r="T160" s="11"/>
      <c r="U160" s="11"/>
      <c r="V160" s="11"/>
    </row>
    <row r="161" spans="2:22">
      <c r="B161" s="11"/>
      <c r="C161" s="315" t="s">
        <v>977</v>
      </c>
      <c r="D161" s="289">
        <v>5903</v>
      </c>
      <c r="E161" s="12"/>
      <c r="F161" s="12"/>
      <c r="G161" s="12"/>
      <c r="H161" s="11"/>
      <c r="I161" s="11"/>
      <c r="J161" s="11"/>
      <c r="K161" s="11"/>
      <c r="L161" s="11"/>
      <c r="M161" s="11"/>
      <c r="N161" s="11"/>
      <c r="O161" s="11"/>
      <c r="P161" s="11"/>
      <c r="Q161" s="11"/>
      <c r="R161" s="11"/>
      <c r="S161" s="11"/>
      <c r="T161" s="11"/>
      <c r="U161" s="11"/>
      <c r="V161" s="11"/>
    </row>
    <row r="162" spans="2:22">
      <c r="B162" s="11"/>
      <c r="C162" s="315" t="s">
        <v>978</v>
      </c>
      <c r="D162" s="289">
        <v>1793</v>
      </c>
      <c r="E162" s="12"/>
      <c r="F162" s="12"/>
      <c r="G162" s="12"/>
      <c r="H162" s="11"/>
      <c r="I162" s="11"/>
      <c r="J162" s="11"/>
      <c r="K162" s="11"/>
      <c r="L162" s="11"/>
      <c r="M162" s="11"/>
      <c r="N162" s="11"/>
      <c r="O162" s="11"/>
      <c r="P162" s="11"/>
      <c r="Q162" s="11"/>
      <c r="R162" s="11"/>
      <c r="S162" s="11"/>
      <c r="T162" s="11"/>
      <c r="U162" s="11"/>
      <c r="V162" s="11"/>
    </row>
    <row r="163" spans="2:22">
      <c r="B163" s="11"/>
      <c r="C163" s="315" t="s">
        <v>979</v>
      </c>
      <c r="D163" s="289">
        <v>68</v>
      </c>
      <c r="E163" s="12"/>
      <c r="F163" s="12"/>
      <c r="G163" s="12"/>
      <c r="H163" s="11"/>
      <c r="I163" s="11"/>
      <c r="J163" s="11"/>
      <c r="K163" s="11"/>
      <c r="L163" s="11"/>
      <c r="M163" s="11"/>
      <c r="N163" s="11"/>
      <c r="O163" s="11"/>
      <c r="P163" s="11"/>
      <c r="Q163" s="11"/>
      <c r="R163" s="11"/>
      <c r="S163" s="11"/>
      <c r="T163" s="11"/>
      <c r="U163" s="11"/>
      <c r="V163" s="11"/>
    </row>
    <row r="164" spans="2:22">
      <c r="B164" s="11"/>
      <c r="C164" s="315" t="s">
        <v>980</v>
      </c>
      <c r="D164" s="289">
        <v>129776</v>
      </c>
      <c r="E164" s="12"/>
      <c r="F164" s="12"/>
      <c r="G164" s="12"/>
      <c r="H164" s="11"/>
      <c r="I164" s="11"/>
      <c r="J164" s="11"/>
      <c r="K164" s="11"/>
      <c r="L164" s="11"/>
      <c r="M164" s="11"/>
      <c r="N164" s="11"/>
      <c r="O164" s="11"/>
      <c r="P164" s="11"/>
      <c r="Q164" s="11"/>
      <c r="R164" s="11"/>
      <c r="S164" s="11"/>
      <c r="T164" s="11"/>
      <c r="U164" s="11"/>
      <c r="V164" s="11"/>
    </row>
    <row r="165" spans="2:22">
      <c r="B165" s="11"/>
      <c r="C165" s="315" t="s">
        <v>981</v>
      </c>
      <c r="D165" s="289">
        <v>70535</v>
      </c>
      <c r="E165" s="12"/>
      <c r="F165" s="12"/>
      <c r="G165" s="12"/>
      <c r="H165" s="11"/>
      <c r="I165" s="11"/>
      <c r="J165" s="11"/>
      <c r="K165" s="11"/>
      <c r="L165" s="11"/>
      <c r="M165" s="11"/>
      <c r="N165" s="11"/>
      <c r="O165" s="11"/>
      <c r="P165" s="11"/>
      <c r="Q165" s="11"/>
      <c r="R165" s="11"/>
      <c r="S165" s="11"/>
      <c r="T165" s="11"/>
      <c r="U165" s="11"/>
      <c r="V165" s="11"/>
    </row>
    <row r="166" spans="2:22">
      <c r="B166" s="11"/>
      <c r="C166" s="315" t="s">
        <v>982</v>
      </c>
      <c r="D166" s="289">
        <v>0</v>
      </c>
      <c r="E166" s="12"/>
      <c r="F166" s="12"/>
      <c r="G166" s="12"/>
      <c r="H166" s="11"/>
      <c r="I166" s="11"/>
      <c r="J166" s="11"/>
      <c r="K166" s="11"/>
      <c r="L166" s="11"/>
      <c r="M166" s="11"/>
      <c r="N166" s="11"/>
      <c r="O166" s="11"/>
      <c r="P166" s="11"/>
      <c r="Q166" s="11"/>
      <c r="R166" s="11"/>
      <c r="S166" s="11"/>
      <c r="T166" s="11"/>
      <c r="U166" s="11"/>
      <c r="V166" s="11"/>
    </row>
    <row r="167" spans="2:22">
      <c r="B167" s="11"/>
      <c r="C167" s="315" t="s">
        <v>983</v>
      </c>
      <c r="D167" s="289">
        <v>22142</v>
      </c>
      <c r="E167" s="12"/>
      <c r="F167" s="12"/>
      <c r="G167" s="12"/>
      <c r="H167" s="11"/>
      <c r="I167" s="11"/>
      <c r="J167" s="11"/>
      <c r="K167" s="11"/>
      <c r="L167" s="11"/>
      <c r="M167" s="11"/>
      <c r="N167" s="11"/>
      <c r="O167" s="11"/>
      <c r="P167" s="11"/>
      <c r="Q167" s="11"/>
      <c r="R167" s="11"/>
      <c r="S167" s="11"/>
      <c r="T167" s="11"/>
      <c r="U167" s="11"/>
      <c r="V167" s="11"/>
    </row>
    <row r="168" spans="2:22">
      <c r="B168" s="11"/>
      <c r="C168" s="315" t="s">
        <v>984</v>
      </c>
      <c r="D168" s="289">
        <v>49</v>
      </c>
      <c r="E168" s="12"/>
      <c r="F168" s="12"/>
      <c r="G168" s="12"/>
      <c r="H168" s="11"/>
      <c r="I168" s="11"/>
      <c r="J168" s="11"/>
      <c r="K168" s="11"/>
      <c r="L168" s="11"/>
      <c r="M168" s="11"/>
      <c r="N168" s="11"/>
      <c r="O168" s="11"/>
      <c r="P168" s="11"/>
      <c r="Q168" s="11"/>
      <c r="R168" s="11"/>
      <c r="S168" s="11"/>
      <c r="T168" s="11"/>
      <c r="U168" s="11"/>
      <c r="V168" s="11"/>
    </row>
    <row r="169" spans="2:22">
      <c r="B169" s="11"/>
      <c r="C169" s="315" t="s">
        <v>985</v>
      </c>
      <c r="D169" s="289">
        <v>2019787</v>
      </c>
      <c r="E169" s="12"/>
      <c r="F169" s="12"/>
      <c r="G169" s="12"/>
      <c r="H169" s="11"/>
      <c r="I169" s="11"/>
      <c r="J169" s="11"/>
      <c r="K169" s="11"/>
      <c r="L169" s="11"/>
      <c r="M169" s="11"/>
      <c r="N169" s="11"/>
      <c r="O169" s="11"/>
      <c r="P169" s="11"/>
      <c r="Q169" s="11"/>
      <c r="R169" s="11"/>
      <c r="S169" s="11"/>
      <c r="T169" s="11"/>
      <c r="U169" s="11"/>
      <c r="V169" s="11"/>
    </row>
    <row r="170" spans="2:22">
      <c r="B170" s="11"/>
      <c r="C170" s="315" t="s">
        <v>986</v>
      </c>
      <c r="D170" s="289">
        <v>414790</v>
      </c>
      <c r="E170" s="12"/>
      <c r="F170" s="12"/>
      <c r="G170" s="12"/>
      <c r="H170" s="11"/>
      <c r="I170" s="11"/>
      <c r="J170" s="11"/>
      <c r="K170" s="11"/>
      <c r="L170" s="11"/>
      <c r="M170" s="11"/>
      <c r="N170" s="11"/>
      <c r="O170" s="11"/>
      <c r="P170" s="11"/>
      <c r="Q170" s="11"/>
      <c r="R170" s="11"/>
      <c r="S170" s="11"/>
      <c r="T170" s="11"/>
      <c r="U170" s="11"/>
      <c r="V170" s="11"/>
    </row>
    <row r="171" spans="2:22">
      <c r="B171" s="11"/>
      <c r="C171" s="315" t="s">
        <v>987</v>
      </c>
      <c r="D171" s="289">
        <v>2434577</v>
      </c>
      <c r="E171" s="12"/>
      <c r="F171" s="12"/>
      <c r="G171" s="12"/>
      <c r="H171" s="11"/>
      <c r="I171" s="11"/>
      <c r="J171" s="11"/>
      <c r="K171" s="11"/>
      <c r="L171" s="11"/>
      <c r="M171" s="11"/>
      <c r="N171" s="11"/>
      <c r="O171" s="11"/>
      <c r="P171" s="11"/>
      <c r="Q171" s="11"/>
      <c r="R171" s="11"/>
      <c r="S171" s="11"/>
      <c r="T171" s="11"/>
      <c r="U171" s="11"/>
      <c r="V171" s="11"/>
    </row>
    <row r="172" spans="2:22">
      <c r="B172" s="11"/>
      <c r="C172" s="81"/>
      <c r="D172" s="12"/>
      <c r="E172" s="12"/>
      <c r="F172" s="12"/>
      <c r="G172" s="12"/>
      <c r="H172" s="11"/>
      <c r="I172" s="11"/>
      <c r="J172" s="11"/>
      <c r="K172" s="11"/>
      <c r="L172" s="11"/>
      <c r="M172" s="11"/>
      <c r="N172" s="11"/>
      <c r="O172" s="11"/>
      <c r="P172" s="11"/>
      <c r="Q172" s="11"/>
      <c r="R172" s="11"/>
      <c r="S172" s="11"/>
      <c r="T172" s="11"/>
      <c r="U172" s="11"/>
      <c r="V172" s="11"/>
    </row>
    <row r="173" spans="2:22">
      <c r="B173" s="11"/>
      <c r="C173" s="81"/>
      <c r="D173" s="12"/>
      <c r="E173" s="12"/>
      <c r="F173" s="12"/>
      <c r="G173" s="12"/>
      <c r="H173" s="11"/>
      <c r="I173" s="11"/>
      <c r="J173" s="11"/>
      <c r="K173" s="11"/>
      <c r="L173" s="11"/>
      <c r="M173" s="11"/>
      <c r="N173" s="11"/>
      <c r="O173" s="11"/>
      <c r="P173" s="11"/>
      <c r="Q173" s="11"/>
      <c r="R173" s="11"/>
      <c r="S173" s="11"/>
      <c r="T173" s="11"/>
      <c r="U173" s="11"/>
      <c r="V173" s="11"/>
    </row>
    <row r="174" spans="2:22">
      <c r="B174" s="11"/>
      <c r="C174" s="81"/>
      <c r="D174" s="12"/>
      <c r="E174" s="12"/>
      <c r="F174" s="678" t="s">
        <v>632</v>
      </c>
      <c r="G174" s="679"/>
      <c r="H174" s="680"/>
      <c r="I174" s="678" t="s">
        <v>990</v>
      </c>
      <c r="J174" s="679"/>
      <c r="K174" s="680"/>
      <c r="L174" s="11"/>
      <c r="M174" s="11"/>
      <c r="N174" s="11"/>
      <c r="O174" s="11"/>
      <c r="P174" s="11"/>
      <c r="Q174" s="11"/>
      <c r="R174" s="11"/>
      <c r="S174" s="11"/>
      <c r="T174" s="11"/>
      <c r="U174" s="11"/>
      <c r="V174" s="11"/>
    </row>
    <row r="175" spans="2:22">
      <c r="B175" s="11"/>
      <c r="C175" s="478" t="s">
        <v>679</v>
      </c>
      <c r="D175" s="315" t="s">
        <v>994</v>
      </c>
      <c r="E175" s="289" t="s">
        <v>995</v>
      </c>
      <c r="F175" s="478" t="s">
        <v>999</v>
      </c>
      <c r="G175" s="478" t="s">
        <v>940</v>
      </c>
      <c r="H175" s="478" t="s">
        <v>1001</v>
      </c>
      <c r="I175" s="478" t="s">
        <v>999</v>
      </c>
      <c r="J175" s="478" t="s">
        <v>940</v>
      </c>
      <c r="K175" s="478" t="s">
        <v>1000</v>
      </c>
      <c r="L175" s="11"/>
      <c r="M175" s="11"/>
      <c r="N175" s="11"/>
      <c r="O175" s="11"/>
      <c r="P175" s="11"/>
      <c r="Q175" s="11"/>
      <c r="R175" s="11"/>
      <c r="S175" s="11"/>
      <c r="T175" s="11"/>
      <c r="U175" s="11"/>
      <c r="V175" s="11"/>
    </row>
    <row r="176" spans="2:22">
      <c r="B176" s="11"/>
      <c r="C176" s="544" t="s">
        <v>996</v>
      </c>
      <c r="D176" s="289">
        <f>M_Datos!F116</f>
        <v>0</v>
      </c>
      <c r="E176" s="289">
        <f>G142/100</f>
        <v>0.1215</v>
      </c>
      <c r="F176" s="289">
        <f>$G$147*IF(SUM($D$176:$D$179)=1,D176,E176)*$F$150</f>
        <v>220614.12437987007</v>
      </c>
      <c r="G176" s="289">
        <f>F176*M_Factores!E247</f>
        <v>4632896.6119772717</v>
      </c>
      <c r="H176" s="478">
        <f>G176/($E$28)</f>
        <v>3.7018481988645283E-2</v>
      </c>
      <c r="I176" s="239">
        <f>$D$171*IF(SUM($D$176:$D$179)=1,D176,E176)</f>
        <v>295801.10550000001</v>
      </c>
      <c r="J176" s="289">
        <f>I176*M_Factores!E247</f>
        <v>6211823.2154999999</v>
      </c>
      <c r="K176" s="239">
        <f>J176/($D$28+$F$28+$G$28)</f>
        <v>8.9067480510499255E-3</v>
      </c>
      <c r="L176" s="11"/>
      <c r="M176" s="11"/>
      <c r="N176" s="11"/>
      <c r="O176" s="11"/>
      <c r="P176" s="11"/>
      <c r="Q176" s="11"/>
      <c r="R176" s="11"/>
      <c r="S176" s="11"/>
      <c r="T176" s="11"/>
      <c r="U176" s="11"/>
      <c r="V176" s="11"/>
    </row>
    <row r="177" spans="1:22">
      <c r="B177" s="11"/>
      <c r="C177" s="544" t="s">
        <v>684</v>
      </c>
      <c r="D177" s="289">
        <f>M_Datos!F117</f>
        <v>0</v>
      </c>
      <c r="E177" s="289">
        <f>F142/100</f>
        <v>0.48229999999999995</v>
      </c>
      <c r="F177" s="289">
        <f t="shared" ref="F177:F179" si="11">$G$147*IF(SUM($D$176:$D$179)=1,D177,E177)*$F$150</f>
        <v>875738.20731202734</v>
      </c>
      <c r="G177" s="289">
        <f>F177*M_Factores!E248</f>
        <v>174271903.25509346</v>
      </c>
      <c r="H177" s="478">
        <f t="shared" ref="H177:H179" si="12">G177/($E$28)</f>
        <v>1.3924941245391338</v>
      </c>
      <c r="I177" s="239">
        <f t="shared" ref="I177:I179" si="13">$D$171*IF(SUM($D$176:$D$179)=1,D177,E177)</f>
        <v>1174196.4870999998</v>
      </c>
      <c r="J177" s="289">
        <f>I177*M_Factores!E250</f>
        <v>405147430.84040976</v>
      </c>
      <c r="K177" s="239">
        <f t="shared" ref="K177:K179" si="14">J177/($D$28+$F$28+$G$28)</f>
        <v>0.58091577381363813</v>
      </c>
      <c r="L177" s="11"/>
      <c r="M177" s="11"/>
      <c r="N177" s="11"/>
      <c r="O177" s="11"/>
      <c r="P177" s="11"/>
      <c r="Q177" s="11"/>
      <c r="R177" s="11"/>
      <c r="S177" s="11"/>
      <c r="T177" s="11"/>
      <c r="U177" s="11"/>
      <c r="V177" s="11"/>
    </row>
    <row r="178" spans="1:22">
      <c r="B178" s="11"/>
      <c r="C178" s="544" t="s">
        <v>781</v>
      </c>
      <c r="D178" s="289">
        <f>M_Datos!F118</f>
        <v>0</v>
      </c>
      <c r="E178" s="289">
        <f>E142/100</f>
        <v>0.3962</v>
      </c>
      <c r="F178" s="289">
        <f t="shared" si="11"/>
        <v>719401.77843048994</v>
      </c>
      <c r="G178" s="289">
        <f>F178*M_Factores!E252</f>
        <v>15107437.347040288</v>
      </c>
      <c r="H178" s="478">
        <f t="shared" si="12"/>
        <v>0.12071376595803505</v>
      </c>
      <c r="I178" s="239">
        <f t="shared" si="13"/>
        <v>964579.40740000003</v>
      </c>
      <c r="J178" s="289">
        <f>I178*M_Factores!E252</f>
        <v>20256167.555399999</v>
      </c>
      <c r="K178" s="239">
        <f t="shared" si="14"/>
        <v>2.9044062368938112E-2</v>
      </c>
      <c r="L178" s="11"/>
      <c r="M178" s="11"/>
      <c r="N178" s="11"/>
      <c r="O178" s="11"/>
      <c r="P178" s="11"/>
      <c r="Q178" s="11"/>
      <c r="R178" s="11"/>
      <c r="S178" s="11"/>
      <c r="T178" s="11"/>
      <c r="U178" s="11"/>
      <c r="V178" s="11"/>
    </row>
    <row r="179" spans="1:22">
      <c r="B179" s="11"/>
      <c r="C179" s="544" t="s">
        <v>997</v>
      </c>
      <c r="D179" s="289">
        <f>M_Datos!F119</f>
        <v>0</v>
      </c>
      <c r="E179" s="289">
        <v>0</v>
      </c>
      <c r="F179" s="289">
        <f t="shared" si="11"/>
        <v>0</v>
      </c>
      <c r="G179" s="289">
        <f>F179*M_Factores!E251</f>
        <v>0</v>
      </c>
      <c r="H179" s="478">
        <f t="shared" si="12"/>
        <v>0</v>
      </c>
      <c r="I179" s="239">
        <f t="shared" si="13"/>
        <v>0</v>
      </c>
      <c r="J179" s="289">
        <f>I179*M_Factores!E251</f>
        <v>0</v>
      </c>
      <c r="K179" s="239">
        <f t="shared" si="14"/>
        <v>0</v>
      </c>
      <c r="L179" s="11"/>
      <c r="M179" s="11"/>
      <c r="N179" s="11"/>
      <c r="O179" s="11"/>
      <c r="P179" s="11"/>
      <c r="Q179" s="11"/>
      <c r="R179" s="11"/>
      <c r="S179" s="11"/>
      <c r="T179" s="11"/>
      <c r="U179" s="11"/>
      <c r="V179" s="11"/>
    </row>
    <row r="180" spans="1:22">
      <c r="B180" s="11"/>
      <c r="C180" s="81"/>
      <c r="D180" s="12"/>
      <c r="E180" s="12"/>
      <c r="F180" s="12"/>
      <c r="G180" s="12"/>
      <c r="H180" s="11">
        <f>SUM(H176:H179)</f>
        <v>1.5502263724858141</v>
      </c>
      <c r="I180" s="11"/>
      <c r="J180" s="11"/>
      <c r="K180" s="11">
        <f>SUM(K176:K179)</f>
        <v>0.61886658423362617</v>
      </c>
      <c r="L180" s="11"/>
      <c r="M180" s="11"/>
      <c r="N180" s="11"/>
      <c r="O180" s="11"/>
      <c r="P180" s="11"/>
      <c r="Q180" s="11"/>
      <c r="R180" s="11"/>
      <c r="S180" s="11"/>
      <c r="T180" s="11"/>
      <c r="U180" s="11"/>
      <c r="V180" s="11"/>
    </row>
    <row r="181" spans="1:22">
      <c r="B181" s="11"/>
      <c r="C181" s="81"/>
      <c r="D181" s="12"/>
      <c r="E181" s="12"/>
      <c r="F181" s="12"/>
      <c r="G181" s="12"/>
      <c r="H181" s="11"/>
      <c r="I181" s="11"/>
      <c r="J181" s="11"/>
      <c r="K181" s="11"/>
      <c r="L181" s="11"/>
      <c r="M181" s="11"/>
      <c r="N181" s="11"/>
      <c r="O181" s="11"/>
      <c r="P181" s="11"/>
      <c r="Q181" s="11"/>
      <c r="R181" s="11"/>
      <c r="S181" s="11"/>
      <c r="T181" s="11"/>
      <c r="U181" s="11"/>
      <c r="V181" s="11"/>
    </row>
    <row r="182" spans="1:22">
      <c r="B182" s="11"/>
      <c r="C182" s="81"/>
      <c r="D182" s="12"/>
      <c r="E182" s="12"/>
      <c r="F182" s="12"/>
      <c r="G182" s="12"/>
      <c r="H182" s="11"/>
      <c r="I182" s="11"/>
      <c r="J182" s="11"/>
      <c r="K182" s="11"/>
      <c r="L182" s="11"/>
      <c r="M182" s="11"/>
      <c r="N182" s="11"/>
      <c r="O182" s="11"/>
      <c r="P182" s="11"/>
      <c r="Q182" s="11"/>
      <c r="R182" s="11"/>
      <c r="S182" s="11"/>
      <c r="T182" s="11"/>
      <c r="U182" s="11"/>
      <c r="V182" s="11"/>
    </row>
    <row r="183" spans="1:22">
      <c r="B183" s="11"/>
      <c r="C183" s="81"/>
      <c r="D183" s="12"/>
      <c r="E183" s="12"/>
      <c r="F183" s="12"/>
      <c r="G183" s="12"/>
      <c r="H183" s="11"/>
      <c r="I183" s="11"/>
      <c r="J183" s="11"/>
      <c r="K183" s="11"/>
      <c r="L183" s="11"/>
      <c r="M183" s="11"/>
      <c r="N183" s="11"/>
      <c r="O183" s="11"/>
      <c r="P183" s="11"/>
      <c r="Q183" s="11"/>
      <c r="R183" s="11"/>
      <c r="S183" s="11"/>
      <c r="T183" s="11"/>
      <c r="U183" s="11"/>
      <c r="V183" s="11"/>
    </row>
    <row r="184" spans="1:22">
      <c r="B184" s="11"/>
      <c r="C184" s="81"/>
      <c r="D184" s="12"/>
      <c r="E184" s="12"/>
      <c r="F184" s="12"/>
      <c r="G184" s="12"/>
      <c r="H184" s="11"/>
      <c r="I184" s="11"/>
      <c r="J184" s="11"/>
      <c r="K184" s="11"/>
      <c r="L184" s="11"/>
      <c r="M184" s="11"/>
      <c r="N184" s="11"/>
      <c r="O184" s="11"/>
      <c r="P184" s="11"/>
      <c r="Q184" s="11"/>
      <c r="R184" s="11"/>
      <c r="S184" s="11"/>
      <c r="T184" s="11"/>
      <c r="U184" s="11"/>
      <c r="V184" s="11"/>
    </row>
    <row r="185" spans="1:22">
      <c r="B185" s="11"/>
      <c r="C185" s="81"/>
      <c r="D185" s="12"/>
      <c r="E185" s="12"/>
      <c r="F185" s="12"/>
      <c r="G185" s="12"/>
      <c r="H185" s="11"/>
      <c r="I185" s="11"/>
      <c r="J185" s="11"/>
      <c r="K185" s="11"/>
      <c r="L185" s="11"/>
      <c r="M185" s="11"/>
      <c r="N185" s="11"/>
      <c r="O185" s="11"/>
      <c r="P185" s="11"/>
      <c r="Q185" s="11"/>
      <c r="R185" s="11"/>
      <c r="S185" s="11"/>
      <c r="T185" s="11"/>
      <c r="U185" s="11"/>
      <c r="V185" s="11"/>
    </row>
    <row r="186" spans="1:22">
      <c r="B186" s="11"/>
      <c r="C186" s="81"/>
      <c r="D186" s="12"/>
      <c r="E186" s="12"/>
      <c r="F186" s="12"/>
      <c r="G186" s="12"/>
      <c r="H186" s="11"/>
      <c r="I186" s="11"/>
      <c r="J186" s="11"/>
      <c r="K186" s="11"/>
      <c r="L186" s="11"/>
      <c r="M186" s="11"/>
      <c r="N186" s="11"/>
      <c r="O186" s="11"/>
      <c r="P186" s="11"/>
      <c r="Q186" s="11"/>
      <c r="R186" s="11"/>
      <c r="S186" s="11"/>
      <c r="T186" s="11"/>
      <c r="U186" s="11"/>
      <c r="V186" s="11"/>
    </row>
    <row r="187" spans="1:22">
      <c r="B187" s="11"/>
      <c r="C187" s="81"/>
      <c r="D187" s="12"/>
      <c r="E187" s="12"/>
      <c r="F187" s="12"/>
      <c r="G187" s="12"/>
      <c r="H187" s="11"/>
      <c r="I187" s="11"/>
      <c r="J187" s="11"/>
      <c r="K187" s="11"/>
      <c r="L187" s="11"/>
      <c r="M187" s="11"/>
      <c r="N187" s="11"/>
      <c r="O187" s="11"/>
      <c r="P187" s="11"/>
      <c r="Q187" s="11"/>
      <c r="R187" s="11"/>
      <c r="S187" s="11"/>
      <c r="T187" s="11"/>
      <c r="U187" s="11"/>
      <c r="V187" s="11"/>
    </row>
    <row r="188" spans="1:22">
      <c r="B188" s="11"/>
      <c r="C188" s="11"/>
      <c r="D188" s="11"/>
      <c r="E188" s="11"/>
      <c r="F188" s="11"/>
      <c r="G188" s="11"/>
      <c r="H188" s="12"/>
      <c r="I188" s="12"/>
      <c r="J188" s="12"/>
      <c r="K188" s="12"/>
      <c r="L188" s="12"/>
      <c r="M188" s="11"/>
      <c r="N188" s="11"/>
      <c r="O188" s="11"/>
      <c r="P188" s="11"/>
      <c r="Q188" s="11"/>
      <c r="R188" s="11"/>
      <c r="S188" s="11"/>
      <c r="T188" s="11"/>
      <c r="U188" s="11"/>
      <c r="V188" s="11"/>
    </row>
    <row r="189" spans="1:22" s="257" customFormat="1">
      <c r="A189" s="145"/>
      <c r="B189" s="254"/>
      <c r="C189" s="255" t="s">
        <v>692</v>
      </c>
      <c r="D189" s="254"/>
      <c r="E189" s="254"/>
      <c r="F189" s="254"/>
      <c r="G189" s="254"/>
      <c r="H189" s="254"/>
      <c r="I189" s="254"/>
      <c r="J189" s="254"/>
      <c r="K189" s="254"/>
      <c r="L189" s="254"/>
      <c r="M189" s="254"/>
      <c r="N189" s="254"/>
      <c r="O189" s="254"/>
      <c r="P189" s="254"/>
      <c r="Q189" s="254"/>
      <c r="R189" s="254"/>
      <c r="S189" s="254"/>
      <c r="T189" s="254"/>
      <c r="U189" s="254"/>
      <c r="V189" s="254"/>
    </row>
    <row r="190" spans="1:22">
      <c r="B190" s="11"/>
      <c r="C190" s="1"/>
      <c r="D190" s="1"/>
      <c r="E190" s="1"/>
      <c r="F190" s="1"/>
      <c r="G190" s="11"/>
      <c r="H190" s="11"/>
      <c r="I190" s="11"/>
      <c r="J190" s="11"/>
      <c r="K190" s="11"/>
      <c r="L190" s="11"/>
      <c r="M190" s="11"/>
      <c r="N190" s="11"/>
      <c r="O190" s="11"/>
      <c r="P190" s="11"/>
      <c r="Q190" s="11"/>
      <c r="R190" s="11"/>
      <c r="S190" s="11"/>
      <c r="T190" s="11"/>
      <c r="U190" s="11"/>
      <c r="V190" s="11"/>
    </row>
    <row r="191" spans="1:22">
      <c r="B191" s="11"/>
      <c r="C191" s="39" t="s">
        <v>784</v>
      </c>
      <c r="D191" s="1"/>
      <c r="E191" s="1"/>
      <c r="F191" s="1"/>
      <c r="G191" s="11"/>
      <c r="H191" s="11"/>
      <c r="I191" s="11"/>
      <c r="J191" s="11"/>
      <c r="K191" s="11"/>
      <c r="L191" s="11"/>
      <c r="M191" s="11"/>
      <c r="N191" s="11"/>
      <c r="O191" s="11"/>
      <c r="P191" s="11"/>
      <c r="Q191" s="11"/>
      <c r="R191" s="11"/>
      <c r="S191" s="11"/>
      <c r="T191" s="11"/>
      <c r="U191" s="11"/>
      <c r="V191" s="11"/>
    </row>
    <row r="192" spans="1:22">
      <c r="B192" s="11"/>
      <c r="C192" s="1"/>
      <c r="D192" s="1"/>
      <c r="E192" s="1"/>
      <c r="F192" s="1"/>
      <c r="G192" s="11"/>
      <c r="H192" s="11"/>
      <c r="I192" s="11"/>
      <c r="J192" s="11"/>
      <c r="K192" s="11"/>
      <c r="L192" s="11"/>
      <c r="M192" s="11"/>
      <c r="N192" s="11"/>
      <c r="O192" s="11"/>
      <c r="P192" s="11"/>
      <c r="Q192" s="11"/>
      <c r="R192" s="11"/>
      <c r="S192" s="11"/>
      <c r="T192" s="11"/>
      <c r="U192" s="11"/>
      <c r="V192" s="11"/>
    </row>
    <row r="193" spans="2:22">
      <c r="B193" s="11"/>
      <c r="C193" s="39" t="s">
        <v>785</v>
      </c>
      <c r="D193" s="1"/>
      <c r="E193" s="1"/>
      <c r="F193" s="1"/>
      <c r="G193" s="11"/>
      <c r="H193" s="11"/>
      <c r="I193" s="11"/>
      <c r="J193" s="11"/>
      <c r="K193" s="11"/>
      <c r="L193" s="11"/>
      <c r="M193" s="11"/>
      <c r="N193" s="11"/>
      <c r="O193" s="11"/>
      <c r="P193" s="11"/>
      <c r="Q193" s="11"/>
      <c r="R193" s="11"/>
      <c r="S193" s="11"/>
      <c r="T193" s="11"/>
      <c r="U193" s="11"/>
      <c r="V193" s="11"/>
    </row>
    <row r="194" spans="2:22">
      <c r="B194" s="11"/>
      <c r="C194" s="1"/>
      <c r="D194" s="1"/>
      <c r="E194" s="1"/>
      <c r="F194" s="1"/>
      <c r="G194" s="11"/>
      <c r="H194" s="11"/>
      <c r="I194" s="11"/>
      <c r="J194" s="11"/>
      <c r="K194" s="11"/>
      <c r="L194" s="11"/>
      <c r="M194" s="11"/>
      <c r="N194" s="11"/>
      <c r="O194" s="11"/>
      <c r="P194" s="11"/>
      <c r="Q194" s="11"/>
      <c r="R194" s="11"/>
      <c r="S194" s="11"/>
      <c r="T194" s="11"/>
      <c r="U194" s="11"/>
      <c r="V194" s="11"/>
    </row>
    <row r="195" spans="2:22">
      <c r="B195" s="11"/>
      <c r="C195" s="230"/>
      <c r="D195" s="230" t="s">
        <v>786</v>
      </c>
      <c r="E195" s="230" t="s">
        <v>787</v>
      </c>
      <c r="F195" s="230" t="s">
        <v>788</v>
      </c>
      <c r="G195" s="239" t="s">
        <v>655</v>
      </c>
      <c r="H195" s="11"/>
      <c r="I195" s="11"/>
      <c r="J195" s="11"/>
      <c r="K195" s="11"/>
      <c r="L195" s="11"/>
      <c r="M195" s="11"/>
      <c r="N195" s="11"/>
      <c r="O195" s="11"/>
      <c r="P195" s="11"/>
      <c r="Q195" s="11"/>
      <c r="R195" s="11"/>
      <c r="S195" s="11"/>
      <c r="T195" s="11"/>
      <c r="U195" s="11"/>
      <c r="V195" s="11"/>
    </row>
    <row r="196" spans="2:22">
      <c r="B196" s="11"/>
      <c r="C196" s="230" t="s">
        <v>789</v>
      </c>
      <c r="D196" s="230">
        <v>57296</v>
      </c>
      <c r="E196" s="230">
        <v>289555</v>
      </c>
      <c r="F196" s="230">
        <v>42817</v>
      </c>
      <c r="G196" s="359" t="s">
        <v>790</v>
      </c>
      <c r="H196" s="11"/>
      <c r="I196" s="11"/>
      <c r="J196" s="11"/>
      <c r="K196" s="11"/>
      <c r="L196" s="11"/>
      <c r="M196" s="11"/>
      <c r="N196" s="11"/>
      <c r="O196" s="11"/>
      <c r="P196" s="11"/>
      <c r="Q196" s="11"/>
      <c r="R196" s="11"/>
      <c r="S196" s="11"/>
      <c r="T196" s="11"/>
      <c r="U196" s="11"/>
      <c r="V196" s="11"/>
    </row>
    <row r="197" spans="2:22">
      <c r="B197" s="11"/>
      <c r="C197" s="1"/>
      <c r="D197" s="1"/>
      <c r="E197" s="1"/>
      <c r="F197" s="1"/>
      <c r="G197" s="11"/>
      <c r="H197" s="11"/>
      <c r="I197" s="11"/>
      <c r="J197" s="11"/>
      <c r="K197" s="11"/>
      <c r="L197" s="11"/>
      <c r="M197" s="11"/>
      <c r="N197" s="11"/>
      <c r="O197" s="11"/>
      <c r="P197" s="11"/>
      <c r="Q197" s="11"/>
      <c r="R197" s="11"/>
      <c r="S197" s="11"/>
      <c r="T197" s="11"/>
      <c r="U197" s="11"/>
      <c r="V197" s="11"/>
    </row>
    <row r="198" spans="2:22">
      <c r="B198" s="11"/>
      <c r="C198" s="39" t="s">
        <v>791</v>
      </c>
      <c r="D198" s="1"/>
      <c r="E198" s="1"/>
      <c r="F198" s="1"/>
      <c r="G198" s="11"/>
      <c r="H198" s="11"/>
      <c r="I198" s="11"/>
      <c r="J198" s="11"/>
      <c r="K198" s="11"/>
      <c r="L198" s="11"/>
      <c r="M198" s="11"/>
      <c r="N198" s="11"/>
      <c r="O198" s="11"/>
      <c r="P198" s="11"/>
      <c r="Q198" s="11"/>
      <c r="R198" s="11"/>
      <c r="S198" s="11"/>
      <c r="T198" s="11"/>
      <c r="U198" s="11"/>
      <c r="V198" s="11"/>
    </row>
    <row r="199" spans="2:22">
      <c r="B199" s="11"/>
      <c r="C199" s="1"/>
      <c r="D199" s="1"/>
      <c r="E199" s="1"/>
      <c r="F199" s="1"/>
      <c r="G199" s="11"/>
      <c r="H199" s="11"/>
      <c r="I199" s="11"/>
      <c r="J199" s="11"/>
      <c r="K199" s="11"/>
      <c r="L199" s="11"/>
      <c r="M199" s="11"/>
      <c r="N199" s="11"/>
      <c r="O199" s="11"/>
      <c r="P199" s="11"/>
      <c r="Q199" s="11"/>
      <c r="R199" s="11"/>
      <c r="S199" s="11"/>
      <c r="T199" s="11"/>
      <c r="U199" s="11"/>
      <c r="V199" s="11"/>
    </row>
    <row r="200" spans="2:22">
      <c r="B200" s="11"/>
      <c r="C200" s="230"/>
      <c r="D200" s="230" t="s">
        <v>792</v>
      </c>
      <c r="E200" s="230"/>
      <c r="F200" s="1"/>
      <c r="G200" s="11"/>
      <c r="H200" s="11"/>
      <c r="I200" s="11"/>
      <c r="J200" s="11"/>
      <c r="K200" s="11"/>
      <c r="L200" s="11"/>
      <c r="M200" s="11"/>
      <c r="N200" s="11"/>
      <c r="O200" s="11"/>
      <c r="P200" s="11"/>
      <c r="Q200" s="11"/>
      <c r="R200" s="11"/>
      <c r="S200" s="11"/>
      <c r="T200" s="11"/>
      <c r="U200" s="11"/>
      <c r="V200" s="11"/>
    </row>
    <row r="201" spans="2:22">
      <c r="B201" s="11"/>
      <c r="C201" s="230" t="s">
        <v>793</v>
      </c>
      <c r="D201" s="230">
        <v>2017</v>
      </c>
      <c r="E201" s="360" t="s">
        <v>794</v>
      </c>
      <c r="F201" s="1"/>
      <c r="G201" s="11"/>
      <c r="H201" s="11"/>
      <c r="I201" s="11"/>
      <c r="J201" s="11"/>
      <c r="K201" s="11"/>
      <c r="L201" s="11"/>
      <c r="M201" s="11"/>
      <c r="N201" s="11"/>
      <c r="O201" s="11"/>
      <c r="P201" s="11"/>
      <c r="Q201" s="11"/>
      <c r="R201" s="11"/>
      <c r="S201" s="11"/>
      <c r="T201" s="11"/>
      <c r="U201" s="11"/>
      <c r="V201" s="11"/>
    </row>
    <row r="202" spans="2:22">
      <c r="B202" s="11"/>
      <c r="C202" s="1"/>
      <c r="D202" s="1"/>
      <c r="E202" s="1"/>
      <c r="F202" s="1"/>
      <c r="G202" s="11"/>
      <c r="H202" s="11"/>
      <c r="I202" s="11"/>
      <c r="J202" s="11"/>
      <c r="K202" s="11"/>
      <c r="L202" s="11"/>
      <c r="M202" s="11"/>
      <c r="N202" s="11"/>
      <c r="O202" s="11"/>
      <c r="P202" s="11"/>
      <c r="Q202" s="11"/>
      <c r="R202" s="11"/>
      <c r="S202" s="11"/>
      <c r="T202" s="11"/>
      <c r="U202" s="11"/>
      <c r="V202" s="11"/>
    </row>
    <row r="203" spans="2:22">
      <c r="B203" s="11"/>
      <c r="C203" s="39" t="s">
        <v>795</v>
      </c>
      <c r="D203" s="1"/>
      <c r="E203" s="1"/>
      <c r="F203" s="1"/>
      <c r="G203" s="11"/>
      <c r="H203" s="11"/>
      <c r="I203" s="11"/>
      <c r="J203" s="11"/>
      <c r="K203" s="11"/>
      <c r="L203" s="11"/>
      <c r="M203" s="11"/>
      <c r="N203" s="11"/>
      <c r="O203" s="11"/>
      <c r="P203" s="11"/>
      <c r="Q203" s="11"/>
      <c r="R203" s="11"/>
      <c r="S203" s="11"/>
      <c r="T203" s="11"/>
      <c r="U203" s="11"/>
      <c r="V203" s="11"/>
    </row>
    <row r="204" spans="2:22">
      <c r="B204" s="11"/>
      <c r="C204" s="1"/>
      <c r="D204" s="1"/>
      <c r="E204" s="1"/>
      <c r="F204" s="1"/>
      <c r="G204" s="11"/>
      <c r="H204" s="11"/>
      <c r="I204" s="11"/>
      <c r="J204" s="11"/>
      <c r="K204" s="11"/>
      <c r="L204" s="11"/>
      <c r="M204" s="11"/>
      <c r="N204" s="11"/>
      <c r="O204" s="11"/>
      <c r="P204" s="11"/>
      <c r="Q204" s="11"/>
      <c r="R204" s="11"/>
      <c r="S204" s="11"/>
      <c r="T204" s="11"/>
      <c r="U204" s="11"/>
      <c r="V204" s="11"/>
    </row>
    <row r="205" spans="2:22">
      <c r="B205" s="11"/>
      <c r="C205" s="230" t="s">
        <v>796</v>
      </c>
      <c r="D205" s="230">
        <f>D196/D201</f>
        <v>28.406544372830936</v>
      </c>
      <c r="E205" s="1" t="s">
        <v>797</v>
      </c>
      <c r="F205" s="1"/>
      <c r="G205" s="11"/>
      <c r="H205" s="11"/>
      <c r="I205" s="11"/>
      <c r="J205" s="11"/>
      <c r="K205" s="11"/>
      <c r="L205" s="11"/>
      <c r="M205" s="11"/>
      <c r="N205" s="11"/>
      <c r="O205" s="11"/>
      <c r="P205" s="11"/>
      <c r="Q205" s="11"/>
      <c r="R205" s="11"/>
      <c r="S205" s="11"/>
      <c r="T205" s="11"/>
      <c r="U205" s="11"/>
      <c r="V205" s="11"/>
    </row>
    <row r="206" spans="2:22">
      <c r="B206" s="11"/>
      <c r="C206" s="230" t="s">
        <v>798</v>
      </c>
      <c r="D206" s="230">
        <f>E196*1000/(E28+F28)</f>
        <v>2.1065876667319547</v>
      </c>
      <c r="E206" s="1" t="s">
        <v>799</v>
      </c>
      <c r="F206" s="1"/>
      <c r="G206" s="11"/>
      <c r="H206" s="11"/>
      <c r="I206" s="11"/>
      <c r="J206" s="11"/>
      <c r="K206" s="11"/>
      <c r="L206" s="11"/>
      <c r="M206" s="11"/>
      <c r="N206" s="11"/>
      <c r="O206" s="11"/>
      <c r="P206" s="11"/>
      <c r="Q206" s="11"/>
      <c r="R206" s="11"/>
      <c r="S206" s="11"/>
      <c r="T206" s="11"/>
      <c r="U206" s="11"/>
      <c r="V206" s="11"/>
    </row>
    <row r="207" spans="2:22">
      <c r="B207" s="11"/>
      <c r="C207" s="230" t="s">
        <v>788</v>
      </c>
      <c r="D207" s="230">
        <f>F196*1000/G28</f>
        <v>0.37019635228424691</v>
      </c>
      <c r="E207" s="1" t="s">
        <v>799</v>
      </c>
      <c r="F207" s="1"/>
      <c r="G207" s="11"/>
      <c r="H207" s="11"/>
      <c r="I207" s="11"/>
      <c r="J207" s="11"/>
      <c r="K207" s="11"/>
      <c r="L207" s="11"/>
      <c r="M207" s="11"/>
      <c r="N207" s="11"/>
      <c r="O207" s="11"/>
      <c r="P207" s="11"/>
      <c r="Q207" s="11"/>
      <c r="R207" s="11"/>
      <c r="S207" s="11"/>
      <c r="T207" s="11"/>
      <c r="U207" s="11"/>
      <c r="V207" s="11"/>
    </row>
    <row r="208" spans="2:22">
      <c r="B208" s="11"/>
      <c r="C208" s="1"/>
      <c r="D208" s="1"/>
      <c r="E208" s="1"/>
      <c r="F208" s="1"/>
      <c r="G208" s="11"/>
      <c r="H208" s="11"/>
      <c r="I208" s="11"/>
      <c r="J208" s="11"/>
      <c r="K208" s="11"/>
      <c r="L208" s="11"/>
      <c r="M208" s="11"/>
      <c r="N208" s="11"/>
      <c r="O208" s="11"/>
      <c r="P208" s="11"/>
      <c r="Q208" s="11"/>
      <c r="R208" s="11"/>
      <c r="S208" s="11"/>
      <c r="T208" s="11"/>
      <c r="U208" s="11"/>
      <c r="V208" s="11"/>
    </row>
    <row r="209" spans="1:22">
      <c r="B209" s="11"/>
      <c r="C209" s="11"/>
      <c r="D209" s="11"/>
      <c r="E209" s="11"/>
      <c r="F209" s="11"/>
      <c r="G209" s="1"/>
      <c r="H209" s="1"/>
      <c r="I209" s="1"/>
      <c r="J209" s="82"/>
      <c r="K209" s="11"/>
      <c r="L209" s="11"/>
      <c r="M209" s="11"/>
      <c r="N209" s="11"/>
      <c r="O209" s="11"/>
      <c r="P209" s="11"/>
      <c r="Q209" s="11"/>
      <c r="R209" s="11"/>
      <c r="S209" s="11"/>
      <c r="T209" s="11"/>
      <c r="U209" s="11"/>
      <c r="V209" s="11"/>
    </row>
    <row r="210" spans="1:22" s="257" customFormat="1">
      <c r="A210" s="145"/>
      <c r="B210" s="254"/>
      <c r="C210" s="255" t="s">
        <v>700</v>
      </c>
      <c r="D210" s="254"/>
      <c r="E210" s="254"/>
      <c r="F210" s="254"/>
      <c r="G210" s="254"/>
      <c r="H210" s="254"/>
      <c r="I210" s="254"/>
      <c r="J210" s="254"/>
      <c r="K210" s="254"/>
      <c r="L210" s="254"/>
      <c r="M210" s="254"/>
      <c r="N210" s="254"/>
      <c r="O210" s="254"/>
      <c r="P210" s="254"/>
      <c r="Q210" s="254"/>
      <c r="R210" s="254"/>
      <c r="S210" s="254"/>
      <c r="T210" s="254"/>
      <c r="U210" s="254"/>
      <c r="V210" s="254"/>
    </row>
    <row r="211" spans="1:22">
      <c r="B211" s="11"/>
      <c r="C211" s="11"/>
      <c r="D211" s="11"/>
      <c r="E211" s="11"/>
      <c r="F211" s="11"/>
      <c r="G211" s="11"/>
      <c r="H211" s="11"/>
      <c r="I211" s="11"/>
      <c r="J211" s="11"/>
      <c r="K211" s="11"/>
      <c r="L211" s="11"/>
      <c r="M211" s="11"/>
      <c r="N211" s="11"/>
      <c r="O211" s="11"/>
      <c r="P211" s="11"/>
      <c r="Q211" s="11"/>
      <c r="R211" s="11"/>
      <c r="S211" s="11"/>
      <c r="T211" s="11"/>
      <c r="U211" s="11"/>
      <c r="V211" s="11"/>
    </row>
    <row r="212" spans="1:22">
      <c r="B212" s="11"/>
      <c r="C212" s="284" t="s">
        <v>701</v>
      </c>
      <c r="D212" s="285"/>
      <c r="E212" s="285"/>
      <c r="F212" s="285"/>
      <c r="G212" s="285"/>
      <c r="H212" s="11"/>
      <c r="I212" s="11"/>
      <c r="J212" s="11"/>
      <c r="K212" s="11"/>
      <c r="L212" s="11"/>
      <c r="M212" s="11"/>
      <c r="N212" s="11"/>
      <c r="O212" s="11"/>
      <c r="P212" s="11"/>
      <c r="Q212" s="11"/>
      <c r="R212" s="11"/>
      <c r="S212" s="11"/>
      <c r="T212" s="11"/>
      <c r="U212" s="11"/>
      <c r="V212" s="11"/>
    </row>
    <row r="213" spans="1:22">
      <c r="B213" s="11"/>
      <c r="C213" s="286" t="s">
        <v>702</v>
      </c>
      <c r="D213" s="286" t="s">
        <v>864</v>
      </c>
      <c r="E213" s="286" t="s">
        <v>800</v>
      </c>
      <c r="F213" s="286" t="s">
        <v>801</v>
      </c>
      <c r="G213" s="286" t="s">
        <v>956</v>
      </c>
      <c r="H213" s="11"/>
      <c r="I213" s="11"/>
      <c r="J213" s="11"/>
      <c r="K213" s="11"/>
      <c r="L213" s="11"/>
      <c r="M213" s="11"/>
      <c r="N213" s="11"/>
      <c r="O213" s="11"/>
      <c r="P213" s="11"/>
      <c r="Q213" s="11"/>
      <c r="R213" s="11"/>
      <c r="S213" s="11"/>
      <c r="T213" s="11"/>
      <c r="U213" s="11"/>
      <c r="V213" s="11"/>
    </row>
    <row r="214" spans="1:22">
      <c r="B214" s="11"/>
      <c r="C214" s="287" t="s">
        <v>704</v>
      </c>
      <c r="D214" s="287">
        <v>0.55000000000000004</v>
      </c>
      <c r="E214" s="287">
        <v>0.27</v>
      </c>
      <c r="F214" s="287">
        <v>0.5</v>
      </c>
      <c r="G214" s="287">
        <v>2.9999999999999997E-4</v>
      </c>
      <c r="H214" s="1"/>
      <c r="I214" s="11"/>
      <c r="J214" s="11"/>
      <c r="K214" s="11"/>
      <c r="L214" s="11"/>
      <c r="M214" s="11"/>
      <c r="N214" s="11"/>
      <c r="O214" s="11"/>
      <c r="P214" s="11"/>
      <c r="Q214" s="11"/>
      <c r="R214" s="11"/>
      <c r="S214" s="11"/>
      <c r="T214" s="11"/>
      <c r="U214" s="11"/>
      <c r="V214" s="11"/>
    </row>
    <row r="215" spans="1:22">
      <c r="B215" s="11"/>
      <c r="C215" s="287" t="s">
        <v>706</v>
      </c>
      <c r="D215" s="287">
        <v>0.63</v>
      </c>
      <c r="E215" s="287">
        <v>0.18</v>
      </c>
      <c r="F215" s="287">
        <v>0.5</v>
      </c>
      <c r="G215" s="287">
        <v>4.0000000000000002E-4</v>
      </c>
      <c r="H215" s="1"/>
      <c r="I215" s="11"/>
      <c r="J215" s="11"/>
      <c r="K215" s="11"/>
      <c r="L215" s="11"/>
      <c r="M215" s="11"/>
      <c r="N215" s="11"/>
      <c r="O215" s="11"/>
      <c r="P215" s="11"/>
      <c r="Q215" s="11"/>
      <c r="R215" s="11"/>
      <c r="S215" s="11"/>
      <c r="T215" s="11"/>
      <c r="U215" s="11"/>
      <c r="V215" s="11"/>
    </row>
    <row r="216" spans="1:22">
      <c r="B216" s="11"/>
      <c r="C216" s="287" t="s">
        <v>707</v>
      </c>
      <c r="D216" s="287">
        <v>0.5</v>
      </c>
      <c r="E216" s="287">
        <v>0.22</v>
      </c>
      <c r="F216" s="287">
        <v>0.5</v>
      </c>
      <c r="G216" s="287">
        <v>6.9999999999999999E-4</v>
      </c>
      <c r="H216" s="1"/>
      <c r="I216" s="11"/>
      <c r="J216" s="11"/>
      <c r="K216" s="11"/>
      <c r="L216" s="11"/>
      <c r="M216" s="11"/>
      <c r="N216" s="11"/>
      <c r="O216" s="11"/>
      <c r="P216" s="11"/>
      <c r="Q216" s="11"/>
      <c r="R216" s="11"/>
      <c r="S216" s="11"/>
      <c r="T216" s="11"/>
      <c r="U216" s="11"/>
      <c r="V216" s="11"/>
    </row>
    <row r="217" spans="1:22">
      <c r="B217" s="11"/>
      <c r="C217" s="287" t="s">
        <v>708</v>
      </c>
      <c r="D217" s="287">
        <v>0.5</v>
      </c>
      <c r="E217" s="287">
        <v>0.36</v>
      </c>
      <c r="F217" s="287">
        <v>0.47499999999999998</v>
      </c>
      <c r="G217" s="287">
        <v>1.4E-3</v>
      </c>
      <c r="H217" s="1"/>
      <c r="I217" s="11"/>
      <c r="J217" s="11"/>
      <c r="K217" s="11"/>
      <c r="L217" s="11"/>
      <c r="M217" s="11"/>
      <c r="N217" s="11"/>
      <c r="O217" s="11"/>
      <c r="P217" s="11"/>
      <c r="Q217" s="11"/>
      <c r="R217" s="11"/>
      <c r="S217" s="11"/>
      <c r="T217" s="11"/>
      <c r="U217" s="11"/>
      <c r="V217" s="11"/>
    </row>
    <row r="218" spans="1:22">
      <c r="B218" s="11"/>
      <c r="C218" s="287" t="s">
        <v>709</v>
      </c>
      <c r="D218" s="287">
        <v>0.76</v>
      </c>
      <c r="E218" s="287">
        <v>0.2</v>
      </c>
      <c r="F218" s="287">
        <v>0.47299999999999998</v>
      </c>
      <c r="G218" s="287">
        <v>8.0000000000000004E-4</v>
      </c>
      <c r="H218" s="1"/>
      <c r="I218" s="11"/>
      <c r="J218" s="11"/>
      <c r="K218" s="11"/>
      <c r="L218" s="11"/>
      <c r="M218" s="11"/>
      <c r="N218" s="11"/>
      <c r="O218" s="11"/>
      <c r="P218" s="11"/>
      <c r="Q218" s="11"/>
      <c r="R218" s="11"/>
      <c r="S218" s="11"/>
      <c r="T218" s="11"/>
      <c r="U218" s="11"/>
      <c r="V218" s="11"/>
    </row>
    <row r="219" spans="1:22">
      <c r="B219" s="11"/>
      <c r="C219" s="287" t="s">
        <v>710</v>
      </c>
      <c r="D219" s="287">
        <v>0.76</v>
      </c>
      <c r="E219" s="287">
        <v>0.2</v>
      </c>
      <c r="F219" s="287">
        <v>0.5</v>
      </c>
      <c r="G219" s="287">
        <v>4.0000000000000002E-4</v>
      </c>
      <c r="H219" s="1"/>
      <c r="I219" s="11"/>
      <c r="J219" s="11"/>
      <c r="K219" s="11"/>
      <c r="L219" s="11"/>
      <c r="M219" s="11"/>
      <c r="N219" s="11"/>
      <c r="O219" s="11"/>
      <c r="P219" s="11"/>
      <c r="Q219" s="11"/>
      <c r="R219" s="11"/>
      <c r="S219" s="11"/>
      <c r="T219" s="11"/>
      <c r="U219" s="11"/>
      <c r="V219" s="11"/>
    </row>
    <row r="220" spans="1:22">
      <c r="B220" s="11"/>
      <c r="C220" s="287" t="s">
        <v>711</v>
      </c>
      <c r="D220" s="287">
        <v>0.38</v>
      </c>
      <c r="E220" s="287">
        <v>0.37</v>
      </c>
      <c r="F220" s="287">
        <v>0.499</v>
      </c>
      <c r="G220" s="287">
        <v>4.1000000000000003E-3</v>
      </c>
      <c r="H220" s="1"/>
      <c r="I220" s="11"/>
      <c r="J220" s="11"/>
      <c r="K220" s="11"/>
      <c r="L220" s="11"/>
      <c r="M220" s="11"/>
      <c r="N220" s="11"/>
      <c r="O220" s="11"/>
      <c r="P220" s="11"/>
      <c r="Q220" s="11"/>
      <c r="R220" s="11"/>
      <c r="S220" s="11"/>
      <c r="T220" s="11"/>
      <c r="U220" s="11"/>
      <c r="V220" s="11"/>
    </row>
    <row r="221" spans="1:22">
      <c r="B221" s="11"/>
      <c r="C221" s="287" t="s">
        <v>712</v>
      </c>
      <c r="D221" s="287">
        <v>0.45</v>
      </c>
      <c r="E221" s="287">
        <v>0.62</v>
      </c>
      <c r="F221" s="287">
        <v>0.51100000000000001</v>
      </c>
      <c r="G221" s="287">
        <v>2.3E-3</v>
      </c>
      <c r="H221" s="1"/>
      <c r="I221" s="11"/>
      <c r="J221" s="11"/>
      <c r="K221" s="11"/>
      <c r="L221" s="11"/>
      <c r="M221" s="11"/>
      <c r="N221" s="11"/>
      <c r="O221" s="11"/>
      <c r="P221" s="11"/>
      <c r="Q221" s="11"/>
      <c r="R221" s="11"/>
      <c r="S221" s="11"/>
      <c r="T221" s="11"/>
      <c r="U221" s="11"/>
      <c r="V221" s="11"/>
    </row>
    <row r="222" spans="1:22">
      <c r="B222" s="11"/>
      <c r="C222" s="287" t="s">
        <v>713</v>
      </c>
      <c r="D222" s="287">
        <v>0.48</v>
      </c>
      <c r="E222" s="287">
        <v>0.51</v>
      </c>
      <c r="F222" s="287">
        <v>0.50900000000000001</v>
      </c>
      <c r="G222" s="287">
        <v>2.7000000000000001E-3</v>
      </c>
      <c r="H222" s="1"/>
      <c r="I222" s="11"/>
      <c r="J222" s="11"/>
      <c r="K222" s="11"/>
      <c r="L222" s="11"/>
      <c r="M222" s="11"/>
      <c r="N222" s="11"/>
      <c r="O222" s="11"/>
      <c r="P222" s="11"/>
      <c r="Q222" s="11"/>
      <c r="R222" s="11"/>
      <c r="S222" s="11"/>
      <c r="T222" s="11"/>
      <c r="U222" s="11"/>
      <c r="V222" s="11"/>
    </row>
    <row r="223" spans="1:22">
      <c r="B223" s="11"/>
      <c r="C223" s="287" t="s">
        <v>714</v>
      </c>
      <c r="D223" s="287">
        <v>0.48</v>
      </c>
      <c r="E223" s="287">
        <v>0.36</v>
      </c>
      <c r="F223" s="287">
        <v>0.50800000000000001</v>
      </c>
      <c r="G223" s="287">
        <v>3.5000000000000001E-3</v>
      </c>
      <c r="H223" s="1"/>
      <c r="I223" s="11"/>
      <c r="J223" s="11"/>
      <c r="K223" s="11"/>
      <c r="L223" s="11"/>
      <c r="M223" s="11"/>
      <c r="N223" s="11"/>
      <c r="O223" s="11"/>
      <c r="P223" s="11"/>
      <c r="Q223" s="11"/>
      <c r="R223" s="11"/>
      <c r="S223" s="11"/>
      <c r="T223" s="11"/>
      <c r="U223" s="11"/>
      <c r="V223" s="11"/>
    </row>
    <row r="224" spans="1:22">
      <c r="B224" s="11"/>
      <c r="C224" s="287" t="s">
        <v>715</v>
      </c>
      <c r="D224" s="287">
        <v>0.43</v>
      </c>
      <c r="E224" s="287">
        <v>0.56000000000000005</v>
      </c>
      <c r="F224" s="287">
        <v>0.50900000000000001</v>
      </c>
      <c r="G224" s="287">
        <v>5.4999999999999997E-3</v>
      </c>
      <c r="H224" s="1"/>
      <c r="I224" s="11"/>
      <c r="J224" s="11"/>
      <c r="K224" s="11"/>
      <c r="L224" s="11"/>
      <c r="M224" s="11"/>
      <c r="N224" s="11"/>
      <c r="O224" s="11"/>
      <c r="P224" s="11"/>
      <c r="Q224" s="11"/>
      <c r="R224" s="11"/>
      <c r="S224" s="11"/>
      <c r="T224" s="11"/>
      <c r="U224" s="11"/>
      <c r="V224" s="11"/>
    </row>
    <row r="225" spans="2:22">
      <c r="B225" s="11"/>
      <c r="C225" s="287" t="s">
        <v>716</v>
      </c>
      <c r="D225" s="287">
        <v>0.48</v>
      </c>
      <c r="E225" s="287">
        <v>0.27</v>
      </c>
      <c r="F225" s="287">
        <v>0.47499999999999998</v>
      </c>
      <c r="G225" s="287">
        <v>1E-4</v>
      </c>
      <c r="H225" s="1"/>
      <c r="I225" s="11"/>
      <c r="J225" s="11"/>
      <c r="K225" s="11"/>
      <c r="L225" s="11"/>
      <c r="M225" s="11"/>
      <c r="N225" s="11"/>
      <c r="O225" s="11"/>
      <c r="P225" s="11"/>
      <c r="Q225" s="11"/>
      <c r="R225" s="11"/>
      <c r="S225" s="11"/>
      <c r="T225" s="11"/>
      <c r="U225" s="11"/>
      <c r="V225" s="11"/>
    </row>
    <row r="226" spans="2:22">
      <c r="B226" s="11"/>
      <c r="C226" s="287" t="s">
        <v>717</v>
      </c>
      <c r="D226" s="287">
        <v>0.63</v>
      </c>
      <c r="E226" s="287">
        <v>0.25</v>
      </c>
      <c r="F226" s="287">
        <v>0.48</v>
      </c>
      <c r="G226" s="287">
        <v>1.0800000000000001E-2</v>
      </c>
      <c r="H226" s="1"/>
      <c r="I226" s="11"/>
      <c r="J226" s="11"/>
      <c r="K226" s="11"/>
      <c r="L226" s="11"/>
      <c r="M226" s="11"/>
      <c r="N226" s="11"/>
      <c r="O226" s="11"/>
      <c r="P226" s="11"/>
      <c r="Q226" s="11"/>
      <c r="R226" s="11"/>
      <c r="S226" s="11"/>
      <c r="T226" s="11"/>
      <c r="U226" s="11"/>
      <c r="V226" s="11"/>
    </row>
    <row r="227" spans="2:22">
      <c r="B227" s="11"/>
      <c r="C227" s="287" t="s">
        <v>718</v>
      </c>
      <c r="D227" s="287">
        <v>0.74</v>
      </c>
      <c r="E227" s="287">
        <v>0.18</v>
      </c>
      <c r="F227" s="287">
        <v>0.47499999999999998</v>
      </c>
      <c r="G227" s="287">
        <v>1.3599999999999999E-2</v>
      </c>
      <c r="H227" s="1"/>
      <c r="I227" s="11"/>
      <c r="J227" s="11"/>
      <c r="K227" s="11"/>
      <c r="L227" s="11"/>
      <c r="M227" s="11"/>
      <c r="N227" s="11"/>
      <c r="O227" s="11"/>
      <c r="P227" s="11"/>
      <c r="Q227" s="11"/>
      <c r="R227" s="11"/>
      <c r="S227" s="11"/>
      <c r="T227" s="11"/>
      <c r="U227" s="11"/>
      <c r="V227" s="11"/>
    </row>
    <row r="228" spans="2:22">
      <c r="B228" s="11"/>
      <c r="C228" s="287" t="s">
        <v>617</v>
      </c>
      <c r="D228" s="288">
        <f>AVERAGE(D220:D227)</f>
        <v>0.50875000000000004</v>
      </c>
      <c r="E228" s="288">
        <f t="shared" ref="E228:F228" si="15">AVERAGE(E220:E227)</f>
        <v>0.39</v>
      </c>
      <c r="F228" s="288">
        <f t="shared" si="15"/>
        <v>0.49575000000000002</v>
      </c>
      <c r="G228" s="287">
        <v>2.8999999999999998E-3</v>
      </c>
      <c r="H228" s="1"/>
      <c r="I228" s="11"/>
      <c r="J228" s="11"/>
      <c r="K228" s="11"/>
      <c r="L228" s="11"/>
      <c r="M228" s="11"/>
      <c r="N228" s="11"/>
      <c r="O228" s="11"/>
      <c r="P228" s="11"/>
      <c r="Q228" s="11"/>
      <c r="R228" s="11"/>
      <c r="S228" s="11"/>
      <c r="T228" s="11"/>
      <c r="U228" s="11"/>
      <c r="V228" s="11"/>
    </row>
    <row r="229" spans="2:22">
      <c r="B229" s="11"/>
      <c r="C229" s="287" t="s">
        <v>719</v>
      </c>
      <c r="D229" s="288">
        <f>AVERAGE(D214:D219)</f>
        <v>0.6166666666666667</v>
      </c>
      <c r="E229" s="288">
        <f t="shared" ref="E229:F229" si="16">AVERAGE(E214:E219)</f>
        <v>0.23833333333333331</v>
      </c>
      <c r="F229" s="288">
        <f t="shared" si="16"/>
        <v>0.49133333333333334</v>
      </c>
      <c r="G229" s="287">
        <v>3.8E-3</v>
      </c>
      <c r="H229" s="1"/>
      <c r="I229" s="11"/>
      <c r="J229" s="11"/>
      <c r="K229" s="11"/>
      <c r="L229" s="11"/>
      <c r="M229" s="11"/>
      <c r="N229" s="11"/>
      <c r="O229" s="11"/>
      <c r="P229" s="11"/>
      <c r="Q229" s="11"/>
      <c r="R229" s="11"/>
      <c r="S229" s="11"/>
      <c r="T229" s="11"/>
      <c r="U229" s="11"/>
      <c r="V229" s="11"/>
    </row>
    <row r="230" spans="2:22">
      <c r="B230" s="11"/>
      <c r="C230" s="287" t="s">
        <v>49</v>
      </c>
      <c r="D230" s="288">
        <f>AVERAGE(D214:D227)</f>
        <v>0.55500000000000005</v>
      </c>
      <c r="E230" s="288">
        <f t="shared" ref="E230:F230" si="17">AVERAGE(E214:E227)</f>
        <v>0.3249999999999999</v>
      </c>
      <c r="F230" s="288">
        <f t="shared" si="17"/>
        <v>0.49385714285714283</v>
      </c>
      <c r="G230" s="287">
        <v>3.3E-3</v>
      </c>
      <c r="H230" s="1"/>
      <c r="I230" s="11"/>
      <c r="J230" s="11"/>
      <c r="K230" s="11"/>
      <c r="L230" s="11"/>
      <c r="M230" s="11"/>
      <c r="N230" s="11"/>
      <c r="O230" s="11"/>
      <c r="P230" s="11"/>
      <c r="Q230" s="11"/>
      <c r="R230" s="11"/>
      <c r="S230" s="11"/>
      <c r="T230" s="11"/>
      <c r="U230" s="11"/>
      <c r="V230" s="11"/>
    </row>
    <row r="231" spans="2:22" ht="15" customHeight="1">
      <c r="B231" s="11"/>
      <c r="C231" s="11"/>
      <c r="D231" s="11"/>
      <c r="E231" s="11"/>
      <c r="F231" s="11"/>
      <c r="G231" s="11"/>
      <c r="H231" s="11"/>
      <c r="I231" s="11"/>
      <c r="J231" s="11"/>
      <c r="K231" s="11"/>
      <c r="L231" s="11"/>
      <c r="M231" s="11"/>
      <c r="N231" s="11"/>
      <c r="O231" s="11"/>
      <c r="P231" s="11"/>
      <c r="Q231" s="11"/>
      <c r="R231" s="11"/>
      <c r="S231" s="11"/>
      <c r="T231" s="11"/>
      <c r="U231" s="11"/>
      <c r="V231" s="11"/>
    </row>
    <row r="232" spans="2:22" ht="15" customHeight="1">
      <c r="B232" s="11"/>
      <c r="C232" s="11"/>
      <c r="D232" s="11"/>
      <c r="E232" s="11"/>
      <c r="F232" s="11"/>
      <c r="G232" s="11"/>
      <c r="H232" s="11"/>
      <c r="I232" s="11"/>
      <c r="J232" s="11"/>
      <c r="K232" s="11"/>
      <c r="L232" s="11"/>
      <c r="M232" s="11"/>
      <c r="N232" s="11"/>
      <c r="O232" s="11"/>
      <c r="P232" s="11"/>
      <c r="Q232" s="11"/>
      <c r="R232" s="11"/>
      <c r="S232" s="11"/>
      <c r="T232" s="11"/>
      <c r="U232" s="11"/>
      <c r="V232" s="11"/>
    </row>
    <row r="233" spans="2:22" ht="15" customHeight="1">
      <c r="B233" s="11"/>
      <c r="C233" s="325" t="s">
        <v>1009</v>
      </c>
      <c r="D233" s="325"/>
      <c r="E233" s="1"/>
      <c r="F233" s="325" t="s">
        <v>1010</v>
      </c>
      <c r="G233" s="325"/>
      <c r="H233" s="11"/>
      <c r="I233" s="11"/>
      <c r="J233" s="11"/>
      <c r="K233" s="11"/>
      <c r="L233" s="11"/>
      <c r="M233" s="11"/>
      <c r="N233" s="11"/>
      <c r="O233" s="11"/>
      <c r="P233" s="11"/>
      <c r="Q233" s="11"/>
      <c r="R233" s="11"/>
      <c r="S233" s="11"/>
      <c r="T233" s="11"/>
      <c r="U233" s="11"/>
      <c r="V233" s="11"/>
    </row>
    <row r="234" spans="2:22" ht="15" customHeight="1">
      <c r="B234" s="11"/>
      <c r="C234" s="326" t="s">
        <v>662</v>
      </c>
      <c r="D234" s="485" t="s">
        <v>922</v>
      </c>
      <c r="E234" s="1"/>
      <c r="F234" s="326" t="s">
        <v>662</v>
      </c>
      <c r="G234" s="485" t="s">
        <v>922</v>
      </c>
      <c r="H234" s="485" t="s">
        <v>902</v>
      </c>
      <c r="I234" s="485" t="s">
        <v>903</v>
      </c>
      <c r="K234" s="11"/>
      <c r="L234" s="11"/>
      <c r="M234" s="11"/>
      <c r="N234" s="11"/>
      <c r="O234" s="11"/>
      <c r="P234" s="11"/>
      <c r="Q234" s="11"/>
      <c r="R234" s="11"/>
      <c r="S234" s="11"/>
      <c r="T234" s="11"/>
      <c r="U234" s="11"/>
      <c r="V234" s="11"/>
    </row>
    <row r="235" spans="2:22" ht="15" customHeight="1">
      <c r="B235" s="11"/>
      <c r="C235" s="476" t="s">
        <v>891</v>
      </c>
      <c r="D235" s="239"/>
      <c r="E235" s="239" t="s">
        <v>901</v>
      </c>
      <c r="F235" s="473" t="s">
        <v>891</v>
      </c>
      <c r="G235" s="239"/>
      <c r="H235" s="239"/>
      <c r="I235" s="239"/>
      <c r="J235" s="11"/>
      <c r="K235" s="11"/>
      <c r="L235" s="11"/>
      <c r="M235" s="11"/>
      <c r="N235" s="11"/>
      <c r="O235" s="11"/>
      <c r="P235" s="11"/>
      <c r="Q235" s="11"/>
      <c r="R235" s="11"/>
      <c r="S235" s="11"/>
      <c r="T235" s="11"/>
      <c r="U235" s="11"/>
      <c r="V235" s="11"/>
    </row>
    <row r="236" spans="2:22" ht="15" customHeight="1">
      <c r="B236" s="11"/>
      <c r="C236" s="476" t="s">
        <v>904</v>
      </c>
      <c r="D236" s="239"/>
      <c r="E236" s="1"/>
      <c r="F236" s="473" t="s">
        <v>892</v>
      </c>
      <c r="G236" s="239"/>
      <c r="H236" s="239"/>
      <c r="I236" s="239"/>
      <c r="J236" s="11"/>
      <c r="K236" s="11"/>
      <c r="L236" s="11"/>
      <c r="M236" s="11"/>
      <c r="N236" s="11"/>
      <c r="O236" s="11"/>
      <c r="P236" s="11"/>
      <c r="Q236" s="11"/>
      <c r="R236" s="11"/>
      <c r="S236" s="11"/>
      <c r="T236" s="11"/>
      <c r="U236" s="11"/>
      <c r="V236" s="11"/>
    </row>
    <row r="237" spans="2:22" ht="15" customHeight="1">
      <c r="B237" s="11"/>
      <c r="C237" s="478" t="s">
        <v>905</v>
      </c>
      <c r="D237" s="239"/>
      <c r="E237" s="1"/>
      <c r="F237" s="473" t="s">
        <v>893</v>
      </c>
      <c r="G237" s="239"/>
      <c r="H237" s="239"/>
      <c r="I237" s="239"/>
      <c r="J237" s="11"/>
      <c r="K237" s="11"/>
      <c r="L237" s="11"/>
      <c r="M237" s="11"/>
      <c r="N237" s="11"/>
      <c r="O237" s="11"/>
      <c r="P237" s="11"/>
      <c r="Q237" s="11"/>
      <c r="R237" s="11"/>
      <c r="S237" s="11"/>
      <c r="T237" s="11"/>
      <c r="U237" s="11"/>
      <c r="V237" s="11"/>
    </row>
    <row r="238" spans="2:22" ht="15" customHeight="1">
      <c r="B238" s="11"/>
      <c r="C238" s="478" t="s">
        <v>906</v>
      </c>
      <c r="D238" s="239"/>
      <c r="E238" s="1"/>
      <c r="F238" s="473" t="s">
        <v>894</v>
      </c>
      <c r="G238" s="239"/>
      <c r="H238" s="239"/>
      <c r="I238" s="239"/>
      <c r="J238" s="11"/>
      <c r="K238" s="11"/>
      <c r="L238" s="11"/>
      <c r="M238" s="11"/>
      <c r="N238" s="11"/>
      <c r="O238" s="11"/>
      <c r="P238" s="11"/>
      <c r="Q238" s="11"/>
      <c r="R238" s="11"/>
      <c r="S238" s="11"/>
      <c r="T238" s="11"/>
      <c r="U238" s="11"/>
      <c r="V238" s="11"/>
    </row>
    <row r="239" spans="2:22" ht="15" customHeight="1">
      <c r="B239" s="11"/>
      <c r="C239" s="473" t="s">
        <v>893</v>
      </c>
      <c r="D239" s="239"/>
      <c r="E239" s="1"/>
      <c r="F239" s="474" t="s">
        <v>895</v>
      </c>
      <c r="G239" s="239"/>
      <c r="H239" s="239"/>
      <c r="I239" s="239"/>
      <c r="J239" s="11"/>
      <c r="K239" s="11"/>
      <c r="L239" s="11"/>
      <c r="M239" s="11"/>
      <c r="N239" s="11"/>
      <c r="O239" s="11"/>
      <c r="P239" s="11"/>
      <c r="Q239" s="11"/>
      <c r="R239" s="11"/>
      <c r="S239" s="11"/>
      <c r="T239" s="11"/>
      <c r="U239" s="11"/>
      <c r="V239" s="11"/>
    </row>
    <row r="240" spans="2:22" ht="15" customHeight="1">
      <c r="B240" s="11"/>
      <c r="C240" s="476" t="s">
        <v>894</v>
      </c>
      <c r="D240" s="239"/>
      <c r="E240" s="1"/>
      <c r="F240" s="473" t="s">
        <v>896</v>
      </c>
      <c r="G240" s="239"/>
      <c r="H240" s="239"/>
      <c r="I240" s="239"/>
      <c r="J240" s="11"/>
      <c r="K240" s="11"/>
      <c r="L240" s="11"/>
      <c r="M240" s="11"/>
      <c r="N240" s="11"/>
      <c r="O240" s="11"/>
      <c r="P240" s="11"/>
      <c r="Q240" s="11"/>
      <c r="R240" s="11"/>
      <c r="S240" s="11"/>
      <c r="T240" s="11"/>
      <c r="U240" s="11"/>
      <c r="V240" s="11"/>
    </row>
    <row r="241" spans="2:22" ht="15" customHeight="1">
      <c r="B241" s="11"/>
      <c r="C241" s="477" t="s">
        <v>895</v>
      </c>
      <c r="D241" s="239"/>
      <c r="E241" s="11"/>
      <c r="F241" s="11"/>
      <c r="G241" s="11"/>
      <c r="H241" s="11"/>
      <c r="I241" s="11"/>
      <c r="J241" s="11"/>
      <c r="K241" s="11"/>
      <c r="L241" s="11"/>
      <c r="M241" s="11"/>
      <c r="N241" s="11"/>
      <c r="O241" s="11"/>
      <c r="P241" s="11"/>
      <c r="Q241" s="11"/>
      <c r="R241" s="11"/>
      <c r="S241" s="11"/>
      <c r="T241" s="11"/>
      <c r="U241" s="11"/>
      <c r="V241" s="11"/>
    </row>
    <row r="242" spans="2:22" ht="15" customHeight="1">
      <c r="B242" s="11"/>
      <c r="C242" s="476" t="s">
        <v>896</v>
      </c>
      <c r="D242" s="239"/>
      <c r="E242" s="11"/>
      <c r="F242" s="11"/>
      <c r="G242" s="11"/>
      <c r="H242" s="11"/>
      <c r="I242" s="11"/>
      <c r="J242" s="11"/>
      <c r="K242" s="11"/>
      <c r="L242" s="11"/>
      <c r="M242" s="11"/>
      <c r="N242" s="11"/>
      <c r="O242" s="11"/>
      <c r="P242" s="11"/>
      <c r="Q242" s="11"/>
      <c r="R242" s="11"/>
      <c r="S242" s="11"/>
      <c r="T242" s="11"/>
      <c r="U242" s="11"/>
      <c r="V242" s="11"/>
    </row>
    <row r="243" spans="2:22">
      <c r="B243" s="11"/>
      <c r="C243" s="11" t="s">
        <v>923</v>
      </c>
      <c r="D243" s="11"/>
      <c r="E243" s="11"/>
      <c r="F243" s="11"/>
      <c r="G243" s="11"/>
      <c r="H243" s="11"/>
      <c r="I243" s="11"/>
      <c r="J243" s="11"/>
      <c r="K243" s="11"/>
      <c r="L243" s="11"/>
      <c r="M243" s="11"/>
      <c r="N243" s="11"/>
      <c r="O243" s="11"/>
      <c r="P243" s="11"/>
      <c r="Q243" s="11"/>
      <c r="R243" s="11"/>
      <c r="S243" s="11"/>
      <c r="T243" s="11"/>
      <c r="U243" s="11"/>
      <c r="V243" s="11"/>
    </row>
    <row r="244" spans="2:22">
      <c r="B244" s="11"/>
      <c r="C244" s="11"/>
      <c r="D244" s="11"/>
      <c r="E244" s="1"/>
      <c r="H244" s="11"/>
      <c r="I244" s="11"/>
      <c r="J244" s="11"/>
      <c r="K244" s="11"/>
      <c r="L244" s="11"/>
      <c r="M244" s="11"/>
      <c r="N244" s="11"/>
      <c r="O244" s="11"/>
      <c r="P244" s="11"/>
      <c r="Q244" s="11"/>
      <c r="R244" s="11"/>
      <c r="S244" s="11"/>
      <c r="T244" s="11"/>
      <c r="U244" s="11"/>
      <c r="V244" s="11"/>
    </row>
    <row r="245" spans="2:22">
      <c r="B245" s="11"/>
      <c r="C245" s="325" t="s">
        <v>900</v>
      </c>
      <c r="D245" s="325"/>
      <c r="E245" s="1"/>
      <c r="F245" s="325" t="s">
        <v>900</v>
      </c>
      <c r="G245" s="325"/>
      <c r="H245" s="11"/>
      <c r="I245" s="11"/>
      <c r="J245" s="11"/>
      <c r="K245" s="11"/>
      <c r="L245" s="11"/>
      <c r="M245" s="11"/>
      <c r="N245" s="11"/>
      <c r="O245" s="11"/>
      <c r="P245" s="11"/>
      <c r="Q245" s="11"/>
      <c r="R245" s="11"/>
      <c r="S245" s="11"/>
      <c r="T245" s="11"/>
      <c r="U245" s="11"/>
      <c r="V245" s="11"/>
    </row>
    <row r="246" spans="2:22">
      <c r="B246" s="11"/>
      <c r="C246" s="326" t="s">
        <v>662</v>
      </c>
      <c r="D246" s="363" t="s">
        <v>907</v>
      </c>
      <c r="E246" s="1"/>
      <c r="F246" s="326" t="s">
        <v>662</v>
      </c>
      <c r="G246" s="364" t="s">
        <v>908</v>
      </c>
      <c r="H246" s="364" t="s">
        <v>902</v>
      </c>
      <c r="I246" s="364" t="s">
        <v>903</v>
      </c>
      <c r="J246" s="11"/>
      <c r="K246" s="11"/>
      <c r="L246" s="11"/>
      <c r="M246" s="11"/>
      <c r="O246" s="11"/>
      <c r="P246" s="11"/>
      <c r="Q246" s="11"/>
      <c r="R246" s="11"/>
      <c r="S246" s="11"/>
      <c r="T246" s="11"/>
      <c r="U246" s="11"/>
      <c r="V246" s="11"/>
    </row>
    <row r="247" spans="2:22">
      <c r="B247" s="11"/>
      <c r="C247" s="476" t="s">
        <v>891</v>
      </c>
      <c r="D247" s="239">
        <v>51.39</v>
      </c>
      <c r="E247" s="1"/>
      <c r="F247" s="473" t="s">
        <v>891</v>
      </c>
      <c r="G247" s="239">
        <v>51.39</v>
      </c>
      <c r="H247" s="239">
        <f>G247*(44/12)</f>
        <v>188.43</v>
      </c>
      <c r="I247" s="239">
        <f>H247/20</f>
        <v>9.4215</v>
      </c>
      <c r="J247" s="11"/>
      <c r="K247" s="11"/>
      <c r="L247" s="11"/>
      <c r="M247" s="11"/>
      <c r="N247" s="11"/>
      <c r="O247" s="11"/>
      <c r="P247" s="11"/>
      <c r="Q247" s="11"/>
      <c r="R247" s="11"/>
      <c r="S247" s="11"/>
      <c r="T247" s="11"/>
      <c r="U247" s="11"/>
      <c r="V247" s="11"/>
    </row>
    <row r="248" spans="2:22" ht="27.6">
      <c r="B248" s="11"/>
      <c r="C248" s="476" t="s">
        <v>904</v>
      </c>
      <c r="D248" s="239">
        <v>31.48</v>
      </c>
      <c r="E248" s="1"/>
      <c r="F248" s="473" t="s">
        <v>892</v>
      </c>
      <c r="G248" s="239">
        <v>31.48</v>
      </c>
      <c r="H248" s="239">
        <f t="shared" ref="H248:H252" si="18">G248*(44/12)</f>
        <v>115.42666666666666</v>
      </c>
      <c r="I248" s="239">
        <f t="shared" ref="I248:I252" si="19">H248/20</f>
        <v>5.7713333333333328</v>
      </c>
      <c r="J248" s="11"/>
      <c r="K248" s="11"/>
      <c r="L248" s="11"/>
      <c r="M248" s="11"/>
      <c r="N248" s="11"/>
      <c r="O248" s="11"/>
      <c r="P248" s="11"/>
      <c r="Q248" s="11"/>
      <c r="R248" s="11"/>
      <c r="S248" s="11"/>
      <c r="T248" s="11"/>
      <c r="U248" s="11"/>
      <c r="V248" s="11"/>
    </row>
    <row r="249" spans="2:22">
      <c r="B249" s="11"/>
      <c r="C249" s="478" t="s">
        <v>905</v>
      </c>
      <c r="D249" s="239">
        <v>31.48</v>
      </c>
      <c r="E249" s="1"/>
      <c r="F249" s="473" t="s">
        <v>893</v>
      </c>
      <c r="G249" s="239">
        <v>48.73</v>
      </c>
      <c r="H249" s="239">
        <f t="shared" si="18"/>
        <v>178.67666666666665</v>
      </c>
      <c r="I249" s="239">
        <f t="shared" si="19"/>
        <v>8.9338333333333324</v>
      </c>
      <c r="J249" s="11"/>
      <c r="K249" s="11"/>
      <c r="L249" s="11"/>
      <c r="M249" s="11"/>
      <c r="N249" s="11"/>
      <c r="O249" s="11"/>
      <c r="P249" s="11"/>
      <c r="Q249" s="11"/>
      <c r="R249" s="11"/>
      <c r="S249" s="11"/>
      <c r="T249" s="11"/>
      <c r="U249" s="11"/>
      <c r="V249" s="11"/>
    </row>
    <row r="250" spans="2:22">
      <c r="B250" s="11"/>
      <c r="C250" s="478" t="s">
        <v>906</v>
      </c>
      <c r="D250" s="239">
        <v>31.48</v>
      </c>
      <c r="E250" s="1"/>
      <c r="F250" s="473" t="s">
        <v>894</v>
      </c>
      <c r="G250" s="239">
        <v>62.95</v>
      </c>
      <c r="H250" s="239">
        <f t="shared" si="18"/>
        <v>230.81666666666666</v>
      </c>
      <c r="I250" s="239">
        <f t="shared" si="19"/>
        <v>11.540833333333333</v>
      </c>
      <c r="J250" s="11"/>
      <c r="K250" s="11"/>
      <c r="L250" s="11"/>
      <c r="M250" s="11"/>
      <c r="N250" s="11"/>
      <c r="O250" s="11"/>
      <c r="P250" s="11"/>
      <c r="Q250" s="11"/>
      <c r="R250" s="11"/>
      <c r="S250" s="11"/>
      <c r="T250" s="11"/>
      <c r="U250" s="11"/>
      <c r="V250" s="11"/>
    </row>
    <row r="251" spans="2:22">
      <c r="B251" s="11"/>
      <c r="C251" s="473" t="s">
        <v>893</v>
      </c>
      <c r="D251" s="239">
        <v>48.73</v>
      </c>
      <c r="E251" s="1"/>
      <c r="F251" s="474" t="s">
        <v>895</v>
      </c>
      <c r="G251" s="239" t="s">
        <v>899</v>
      </c>
      <c r="H251" s="239">
        <f>(0.8*AVERAGE(G247:G250)/38)*(44/12)</f>
        <v>3.7544736842105264</v>
      </c>
      <c r="I251" s="239">
        <f t="shared" si="19"/>
        <v>0.18772368421052632</v>
      </c>
      <c r="J251" s="11"/>
      <c r="K251" s="11"/>
      <c r="L251" s="11"/>
      <c r="M251" s="11"/>
      <c r="N251" s="11"/>
      <c r="O251" s="11"/>
      <c r="P251" s="11"/>
      <c r="Q251" s="11"/>
      <c r="R251" s="11"/>
      <c r="S251" s="11"/>
      <c r="T251" s="11"/>
      <c r="U251" s="11"/>
      <c r="V251" s="11"/>
    </row>
    <row r="252" spans="2:22">
      <c r="B252" s="11"/>
      <c r="C252" s="476" t="s">
        <v>894</v>
      </c>
      <c r="D252" s="239">
        <v>62.95</v>
      </c>
      <c r="E252" s="1"/>
      <c r="F252" s="473" t="s">
        <v>896</v>
      </c>
      <c r="G252" s="239">
        <v>0</v>
      </c>
      <c r="H252" s="239">
        <f t="shared" si="18"/>
        <v>0</v>
      </c>
      <c r="I252" s="239">
        <f t="shared" si="19"/>
        <v>0</v>
      </c>
      <c r="J252" s="11"/>
      <c r="K252" s="11"/>
      <c r="L252" s="11"/>
      <c r="M252" s="11"/>
      <c r="N252" s="11"/>
      <c r="O252" s="11"/>
      <c r="P252" s="11"/>
      <c r="Q252" s="11"/>
      <c r="R252" s="11"/>
      <c r="S252" s="11"/>
      <c r="T252" s="11"/>
      <c r="U252" s="11"/>
      <c r="V252" s="11"/>
    </row>
    <row r="253" spans="2:22">
      <c r="B253" s="11"/>
      <c r="C253" s="477" t="s">
        <v>895</v>
      </c>
      <c r="D253" s="239" t="s">
        <v>899</v>
      </c>
      <c r="E253" s="11"/>
      <c r="F253" s="11"/>
      <c r="G253" s="11"/>
      <c r="H253" s="11"/>
      <c r="I253" s="11"/>
      <c r="J253" s="11"/>
      <c r="K253" s="11"/>
      <c r="L253" s="11"/>
      <c r="M253" s="11"/>
      <c r="N253" s="11"/>
      <c r="O253" s="11"/>
      <c r="P253" s="11"/>
      <c r="Q253" s="11"/>
      <c r="R253" s="11"/>
      <c r="S253" s="11"/>
      <c r="T253" s="11"/>
      <c r="U253" s="11"/>
      <c r="V253" s="11"/>
    </row>
    <row r="254" spans="2:22">
      <c r="B254" s="11"/>
      <c r="C254" s="476" t="s">
        <v>896</v>
      </c>
      <c r="D254" s="239">
        <v>0</v>
      </c>
      <c r="E254" s="11"/>
      <c r="F254" s="11"/>
      <c r="G254" s="11"/>
      <c r="H254" s="11"/>
      <c r="I254" s="11"/>
      <c r="J254" s="11"/>
      <c r="K254" s="11"/>
      <c r="L254" s="11"/>
      <c r="M254" s="11"/>
      <c r="N254" s="11"/>
      <c r="O254" s="11"/>
      <c r="P254" s="11"/>
      <c r="Q254" s="11"/>
      <c r="R254" s="11"/>
      <c r="S254" s="11"/>
      <c r="T254" s="11"/>
      <c r="U254" s="11"/>
      <c r="V254" s="11"/>
    </row>
    <row r="255" spans="2:22">
      <c r="B255" s="11"/>
      <c r="C255" s="11"/>
      <c r="D255" s="11"/>
      <c r="E255" s="11"/>
      <c r="F255" s="11"/>
      <c r="G255" s="11"/>
      <c r="H255" s="11"/>
      <c r="I255" s="11"/>
      <c r="J255" s="11"/>
      <c r="K255" s="11"/>
      <c r="L255" s="11"/>
      <c r="M255" s="11"/>
      <c r="N255" s="11"/>
      <c r="O255" s="11"/>
      <c r="P255" s="11"/>
      <c r="Q255" s="11"/>
      <c r="R255" s="11"/>
      <c r="S255" s="11"/>
      <c r="T255" s="11"/>
      <c r="U255" s="11"/>
      <c r="V255" s="11"/>
    </row>
    <row r="256" spans="2:22">
      <c r="B256" s="11"/>
      <c r="C256" s="11"/>
      <c r="D256" s="11"/>
      <c r="E256" s="11"/>
      <c r="F256" s="11"/>
      <c r="G256" s="11"/>
      <c r="H256" s="11"/>
      <c r="I256" s="11"/>
      <c r="J256" s="11"/>
      <c r="K256" s="11"/>
      <c r="L256" s="11"/>
      <c r="M256" s="11"/>
      <c r="N256" s="11"/>
      <c r="O256" s="11"/>
      <c r="P256" s="11"/>
      <c r="Q256" s="11"/>
      <c r="R256" s="11"/>
      <c r="S256" s="11"/>
      <c r="T256" s="11"/>
      <c r="U256" s="11"/>
      <c r="V256" s="11"/>
    </row>
    <row r="257" spans="2:22">
      <c r="B257" s="11"/>
      <c r="C257" s="11"/>
      <c r="D257" s="11"/>
      <c r="E257" s="11"/>
      <c r="F257" s="11"/>
      <c r="G257" s="11"/>
      <c r="H257" s="11"/>
      <c r="I257" s="11"/>
      <c r="J257" s="11"/>
      <c r="K257" s="11"/>
      <c r="L257" s="11"/>
      <c r="M257" s="11"/>
      <c r="N257" s="11"/>
      <c r="O257" s="11"/>
      <c r="P257" s="11"/>
      <c r="Q257" s="11"/>
      <c r="R257" s="11"/>
      <c r="S257" s="11"/>
      <c r="T257" s="11"/>
      <c r="U257" s="11"/>
      <c r="V257" s="11"/>
    </row>
    <row r="258" spans="2:22" ht="27.6">
      <c r="B258" s="11"/>
      <c r="C258" s="11"/>
      <c r="D258" s="11"/>
      <c r="E258" s="475" t="s">
        <v>910</v>
      </c>
      <c r="F258" s="239" t="s">
        <v>909</v>
      </c>
      <c r="G258" s="475" t="s">
        <v>914</v>
      </c>
      <c r="H258" s="475" t="s">
        <v>911</v>
      </c>
      <c r="I258" s="475" t="s">
        <v>912</v>
      </c>
      <c r="J258" s="475" t="s">
        <v>913</v>
      </c>
      <c r="L258" s="11"/>
      <c r="M258" s="11"/>
      <c r="N258" s="11"/>
      <c r="O258" s="11"/>
      <c r="P258" s="11"/>
      <c r="Q258" s="11"/>
      <c r="R258" s="11"/>
      <c r="S258" s="11"/>
      <c r="T258" s="11"/>
      <c r="U258" s="11"/>
      <c r="V258" s="11"/>
    </row>
    <row r="259" spans="2:22">
      <c r="B259" s="11"/>
      <c r="C259" s="642" t="s">
        <v>23</v>
      </c>
      <c r="D259" s="473" t="s">
        <v>891</v>
      </c>
      <c r="E259" s="239">
        <f>M_Datos!M118</f>
        <v>0</v>
      </c>
      <c r="F259" s="239">
        <f>E259/10000</f>
        <v>0</v>
      </c>
      <c r="G259" s="239"/>
      <c r="H259" s="239"/>
      <c r="I259" s="239">
        <f>F259*I247</f>
        <v>0</v>
      </c>
      <c r="J259" s="239">
        <f>F259*I235</f>
        <v>0</v>
      </c>
      <c r="K259" s="11"/>
      <c r="L259" s="11"/>
      <c r="M259" s="11"/>
      <c r="N259" s="11"/>
      <c r="O259" s="11"/>
      <c r="P259" s="11"/>
      <c r="Q259" s="11"/>
      <c r="R259" s="11"/>
      <c r="S259" s="11"/>
      <c r="T259" s="11"/>
      <c r="U259" s="11"/>
      <c r="V259" s="11"/>
    </row>
    <row r="260" spans="2:22" ht="27.6">
      <c r="B260" s="11"/>
      <c r="C260" s="642"/>
      <c r="D260" s="473" t="s">
        <v>892</v>
      </c>
      <c r="E260" s="239">
        <f>M_Datos!M119</f>
        <v>0</v>
      </c>
      <c r="F260" s="239">
        <f t="shared" ref="F260:F288" si="20">E260/10000</f>
        <v>0</v>
      </c>
      <c r="G260" s="239"/>
      <c r="H260" s="239"/>
      <c r="I260" s="239">
        <f t="shared" ref="I260:I264" si="21">F260*I248</f>
        <v>0</v>
      </c>
      <c r="J260" s="239">
        <f t="shared" ref="J260:J264" si="22">F260*I236</f>
        <v>0</v>
      </c>
      <c r="K260" s="11"/>
      <c r="L260" s="11"/>
      <c r="M260" s="11"/>
      <c r="N260" s="11"/>
      <c r="O260" s="11"/>
      <c r="P260" s="11"/>
      <c r="Q260" s="11"/>
      <c r="R260" s="11"/>
      <c r="S260" s="11"/>
      <c r="T260" s="11"/>
      <c r="U260" s="11"/>
      <c r="V260" s="11"/>
    </row>
    <row r="261" spans="2:22">
      <c r="B261" s="11"/>
      <c r="C261" s="642"/>
      <c r="D261" s="473" t="s">
        <v>893</v>
      </c>
      <c r="E261" s="239">
        <f>M_Datos!M120</f>
        <v>0</v>
      </c>
      <c r="F261" s="239">
        <f t="shared" si="20"/>
        <v>0</v>
      </c>
      <c r="G261" s="239"/>
      <c r="H261" s="239"/>
      <c r="I261" s="239">
        <f t="shared" si="21"/>
        <v>0</v>
      </c>
      <c r="J261" s="239">
        <f t="shared" si="22"/>
        <v>0</v>
      </c>
      <c r="K261" s="11"/>
      <c r="L261" s="11"/>
      <c r="M261" s="11"/>
      <c r="N261" s="11"/>
      <c r="O261" s="11"/>
      <c r="P261" s="11"/>
      <c r="Q261" s="11"/>
      <c r="R261" s="11"/>
      <c r="S261" s="11"/>
      <c r="T261" s="11"/>
      <c r="U261" s="11"/>
      <c r="V261" s="11"/>
    </row>
    <row r="262" spans="2:22">
      <c r="B262" s="11"/>
      <c r="C262" s="642"/>
      <c r="D262" s="473" t="s">
        <v>894</v>
      </c>
      <c r="E262" s="239">
        <f>M_Datos!M121</f>
        <v>0</v>
      </c>
      <c r="F262" s="239">
        <f t="shared" si="20"/>
        <v>0</v>
      </c>
      <c r="G262" s="239"/>
      <c r="H262" s="239"/>
      <c r="I262" s="239">
        <f t="shared" si="21"/>
        <v>0</v>
      </c>
      <c r="J262" s="239">
        <f t="shared" si="22"/>
        <v>0</v>
      </c>
      <c r="K262" s="11"/>
      <c r="L262" s="11"/>
      <c r="M262" s="11"/>
      <c r="N262" s="11"/>
      <c r="O262" s="11"/>
      <c r="P262" s="11"/>
      <c r="Q262" s="11"/>
      <c r="R262" s="11"/>
      <c r="S262" s="11"/>
      <c r="T262" s="11"/>
      <c r="U262" s="11"/>
      <c r="V262" s="11"/>
    </row>
    <row r="263" spans="2:22">
      <c r="B263" s="11"/>
      <c r="C263" s="642"/>
      <c r="D263" s="474" t="s">
        <v>895</v>
      </c>
      <c r="E263" s="239">
        <f>M_Datos!M122</f>
        <v>0</v>
      </c>
      <c r="F263" s="239">
        <f t="shared" si="20"/>
        <v>0</v>
      </c>
      <c r="G263" s="239"/>
      <c r="H263" s="239"/>
      <c r="I263" s="239">
        <f t="shared" si="21"/>
        <v>0</v>
      </c>
      <c r="J263" s="239">
        <f t="shared" si="22"/>
        <v>0</v>
      </c>
      <c r="K263" s="11"/>
      <c r="L263" s="11"/>
      <c r="M263" s="11"/>
      <c r="N263" s="11"/>
      <c r="O263" s="11"/>
      <c r="P263" s="11"/>
      <c r="Q263" s="11"/>
      <c r="R263" s="11"/>
      <c r="S263" s="11"/>
      <c r="T263" s="11"/>
      <c r="U263" s="11"/>
      <c r="V263" s="11"/>
    </row>
    <row r="264" spans="2:22">
      <c r="B264" s="11"/>
      <c r="C264" s="642"/>
      <c r="D264" s="473" t="s">
        <v>896</v>
      </c>
      <c r="E264" s="239">
        <f>M_Datos!M123</f>
        <v>0</v>
      </c>
      <c r="F264" s="239">
        <f t="shared" si="20"/>
        <v>0</v>
      </c>
      <c r="G264" s="239"/>
      <c r="H264" s="239"/>
      <c r="I264" s="239">
        <f t="shared" si="21"/>
        <v>0</v>
      </c>
      <c r="J264" s="239">
        <f t="shared" si="22"/>
        <v>0</v>
      </c>
      <c r="K264" s="11"/>
      <c r="L264" s="11"/>
      <c r="M264" s="11"/>
      <c r="N264" s="11"/>
      <c r="O264" s="11"/>
      <c r="P264" s="11"/>
      <c r="Q264" s="11"/>
      <c r="R264" s="11"/>
      <c r="S264" s="11"/>
      <c r="T264" s="11"/>
      <c r="U264" s="11"/>
      <c r="V264" s="11"/>
    </row>
    <row r="265" spans="2:22">
      <c r="B265" s="11"/>
      <c r="C265" s="643" t="s">
        <v>31</v>
      </c>
      <c r="D265" s="473" t="s">
        <v>891</v>
      </c>
      <c r="E265" s="239">
        <f>M_Datos!N118</f>
        <v>0</v>
      </c>
      <c r="F265" s="239">
        <f t="shared" si="20"/>
        <v>0</v>
      </c>
      <c r="G265" s="239">
        <f>F265-F259</f>
        <v>0</v>
      </c>
      <c r="H265" s="239">
        <f>F265</f>
        <v>0</v>
      </c>
      <c r="I265" s="239">
        <f>-G265*$I$247</f>
        <v>0</v>
      </c>
      <c r="J265" s="239">
        <f>-H265*$I$235</f>
        <v>0</v>
      </c>
      <c r="K265" s="11"/>
      <c r="L265" s="11"/>
      <c r="M265" s="11"/>
      <c r="N265" s="11"/>
      <c r="O265" s="11"/>
      <c r="P265" s="11"/>
      <c r="Q265" s="11"/>
      <c r="R265" s="11"/>
      <c r="S265" s="11"/>
      <c r="T265" s="11"/>
      <c r="U265" s="11"/>
      <c r="V265" s="11"/>
    </row>
    <row r="266" spans="2:22" ht="27.6">
      <c r="B266" s="11"/>
      <c r="C266" s="643"/>
      <c r="D266" s="473" t="s">
        <v>892</v>
      </c>
      <c r="E266" s="239">
        <f>M_Datos!N119</f>
        <v>0</v>
      </c>
      <c r="F266" s="239">
        <f t="shared" si="20"/>
        <v>0</v>
      </c>
      <c r="G266" s="239">
        <f t="shared" ref="G266:G270" si="23">F266-F260</f>
        <v>0</v>
      </c>
      <c r="H266" s="239">
        <f t="shared" ref="H266:H288" si="24">F266</f>
        <v>0</v>
      </c>
      <c r="I266" s="239">
        <f>-G266*$I$248</f>
        <v>0</v>
      </c>
      <c r="J266" s="239">
        <f>-H266*$I$236</f>
        <v>0</v>
      </c>
      <c r="K266" s="11"/>
      <c r="L266" s="11"/>
      <c r="M266" s="11"/>
      <c r="N266" s="11"/>
      <c r="O266" s="11"/>
      <c r="P266" s="11"/>
      <c r="Q266" s="11"/>
      <c r="R266" s="11"/>
      <c r="S266" s="11"/>
      <c r="T266" s="11"/>
      <c r="U266" s="11"/>
      <c r="V266" s="11"/>
    </row>
    <row r="267" spans="2:22">
      <c r="B267" s="11"/>
      <c r="C267" s="643"/>
      <c r="D267" s="473" t="s">
        <v>893</v>
      </c>
      <c r="E267" s="239">
        <f>M_Datos!N120</f>
        <v>0</v>
      </c>
      <c r="F267" s="239">
        <f t="shared" si="20"/>
        <v>0</v>
      </c>
      <c r="G267" s="239">
        <f t="shared" si="23"/>
        <v>0</v>
      </c>
      <c r="H267" s="239">
        <f t="shared" si="24"/>
        <v>0</v>
      </c>
      <c r="I267" s="239">
        <f>-G267*$I$249</f>
        <v>0</v>
      </c>
      <c r="J267" s="239">
        <f>-H267*$I$237</f>
        <v>0</v>
      </c>
      <c r="K267" s="11"/>
      <c r="L267" s="11"/>
      <c r="M267" s="11"/>
      <c r="N267" s="11"/>
      <c r="O267" s="11"/>
      <c r="P267" s="11"/>
      <c r="Q267" s="11"/>
      <c r="R267" s="11"/>
      <c r="S267" s="11"/>
      <c r="T267" s="11"/>
      <c r="U267" s="11"/>
      <c r="V267" s="11"/>
    </row>
    <row r="268" spans="2:22">
      <c r="B268" s="11"/>
      <c r="C268" s="643"/>
      <c r="D268" s="473" t="s">
        <v>894</v>
      </c>
      <c r="E268" s="239">
        <f>M_Datos!N121</f>
        <v>0</v>
      </c>
      <c r="F268" s="239">
        <f t="shared" si="20"/>
        <v>0</v>
      </c>
      <c r="G268" s="239">
        <f t="shared" si="23"/>
        <v>0</v>
      </c>
      <c r="H268" s="239">
        <f t="shared" si="24"/>
        <v>0</v>
      </c>
      <c r="I268" s="239">
        <f>-G268*$I$250</f>
        <v>0</v>
      </c>
      <c r="J268" s="239">
        <f>-H268*$I$238</f>
        <v>0</v>
      </c>
      <c r="K268" s="11"/>
      <c r="L268" s="11"/>
      <c r="M268" s="11"/>
      <c r="N268" s="11"/>
      <c r="O268" s="11"/>
      <c r="P268" s="11"/>
      <c r="Q268" s="11"/>
      <c r="R268" s="11"/>
      <c r="S268" s="11"/>
      <c r="T268" s="11"/>
      <c r="U268" s="11"/>
      <c r="V268" s="11"/>
    </row>
    <row r="269" spans="2:22">
      <c r="B269" s="11"/>
      <c r="C269" s="643"/>
      <c r="D269" s="474" t="s">
        <v>895</v>
      </c>
      <c r="E269" s="239">
        <f>M_Datos!N122</f>
        <v>0</v>
      </c>
      <c r="F269" s="239">
        <f t="shared" si="20"/>
        <v>0</v>
      </c>
      <c r="G269" s="239">
        <f t="shared" si="23"/>
        <v>0</v>
      </c>
      <c r="H269" s="239">
        <f t="shared" si="24"/>
        <v>0</v>
      </c>
      <c r="I269" s="239">
        <f>-G269*$I$251</f>
        <v>0</v>
      </c>
      <c r="J269" s="239">
        <f>-H269*$I$239</f>
        <v>0</v>
      </c>
      <c r="K269" s="11"/>
      <c r="L269" s="11"/>
      <c r="M269" s="11"/>
      <c r="N269" s="11"/>
      <c r="O269" s="11"/>
      <c r="P269" s="11"/>
      <c r="Q269" s="11"/>
      <c r="R269" s="11"/>
      <c r="S269" s="11"/>
      <c r="T269" s="11"/>
      <c r="U269" s="11"/>
      <c r="V269" s="11"/>
    </row>
    <row r="270" spans="2:22">
      <c r="B270" s="11"/>
      <c r="C270" s="643"/>
      <c r="D270" s="473" t="s">
        <v>896</v>
      </c>
      <c r="E270" s="239">
        <f>M_Datos!N123</f>
        <v>0</v>
      </c>
      <c r="F270" s="239">
        <f t="shared" si="20"/>
        <v>0</v>
      </c>
      <c r="G270" s="239">
        <f t="shared" si="23"/>
        <v>0</v>
      </c>
      <c r="H270" s="239">
        <f t="shared" si="24"/>
        <v>0</v>
      </c>
      <c r="I270" s="239">
        <f>-G270*$I$252</f>
        <v>0</v>
      </c>
      <c r="J270" s="239">
        <f>-H270*$I$240</f>
        <v>0</v>
      </c>
      <c r="K270" s="11"/>
      <c r="L270" s="11"/>
      <c r="M270" s="11"/>
      <c r="N270" s="11"/>
      <c r="O270" s="11"/>
      <c r="P270" s="11"/>
      <c r="Q270" s="11"/>
      <c r="R270" s="11"/>
      <c r="S270" s="11"/>
      <c r="T270" s="11"/>
      <c r="U270" s="11"/>
      <c r="V270" s="11"/>
    </row>
    <row r="271" spans="2:22">
      <c r="B271" s="11"/>
      <c r="C271" s="644" t="s">
        <v>36</v>
      </c>
      <c r="D271" s="473" t="s">
        <v>891</v>
      </c>
      <c r="E271" s="239">
        <f>M_Datos!O118</f>
        <v>0</v>
      </c>
      <c r="F271" s="239">
        <f t="shared" si="20"/>
        <v>0</v>
      </c>
      <c r="G271" s="239">
        <f>F271-F259</f>
        <v>0</v>
      </c>
      <c r="H271" s="239">
        <f t="shared" si="24"/>
        <v>0</v>
      </c>
      <c r="I271" s="239">
        <f>-G271*$I$247</f>
        <v>0</v>
      </c>
      <c r="J271" s="239">
        <f>-H271*$I$235</f>
        <v>0</v>
      </c>
      <c r="K271" s="11"/>
      <c r="L271" s="11"/>
      <c r="M271" s="11"/>
      <c r="N271" s="11"/>
      <c r="O271" s="11"/>
      <c r="P271" s="11"/>
      <c r="Q271" s="11"/>
      <c r="R271" s="11"/>
      <c r="S271" s="11"/>
      <c r="T271" s="11"/>
      <c r="U271" s="11"/>
      <c r="V271" s="11"/>
    </row>
    <row r="272" spans="2:22" ht="27.6">
      <c r="B272" s="11"/>
      <c r="C272" s="644"/>
      <c r="D272" s="473" t="s">
        <v>892</v>
      </c>
      <c r="E272" s="239">
        <f>M_Datos!O119</f>
        <v>0</v>
      </c>
      <c r="F272" s="239">
        <f t="shared" si="20"/>
        <v>0</v>
      </c>
      <c r="G272" s="239">
        <f t="shared" ref="G272:G276" si="25">F272-F260</f>
        <v>0</v>
      </c>
      <c r="H272" s="239">
        <f t="shared" si="24"/>
        <v>0</v>
      </c>
      <c r="I272" s="239">
        <f>-G272*$I$248</f>
        <v>0</v>
      </c>
      <c r="J272" s="239">
        <f>-H272*$I$236</f>
        <v>0</v>
      </c>
      <c r="K272" s="11"/>
      <c r="L272" s="11"/>
      <c r="M272" s="11"/>
      <c r="N272" s="11"/>
      <c r="O272" s="11"/>
      <c r="P272" s="11"/>
      <c r="Q272" s="11"/>
      <c r="R272" s="11"/>
      <c r="S272" s="11"/>
      <c r="T272" s="11"/>
      <c r="U272" s="11"/>
      <c r="V272" s="11"/>
    </row>
    <row r="273" spans="2:22">
      <c r="B273" s="11"/>
      <c r="C273" s="644"/>
      <c r="D273" s="473" t="s">
        <v>893</v>
      </c>
      <c r="E273" s="239">
        <f>M_Datos!O120</f>
        <v>0</v>
      </c>
      <c r="F273" s="239">
        <f t="shared" si="20"/>
        <v>0</v>
      </c>
      <c r="G273" s="239">
        <f t="shared" si="25"/>
        <v>0</v>
      </c>
      <c r="H273" s="239">
        <f t="shared" si="24"/>
        <v>0</v>
      </c>
      <c r="I273" s="239">
        <f>-G273*$I$249</f>
        <v>0</v>
      </c>
      <c r="J273" s="239">
        <f>-H273*$I$237</f>
        <v>0</v>
      </c>
      <c r="K273" s="11"/>
      <c r="L273" s="11"/>
      <c r="M273" s="11"/>
      <c r="N273" s="11"/>
      <c r="O273" s="11"/>
      <c r="P273" s="11"/>
      <c r="Q273" s="11"/>
      <c r="R273" s="11"/>
      <c r="S273" s="11"/>
      <c r="T273" s="11"/>
      <c r="U273" s="11"/>
      <c r="V273" s="11"/>
    </row>
    <row r="274" spans="2:22">
      <c r="B274" s="11"/>
      <c r="C274" s="644"/>
      <c r="D274" s="473" t="s">
        <v>894</v>
      </c>
      <c r="E274" s="239">
        <f>M_Datos!O121</f>
        <v>0</v>
      </c>
      <c r="F274" s="239">
        <f t="shared" si="20"/>
        <v>0</v>
      </c>
      <c r="G274" s="239">
        <f t="shared" si="25"/>
        <v>0</v>
      </c>
      <c r="H274" s="239">
        <f t="shared" si="24"/>
        <v>0</v>
      </c>
      <c r="I274" s="239">
        <f>-G274*$I$250</f>
        <v>0</v>
      </c>
      <c r="J274" s="239">
        <f>-H274*$I$238</f>
        <v>0</v>
      </c>
      <c r="K274" s="11"/>
      <c r="L274" s="11"/>
      <c r="M274" s="11"/>
      <c r="N274" s="11"/>
      <c r="O274" s="11"/>
      <c r="P274" s="11"/>
      <c r="Q274" s="11"/>
      <c r="R274" s="11"/>
      <c r="S274" s="11"/>
      <c r="T274" s="11"/>
      <c r="U274" s="11"/>
      <c r="V274" s="11"/>
    </row>
    <row r="275" spans="2:22">
      <c r="B275" s="11"/>
      <c r="C275" s="644"/>
      <c r="D275" s="474" t="s">
        <v>895</v>
      </c>
      <c r="E275" s="239">
        <f>M_Datos!O122</f>
        <v>0</v>
      </c>
      <c r="F275" s="239">
        <f t="shared" si="20"/>
        <v>0</v>
      </c>
      <c r="G275" s="239">
        <f t="shared" si="25"/>
        <v>0</v>
      </c>
      <c r="H275" s="239">
        <f t="shared" si="24"/>
        <v>0</v>
      </c>
      <c r="I275" s="239">
        <f>-G275*$I$251</f>
        <v>0</v>
      </c>
      <c r="J275" s="239">
        <f>-H275*$I$239</f>
        <v>0</v>
      </c>
      <c r="K275" s="11"/>
      <c r="L275" s="11"/>
      <c r="M275" s="11"/>
      <c r="N275" s="11"/>
      <c r="O275" s="11"/>
      <c r="P275" s="11"/>
      <c r="Q275" s="11"/>
      <c r="R275" s="11"/>
      <c r="S275" s="11"/>
      <c r="T275" s="11"/>
      <c r="U275" s="11"/>
      <c r="V275" s="11"/>
    </row>
    <row r="276" spans="2:22">
      <c r="B276" s="11"/>
      <c r="C276" s="644"/>
      <c r="D276" s="473" t="s">
        <v>896</v>
      </c>
      <c r="E276" s="239">
        <f>M_Datos!O123</f>
        <v>0</v>
      </c>
      <c r="F276" s="239">
        <f t="shared" si="20"/>
        <v>0</v>
      </c>
      <c r="G276" s="239">
        <f t="shared" si="25"/>
        <v>0</v>
      </c>
      <c r="H276" s="239">
        <f t="shared" si="24"/>
        <v>0</v>
      </c>
      <c r="I276" s="239">
        <f>-G276*$I$252</f>
        <v>0</v>
      </c>
      <c r="J276" s="239">
        <f>-H276*$I$240</f>
        <v>0</v>
      </c>
      <c r="K276" s="11"/>
      <c r="L276" s="11"/>
      <c r="M276" s="11"/>
      <c r="N276" s="11"/>
      <c r="O276" s="11"/>
      <c r="P276" s="11"/>
      <c r="Q276" s="11"/>
      <c r="R276" s="11"/>
      <c r="S276" s="11"/>
      <c r="T276" s="11"/>
      <c r="U276" s="11"/>
      <c r="V276" s="11"/>
    </row>
    <row r="277" spans="2:22">
      <c r="B277" s="11"/>
      <c r="C277" s="645" t="s">
        <v>39</v>
      </c>
      <c r="D277" s="473" t="s">
        <v>891</v>
      </c>
      <c r="E277" s="239">
        <f>M_Datos!P118</f>
        <v>0</v>
      </c>
      <c r="F277" s="239">
        <f t="shared" si="20"/>
        <v>0</v>
      </c>
      <c r="G277" s="239">
        <f>F277-F259</f>
        <v>0</v>
      </c>
      <c r="H277" s="239">
        <f t="shared" si="24"/>
        <v>0</v>
      </c>
      <c r="I277" s="239">
        <f>-G277*$I$247</f>
        <v>0</v>
      </c>
      <c r="J277" s="239">
        <f>-H277*$I$235</f>
        <v>0</v>
      </c>
      <c r="K277" s="11"/>
      <c r="L277" s="11"/>
      <c r="M277" s="11"/>
      <c r="N277" s="11"/>
      <c r="O277" s="11"/>
      <c r="P277" s="11"/>
      <c r="Q277" s="11"/>
      <c r="R277" s="11"/>
      <c r="S277" s="11"/>
      <c r="T277" s="11"/>
      <c r="U277" s="11"/>
      <c r="V277" s="11"/>
    </row>
    <row r="278" spans="2:22" ht="27.6">
      <c r="B278" s="11"/>
      <c r="C278" s="645"/>
      <c r="D278" s="473" t="s">
        <v>892</v>
      </c>
      <c r="E278" s="239">
        <f>M_Datos!P119</f>
        <v>0</v>
      </c>
      <c r="F278" s="239">
        <f t="shared" si="20"/>
        <v>0</v>
      </c>
      <c r="G278" s="239">
        <f t="shared" ref="G278:G282" si="26">F278-F260</f>
        <v>0</v>
      </c>
      <c r="H278" s="239">
        <f t="shared" si="24"/>
        <v>0</v>
      </c>
      <c r="I278" s="239">
        <f>-G278*$I$248</f>
        <v>0</v>
      </c>
      <c r="J278" s="239">
        <f>-H278*$I$236</f>
        <v>0</v>
      </c>
      <c r="K278" s="11"/>
      <c r="L278" s="11"/>
      <c r="M278" s="11"/>
      <c r="N278" s="11"/>
      <c r="O278" s="11"/>
      <c r="P278" s="11"/>
      <c r="Q278" s="11"/>
      <c r="R278" s="11"/>
      <c r="S278" s="11"/>
      <c r="T278" s="11"/>
      <c r="U278" s="11"/>
      <c r="V278" s="11"/>
    </row>
    <row r="279" spans="2:22">
      <c r="B279" s="11"/>
      <c r="C279" s="645"/>
      <c r="D279" s="473" t="s">
        <v>893</v>
      </c>
      <c r="E279" s="239">
        <f>M_Datos!P120</f>
        <v>0</v>
      </c>
      <c r="F279" s="239">
        <f t="shared" si="20"/>
        <v>0</v>
      </c>
      <c r="G279" s="239">
        <f t="shared" si="26"/>
        <v>0</v>
      </c>
      <c r="H279" s="239">
        <f t="shared" si="24"/>
        <v>0</v>
      </c>
      <c r="I279" s="239">
        <f>-G279*$I$249</f>
        <v>0</v>
      </c>
      <c r="J279" s="239">
        <f>-H279*$I$237</f>
        <v>0</v>
      </c>
      <c r="K279" s="11"/>
      <c r="L279" s="11"/>
      <c r="M279" s="11"/>
      <c r="N279" s="11"/>
      <c r="O279" s="11"/>
      <c r="P279" s="11"/>
      <c r="Q279" s="11"/>
      <c r="R279" s="11"/>
      <c r="S279" s="11"/>
      <c r="T279" s="11"/>
      <c r="U279" s="11"/>
      <c r="V279" s="11"/>
    </row>
    <row r="280" spans="2:22">
      <c r="B280" s="11"/>
      <c r="C280" s="645"/>
      <c r="D280" s="473" t="s">
        <v>894</v>
      </c>
      <c r="E280" s="239">
        <f>M_Datos!P121</f>
        <v>0</v>
      </c>
      <c r="F280" s="239">
        <f t="shared" si="20"/>
        <v>0</v>
      </c>
      <c r="G280" s="239">
        <f t="shared" si="26"/>
        <v>0</v>
      </c>
      <c r="H280" s="239">
        <f t="shared" si="24"/>
        <v>0</v>
      </c>
      <c r="I280" s="239">
        <f>-G280*$I$250</f>
        <v>0</v>
      </c>
      <c r="J280" s="239">
        <f>-H280*$I$238</f>
        <v>0</v>
      </c>
      <c r="K280" s="11"/>
      <c r="L280" s="11"/>
      <c r="M280" s="11"/>
      <c r="N280" s="11"/>
      <c r="O280" s="11"/>
      <c r="P280" s="11"/>
      <c r="Q280" s="11"/>
      <c r="R280" s="11"/>
      <c r="S280" s="11"/>
      <c r="T280" s="11"/>
      <c r="U280" s="11"/>
      <c r="V280" s="11"/>
    </row>
    <row r="281" spans="2:22">
      <c r="B281" s="11"/>
      <c r="C281" s="645"/>
      <c r="D281" s="474" t="s">
        <v>895</v>
      </c>
      <c r="E281" s="239">
        <f>M_Datos!P122</f>
        <v>0</v>
      </c>
      <c r="F281" s="239">
        <f t="shared" si="20"/>
        <v>0</v>
      </c>
      <c r="G281" s="239">
        <f t="shared" si="26"/>
        <v>0</v>
      </c>
      <c r="H281" s="239">
        <f t="shared" si="24"/>
        <v>0</v>
      </c>
      <c r="I281" s="239">
        <f>-G281*$I$251</f>
        <v>0</v>
      </c>
      <c r="J281" s="239">
        <f>-H281*$I$239</f>
        <v>0</v>
      </c>
      <c r="K281" s="11"/>
      <c r="L281" s="11"/>
      <c r="M281" s="11"/>
      <c r="N281" s="11"/>
      <c r="O281" s="11"/>
      <c r="P281" s="11"/>
      <c r="Q281" s="11"/>
      <c r="R281" s="11"/>
      <c r="S281" s="11"/>
      <c r="T281" s="11"/>
      <c r="U281" s="11"/>
      <c r="V281" s="11"/>
    </row>
    <row r="282" spans="2:22">
      <c r="B282" s="11"/>
      <c r="C282" s="645"/>
      <c r="D282" s="473" t="s">
        <v>896</v>
      </c>
      <c r="E282" s="239">
        <f>M_Datos!P123</f>
        <v>0</v>
      </c>
      <c r="F282" s="239">
        <f t="shared" si="20"/>
        <v>0</v>
      </c>
      <c r="G282" s="239">
        <f t="shared" si="26"/>
        <v>0</v>
      </c>
      <c r="H282" s="239">
        <f t="shared" si="24"/>
        <v>0</v>
      </c>
      <c r="I282" s="239">
        <f>-G282*$I$252</f>
        <v>0</v>
      </c>
      <c r="J282" s="239">
        <f>-H282*$I$240</f>
        <v>0</v>
      </c>
      <c r="K282" s="11"/>
      <c r="L282" s="11"/>
      <c r="M282" s="11"/>
      <c r="N282" s="11"/>
      <c r="O282" s="11"/>
      <c r="P282" s="11"/>
      <c r="Q282" s="11"/>
      <c r="R282" s="11"/>
      <c r="S282" s="11"/>
      <c r="T282" s="11"/>
      <c r="U282" s="11"/>
      <c r="V282" s="11"/>
    </row>
    <row r="283" spans="2:22">
      <c r="B283" s="11"/>
      <c r="C283" s="646" t="s">
        <v>42</v>
      </c>
      <c r="D283" s="473" t="s">
        <v>891</v>
      </c>
      <c r="E283" s="239">
        <f>M_Datos!Q118</f>
        <v>0</v>
      </c>
      <c r="F283" s="239">
        <f t="shared" si="20"/>
        <v>0</v>
      </c>
      <c r="G283" s="239">
        <f>F283-F259</f>
        <v>0</v>
      </c>
      <c r="H283" s="239">
        <f t="shared" si="24"/>
        <v>0</v>
      </c>
      <c r="I283" s="239">
        <f>-G283*$I$247</f>
        <v>0</v>
      </c>
      <c r="J283" s="239">
        <f>-H283*$I$235</f>
        <v>0</v>
      </c>
      <c r="K283" s="11"/>
      <c r="L283" s="11"/>
      <c r="M283" s="11"/>
      <c r="N283" s="11"/>
      <c r="O283" s="11"/>
      <c r="P283" s="11"/>
      <c r="Q283" s="11"/>
      <c r="R283" s="11"/>
      <c r="S283" s="11"/>
      <c r="T283" s="11"/>
      <c r="U283" s="11"/>
      <c r="V283" s="11"/>
    </row>
    <row r="284" spans="2:22" ht="27.6">
      <c r="B284" s="11"/>
      <c r="C284" s="646"/>
      <c r="D284" s="473" t="s">
        <v>892</v>
      </c>
      <c r="E284" s="239">
        <f>M_Datos!Q119</f>
        <v>0</v>
      </c>
      <c r="F284" s="239">
        <f t="shared" si="20"/>
        <v>0</v>
      </c>
      <c r="G284" s="239">
        <f t="shared" ref="G284:G288" si="27">F284-F260</f>
        <v>0</v>
      </c>
      <c r="H284" s="239">
        <f t="shared" si="24"/>
        <v>0</v>
      </c>
      <c r="I284" s="239">
        <f>-G284*$I$248</f>
        <v>0</v>
      </c>
      <c r="J284" s="239">
        <f>-H284*$I$236</f>
        <v>0</v>
      </c>
      <c r="K284" s="11"/>
      <c r="L284" s="11"/>
      <c r="M284" s="11"/>
      <c r="N284" s="11"/>
      <c r="O284" s="11"/>
      <c r="P284" s="11"/>
      <c r="Q284" s="11"/>
      <c r="R284" s="11"/>
      <c r="S284" s="11"/>
      <c r="T284" s="11"/>
      <c r="U284" s="11"/>
      <c r="V284" s="11"/>
    </row>
    <row r="285" spans="2:22">
      <c r="B285" s="11"/>
      <c r="C285" s="646"/>
      <c r="D285" s="473" t="s">
        <v>893</v>
      </c>
      <c r="E285" s="239">
        <f>M_Datos!Q120</f>
        <v>0</v>
      </c>
      <c r="F285" s="239">
        <f t="shared" si="20"/>
        <v>0</v>
      </c>
      <c r="G285" s="239">
        <f t="shared" si="27"/>
        <v>0</v>
      </c>
      <c r="H285" s="239">
        <f t="shared" si="24"/>
        <v>0</v>
      </c>
      <c r="I285" s="239">
        <f>-G285*$I$249</f>
        <v>0</v>
      </c>
      <c r="J285" s="239">
        <f>-H285*$I$237</f>
        <v>0</v>
      </c>
      <c r="K285" s="11"/>
      <c r="L285" s="11"/>
      <c r="M285" s="11"/>
      <c r="N285" s="11"/>
      <c r="O285" s="11"/>
      <c r="P285" s="11"/>
      <c r="Q285" s="11"/>
      <c r="R285" s="11"/>
      <c r="S285" s="11"/>
      <c r="T285" s="11"/>
      <c r="U285" s="11"/>
      <c r="V285" s="11"/>
    </row>
    <row r="286" spans="2:22">
      <c r="B286" s="11"/>
      <c r="C286" s="646"/>
      <c r="D286" s="473" t="s">
        <v>894</v>
      </c>
      <c r="E286" s="239">
        <f>M_Datos!Q121</f>
        <v>0</v>
      </c>
      <c r="F286" s="239">
        <f t="shared" si="20"/>
        <v>0</v>
      </c>
      <c r="G286" s="239">
        <f t="shared" si="27"/>
        <v>0</v>
      </c>
      <c r="H286" s="239">
        <f t="shared" si="24"/>
        <v>0</v>
      </c>
      <c r="I286" s="239">
        <f>-G286*$I$250</f>
        <v>0</v>
      </c>
      <c r="J286" s="239">
        <f>-H286*$I$238</f>
        <v>0</v>
      </c>
      <c r="K286" s="11"/>
      <c r="L286" s="11"/>
      <c r="M286" s="11"/>
      <c r="N286" s="11"/>
      <c r="O286" s="11"/>
      <c r="P286" s="11"/>
      <c r="Q286" s="11"/>
      <c r="R286" s="11"/>
      <c r="S286" s="11"/>
      <c r="T286" s="11"/>
      <c r="U286" s="11"/>
      <c r="V286" s="11"/>
    </row>
    <row r="287" spans="2:22">
      <c r="B287" s="11"/>
      <c r="C287" s="646"/>
      <c r="D287" s="474" t="s">
        <v>895</v>
      </c>
      <c r="E287" s="239">
        <f>M_Datos!Q122</f>
        <v>0</v>
      </c>
      <c r="F287" s="239">
        <f t="shared" si="20"/>
        <v>0</v>
      </c>
      <c r="G287" s="239">
        <f t="shared" si="27"/>
        <v>0</v>
      </c>
      <c r="H287" s="239">
        <f t="shared" si="24"/>
        <v>0</v>
      </c>
      <c r="I287" s="239">
        <f>-G287*$I$251</f>
        <v>0</v>
      </c>
      <c r="J287" s="239">
        <f>-H287*$I$239</f>
        <v>0</v>
      </c>
      <c r="K287" s="11"/>
      <c r="L287" s="11"/>
      <c r="M287" s="11"/>
      <c r="N287" s="11"/>
      <c r="O287" s="11"/>
      <c r="P287" s="11"/>
      <c r="Q287" s="11"/>
      <c r="R287" s="11"/>
      <c r="S287" s="11"/>
      <c r="T287" s="11"/>
      <c r="U287" s="11"/>
      <c r="V287" s="11"/>
    </row>
    <row r="288" spans="2:22">
      <c r="B288" s="11"/>
      <c r="C288" s="646"/>
      <c r="D288" s="473" t="s">
        <v>896</v>
      </c>
      <c r="E288" s="239">
        <f>M_Datos!Q123</f>
        <v>0</v>
      </c>
      <c r="F288" s="239">
        <f t="shared" si="20"/>
        <v>0</v>
      </c>
      <c r="G288" s="239">
        <f t="shared" si="27"/>
        <v>0</v>
      </c>
      <c r="H288" s="239">
        <f t="shared" si="24"/>
        <v>0</v>
      </c>
      <c r="I288" s="239">
        <f>-G288*$I$252</f>
        <v>0</v>
      </c>
      <c r="J288" s="239">
        <f>-H288*$I$240</f>
        <v>0</v>
      </c>
      <c r="K288" s="11"/>
      <c r="L288" s="11"/>
      <c r="M288" s="11"/>
      <c r="N288" s="11"/>
      <c r="O288" s="11"/>
      <c r="P288" s="11"/>
      <c r="Q288" s="11"/>
      <c r="R288" s="11"/>
      <c r="S288" s="11"/>
      <c r="T288" s="11"/>
      <c r="U288" s="11"/>
      <c r="V288" s="11"/>
    </row>
    <row r="289" spans="1:22">
      <c r="B289" s="11"/>
      <c r="C289" s="11"/>
      <c r="D289" s="11"/>
      <c r="E289" s="11"/>
      <c r="F289" s="11"/>
      <c r="G289" s="11"/>
      <c r="H289" s="11"/>
      <c r="I289" s="11"/>
      <c r="J289" s="11"/>
      <c r="K289" s="11"/>
      <c r="L289" s="11"/>
      <c r="M289" s="11"/>
      <c r="N289" s="11"/>
      <c r="O289" s="11"/>
      <c r="P289" s="11"/>
      <c r="Q289" s="11"/>
      <c r="R289" s="11"/>
      <c r="S289" s="11"/>
      <c r="T289" s="11"/>
      <c r="U289" s="11"/>
      <c r="V289" s="11"/>
    </row>
    <row r="290" spans="1:22">
      <c r="B290" s="11"/>
      <c r="C290" s="11"/>
      <c r="D290" s="11"/>
      <c r="E290" s="11"/>
      <c r="F290" s="11"/>
      <c r="G290" s="11"/>
      <c r="H290" s="11"/>
      <c r="I290" s="11"/>
      <c r="J290" s="11"/>
      <c r="K290" s="11"/>
      <c r="L290" s="11"/>
      <c r="M290" s="11"/>
      <c r="N290" s="11"/>
      <c r="O290" s="11"/>
      <c r="P290" s="11"/>
      <c r="Q290" s="11"/>
      <c r="R290" s="11"/>
      <c r="S290" s="11"/>
      <c r="T290" s="11"/>
      <c r="U290" s="11"/>
      <c r="V290" s="11"/>
    </row>
    <row r="291" spans="1:22">
      <c r="B291" s="11"/>
      <c r="C291" s="11"/>
      <c r="D291" s="11"/>
      <c r="E291" s="11"/>
      <c r="F291" s="11"/>
      <c r="G291" s="11"/>
      <c r="H291" s="11"/>
      <c r="I291" s="11"/>
      <c r="J291" s="11"/>
      <c r="K291" s="11"/>
      <c r="L291" s="11"/>
      <c r="M291" s="11"/>
      <c r="N291" s="11"/>
      <c r="O291" s="11"/>
      <c r="P291" s="11"/>
      <c r="Q291" s="11"/>
      <c r="R291" s="11"/>
      <c r="S291" s="11"/>
      <c r="T291" s="11"/>
      <c r="U291" s="11"/>
      <c r="V291" s="11"/>
    </row>
    <row r="292" spans="1:22">
      <c r="B292" s="11"/>
      <c r="C292" s="11"/>
      <c r="D292" s="11"/>
      <c r="E292" s="11"/>
      <c r="F292" s="11"/>
      <c r="G292" s="11"/>
      <c r="H292" s="11"/>
      <c r="I292" s="11"/>
      <c r="J292" s="11"/>
      <c r="K292" s="11"/>
      <c r="L292" s="11"/>
      <c r="M292" s="11"/>
      <c r="N292" s="11"/>
      <c r="O292" s="11"/>
      <c r="P292" s="11"/>
      <c r="Q292" s="11"/>
      <c r="R292" s="11"/>
      <c r="S292" s="11"/>
      <c r="T292" s="11"/>
      <c r="U292" s="11"/>
      <c r="V292" s="11"/>
    </row>
    <row r="293" spans="1:22" s="257" customFormat="1">
      <c r="A293" s="145"/>
      <c r="B293" s="254"/>
      <c r="C293" s="255" t="s">
        <v>721</v>
      </c>
      <c r="D293" s="254"/>
      <c r="E293" s="254"/>
      <c r="F293" s="254"/>
      <c r="G293" s="254"/>
      <c r="H293" s="254"/>
      <c r="I293" s="254"/>
      <c r="J293" s="254"/>
      <c r="K293" s="254"/>
      <c r="L293" s="254"/>
      <c r="M293" s="254"/>
      <c r="N293" s="254"/>
      <c r="O293" s="254"/>
      <c r="P293" s="254"/>
      <c r="Q293" s="254"/>
      <c r="R293" s="254"/>
      <c r="S293" s="254"/>
      <c r="T293" s="254"/>
      <c r="U293" s="254"/>
      <c r="V293" s="254"/>
    </row>
    <row r="294" spans="1:22">
      <c r="B294" s="11"/>
      <c r="C294" s="11"/>
      <c r="D294" s="11"/>
      <c r="E294" s="11"/>
      <c r="F294" s="11"/>
      <c r="G294" s="11"/>
      <c r="H294" s="11"/>
      <c r="I294" s="11"/>
      <c r="J294" s="11"/>
      <c r="K294" s="11"/>
      <c r="L294" s="11"/>
      <c r="M294" s="11"/>
      <c r="N294" s="11"/>
      <c r="O294" s="11"/>
      <c r="P294" s="11"/>
      <c r="Q294" s="11"/>
      <c r="R294" s="11"/>
      <c r="S294" s="11"/>
      <c r="T294" s="11"/>
      <c r="U294" s="11"/>
      <c r="V294" s="11"/>
    </row>
    <row r="295" spans="1:22">
      <c r="B295" s="11"/>
      <c r="C295" s="289" t="s">
        <v>721</v>
      </c>
      <c r="D295" s="289"/>
      <c r="E295" s="289"/>
      <c r="F295" s="289"/>
      <c r="G295" s="289"/>
      <c r="H295" s="11"/>
      <c r="I295" s="11"/>
      <c r="J295" s="11"/>
      <c r="K295" s="11"/>
      <c r="L295" s="11"/>
      <c r="M295" s="11"/>
      <c r="N295" s="11"/>
      <c r="O295" s="11"/>
      <c r="P295" s="11"/>
      <c r="Q295" s="11"/>
      <c r="R295" s="11"/>
      <c r="S295" s="11"/>
      <c r="T295" s="11"/>
      <c r="U295" s="11"/>
      <c r="V295" s="11"/>
    </row>
    <row r="296" spans="1:22">
      <c r="B296" s="11"/>
      <c r="C296" s="290" t="s">
        <v>722</v>
      </c>
      <c r="D296" s="290" t="s">
        <v>723</v>
      </c>
      <c r="E296" s="290" t="s">
        <v>673</v>
      </c>
      <c r="F296" s="290"/>
      <c r="G296" s="290" t="s">
        <v>655</v>
      </c>
      <c r="H296" s="11"/>
      <c r="I296" s="11"/>
      <c r="J296" s="11"/>
      <c r="K296" s="11"/>
      <c r="L296" s="11"/>
      <c r="M296" s="11"/>
      <c r="N296" s="11"/>
      <c r="O296" s="11"/>
      <c r="P296" s="11"/>
      <c r="Q296" s="11"/>
      <c r="R296" s="11"/>
      <c r="S296" s="11"/>
      <c r="T296" s="11"/>
      <c r="U296" s="11"/>
      <c r="V296" s="11"/>
    </row>
    <row r="297" spans="1:22">
      <c r="B297" s="11"/>
      <c r="C297" s="289" t="s">
        <v>724</v>
      </c>
      <c r="D297" s="291">
        <v>1</v>
      </c>
      <c r="E297" s="289" t="s">
        <v>725</v>
      </c>
      <c r="F297" s="289"/>
      <c r="G297" s="292" t="s">
        <v>726</v>
      </c>
      <c r="H297" s="11" t="s">
        <v>657</v>
      </c>
      <c r="I297" s="11"/>
      <c r="J297" s="11"/>
      <c r="K297" s="11"/>
      <c r="L297" s="11"/>
      <c r="M297" s="11"/>
      <c r="N297" s="11"/>
      <c r="O297" s="11"/>
      <c r="P297" s="11"/>
      <c r="Q297" s="11"/>
      <c r="R297" s="11"/>
      <c r="S297" s="11"/>
      <c r="T297" s="11"/>
      <c r="U297" s="11"/>
      <c r="V297" s="11"/>
    </row>
    <row r="298" spans="1:22">
      <c r="B298" s="11"/>
      <c r="C298" s="289" t="s">
        <v>727</v>
      </c>
      <c r="D298" s="291">
        <v>28</v>
      </c>
      <c r="E298" s="289" t="s">
        <v>728</v>
      </c>
      <c r="F298" s="289"/>
      <c r="G298" s="292" t="s">
        <v>726</v>
      </c>
      <c r="H298" s="11" t="s">
        <v>657</v>
      </c>
      <c r="I298" s="11"/>
      <c r="J298" s="11"/>
      <c r="K298" s="11"/>
      <c r="L298" s="11"/>
      <c r="M298" s="11"/>
      <c r="N298" s="11"/>
      <c r="O298" s="11"/>
      <c r="P298" s="11"/>
      <c r="Q298" s="11"/>
      <c r="R298" s="11"/>
      <c r="S298" s="11"/>
      <c r="T298" s="11"/>
      <c r="U298" s="11"/>
      <c r="V298" s="11"/>
    </row>
    <row r="299" spans="1:22">
      <c r="B299" s="11"/>
      <c r="C299" s="289" t="s">
        <v>729</v>
      </c>
      <c r="D299" s="291">
        <v>265</v>
      </c>
      <c r="E299" s="289" t="s">
        <v>730</v>
      </c>
      <c r="F299" s="289"/>
      <c r="G299" s="292" t="s">
        <v>726</v>
      </c>
      <c r="H299" s="11" t="s">
        <v>657</v>
      </c>
      <c r="I299" s="11"/>
      <c r="J299" s="11"/>
      <c r="K299" s="11"/>
      <c r="L299" s="11"/>
      <c r="M299" s="11"/>
      <c r="N299" s="11"/>
      <c r="O299" s="11"/>
      <c r="P299" s="11"/>
      <c r="Q299" s="11"/>
      <c r="R299" s="11"/>
      <c r="S299" s="11"/>
      <c r="T299" s="11"/>
      <c r="U299" s="11"/>
      <c r="V299" s="11"/>
    </row>
    <row r="300" spans="1:22">
      <c r="B300" s="11"/>
      <c r="C300" s="11"/>
      <c r="D300" s="11"/>
      <c r="E300" s="11"/>
      <c r="F300" s="11"/>
      <c r="G300" s="11"/>
      <c r="H300" s="11"/>
      <c r="I300" s="11"/>
      <c r="J300" s="11"/>
      <c r="K300" s="11"/>
      <c r="L300" s="11"/>
      <c r="M300" s="11"/>
      <c r="N300" s="11"/>
      <c r="O300" s="11"/>
      <c r="P300" s="11"/>
      <c r="Q300" s="11"/>
      <c r="R300" s="11"/>
      <c r="S300" s="11"/>
      <c r="T300" s="11"/>
      <c r="U300" s="11"/>
      <c r="V300" s="11"/>
    </row>
    <row r="301" spans="1:22">
      <c r="B301" s="11"/>
      <c r="C301" s="11"/>
      <c r="D301" s="11"/>
      <c r="E301" s="11"/>
      <c r="F301" s="11"/>
      <c r="G301" s="11"/>
      <c r="H301" s="11"/>
      <c r="I301" s="11"/>
      <c r="J301" s="11"/>
      <c r="K301" s="11"/>
      <c r="L301" s="11"/>
      <c r="M301" s="11"/>
      <c r="N301" s="11"/>
      <c r="O301" s="11"/>
      <c r="P301" s="11"/>
      <c r="Q301" s="11"/>
      <c r="R301" s="11"/>
      <c r="S301" s="11"/>
      <c r="T301" s="11"/>
      <c r="U301" s="11"/>
      <c r="V301" s="11"/>
    </row>
  </sheetData>
  <sheetProtection algorithmName="SHA-512" hashValue="WmWgoHJgSCiMMnDTx9Q3s/YUC3QA4NsjDAkofa2nOxiWRbRj3f9OhuCsMJ0zpeL0w4umva/eL+lWZWUV2SX3WQ==" saltValue="hUOOnjWXQx3vWy1FLYlFFw==" spinCount="100000" sheet="1" objects="1" scenarios="1"/>
  <mergeCells count="10">
    <mergeCell ref="C277:C282"/>
    <mergeCell ref="C283:C288"/>
    <mergeCell ref="F8:G8"/>
    <mergeCell ref="L8:N8"/>
    <mergeCell ref="C259:C264"/>
    <mergeCell ref="C265:C270"/>
    <mergeCell ref="C271:C276"/>
    <mergeCell ref="D75:G75"/>
    <mergeCell ref="F174:H174"/>
    <mergeCell ref="I174:K174"/>
  </mergeCells>
  <hyperlinks>
    <hyperlink ref="D17" r:id="rId1" display="https://habitatge.gva.es/estatico/areas/urbanismo_ordenacion/infadm/publicaciones/pdf/planeamiento/analisis.pdf" xr:uid="{538F19A5-308F-4AB0-B6B2-9266C00490ED}"/>
    <hyperlink ref="E134" r:id="rId2" xr:uid="{E2043EEB-F5FD-4FDE-9185-26EC836084FC}"/>
    <hyperlink ref="E97" r:id="rId3" xr:uid="{36E0A7D9-E2EA-4A04-974B-A7629174179E}"/>
    <hyperlink ref="A22" location="Resultados!A1" display="Resultados agregados" xr:uid="{86E1E9EE-6914-4698-B7DA-FB3AD040DC29}"/>
    <hyperlink ref="F8" r:id="rId4" xr:uid="{B9EA3448-54F3-4331-BB95-02FB4ED4442B}"/>
    <hyperlink ref="G196" r:id="rId5" xr:uid="{1B5AB983-58FC-4E1F-893F-56F4975DBC83}"/>
    <hyperlink ref="E201" r:id="rId6" xr:uid="{6F43CF0A-DD97-44AA-98D0-C0220FF0CE99}"/>
  </hyperlinks>
  <pageMargins left="0.7" right="0.7" top="0.75" bottom="0.75" header="0.3" footer="0.3"/>
  <pageSetup paperSize="9" orientation="portrait" verticalDpi="0" r:id="rId7"/>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36B9-DA4C-4607-99A0-88C695A12C58}">
  <sheetPr>
    <tabColor theme="5" tint="0.79998168889431442"/>
  </sheetPr>
  <dimension ref="A1:W793"/>
  <sheetViews>
    <sheetView workbookViewId="0">
      <selection activeCell="E21" sqref="E21"/>
    </sheetView>
  </sheetViews>
  <sheetFormatPr baseColWidth="10" defaultColWidth="11.44140625" defaultRowHeight="15.6"/>
  <cols>
    <col min="1" max="1" width="29.5546875" style="145" customWidth="1"/>
    <col min="2" max="2" width="11.44140625" style="1"/>
    <col min="3" max="3" width="30.5546875" style="1" customWidth="1"/>
    <col min="4" max="4" width="35" style="1" customWidth="1"/>
    <col min="5" max="5" width="24.33203125" style="1" customWidth="1"/>
    <col min="6" max="6" width="0.33203125" style="1" customWidth="1"/>
    <col min="7" max="7" width="29.88671875" style="1" customWidth="1"/>
    <col min="8" max="8" width="23" style="1" customWidth="1"/>
    <col min="9" max="9" width="17" style="1" customWidth="1"/>
    <col min="10" max="10" width="14.44140625" style="1" customWidth="1"/>
    <col min="11" max="11" width="18.44140625" style="1" customWidth="1"/>
    <col min="12" max="12" width="18.33203125" style="1" customWidth="1"/>
    <col min="13" max="13" width="21.5546875" style="1" customWidth="1"/>
    <col min="14" max="14" width="23" style="1" customWidth="1"/>
    <col min="15" max="15" width="19.5546875" style="1" customWidth="1"/>
    <col min="16" max="16384" width="11.44140625" style="1"/>
  </cols>
  <sheetData>
    <row r="1" spans="1:23" s="136" customFormat="1" ht="30" customHeight="1">
      <c r="A1" s="1"/>
      <c r="B1" s="135"/>
    </row>
    <row r="2" spans="1:23" s="136" customFormat="1" ht="30" customHeight="1">
      <c r="A2" s="1"/>
      <c r="B2" s="135"/>
      <c r="C2" s="136" t="str">
        <f>IF(Idioma=Castellano,"5. Factores de emisión",IF(Idioma=Valencià,"5. Factors d'emissió","5. Factores de emisión"))</f>
        <v>5. Factores de emisión</v>
      </c>
    </row>
    <row r="3" spans="1:23" s="136" customFormat="1" ht="30" customHeight="1">
      <c r="A3" s="1"/>
      <c r="B3" s="135"/>
    </row>
    <row r="4" spans="1:23" s="257" customFormat="1" ht="23.4" customHeight="1">
      <c r="A4" s="143"/>
      <c r="B4" s="254"/>
      <c r="C4" s="255" t="str">
        <f>IF(Idioma=Castellano,"ENERGIA - DATOS COMPLEMENTARIOS",IF(Idioma=Valencià,"ENERGIA - DADES COMPLEMENTÀRIES"))</f>
        <v>ENERGIA - DATOS COMPLEMENTARIOS</v>
      </c>
      <c r="D4" s="256"/>
      <c r="E4" s="256"/>
      <c r="F4" s="256"/>
      <c r="G4" s="256"/>
      <c r="H4" s="256"/>
      <c r="I4" s="256"/>
      <c r="J4" s="256"/>
      <c r="K4" s="254"/>
      <c r="L4" s="254"/>
      <c r="M4" s="254"/>
      <c r="N4" s="254"/>
      <c r="O4" s="254"/>
      <c r="P4" s="254"/>
      <c r="Q4" s="254"/>
      <c r="R4" s="254"/>
      <c r="S4" s="254"/>
      <c r="T4" s="254"/>
      <c r="U4" s="254"/>
      <c r="V4" s="254"/>
      <c r="W4" s="254"/>
    </row>
    <row r="5" spans="1:23" customFormat="1" ht="14.4">
      <c r="A5" s="143"/>
      <c r="B5" s="11"/>
      <c r="C5" s="73"/>
      <c r="D5" s="12"/>
      <c r="E5" s="12"/>
      <c r="F5" s="12"/>
      <c r="G5" s="12"/>
      <c r="H5" s="12"/>
      <c r="I5" s="12"/>
      <c r="J5" s="11"/>
      <c r="K5" s="11"/>
      <c r="L5" s="11"/>
      <c r="M5" s="11"/>
      <c r="N5" s="11"/>
      <c r="O5" s="11"/>
      <c r="P5" s="11"/>
      <c r="Q5" s="11"/>
      <c r="R5" s="11"/>
      <c r="S5" s="11"/>
      <c r="T5" s="11"/>
      <c r="U5" s="11"/>
      <c r="V5" s="11"/>
      <c r="W5" s="11"/>
    </row>
    <row r="6" spans="1:23" customFormat="1">
      <c r="A6" s="335" t="str">
        <f>IF(Idioma=Castellano,"Índice",IF(Idioma=Valencià,"Índex","Índice"))</f>
        <v>Índice</v>
      </c>
      <c r="B6" s="11"/>
      <c r="C6" s="81" t="str">
        <f>IF(Idioma=Castellano,"¿Se ha completado la tabla de demanda energética y factores de emisión para usos terciarios del suelo?",IF(Idioma=Valencià,"S'ha completat la taula de demanda energètica i factors d'emissió per a usos terciaris del sòl?"))</f>
        <v>¿Se ha completado la tabla de demanda energética y factores de emisión para usos terciarios del suelo?</v>
      </c>
      <c r="D6" s="12"/>
      <c r="E6" s="12"/>
      <c r="F6" s="12"/>
      <c r="G6" s="492" t="s">
        <v>27</v>
      </c>
      <c r="H6" s="12"/>
      <c r="I6" s="12"/>
      <c r="J6" s="11"/>
      <c r="K6" s="11"/>
      <c r="L6" s="11"/>
      <c r="M6" s="11"/>
      <c r="N6" s="11"/>
      <c r="O6" s="11"/>
      <c r="P6" s="11"/>
      <c r="Q6" s="11"/>
      <c r="R6" s="11"/>
      <c r="S6" s="11"/>
      <c r="T6" s="11"/>
      <c r="U6" s="11"/>
      <c r="V6" s="11"/>
      <c r="W6" s="11"/>
    </row>
    <row r="7" spans="1:23" customFormat="1" ht="14.4">
      <c r="A7" s="202" t="str">
        <f>IF(Idioma=Castellano,"Instrucciones",IF(Idioma=Valencià,"Instruccions","Instrucciones"))</f>
        <v>Instrucciones</v>
      </c>
      <c r="B7" s="11"/>
      <c r="C7" s="81"/>
      <c r="D7" s="12"/>
      <c r="E7" s="12"/>
      <c r="F7" s="12"/>
      <c r="G7" s="489"/>
      <c r="H7" s="12"/>
      <c r="I7" s="12"/>
      <c r="J7" s="11"/>
      <c r="K7" s="11"/>
      <c r="L7" s="11"/>
      <c r="M7" s="11"/>
      <c r="N7" s="11"/>
      <c r="O7" s="11"/>
      <c r="P7" s="11"/>
      <c r="Q7" s="11"/>
      <c r="R7" s="11"/>
      <c r="S7" s="11"/>
      <c r="T7" s="11"/>
      <c r="U7" s="11"/>
      <c r="V7" s="11"/>
      <c r="W7" s="11"/>
    </row>
    <row r="8" spans="1:23" customFormat="1" ht="14.4">
      <c r="A8" s="203" t="str">
        <f>IF(Idioma=Castellano,"Sección de Mitigación",IF(Idioma=Valencià,"Secció de Mitigació", "Sección de Mitigación"))</f>
        <v>Sección de Mitigación</v>
      </c>
      <c r="B8" s="11"/>
      <c r="C8" s="81" t="str">
        <f>IF(Idioma=Castellano,"¿Se dispone de información por zonas climáticas?",IF(Idioma=Valencià,"Es disposa d'informació per zones climàtiques?"))</f>
        <v>¿Se dispone de información por zonas climáticas?</v>
      </c>
      <c r="D8" s="12"/>
      <c r="E8" s="12"/>
      <c r="F8" s="12"/>
      <c r="G8" s="492" t="s">
        <v>27</v>
      </c>
      <c r="H8" s="12"/>
      <c r="I8" s="12"/>
      <c r="J8" s="11"/>
      <c r="K8" s="11"/>
      <c r="L8" s="11"/>
      <c r="M8" s="11"/>
      <c r="N8" s="11"/>
      <c r="O8" s="11"/>
      <c r="P8" s="11"/>
      <c r="Q8" s="11"/>
      <c r="R8" s="11"/>
      <c r="S8" s="11"/>
      <c r="T8" s="11"/>
      <c r="U8" s="11"/>
      <c r="V8" s="11"/>
      <c r="W8" s="11"/>
    </row>
    <row r="9" spans="1:23" customFormat="1" ht="14.4">
      <c r="A9" s="204" t="str">
        <f>IF(Idioma=Castellano,"1. Datos de entrada",IF(Idioma=Valencià,"1.Dades d'entrada","1. Datos de entrada"))</f>
        <v>1. Datos de entrada</v>
      </c>
      <c r="B9" s="11"/>
      <c r="C9" s="81"/>
      <c r="D9" s="12"/>
      <c r="E9" s="12"/>
      <c r="F9" s="12"/>
      <c r="G9" s="489"/>
      <c r="H9" s="12"/>
      <c r="I9" s="12"/>
      <c r="J9" s="11"/>
      <c r="K9" s="11"/>
      <c r="L9" s="11"/>
      <c r="M9" s="11"/>
      <c r="N9" s="11"/>
      <c r="O9" s="11"/>
      <c r="P9" s="11"/>
      <c r="Q9" s="11"/>
      <c r="R9" s="11"/>
      <c r="S9" s="11"/>
      <c r="T9" s="11"/>
      <c r="U9" s="11"/>
      <c r="V9" s="11"/>
      <c r="W9" s="11"/>
    </row>
    <row r="10" spans="1:23" customFormat="1" ht="14.4">
      <c r="A10" s="204" t="str">
        <f>IF(Idioma=Castellano,"2. Cálculo de Alternativas:",IF(Idioma=Valencià,"2. Càlcul d'alternatives :","2. Cálculo de Alternativas:"))</f>
        <v>2. Cálculo de Alternativas:</v>
      </c>
      <c r="B10" s="11"/>
      <c r="C10" s="81"/>
      <c r="D10" s="12"/>
      <c r="E10" s="12"/>
      <c r="F10" s="12"/>
      <c r="G10" s="489"/>
      <c r="H10" s="12"/>
      <c r="I10" s="12"/>
      <c r="J10" s="11"/>
      <c r="K10" s="11"/>
      <c r="L10" s="11"/>
      <c r="M10" s="11"/>
      <c r="N10" s="11"/>
      <c r="O10" s="11"/>
      <c r="P10" s="11"/>
      <c r="Q10" s="11"/>
      <c r="R10" s="11"/>
      <c r="S10" s="11"/>
      <c r="T10" s="11"/>
      <c r="U10" s="11"/>
      <c r="V10" s="11"/>
      <c r="W10" s="11"/>
    </row>
    <row r="11" spans="1:23" customFormat="1" ht="14.4">
      <c r="A11" s="205" t="s">
        <v>1</v>
      </c>
      <c r="B11" s="11"/>
      <c r="C11" s="12"/>
      <c r="D11" s="12"/>
      <c r="E11" s="12"/>
      <c r="F11" s="12"/>
      <c r="G11" s="12"/>
      <c r="H11" s="12"/>
      <c r="I11" s="12"/>
      <c r="J11" s="11"/>
      <c r="K11" s="11"/>
      <c r="L11" s="11"/>
      <c r="M11" s="11"/>
      <c r="N11" s="11"/>
      <c r="O11" s="11"/>
      <c r="P11" s="11"/>
      <c r="Q11" s="11"/>
      <c r="R11" s="11"/>
      <c r="S11" s="11"/>
      <c r="T11" s="11"/>
      <c r="U11" s="11"/>
      <c r="V11" s="11"/>
      <c r="W11" s="11"/>
    </row>
    <row r="12" spans="1:23" customFormat="1" ht="14.4">
      <c r="A12" s="205" t="s">
        <v>2</v>
      </c>
      <c r="B12" s="11"/>
      <c r="C12" s="258" t="str">
        <f>IF(Idioma=Castellano,"Terciario",IF(Idioma=Valencià,"Terciari"))</f>
        <v>Terciario</v>
      </c>
      <c r="D12" s="259"/>
      <c r="E12" s="259"/>
      <c r="F12" s="259"/>
      <c r="G12" s="259"/>
      <c r="H12" s="259"/>
      <c r="I12" s="259"/>
      <c r="J12" s="11"/>
      <c r="K12" s="11"/>
      <c r="L12" s="11"/>
      <c r="M12" s="11"/>
      <c r="N12" s="11"/>
      <c r="O12" s="11"/>
      <c r="P12" s="11"/>
      <c r="Q12" s="11"/>
      <c r="R12" s="11"/>
      <c r="S12" s="11"/>
      <c r="T12" s="11"/>
      <c r="U12" s="11"/>
      <c r="V12" s="11"/>
      <c r="W12" s="11"/>
    </row>
    <row r="13" spans="1:23" customFormat="1" ht="14.4">
      <c r="A13" s="205" t="s">
        <v>3</v>
      </c>
      <c r="B13" s="11"/>
      <c r="C13" s="573" t="str">
        <f>IF(Idioma=Castellano,"Tipo",IF(Idioma=Valencià,"Tipus"))</f>
        <v>Tipo</v>
      </c>
      <c r="D13" s="681" t="str">
        <f>IF(Idioma=Castellano,"Zonas climáticas de Valencia",IF(Idioma=Valencià,"Zones climàtiques de València"))</f>
        <v>Zonas climáticas de Valencia</v>
      </c>
      <c r="E13" s="681" t="str">
        <f>IF(Idioma=Castellano,"Clasificación energética",IF(Idioma=Valencià,"Classificació energètica"))</f>
        <v>Clasificación energética</v>
      </c>
      <c r="F13" s="573"/>
      <c r="G13" s="681"/>
      <c r="H13" s="681"/>
      <c r="I13" s="261"/>
      <c r="J13" s="11"/>
      <c r="K13" s="11"/>
      <c r="L13" s="11"/>
      <c r="M13" s="11"/>
      <c r="N13" s="11"/>
      <c r="O13" s="11"/>
      <c r="P13" s="11"/>
      <c r="Q13" s="11"/>
      <c r="R13" s="11"/>
      <c r="S13" s="11"/>
      <c r="T13" s="11"/>
      <c r="U13" s="11"/>
      <c r="V13" s="11"/>
      <c r="W13" s="11"/>
    </row>
    <row r="14" spans="1:23" customFormat="1" ht="14.4">
      <c r="A14" s="205" t="s">
        <v>4</v>
      </c>
      <c r="B14" s="11"/>
      <c r="C14" s="580"/>
      <c r="D14" s="682"/>
      <c r="E14" s="682"/>
      <c r="F14" s="265"/>
      <c r="G14" s="263" t="str">
        <f>IF(Idioma=Castellano,"Consumo de EPnr (kWh/m2*año)",IF(Idioma=Valencià,"Consum de EPnr (kWh/m2*any)"))</f>
        <v>Consumo de EPnr (kWh/m2*año)</v>
      </c>
      <c r="H14" s="581" t="str">
        <f>IF(Idioma=Castellano,"Total (kg CO2e/m2*año)",IF(Idioma=Valencià,"Total (kg CO2e/m2*any)"))</f>
        <v>Total (kg CO2e/m2*año)</v>
      </c>
      <c r="I14" s="263" t="str">
        <f>IF(Idioma=Castellano,"Fuente",IF(Idioma=Valencià,"Font"))</f>
        <v>Fuente</v>
      </c>
      <c r="J14" s="11"/>
      <c r="K14" s="11"/>
      <c r="L14" s="11"/>
      <c r="M14" s="11"/>
      <c r="N14" s="11"/>
      <c r="O14" s="11"/>
      <c r="P14" s="11"/>
      <c r="Q14" s="11"/>
      <c r="R14" s="11"/>
      <c r="S14" s="11"/>
      <c r="T14" s="11"/>
      <c r="U14" s="11"/>
      <c r="V14" s="11"/>
      <c r="W14" s="11"/>
    </row>
    <row r="15" spans="1:23" customFormat="1" ht="14.4">
      <c r="A15" s="205" t="s">
        <v>5</v>
      </c>
      <c r="B15" s="11"/>
      <c r="C15" s="239" t="str">
        <f t="shared" ref="C15:C21" si="0">IF(Idioma=Castellano,"Oficinas",IF(Idioma=Valencià,"Oficines","Oficinas"))</f>
        <v>Oficinas</v>
      </c>
      <c r="D15" s="323" t="s">
        <v>886</v>
      </c>
      <c r="E15" s="289" t="str">
        <f>IF(Idioma=Castellano,"Existente",IF(Idioma=Valencià,"Existent","Existente"))</f>
        <v>Existente</v>
      </c>
      <c r="F15" s="582" t="str">
        <f>C15&amp;D15&amp;E15</f>
        <v>OficinasGeneralExistente</v>
      </c>
      <c r="G15" s="583"/>
      <c r="H15" s="584"/>
      <c r="I15" s="276"/>
      <c r="J15" s="11"/>
      <c r="K15" s="11"/>
      <c r="L15" s="11"/>
      <c r="M15" s="11"/>
      <c r="N15" s="11"/>
      <c r="O15" s="11"/>
      <c r="P15" s="11" t="s">
        <v>657</v>
      </c>
      <c r="Q15" s="11"/>
      <c r="R15" s="11"/>
      <c r="S15" s="11"/>
      <c r="T15" s="11"/>
      <c r="U15" s="11"/>
      <c r="V15" s="11"/>
      <c r="W15" s="11"/>
    </row>
    <row r="16" spans="1:23" customFormat="1" ht="14.4">
      <c r="A16" s="204" t="str">
        <f>IF(Idioma=Castellano,"3. Resultados",IF(Idioma=Valencià,"3. Resultats","3. Resultados"))</f>
        <v>3. Resultados</v>
      </c>
      <c r="B16" s="11"/>
      <c r="C16" s="239" t="str">
        <f t="shared" si="0"/>
        <v>Oficinas</v>
      </c>
      <c r="D16" s="323" t="s">
        <v>886</v>
      </c>
      <c r="E16" s="239" t="s">
        <v>29</v>
      </c>
      <c r="F16" s="582" t="str">
        <f t="shared" ref="F16:F65" si="1">C16&amp;D16&amp;E16</f>
        <v>OficinasGeneralA</v>
      </c>
      <c r="G16" s="583"/>
      <c r="H16" s="584"/>
      <c r="I16" s="276"/>
      <c r="J16" s="11"/>
      <c r="K16" s="11"/>
      <c r="L16" s="11"/>
      <c r="M16" s="11"/>
      <c r="N16" s="11"/>
      <c r="O16" s="11"/>
      <c r="P16" s="11" t="s">
        <v>657</v>
      </c>
      <c r="Q16" s="11"/>
      <c r="R16" s="11"/>
      <c r="S16" s="11"/>
      <c r="T16" s="11"/>
      <c r="U16" s="11"/>
      <c r="V16" s="11"/>
      <c r="W16" s="11"/>
    </row>
    <row r="17" spans="1:23" customFormat="1" ht="14.4">
      <c r="A17" s="204" t="str">
        <f>IF(Idioma=Castellano,"4. Factores de emisión",IF(Idioma=Valencià,"4. Factors d'emissió","4. Factores de emisión"))</f>
        <v>4. Factores de emisión</v>
      </c>
      <c r="B17" s="11"/>
      <c r="C17" s="239" t="str">
        <f t="shared" si="0"/>
        <v>Oficinas</v>
      </c>
      <c r="D17" s="323" t="s">
        <v>886</v>
      </c>
      <c r="E17" s="239" t="s">
        <v>35</v>
      </c>
      <c r="F17" s="582" t="str">
        <f t="shared" si="1"/>
        <v>OficinasGeneralB</v>
      </c>
      <c r="G17" s="583"/>
      <c r="H17" s="584"/>
      <c r="I17" s="276"/>
      <c r="J17" s="11"/>
      <c r="K17" s="11"/>
      <c r="L17" s="11"/>
      <c r="M17" s="11"/>
      <c r="N17" s="11"/>
      <c r="O17" s="11"/>
      <c r="P17" s="11" t="s">
        <v>657</v>
      </c>
      <c r="Q17" s="11"/>
      <c r="R17" s="11"/>
      <c r="S17" s="11"/>
      <c r="T17" s="11"/>
      <c r="U17" s="11"/>
      <c r="V17" s="11"/>
      <c r="W17" s="11"/>
    </row>
    <row r="18" spans="1:23" customFormat="1" ht="14.4">
      <c r="A18" s="203" t="str">
        <f>IF(Idioma=Castellano,"Sección de Adaptación",IF(Idioma=Valencià,"Secció d'Adaptació","Sección de Adaptación"))</f>
        <v>Sección de Adaptación</v>
      </c>
      <c r="B18" s="11"/>
      <c r="C18" s="239" t="str">
        <f t="shared" si="0"/>
        <v>Oficinas</v>
      </c>
      <c r="D18" s="323" t="s">
        <v>886</v>
      </c>
      <c r="E18" s="239" t="s">
        <v>38</v>
      </c>
      <c r="F18" s="582" t="str">
        <f t="shared" si="1"/>
        <v>OficinasGeneralC</v>
      </c>
      <c r="G18" s="583"/>
      <c r="H18" s="584"/>
      <c r="I18" s="276"/>
      <c r="J18" s="11"/>
      <c r="K18" s="11"/>
      <c r="L18" s="11"/>
      <c r="M18" s="11"/>
      <c r="N18" s="11"/>
      <c r="O18" s="11"/>
      <c r="P18" s="11" t="s">
        <v>657</v>
      </c>
      <c r="Q18" s="11"/>
      <c r="R18" s="11"/>
      <c r="S18" s="11"/>
      <c r="T18" s="11"/>
      <c r="U18" s="11"/>
      <c r="V18" s="11"/>
      <c r="W18" s="11"/>
    </row>
    <row r="19" spans="1:23" customFormat="1" ht="14.4">
      <c r="A19" s="204" t="str">
        <f>IF(Idioma=Castellano,"1. Alcance",IF(Idioma=Valencià,"1. Abast","1. Alcance"))</f>
        <v>1. Alcance</v>
      </c>
      <c r="B19" s="11"/>
      <c r="C19" s="239" t="str">
        <f t="shared" si="0"/>
        <v>Oficinas</v>
      </c>
      <c r="D19" s="323" t="s">
        <v>886</v>
      </c>
      <c r="E19" s="239" t="s">
        <v>41</v>
      </c>
      <c r="F19" s="582" t="str">
        <f t="shared" si="1"/>
        <v>OficinasGeneralD</v>
      </c>
      <c r="G19" s="583"/>
      <c r="H19" s="584"/>
      <c r="I19" s="276"/>
      <c r="J19" s="11"/>
      <c r="K19" s="11"/>
      <c r="L19" s="11"/>
      <c r="M19" s="11"/>
      <c r="N19" s="11"/>
      <c r="O19" s="11"/>
      <c r="P19" s="11" t="s">
        <v>657</v>
      </c>
      <c r="Q19" s="11"/>
      <c r="R19" s="11"/>
      <c r="S19" s="11"/>
      <c r="T19" s="11"/>
      <c r="U19" s="11"/>
      <c r="V19" s="11"/>
      <c r="W19" s="11"/>
    </row>
    <row r="20" spans="1:23" customFormat="1" ht="14.4">
      <c r="A20" s="204" t="s">
        <v>6</v>
      </c>
      <c r="B20" s="11"/>
      <c r="C20" s="239" t="str">
        <f t="shared" si="0"/>
        <v>Oficinas</v>
      </c>
      <c r="D20" s="323" t="s">
        <v>886</v>
      </c>
      <c r="E20" s="239" t="s">
        <v>44</v>
      </c>
      <c r="F20" s="582" t="str">
        <f t="shared" si="1"/>
        <v>OficinasGeneralE</v>
      </c>
      <c r="G20" s="583"/>
      <c r="H20" s="584"/>
      <c r="I20" s="276"/>
      <c r="J20" s="11"/>
      <c r="K20" s="11"/>
      <c r="L20" s="11"/>
      <c r="M20" s="11"/>
      <c r="N20" s="11"/>
      <c r="O20" s="11"/>
      <c r="P20" s="11" t="s">
        <v>657</v>
      </c>
      <c r="Q20" s="11"/>
      <c r="R20" s="11"/>
      <c r="S20" s="11"/>
      <c r="T20" s="11"/>
      <c r="U20" s="11"/>
      <c r="V20" s="11"/>
      <c r="W20" s="11"/>
    </row>
    <row r="21" spans="1:23" customFormat="1" ht="14.4">
      <c r="A21" s="203" t="str">
        <f>IF(Idioma=Castellano,"Medidas Propuestas",IF(Idioma=Valencià,"Mesures Proposades","Medidas Propuestas"))</f>
        <v>Medidas Propuestas</v>
      </c>
      <c r="B21" s="11"/>
      <c r="C21" s="239" t="str">
        <f t="shared" si="0"/>
        <v>Oficinas</v>
      </c>
      <c r="D21" s="323" t="s">
        <v>886</v>
      </c>
      <c r="E21" s="289" t="str">
        <f>IF(Idioma=Castellano,"Sin definir",IF(Idioma=Valencià,"Sense definir","Sin definir"))</f>
        <v>Sin definir</v>
      </c>
      <c r="F21" s="582" t="str">
        <f t="shared" si="1"/>
        <v>OficinasGeneralSin definir</v>
      </c>
      <c r="G21" s="583"/>
      <c r="H21" s="584"/>
      <c r="I21" s="585"/>
      <c r="J21" s="11"/>
      <c r="K21" s="11"/>
      <c r="L21" s="11"/>
      <c r="M21" s="11"/>
      <c r="N21" s="11"/>
      <c r="O21" s="11"/>
      <c r="P21" s="11" t="s">
        <v>657</v>
      </c>
      <c r="Q21" s="11"/>
      <c r="R21" s="11"/>
      <c r="S21" s="11"/>
      <c r="T21" s="11"/>
      <c r="U21" s="11"/>
      <c r="V21" s="11"/>
      <c r="W21" s="11"/>
    </row>
    <row r="22" spans="1:23" customFormat="1">
      <c r="A22" s="145"/>
      <c r="B22" s="11"/>
      <c r="C22" s="239" t="str">
        <f t="shared" ref="C22:C28" si="2">IF(Idioma=Castellano,"Comercio",IF(Idioma=Valencià,"Comerç","Comercio"))</f>
        <v>Comercio</v>
      </c>
      <c r="D22" s="323" t="s">
        <v>886</v>
      </c>
      <c r="E22" s="289" t="str">
        <f>IF(Idioma=Castellano,"Existente",IF(Idioma=Valencià,"Existent","Existente"))</f>
        <v>Existente</v>
      </c>
      <c r="F22" s="582" t="str">
        <f t="shared" si="1"/>
        <v>ComercioGeneralExistente</v>
      </c>
      <c r="G22" s="583"/>
      <c r="H22" s="584"/>
      <c r="I22" s="276"/>
      <c r="J22" s="11"/>
      <c r="K22" s="11"/>
      <c r="L22" s="11"/>
      <c r="M22" s="11"/>
      <c r="N22" s="11"/>
      <c r="O22" s="11"/>
      <c r="P22" s="11" t="s">
        <v>657</v>
      </c>
      <c r="Q22" s="11"/>
      <c r="R22" s="11"/>
      <c r="S22" s="11"/>
      <c r="T22" s="11"/>
      <c r="U22" s="11"/>
      <c r="V22" s="11"/>
      <c r="W22" s="11"/>
    </row>
    <row r="23" spans="1:23" customFormat="1">
      <c r="A23" s="145"/>
      <c r="B23" s="11"/>
      <c r="C23" s="239" t="str">
        <f t="shared" si="2"/>
        <v>Comercio</v>
      </c>
      <c r="D23" s="323" t="s">
        <v>886</v>
      </c>
      <c r="E23" s="239" t="s">
        <v>29</v>
      </c>
      <c r="F23" s="582" t="str">
        <f t="shared" si="1"/>
        <v>ComercioGeneralA</v>
      </c>
      <c r="G23" s="583"/>
      <c r="H23" s="584"/>
      <c r="I23" s="276"/>
      <c r="J23" s="11"/>
      <c r="K23" s="11"/>
      <c r="L23" s="11"/>
      <c r="M23" s="11"/>
      <c r="N23" s="11"/>
      <c r="O23" s="11"/>
      <c r="P23" s="11" t="s">
        <v>657</v>
      </c>
      <c r="Q23" s="11"/>
      <c r="R23" s="11"/>
      <c r="S23" s="11"/>
      <c r="T23" s="11"/>
      <c r="U23" s="11"/>
      <c r="V23" s="11"/>
      <c r="W23" s="11"/>
    </row>
    <row r="24" spans="1:23" customFormat="1">
      <c r="A24" s="145"/>
      <c r="B24" s="11"/>
      <c r="C24" s="239" t="str">
        <f t="shared" si="2"/>
        <v>Comercio</v>
      </c>
      <c r="D24" s="323" t="s">
        <v>886</v>
      </c>
      <c r="E24" s="239" t="s">
        <v>35</v>
      </c>
      <c r="F24" s="582" t="str">
        <f t="shared" si="1"/>
        <v>ComercioGeneralB</v>
      </c>
      <c r="G24" s="583"/>
      <c r="H24" s="584"/>
      <c r="I24" s="276"/>
      <c r="J24" s="11"/>
      <c r="K24" s="11"/>
      <c r="L24" s="11"/>
      <c r="M24" s="11"/>
      <c r="N24" s="11"/>
      <c r="O24" s="11"/>
      <c r="P24" s="11" t="s">
        <v>657</v>
      </c>
      <c r="Q24" s="11"/>
      <c r="R24" s="11"/>
      <c r="S24" s="11"/>
      <c r="T24" s="11"/>
      <c r="U24" s="11"/>
      <c r="V24" s="11"/>
      <c r="W24" s="11"/>
    </row>
    <row r="25" spans="1:23" customFormat="1">
      <c r="A25" s="145"/>
      <c r="B25" s="11"/>
      <c r="C25" s="239" t="str">
        <f t="shared" si="2"/>
        <v>Comercio</v>
      </c>
      <c r="D25" s="323" t="s">
        <v>886</v>
      </c>
      <c r="E25" s="239" t="s">
        <v>38</v>
      </c>
      <c r="F25" s="582" t="str">
        <f t="shared" si="1"/>
        <v>ComercioGeneralC</v>
      </c>
      <c r="G25" s="583"/>
      <c r="H25" s="584"/>
      <c r="I25" s="276"/>
      <c r="J25" s="11"/>
      <c r="K25" s="11"/>
      <c r="L25" s="11"/>
      <c r="M25" s="11"/>
      <c r="N25" s="11"/>
      <c r="O25" s="11"/>
      <c r="P25" s="11" t="s">
        <v>657</v>
      </c>
      <c r="Q25" s="11"/>
      <c r="R25" s="11"/>
      <c r="S25" s="11"/>
      <c r="T25" s="11"/>
      <c r="U25" s="11"/>
      <c r="V25" s="11"/>
      <c r="W25" s="11"/>
    </row>
    <row r="26" spans="1:23" customFormat="1">
      <c r="A26" s="145"/>
      <c r="B26" s="11"/>
      <c r="C26" s="239" t="str">
        <f t="shared" si="2"/>
        <v>Comercio</v>
      </c>
      <c r="D26" s="323" t="s">
        <v>886</v>
      </c>
      <c r="E26" s="239" t="s">
        <v>41</v>
      </c>
      <c r="F26" s="582" t="str">
        <f t="shared" si="1"/>
        <v>ComercioGeneralD</v>
      </c>
      <c r="G26" s="583"/>
      <c r="H26" s="584"/>
      <c r="I26" s="276"/>
      <c r="J26" s="11"/>
      <c r="K26" s="11"/>
      <c r="L26" s="11"/>
      <c r="M26" s="11"/>
      <c r="N26" s="11"/>
      <c r="O26" s="11"/>
      <c r="P26" s="11" t="s">
        <v>657</v>
      </c>
      <c r="Q26" s="11"/>
      <c r="R26" s="11"/>
      <c r="S26" s="11"/>
      <c r="T26" s="11"/>
      <c r="U26" s="11"/>
      <c r="V26" s="11"/>
      <c r="W26" s="11"/>
    </row>
    <row r="27" spans="1:23" customFormat="1">
      <c r="A27" s="145"/>
      <c r="B27" s="11"/>
      <c r="C27" s="239" t="str">
        <f t="shared" si="2"/>
        <v>Comercio</v>
      </c>
      <c r="D27" s="323" t="s">
        <v>886</v>
      </c>
      <c r="E27" s="239" t="s">
        <v>44</v>
      </c>
      <c r="F27" s="582" t="str">
        <f t="shared" si="1"/>
        <v>ComercioGeneralE</v>
      </c>
      <c r="G27" s="583"/>
      <c r="H27" s="584"/>
      <c r="I27" s="276"/>
      <c r="J27" s="11"/>
      <c r="K27" s="11"/>
      <c r="L27" s="11"/>
      <c r="M27" s="11"/>
      <c r="N27" s="11"/>
      <c r="O27" s="11"/>
      <c r="P27" s="11" t="s">
        <v>657</v>
      </c>
      <c r="Q27" s="11"/>
      <c r="R27" s="11"/>
      <c r="S27" s="11"/>
      <c r="T27" s="11"/>
      <c r="U27" s="11"/>
      <c r="V27" s="11"/>
      <c r="W27" s="11"/>
    </row>
    <row r="28" spans="1:23" customFormat="1">
      <c r="A28" s="145"/>
      <c r="B28" s="11"/>
      <c r="C28" s="239" t="str">
        <f t="shared" si="2"/>
        <v>Comercio</v>
      </c>
      <c r="D28" s="323" t="s">
        <v>886</v>
      </c>
      <c r="E28" s="289" t="str">
        <f>IF(Idioma=Castellano,"Sin definir",IF(Idioma=Valencià,"Sense definir","Sin definir"))</f>
        <v>Sin definir</v>
      </c>
      <c r="F28" s="582" t="str">
        <f t="shared" si="1"/>
        <v>ComercioGeneralSin definir</v>
      </c>
      <c r="G28" s="583"/>
      <c r="H28" s="584"/>
      <c r="I28" s="276"/>
      <c r="J28" s="11"/>
      <c r="K28" s="11"/>
      <c r="L28" s="11"/>
      <c r="M28" s="11"/>
      <c r="N28" s="11"/>
      <c r="O28" s="11"/>
      <c r="P28" s="11"/>
      <c r="Q28" s="11"/>
      <c r="R28" s="11"/>
      <c r="S28" s="11"/>
      <c r="T28" s="11"/>
      <c r="U28" s="11"/>
      <c r="V28" s="11"/>
      <c r="W28" s="11"/>
    </row>
    <row r="29" spans="1:23" customFormat="1">
      <c r="A29" s="145"/>
      <c r="B29" s="11"/>
      <c r="C29" s="239" t="s">
        <v>606</v>
      </c>
      <c r="D29" s="323" t="s">
        <v>886</v>
      </c>
      <c r="E29" s="289" t="str">
        <f>IF(Idioma=Castellano,"Existente",IF(Idioma=Valencià,"Existent","Existente"))</f>
        <v>Existente</v>
      </c>
      <c r="F29" s="582" t="str">
        <f t="shared" si="1"/>
        <v>HotelGeneralExistente</v>
      </c>
      <c r="G29" s="583"/>
      <c r="H29" s="584"/>
      <c r="I29" s="276"/>
      <c r="J29" s="11"/>
      <c r="K29" s="11"/>
      <c r="L29" s="11"/>
      <c r="M29" s="11"/>
      <c r="N29" s="11"/>
      <c r="O29" s="11"/>
      <c r="P29" s="11"/>
      <c r="Q29" s="11"/>
      <c r="R29" s="11"/>
      <c r="S29" s="11"/>
      <c r="T29" s="11"/>
      <c r="U29" s="11"/>
      <c r="V29" s="11"/>
      <c r="W29" s="11"/>
    </row>
    <row r="30" spans="1:23" customFormat="1">
      <c r="A30" s="145"/>
      <c r="B30" s="11"/>
      <c r="C30" s="239" t="s">
        <v>606</v>
      </c>
      <c r="D30" s="323" t="s">
        <v>886</v>
      </c>
      <c r="E30" s="239" t="s">
        <v>29</v>
      </c>
      <c r="F30" s="582" t="str">
        <f t="shared" si="1"/>
        <v>HotelGeneralA</v>
      </c>
      <c r="G30" s="583"/>
      <c r="H30" s="584"/>
      <c r="I30" s="276"/>
      <c r="J30" s="11"/>
      <c r="K30" s="11"/>
      <c r="L30" s="11"/>
      <c r="M30" s="11"/>
      <c r="N30" s="11"/>
      <c r="O30" s="11"/>
      <c r="P30" s="11"/>
      <c r="Q30" s="11"/>
      <c r="R30" s="11"/>
      <c r="S30" s="11"/>
      <c r="T30" s="11"/>
      <c r="U30" s="11"/>
      <c r="V30" s="11"/>
      <c r="W30" s="11"/>
    </row>
    <row r="31" spans="1:23" customFormat="1">
      <c r="A31" s="145"/>
      <c r="B31" s="11"/>
      <c r="C31" s="239" t="s">
        <v>606</v>
      </c>
      <c r="D31" s="323" t="s">
        <v>886</v>
      </c>
      <c r="E31" s="239" t="s">
        <v>35</v>
      </c>
      <c r="F31" s="582" t="str">
        <f t="shared" si="1"/>
        <v>HotelGeneralB</v>
      </c>
      <c r="G31" s="583"/>
      <c r="H31" s="584"/>
      <c r="I31" s="276"/>
      <c r="J31" s="11"/>
      <c r="K31" s="11"/>
      <c r="L31" s="11"/>
      <c r="M31" s="11"/>
      <c r="N31" s="11"/>
      <c r="O31" s="11"/>
      <c r="P31" s="11"/>
      <c r="Q31" s="11"/>
      <c r="R31" s="11"/>
      <c r="S31" s="11"/>
      <c r="T31" s="11"/>
      <c r="U31" s="11"/>
      <c r="V31" s="11"/>
      <c r="W31" s="11"/>
    </row>
    <row r="32" spans="1:23" customFormat="1">
      <c r="A32" s="145"/>
      <c r="B32" s="11"/>
      <c r="C32" s="239" t="s">
        <v>606</v>
      </c>
      <c r="D32" s="323" t="s">
        <v>886</v>
      </c>
      <c r="E32" s="239" t="s">
        <v>38</v>
      </c>
      <c r="F32" s="582" t="str">
        <f t="shared" si="1"/>
        <v>HotelGeneralC</v>
      </c>
      <c r="G32" s="583"/>
      <c r="H32" s="584"/>
      <c r="I32" s="276"/>
      <c r="J32" s="11"/>
      <c r="K32" s="11"/>
      <c r="L32" s="11"/>
      <c r="M32" s="11"/>
      <c r="N32" s="11"/>
      <c r="O32" s="11"/>
      <c r="P32" s="11"/>
      <c r="Q32" s="11"/>
      <c r="R32" s="11"/>
      <c r="S32" s="11"/>
      <c r="T32" s="11"/>
      <c r="U32" s="11"/>
      <c r="V32" s="11"/>
      <c r="W32" s="11"/>
    </row>
    <row r="33" spans="1:23" customFormat="1">
      <c r="A33" s="145"/>
      <c r="B33" s="11"/>
      <c r="C33" s="239" t="s">
        <v>606</v>
      </c>
      <c r="D33" s="323" t="s">
        <v>886</v>
      </c>
      <c r="E33" s="239" t="s">
        <v>41</v>
      </c>
      <c r="F33" s="582" t="str">
        <f t="shared" si="1"/>
        <v>HotelGeneralD</v>
      </c>
      <c r="G33" s="583"/>
      <c r="H33" s="584"/>
      <c r="I33" s="276"/>
      <c r="J33" s="11"/>
      <c r="K33" s="11"/>
      <c r="L33" s="11"/>
      <c r="M33" s="11"/>
      <c r="N33" s="11"/>
      <c r="O33" s="11"/>
      <c r="P33" s="11"/>
      <c r="Q33" s="11"/>
      <c r="R33" s="11"/>
      <c r="S33" s="11"/>
      <c r="T33" s="11"/>
      <c r="U33" s="11"/>
      <c r="V33" s="11"/>
      <c r="W33" s="11"/>
    </row>
    <row r="34" spans="1:23" customFormat="1">
      <c r="A34" s="145"/>
      <c r="B34" s="11"/>
      <c r="C34" s="239" t="s">
        <v>606</v>
      </c>
      <c r="D34" s="323" t="s">
        <v>886</v>
      </c>
      <c r="E34" s="239" t="s">
        <v>44</v>
      </c>
      <c r="F34" s="582" t="str">
        <f t="shared" si="1"/>
        <v>HotelGeneralE</v>
      </c>
      <c r="G34" s="583"/>
      <c r="H34" s="584"/>
      <c r="I34" s="276"/>
      <c r="J34" s="11"/>
      <c r="K34" s="11"/>
      <c r="L34" s="11"/>
      <c r="M34" s="11"/>
      <c r="N34" s="11"/>
      <c r="O34" s="11"/>
      <c r="P34" s="11"/>
      <c r="Q34" s="11"/>
      <c r="R34" s="11"/>
      <c r="S34" s="11"/>
      <c r="T34" s="11"/>
      <c r="U34" s="11"/>
      <c r="V34" s="11"/>
      <c r="W34" s="11"/>
    </row>
    <row r="35" spans="1:23" customFormat="1">
      <c r="A35" s="145"/>
      <c r="B35" s="11"/>
      <c r="C35" s="239" t="s">
        <v>606</v>
      </c>
      <c r="D35" s="323" t="s">
        <v>886</v>
      </c>
      <c r="E35" s="289" t="str">
        <f>IF(Idioma=Castellano,"Sin definir",IF(Idioma=Valencià,"Sense definir","Sin definir"))</f>
        <v>Sin definir</v>
      </c>
      <c r="F35" s="582" t="str">
        <f t="shared" si="1"/>
        <v>HotelGeneralSin definir</v>
      </c>
      <c r="G35" s="583"/>
      <c r="H35" s="584"/>
      <c r="I35" s="276"/>
      <c r="J35" s="11"/>
      <c r="K35" s="11"/>
      <c r="L35" s="11"/>
      <c r="M35" s="11"/>
      <c r="N35" s="11"/>
      <c r="O35" s="11"/>
      <c r="P35" s="11"/>
      <c r="Q35" s="11"/>
      <c r="R35" s="11"/>
      <c r="S35" s="11"/>
      <c r="T35" s="11"/>
      <c r="U35" s="11"/>
      <c r="V35" s="11"/>
      <c r="W35" s="11"/>
    </row>
    <row r="36" spans="1:23" customFormat="1">
      <c r="A36" s="145"/>
      <c r="B36" s="11"/>
      <c r="C36" s="239" t="str">
        <f t="shared" ref="C36:C42" si="3">IF(Idioma=Castellano,"Restauración",IF(Idioma=Valencià,"Restauració","Restauración"))</f>
        <v>Restauración</v>
      </c>
      <c r="D36" s="323" t="s">
        <v>886</v>
      </c>
      <c r="E36" s="289" t="str">
        <f>IF(Idioma=Castellano,"Existente",IF(Idioma=Valencià,"Existent","Existente"))</f>
        <v>Existente</v>
      </c>
      <c r="F36" s="582" t="str">
        <f t="shared" si="1"/>
        <v>RestauraciónGeneralExistente</v>
      </c>
      <c r="G36" s="583"/>
      <c r="H36" s="584"/>
      <c r="I36" s="276"/>
      <c r="J36" s="11"/>
      <c r="K36" s="11"/>
      <c r="L36" s="11"/>
      <c r="M36" s="11"/>
      <c r="N36" s="11"/>
      <c r="O36" s="11"/>
      <c r="P36" s="11"/>
      <c r="Q36" s="11"/>
      <c r="R36" s="11"/>
      <c r="S36" s="11"/>
      <c r="T36" s="11"/>
      <c r="U36" s="11"/>
      <c r="V36" s="11"/>
      <c r="W36" s="11"/>
    </row>
    <row r="37" spans="1:23" customFormat="1">
      <c r="A37" s="145"/>
      <c r="B37" s="11"/>
      <c r="C37" s="239" t="str">
        <f t="shared" si="3"/>
        <v>Restauración</v>
      </c>
      <c r="D37" s="323" t="s">
        <v>886</v>
      </c>
      <c r="E37" s="239" t="s">
        <v>29</v>
      </c>
      <c r="F37" s="582" t="str">
        <f t="shared" si="1"/>
        <v>RestauraciónGeneralA</v>
      </c>
      <c r="G37" s="583"/>
      <c r="H37" s="584"/>
      <c r="I37" s="276"/>
      <c r="J37" s="11"/>
      <c r="K37" s="11"/>
      <c r="L37" s="11"/>
      <c r="M37" s="11"/>
      <c r="N37" s="11"/>
      <c r="O37" s="11"/>
      <c r="P37" s="11"/>
      <c r="Q37" s="11"/>
      <c r="R37" s="11"/>
      <c r="S37" s="11"/>
      <c r="T37" s="11"/>
      <c r="U37" s="11"/>
      <c r="V37" s="11"/>
      <c r="W37" s="11"/>
    </row>
    <row r="38" spans="1:23" customFormat="1">
      <c r="A38" s="145"/>
      <c r="B38" s="11"/>
      <c r="C38" s="239" t="str">
        <f t="shared" si="3"/>
        <v>Restauración</v>
      </c>
      <c r="D38" s="323" t="s">
        <v>886</v>
      </c>
      <c r="E38" s="239" t="s">
        <v>35</v>
      </c>
      <c r="F38" s="582" t="str">
        <f t="shared" si="1"/>
        <v>RestauraciónGeneralB</v>
      </c>
      <c r="G38" s="583"/>
      <c r="H38" s="584"/>
      <c r="I38" s="276"/>
      <c r="J38" s="11"/>
      <c r="K38" s="11"/>
      <c r="L38" s="11"/>
      <c r="M38" s="11"/>
      <c r="N38" s="11"/>
      <c r="O38" s="11"/>
      <c r="P38" s="11"/>
      <c r="Q38" s="11"/>
      <c r="R38" s="11"/>
      <c r="S38" s="11"/>
      <c r="T38" s="11"/>
      <c r="U38" s="11"/>
      <c r="V38" s="11"/>
      <c r="W38" s="11"/>
    </row>
    <row r="39" spans="1:23" customFormat="1">
      <c r="A39" s="145"/>
      <c r="B39" s="11"/>
      <c r="C39" s="239" t="str">
        <f t="shared" si="3"/>
        <v>Restauración</v>
      </c>
      <c r="D39" s="323" t="s">
        <v>886</v>
      </c>
      <c r="E39" s="239" t="s">
        <v>38</v>
      </c>
      <c r="F39" s="582" t="str">
        <f t="shared" si="1"/>
        <v>RestauraciónGeneralC</v>
      </c>
      <c r="G39" s="583"/>
      <c r="H39" s="584"/>
      <c r="I39" s="276"/>
      <c r="J39" s="11"/>
      <c r="K39" s="11"/>
      <c r="L39" s="11"/>
      <c r="M39" s="11"/>
      <c r="N39" s="11"/>
      <c r="O39" s="11"/>
      <c r="P39" s="11"/>
      <c r="Q39" s="11"/>
      <c r="R39" s="11"/>
      <c r="S39" s="11"/>
      <c r="T39" s="11"/>
      <c r="U39" s="11"/>
      <c r="V39" s="11"/>
      <c r="W39" s="11"/>
    </row>
    <row r="40" spans="1:23" customFormat="1">
      <c r="A40" s="145"/>
      <c r="B40" s="11"/>
      <c r="C40" s="239" t="str">
        <f t="shared" si="3"/>
        <v>Restauración</v>
      </c>
      <c r="D40" s="323" t="s">
        <v>886</v>
      </c>
      <c r="E40" s="239" t="s">
        <v>41</v>
      </c>
      <c r="F40" s="582" t="str">
        <f t="shared" si="1"/>
        <v>RestauraciónGeneralD</v>
      </c>
      <c r="G40" s="583"/>
      <c r="H40" s="584"/>
      <c r="I40" s="276"/>
      <c r="J40" s="11"/>
      <c r="K40" s="11"/>
      <c r="L40" s="11"/>
      <c r="M40" s="11"/>
      <c r="N40" s="11"/>
      <c r="O40" s="11"/>
      <c r="P40" s="11"/>
      <c r="Q40" s="11"/>
      <c r="R40" s="11"/>
      <c r="S40" s="11"/>
      <c r="T40" s="11"/>
      <c r="U40" s="11"/>
      <c r="V40" s="11"/>
      <c r="W40" s="11"/>
    </row>
    <row r="41" spans="1:23" customFormat="1">
      <c r="A41" s="145"/>
      <c r="B41" s="11"/>
      <c r="C41" s="239" t="str">
        <f t="shared" si="3"/>
        <v>Restauración</v>
      </c>
      <c r="D41" s="323" t="s">
        <v>886</v>
      </c>
      <c r="E41" s="239" t="s">
        <v>44</v>
      </c>
      <c r="F41" s="582" t="str">
        <f t="shared" si="1"/>
        <v>RestauraciónGeneralE</v>
      </c>
      <c r="G41" s="583"/>
      <c r="H41" s="584"/>
      <c r="I41" s="276"/>
      <c r="J41" s="11"/>
      <c r="K41" s="11"/>
      <c r="L41" s="11"/>
      <c r="M41" s="11"/>
      <c r="N41" s="11"/>
      <c r="O41" s="11"/>
      <c r="P41" s="11"/>
      <c r="Q41" s="11"/>
      <c r="R41" s="11"/>
      <c r="S41" s="11"/>
      <c r="T41" s="11"/>
      <c r="U41" s="11"/>
      <c r="V41" s="11"/>
      <c r="W41" s="11"/>
    </row>
    <row r="42" spans="1:23" customFormat="1">
      <c r="A42" s="145"/>
      <c r="B42" s="11"/>
      <c r="C42" s="239" t="str">
        <f t="shared" si="3"/>
        <v>Restauración</v>
      </c>
      <c r="D42" s="323" t="s">
        <v>886</v>
      </c>
      <c r="E42" s="289" t="str">
        <f>IF(Idioma=Castellano,"Sin definir",IF(Idioma=Valencià,"Sense definir","Sin definir"))</f>
        <v>Sin definir</v>
      </c>
      <c r="F42" s="582" t="str">
        <f t="shared" si="1"/>
        <v>RestauraciónGeneralSin definir</v>
      </c>
      <c r="G42" s="583"/>
      <c r="H42" s="584"/>
      <c r="I42" s="276"/>
      <c r="J42" s="11"/>
      <c r="K42" s="11"/>
      <c r="L42" s="11"/>
      <c r="M42" s="11"/>
      <c r="N42" s="11"/>
      <c r="O42" s="11"/>
      <c r="P42" s="11"/>
      <c r="Q42" s="11"/>
      <c r="R42" s="11"/>
      <c r="S42" s="11"/>
      <c r="T42" s="11"/>
      <c r="U42" s="11"/>
      <c r="V42" s="11"/>
      <c r="W42" s="11"/>
    </row>
    <row r="43" spans="1:23" customFormat="1">
      <c r="A43" s="145"/>
      <c r="B43" s="11"/>
      <c r="C43" s="239" t="str">
        <f t="shared" ref="C43:C49" si="4">IF(Idioma=Castellano,"Sin especificar",IF(Idioma=Valencià,"Sense especificar ","Sin especificar"))</f>
        <v>Sin especificar</v>
      </c>
      <c r="D43" s="323" t="s">
        <v>886</v>
      </c>
      <c r="E43" s="289" t="str">
        <f>IF(Idioma=Castellano,"Existente",IF(Idioma=Valencià,"Existent","Existente"))</f>
        <v>Existente</v>
      </c>
      <c r="F43" s="582" t="str">
        <f t="shared" si="1"/>
        <v>Sin especificarGeneralExistente</v>
      </c>
      <c r="G43" s="583"/>
      <c r="H43" s="584"/>
      <c r="I43" s="276"/>
      <c r="J43" s="11"/>
      <c r="K43" s="11"/>
      <c r="L43" s="11"/>
      <c r="M43" s="11"/>
      <c r="N43" s="11"/>
      <c r="O43" s="11"/>
      <c r="P43" s="11"/>
      <c r="Q43" s="11"/>
      <c r="R43" s="11"/>
      <c r="S43" s="11"/>
      <c r="T43" s="11"/>
      <c r="U43" s="11"/>
      <c r="V43" s="11"/>
      <c r="W43" s="11"/>
    </row>
    <row r="44" spans="1:23" customFormat="1">
      <c r="A44" s="145"/>
      <c r="B44" s="11"/>
      <c r="C44" s="239" t="str">
        <f t="shared" si="4"/>
        <v>Sin especificar</v>
      </c>
      <c r="D44" s="323" t="s">
        <v>886</v>
      </c>
      <c r="E44" s="239" t="s">
        <v>29</v>
      </c>
      <c r="F44" s="582" t="str">
        <f t="shared" si="1"/>
        <v>Sin especificarGeneralA</v>
      </c>
      <c r="G44" s="583"/>
      <c r="H44" s="584"/>
      <c r="I44" s="276"/>
      <c r="J44" s="11"/>
      <c r="K44" s="11"/>
      <c r="L44" s="11"/>
      <c r="M44" s="11"/>
      <c r="N44" s="11"/>
      <c r="O44" s="11"/>
      <c r="P44" s="11"/>
      <c r="Q44" s="11"/>
      <c r="R44" s="11"/>
      <c r="S44" s="11"/>
      <c r="T44" s="11"/>
      <c r="U44" s="11"/>
      <c r="V44" s="11"/>
      <c r="W44" s="11"/>
    </row>
    <row r="45" spans="1:23" customFormat="1">
      <c r="A45" s="145"/>
      <c r="B45" s="11"/>
      <c r="C45" s="239" t="str">
        <f t="shared" si="4"/>
        <v>Sin especificar</v>
      </c>
      <c r="D45" s="323" t="s">
        <v>886</v>
      </c>
      <c r="E45" s="239" t="s">
        <v>35</v>
      </c>
      <c r="F45" s="582" t="str">
        <f t="shared" si="1"/>
        <v>Sin especificarGeneralB</v>
      </c>
      <c r="G45" s="583"/>
      <c r="H45" s="584"/>
      <c r="I45" s="276"/>
      <c r="J45" s="11"/>
      <c r="K45" s="11"/>
      <c r="L45" s="11"/>
      <c r="M45" s="11"/>
      <c r="N45" s="11"/>
      <c r="O45" s="11"/>
      <c r="P45" s="11"/>
      <c r="Q45" s="11"/>
      <c r="R45" s="11"/>
      <c r="S45" s="11"/>
      <c r="T45" s="11"/>
      <c r="U45" s="11"/>
      <c r="V45" s="11"/>
      <c r="W45" s="11"/>
    </row>
    <row r="46" spans="1:23" customFormat="1">
      <c r="A46" s="145"/>
      <c r="B46" s="11"/>
      <c r="C46" s="239" t="str">
        <f t="shared" si="4"/>
        <v>Sin especificar</v>
      </c>
      <c r="D46" s="323" t="s">
        <v>886</v>
      </c>
      <c r="E46" s="239" t="s">
        <v>38</v>
      </c>
      <c r="F46" s="582" t="str">
        <f t="shared" si="1"/>
        <v>Sin especificarGeneralC</v>
      </c>
      <c r="G46" s="583"/>
      <c r="H46" s="584"/>
      <c r="I46" s="276"/>
      <c r="J46" s="11"/>
      <c r="K46" s="11"/>
      <c r="L46" s="11"/>
      <c r="M46" s="11"/>
      <c r="N46" s="11"/>
      <c r="O46" s="11"/>
      <c r="P46" s="11"/>
      <c r="Q46" s="11"/>
      <c r="R46" s="11"/>
      <c r="S46" s="11"/>
      <c r="T46" s="11"/>
      <c r="U46" s="11"/>
      <c r="V46" s="11"/>
      <c r="W46" s="11"/>
    </row>
    <row r="47" spans="1:23" customFormat="1">
      <c r="A47" s="145"/>
      <c r="B47" s="11"/>
      <c r="C47" s="239" t="str">
        <f t="shared" si="4"/>
        <v>Sin especificar</v>
      </c>
      <c r="D47" s="323" t="s">
        <v>886</v>
      </c>
      <c r="E47" s="239" t="s">
        <v>41</v>
      </c>
      <c r="F47" s="582" t="str">
        <f t="shared" si="1"/>
        <v>Sin especificarGeneralD</v>
      </c>
      <c r="G47" s="583"/>
      <c r="H47" s="584"/>
      <c r="I47" s="276"/>
      <c r="J47" s="11"/>
      <c r="K47" s="11"/>
      <c r="L47" s="11"/>
      <c r="M47" s="11"/>
      <c r="N47" s="11"/>
      <c r="O47" s="11"/>
      <c r="P47" s="11"/>
      <c r="Q47" s="11"/>
      <c r="R47" s="11"/>
      <c r="S47" s="11"/>
      <c r="T47" s="11"/>
      <c r="U47" s="11"/>
      <c r="V47" s="11"/>
      <c r="W47" s="11"/>
    </row>
    <row r="48" spans="1:23" customFormat="1">
      <c r="A48" s="145"/>
      <c r="B48" s="11"/>
      <c r="C48" s="239" t="str">
        <f t="shared" si="4"/>
        <v>Sin especificar</v>
      </c>
      <c r="D48" s="323" t="s">
        <v>886</v>
      </c>
      <c r="E48" s="239" t="s">
        <v>44</v>
      </c>
      <c r="F48" s="582" t="str">
        <f t="shared" si="1"/>
        <v>Sin especificarGeneralE</v>
      </c>
      <c r="G48" s="583"/>
      <c r="H48" s="584"/>
      <c r="I48" s="276"/>
      <c r="J48" s="11"/>
      <c r="K48" s="11"/>
      <c r="L48" s="11"/>
      <c r="M48" s="11"/>
      <c r="N48" s="11"/>
      <c r="O48" s="11"/>
      <c r="P48" s="11"/>
      <c r="Q48" s="11"/>
      <c r="R48" s="11"/>
      <c r="S48" s="11"/>
      <c r="T48" s="11"/>
      <c r="U48" s="11"/>
      <c r="V48" s="11"/>
      <c r="W48" s="11"/>
    </row>
    <row r="49" spans="1:23" customFormat="1">
      <c r="A49" s="145"/>
      <c r="B49" s="11"/>
      <c r="C49" s="239" t="str">
        <f t="shared" si="4"/>
        <v>Sin especificar</v>
      </c>
      <c r="D49" s="323" t="s">
        <v>886</v>
      </c>
      <c r="E49" s="289" t="str">
        <f>IF(Idioma=Castellano,"Sin definir",IF(Idioma=Valencià,"Sense definir","Sin definir"))</f>
        <v>Sin definir</v>
      </c>
      <c r="F49" s="582" t="str">
        <f t="shared" si="1"/>
        <v>Sin especificarGeneralSin definir</v>
      </c>
      <c r="G49" s="583"/>
      <c r="H49" s="584"/>
      <c r="I49" s="276"/>
      <c r="J49" s="11"/>
      <c r="K49" s="11"/>
      <c r="L49" s="11"/>
      <c r="M49" s="11"/>
      <c r="N49" s="11"/>
      <c r="O49" s="11"/>
      <c r="P49" s="11"/>
      <c r="Q49" s="11"/>
      <c r="R49" s="11"/>
      <c r="S49" s="11"/>
      <c r="T49" s="11"/>
      <c r="U49" s="11"/>
      <c r="V49" s="11"/>
      <c r="W49" s="11"/>
    </row>
    <row r="50" spans="1:23" customFormat="1">
      <c r="A50" s="145"/>
      <c r="B50" s="11"/>
      <c r="C50" s="239" t="str">
        <f t="shared" ref="C50:C56" si="5">IF(Idioma=Castellano,"Oficinas",IF(Idioma=Valencià,"Oficines","Oficinas"))</f>
        <v>Oficinas</v>
      </c>
      <c r="D50" s="323" t="s">
        <v>380</v>
      </c>
      <c r="E50" s="289" t="str">
        <f>IF(Idioma=Castellano,"Existente",IF(Idioma=Valencià,"Existent","Existente"))</f>
        <v>Existente</v>
      </c>
      <c r="F50" s="582" t="str">
        <f t="shared" si="1"/>
        <v>OficinasA3Existente</v>
      </c>
      <c r="G50" s="583"/>
      <c r="H50" s="584"/>
      <c r="I50" s="276"/>
      <c r="J50" s="11"/>
      <c r="K50" s="11"/>
      <c r="L50" s="11"/>
      <c r="M50" s="11"/>
      <c r="N50" s="11"/>
      <c r="O50" s="11"/>
      <c r="P50" s="11"/>
      <c r="Q50" s="11"/>
      <c r="R50" s="11"/>
      <c r="S50" s="11"/>
      <c r="T50" s="11"/>
      <c r="U50" s="11"/>
      <c r="V50" s="11"/>
      <c r="W50" s="11"/>
    </row>
    <row r="51" spans="1:23" customFormat="1">
      <c r="A51" s="145"/>
      <c r="B51" s="11"/>
      <c r="C51" s="239" t="str">
        <f t="shared" si="5"/>
        <v>Oficinas</v>
      </c>
      <c r="D51" s="323" t="s">
        <v>380</v>
      </c>
      <c r="E51" s="239" t="s">
        <v>29</v>
      </c>
      <c r="F51" s="582" t="str">
        <f t="shared" si="1"/>
        <v>OficinasA3A</v>
      </c>
      <c r="G51" s="583"/>
      <c r="H51" s="584"/>
      <c r="I51" s="276"/>
      <c r="J51" s="11"/>
      <c r="K51" s="11"/>
      <c r="L51" s="11"/>
      <c r="M51" s="11"/>
      <c r="N51" s="11"/>
      <c r="O51" s="11"/>
      <c r="P51" s="11"/>
      <c r="Q51" s="11"/>
      <c r="R51" s="11"/>
      <c r="S51" s="11"/>
      <c r="T51" s="11"/>
      <c r="U51" s="11"/>
      <c r="V51" s="11"/>
      <c r="W51" s="11"/>
    </row>
    <row r="52" spans="1:23" customFormat="1">
      <c r="A52" s="145"/>
      <c r="B52" s="11"/>
      <c r="C52" s="239" t="str">
        <f t="shared" si="5"/>
        <v>Oficinas</v>
      </c>
      <c r="D52" s="323" t="s">
        <v>380</v>
      </c>
      <c r="E52" s="239" t="s">
        <v>35</v>
      </c>
      <c r="F52" s="582" t="str">
        <f t="shared" si="1"/>
        <v>OficinasA3B</v>
      </c>
      <c r="G52" s="583"/>
      <c r="H52" s="584"/>
      <c r="I52" s="276"/>
      <c r="J52" s="11"/>
      <c r="K52" s="11"/>
      <c r="L52" s="11"/>
      <c r="M52" s="11"/>
      <c r="N52" s="11"/>
      <c r="O52" s="11"/>
      <c r="P52" s="11"/>
      <c r="Q52" s="11"/>
      <c r="R52" s="11"/>
      <c r="S52" s="11"/>
      <c r="T52" s="11"/>
      <c r="U52" s="11"/>
      <c r="V52" s="11"/>
      <c r="W52" s="11"/>
    </row>
    <row r="53" spans="1:23" customFormat="1">
      <c r="A53" s="145"/>
      <c r="B53" s="11"/>
      <c r="C53" s="239" t="str">
        <f t="shared" si="5"/>
        <v>Oficinas</v>
      </c>
      <c r="D53" s="323" t="s">
        <v>380</v>
      </c>
      <c r="E53" s="239" t="s">
        <v>38</v>
      </c>
      <c r="F53" s="582" t="str">
        <f t="shared" si="1"/>
        <v>OficinasA3C</v>
      </c>
      <c r="G53" s="583"/>
      <c r="H53" s="584"/>
      <c r="I53" s="276"/>
      <c r="J53" s="11"/>
      <c r="K53" s="11"/>
      <c r="L53" s="11"/>
      <c r="M53" s="11"/>
      <c r="N53" s="11"/>
      <c r="O53" s="11"/>
      <c r="P53" s="11"/>
      <c r="Q53" s="11"/>
      <c r="R53" s="11"/>
      <c r="S53" s="11"/>
      <c r="T53" s="11"/>
      <c r="U53" s="11"/>
      <c r="V53" s="11"/>
      <c r="W53" s="11"/>
    </row>
    <row r="54" spans="1:23" customFormat="1">
      <c r="A54" s="145"/>
      <c r="B54" s="11"/>
      <c r="C54" s="239" t="str">
        <f t="shared" si="5"/>
        <v>Oficinas</v>
      </c>
      <c r="D54" s="323" t="s">
        <v>380</v>
      </c>
      <c r="E54" s="239" t="s">
        <v>41</v>
      </c>
      <c r="F54" s="582" t="str">
        <f t="shared" si="1"/>
        <v>OficinasA3D</v>
      </c>
      <c r="G54" s="583"/>
      <c r="H54" s="584"/>
      <c r="I54" s="276"/>
      <c r="J54" s="11"/>
      <c r="K54" s="11"/>
      <c r="L54" s="11"/>
      <c r="M54" s="11"/>
      <c r="N54" s="11"/>
      <c r="O54" s="11"/>
      <c r="P54" s="11"/>
      <c r="Q54" s="11"/>
      <c r="R54" s="11"/>
      <c r="S54" s="11"/>
      <c r="T54" s="11"/>
      <c r="U54" s="11"/>
      <c r="V54" s="11"/>
      <c r="W54" s="11"/>
    </row>
    <row r="55" spans="1:23" customFormat="1">
      <c r="A55" s="145"/>
      <c r="B55" s="11"/>
      <c r="C55" s="239" t="str">
        <f t="shared" si="5"/>
        <v>Oficinas</v>
      </c>
      <c r="D55" s="323" t="s">
        <v>380</v>
      </c>
      <c r="E55" s="239" t="s">
        <v>44</v>
      </c>
      <c r="F55" s="582" t="str">
        <f t="shared" si="1"/>
        <v>OficinasA3E</v>
      </c>
      <c r="G55" s="583"/>
      <c r="H55" s="584"/>
      <c r="I55" s="276"/>
      <c r="J55" s="11"/>
      <c r="K55" s="11"/>
      <c r="L55" s="11"/>
      <c r="M55" s="11"/>
      <c r="N55" s="11"/>
      <c r="O55" s="11"/>
      <c r="P55" s="11"/>
      <c r="Q55" s="11"/>
      <c r="R55" s="11"/>
      <c r="S55" s="11"/>
      <c r="T55" s="11"/>
      <c r="U55" s="11"/>
      <c r="V55" s="11"/>
      <c r="W55" s="11"/>
    </row>
    <row r="56" spans="1:23" customFormat="1">
      <c r="A56" s="145"/>
      <c r="B56" s="11"/>
      <c r="C56" s="239" t="str">
        <f t="shared" si="5"/>
        <v>Oficinas</v>
      </c>
      <c r="D56" s="323" t="s">
        <v>380</v>
      </c>
      <c r="E56" s="289" t="str">
        <f>IF(Idioma=Castellano,"Sin definir",IF(Idioma=Valencià,"Sense definir","Sin definir"))</f>
        <v>Sin definir</v>
      </c>
      <c r="F56" s="582" t="str">
        <f t="shared" si="1"/>
        <v>OficinasA3Sin definir</v>
      </c>
      <c r="G56" s="583"/>
      <c r="H56" s="584"/>
      <c r="I56" s="276"/>
      <c r="J56" s="11"/>
      <c r="K56" s="11"/>
      <c r="L56" s="11"/>
      <c r="M56" s="11"/>
      <c r="N56" s="11"/>
      <c r="O56" s="11"/>
      <c r="P56" s="11"/>
      <c r="Q56" s="11"/>
      <c r="R56" s="11"/>
      <c r="S56" s="11"/>
      <c r="T56" s="11"/>
      <c r="U56" s="11"/>
      <c r="V56" s="11"/>
      <c r="W56" s="11"/>
    </row>
    <row r="57" spans="1:23" customFormat="1">
      <c r="A57" s="145"/>
      <c r="B57" s="11"/>
      <c r="C57" s="239" t="str">
        <f t="shared" ref="C57:C63" si="6">IF(Idioma=Castellano,"Comercio",IF(Idioma=Valencià,"Comerç","Comercio"))</f>
        <v>Comercio</v>
      </c>
      <c r="D57" s="323" t="s">
        <v>380</v>
      </c>
      <c r="E57" s="289" t="str">
        <f>IF(Idioma=Castellano,"Existente",IF(Idioma=Valencià,"Existent","Existente"))</f>
        <v>Existente</v>
      </c>
      <c r="F57" s="582" t="str">
        <f t="shared" si="1"/>
        <v>ComercioA3Existente</v>
      </c>
      <c r="G57" s="583"/>
      <c r="H57" s="584"/>
      <c r="I57" s="276"/>
      <c r="J57" s="11"/>
      <c r="K57" s="11"/>
      <c r="L57" s="11"/>
      <c r="M57" s="11"/>
      <c r="N57" s="11"/>
      <c r="O57" s="11"/>
      <c r="P57" s="11"/>
      <c r="Q57" s="11"/>
      <c r="R57" s="11"/>
      <c r="S57" s="11"/>
      <c r="T57" s="11"/>
      <c r="U57" s="11"/>
      <c r="V57" s="11"/>
      <c r="W57" s="11"/>
    </row>
    <row r="58" spans="1:23" customFormat="1">
      <c r="A58" s="145"/>
      <c r="B58" s="11"/>
      <c r="C58" s="239" t="str">
        <f t="shared" si="6"/>
        <v>Comercio</v>
      </c>
      <c r="D58" s="323" t="s">
        <v>380</v>
      </c>
      <c r="E58" s="239" t="s">
        <v>29</v>
      </c>
      <c r="F58" s="582" t="str">
        <f t="shared" si="1"/>
        <v>ComercioA3A</v>
      </c>
      <c r="G58" s="583"/>
      <c r="H58" s="584"/>
      <c r="I58" s="276"/>
      <c r="J58" s="11"/>
      <c r="K58" s="11"/>
      <c r="L58" s="11"/>
      <c r="M58" s="11"/>
      <c r="N58" s="11"/>
      <c r="O58" s="11"/>
      <c r="P58" s="11"/>
      <c r="Q58" s="11"/>
      <c r="R58" s="11"/>
      <c r="S58" s="11"/>
      <c r="T58" s="11"/>
      <c r="U58" s="11"/>
      <c r="V58" s="11"/>
      <c r="W58" s="11"/>
    </row>
    <row r="59" spans="1:23" customFormat="1">
      <c r="A59" s="145"/>
      <c r="B59" s="11"/>
      <c r="C59" s="239" t="str">
        <f t="shared" si="6"/>
        <v>Comercio</v>
      </c>
      <c r="D59" s="323" t="s">
        <v>380</v>
      </c>
      <c r="E59" s="239" t="s">
        <v>35</v>
      </c>
      <c r="F59" s="582" t="str">
        <f t="shared" si="1"/>
        <v>ComercioA3B</v>
      </c>
      <c r="G59" s="583"/>
      <c r="H59" s="584"/>
      <c r="I59" s="276"/>
      <c r="J59" s="11"/>
      <c r="K59" s="11"/>
      <c r="L59" s="11"/>
      <c r="M59" s="11"/>
      <c r="N59" s="11"/>
      <c r="O59" s="11"/>
      <c r="P59" s="11"/>
      <c r="Q59" s="11"/>
      <c r="R59" s="11"/>
      <c r="S59" s="11"/>
      <c r="T59" s="11"/>
      <c r="U59" s="11"/>
      <c r="V59" s="11"/>
      <c r="W59" s="11"/>
    </row>
    <row r="60" spans="1:23" customFormat="1">
      <c r="A60" s="145"/>
      <c r="B60" s="11"/>
      <c r="C60" s="239" t="str">
        <f t="shared" si="6"/>
        <v>Comercio</v>
      </c>
      <c r="D60" s="323" t="s">
        <v>380</v>
      </c>
      <c r="E60" s="239" t="s">
        <v>38</v>
      </c>
      <c r="F60" s="582" t="str">
        <f t="shared" si="1"/>
        <v>ComercioA3C</v>
      </c>
      <c r="G60" s="583"/>
      <c r="H60" s="584"/>
      <c r="I60" s="276"/>
      <c r="J60" s="11"/>
      <c r="K60" s="11"/>
      <c r="L60" s="11"/>
      <c r="M60" s="11"/>
      <c r="N60" s="11"/>
      <c r="O60" s="11"/>
      <c r="P60" s="11"/>
      <c r="Q60" s="11"/>
      <c r="R60" s="11"/>
      <c r="S60" s="11"/>
      <c r="T60" s="11"/>
      <c r="U60" s="11"/>
      <c r="V60" s="11"/>
      <c r="W60" s="11"/>
    </row>
    <row r="61" spans="1:23" customFormat="1">
      <c r="A61" s="145"/>
      <c r="B61" s="11"/>
      <c r="C61" s="239" t="str">
        <f t="shared" si="6"/>
        <v>Comercio</v>
      </c>
      <c r="D61" s="323" t="s">
        <v>380</v>
      </c>
      <c r="E61" s="239" t="s">
        <v>41</v>
      </c>
      <c r="F61" s="582" t="str">
        <f t="shared" si="1"/>
        <v>ComercioA3D</v>
      </c>
      <c r="G61" s="583"/>
      <c r="H61" s="584"/>
      <c r="I61" s="276"/>
      <c r="J61" s="11"/>
      <c r="K61" s="11"/>
      <c r="L61" s="11"/>
      <c r="M61" s="11"/>
      <c r="N61" s="11"/>
      <c r="O61" s="11"/>
      <c r="P61" s="11"/>
      <c r="Q61" s="11"/>
      <c r="R61" s="11"/>
      <c r="S61" s="11"/>
      <c r="T61" s="11"/>
      <c r="U61" s="11"/>
      <c r="V61" s="11"/>
      <c r="W61" s="11"/>
    </row>
    <row r="62" spans="1:23" customFormat="1">
      <c r="A62" s="145"/>
      <c r="B62" s="11"/>
      <c r="C62" s="239" t="str">
        <f t="shared" si="6"/>
        <v>Comercio</v>
      </c>
      <c r="D62" s="323" t="s">
        <v>380</v>
      </c>
      <c r="E62" s="239" t="s">
        <v>44</v>
      </c>
      <c r="F62" s="582" t="str">
        <f t="shared" si="1"/>
        <v>ComercioA3E</v>
      </c>
      <c r="G62" s="583"/>
      <c r="H62" s="584"/>
      <c r="I62" s="276"/>
      <c r="J62" s="11"/>
      <c r="K62" s="11"/>
      <c r="L62" s="11"/>
      <c r="M62" s="11"/>
      <c r="N62" s="11"/>
      <c r="O62" s="11"/>
      <c r="P62" s="11"/>
      <c r="Q62" s="11"/>
      <c r="R62" s="11"/>
      <c r="S62" s="11"/>
      <c r="T62" s="11"/>
      <c r="U62" s="11"/>
      <c r="V62" s="11"/>
      <c r="W62" s="11"/>
    </row>
    <row r="63" spans="1:23" customFormat="1">
      <c r="A63" s="145"/>
      <c r="B63" s="11"/>
      <c r="C63" s="239" t="str">
        <f t="shared" si="6"/>
        <v>Comercio</v>
      </c>
      <c r="D63" s="323" t="s">
        <v>380</v>
      </c>
      <c r="E63" s="289" t="str">
        <f>IF(Idioma=Castellano,"Sin definir",IF(Idioma=Valencià,"Sense definir","Sin definir"))</f>
        <v>Sin definir</v>
      </c>
      <c r="F63" s="582" t="str">
        <f t="shared" si="1"/>
        <v>ComercioA3Sin definir</v>
      </c>
      <c r="G63" s="583"/>
      <c r="H63" s="584"/>
      <c r="I63" s="276"/>
      <c r="J63" s="11"/>
      <c r="K63" s="11"/>
      <c r="L63" s="11"/>
      <c r="M63" s="11"/>
      <c r="N63" s="11"/>
      <c r="O63" s="11"/>
      <c r="P63" s="11"/>
      <c r="Q63" s="11"/>
      <c r="R63" s="11"/>
      <c r="S63" s="11"/>
      <c r="T63" s="11"/>
      <c r="U63" s="11"/>
      <c r="V63" s="11"/>
      <c r="W63" s="11"/>
    </row>
    <row r="64" spans="1:23" customFormat="1">
      <c r="A64" s="145"/>
      <c r="B64" s="11"/>
      <c r="C64" s="239" t="s">
        <v>606</v>
      </c>
      <c r="D64" s="323" t="s">
        <v>380</v>
      </c>
      <c r="E64" s="289" t="str">
        <f>IF(Idioma=Castellano,"Existente",IF(Idioma=Valencià,"Existent","Existente"))</f>
        <v>Existente</v>
      </c>
      <c r="F64" s="582" t="str">
        <f t="shared" si="1"/>
        <v>HotelA3Existente</v>
      </c>
      <c r="G64" s="583"/>
      <c r="H64" s="584"/>
      <c r="I64" s="276"/>
      <c r="J64" s="11"/>
      <c r="K64" s="11"/>
      <c r="L64" s="11"/>
      <c r="M64" s="11"/>
      <c r="N64" s="11"/>
      <c r="O64" s="11"/>
      <c r="P64" s="11"/>
      <c r="Q64" s="11"/>
      <c r="R64" s="11"/>
      <c r="S64" s="11"/>
      <c r="T64" s="11"/>
      <c r="U64" s="11"/>
      <c r="V64" s="11"/>
      <c r="W64" s="11"/>
    </row>
    <row r="65" spans="1:23" customFormat="1">
      <c r="A65" s="145"/>
      <c r="B65" s="11"/>
      <c r="C65" s="239" t="s">
        <v>606</v>
      </c>
      <c r="D65" s="323" t="s">
        <v>380</v>
      </c>
      <c r="E65" s="239" t="s">
        <v>29</v>
      </c>
      <c r="F65" s="582" t="str">
        <f t="shared" si="1"/>
        <v>HotelA3A</v>
      </c>
      <c r="G65" s="583"/>
      <c r="H65" s="584"/>
      <c r="I65" s="276"/>
      <c r="J65" s="11"/>
      <c r="K65" s="11"/>
      <c r="L65" s="11"/>
      <c r="M65" s="11"/>
      <c r="N65" s="11"/>
      <c r="O65" s="11"/>
      <c r="P65" s="11"/>
      <c r="Q65" s="11"/>
      <c r="R65" s="11"/>
      <c r="S65" s="11"/>
      <c r="T65" s="11"/>
      <c r="U65" s="11"/>
      <c r="V65" s="11"/>
      <c r="W65" s="11"/>
    </row>
    <row r="66" spans="1:23" customFormat="1">
      <c r="A66" s="145"/>
      <c r="B66" s="11"/>
      <c r="C66" s="239" t="s">
        <v>606</v>
      </c>
      <c r="D66" s="323" t="s">
        <v>380</v>
      </c>
      <c r="E66" s="239" t="s">
        <v>35</v>
      </c>
      <c r="F66" s="582" t="str">
        <f t="shared" ref="F66:F115" si="7">C66&amp;D66&amp;E66</f>
        <v>HotelA3B</v>
      </c>
      <c r="G66" s="583"/>
      <c r="H66" s="584"/>
      <c r="I66" s="276"/>
      <c r="J66" s="11"/>
      <c r="K66" s="11"/>
      <c r="L66" s="11"/>
      <c r="M66" s="11"/>
      <c r="N66" s="11"/>
      <c r="O66" s="11"/>
      <c r="P66" s="11"/>
      <c r="Q66" s="11"/>
      <c r="R66" s="11"/>
      <c r="S66" s="11"/>
      <c r="T66" s="11"/>
      <c r="U66" s="11"/>
      <c r="V66" s="11"/>
      <c r="W66" s="11"/>
    </row>
    <row r="67" spans="1:23" customFormat="1">
      <c r="A67" s="145"/>
      <c r="B67" s="11"/>
      <c r="C67" s="239" t="s">
        <v>606</v>
      </c>
      <c r="D67" s="323" t="s">
        <v>380</v>
      </c>
      <c r="E67" s="239" t="s">
        <v>38</v>
      </c>
      <c r="F67" s="582" t="str">
        <f t="shared" si="7"/>
        <v>HotelA3C</v>
      </c>
      <c r="G67" s="583"/>
      <c r="H67" s="584"/>
      <c r="I67" s="276"/>
      <c r="J67" s="11"/>
      <c r="K67" s="11"/>
      <c r="L67" s="11"/>
      <c r="M67" s="11"/>
      <c r="N67" s="11"/>
      <c r="O67" s="11"/>
      <c r="P67" s="11"/>
      <c r="Q67" s="11"/>
      <c r="R67" s="11"/>
      <c r="S67" s="11"/>
      <c r="T67" s="11"/>
      <c r="U67" s="11"/>
      <c r="V67" s="11"/>
      <c r="W67" s="11"/>
    </row>
    <row r="68" spans="1:23" customFormat="1">
      <c r="A68" s="145"/>
      <c r="B68" s="11"/>
      <c r="C68" s="239" t="s">
        <v>606</v>
      </c>
      <c r="D68" s="323" t="s">
        <v>380</v>
      </c>
      <c r="E68" s="239" t="s">
        <v>41</v>
      </c>
      <c r="F68" s="582" t="str">
        <f t="shared" si="7"/>
        <v>HotelA3D</v>
      </c>
      <c r="G68" s="583"/>
      <c r="H68" s="584"/>
      <c r="I68" s="276"/>
      <c r="J68" s="11"/>
      <c r="K68" s="11"/>
      <c r="L68" s="11"/>
      <c r="M68" s="11"/>
      <c r="N68" s="11"/>
      <c r="O68" s="11"/>
      <c r="P68" s="11"/>
      <c r="Q68" s="11"/>
      <c r="R68" s="11"/>
      <c r="S68" s="11"/>
      <c r="T68" s="11"/>
      <c r="U68" s="11"/>
      <c r="V68" s="11"/>
      <c r="W68" s="11"/>
    </row>
    <row r="69" spans="1:23" customFormat="1">
      <c r="A69" s="145"/>
      <c r="B69" s="11"/>
      <c r="C69" s="239" t="s">
        <v>606</v>
      </c>
      <c r="D69" s="323" t="s">
        <v>380</v>
      </c>
      <c r="E69" s="239" t="s">
        <v>44</v>
      </c>
      <c r="F69" s="582" t="str">
        <f t="shared" si="7"/>
        <v>HotelA3E</v>
      </c>
      <c r="G69" s="583"/>
      <c r="H69" s="584"/>
      <c r="I69" s="276"/>
      <c r="J69" s="11"/>
      <c r="K69" s="11"/>
      <c r="L69" s="11"/>
      <c r="M69" s="11"/>
      <c r="N69" s="11"/>
      <c r="O69" s="11"/>
      <c r="P69" s="11"/>
      <c r="Q69" s="11"/>
      <c r="R69" s="11"/>
      <c r="S69" s="11"/>
      <c r="T69" s="11"/>
      <c r="U69" s="11"/>
      <c r="V69" s="11"/>
      <c r="W69" s="11"/>
    </row>
    <row r="70" spans="1:23" customFormat="1">
      <c r="A70" s="145"/>
      <c r="B70" s="11"/>
      <c r="C70" s="239" t="s">
        <v>606</v>
      </c>
      <c r="D70" s="323" t="s">
        <v>380</v>
      </c>
      <c r="E70" s="289" t="str">
        <f>IF(Idioma=Castellano,"Sin definir",IF(Idioma=Valencià,"Sense definir","Sin definir"))</f>
        <v>Sin definir</v>
      </c>
      <c r="F70" s="582" t="str">
        <f t="shared" si="7"/>
        <v>HotelA3Sin definir</v>
      </c>
      <c r="G70" s="583"/>
      <c r="H70" s="584"/>
      <c r="I70" s="276"/>
      <c r="J70" s="11"/>
      <c r="K70" s="11"/>
      <c r="L70" s="11"/>
      <c r="M70" s="11"/>
      <c r="N70" s="11"/>
      <c r="O70" s="11"/>
      <c r="P70" s="11"/>
      <c r="Q70" s="11"/>
      <c r="R70" s="11"/>
      <c r="S70" s="11"/>
      <c r="T70" s="11"/>
      <c r="U70" s="11"/>
      <c r="V70" s="11"/>
      <c r="W70" s="11"/>
    </row>
    <row r="71" spans="1:23" customFormat="1">
      <c r="A71" s="145"/>
      <c r="B71" s="11"/>
      <c r="C71" s="239" t="str">
        <f t="shared" ref="C71:C77" si="8">IF(Idioma=Castellano,"Restauración",IF(Idioma=Valencià,"Restauració","Restauración"))</f>
        <v>Restauración</v>
      </c>
      <c r="D71" s="323" t="s">
        <v>380</v>
      </c>
      <c r="E71" s="289" t="str">
        <f>IF(Idioma=Castellano,"Existente",IF(Idioma=Valencià,"Existent","Existente"))</f>
        <v>Existente</v>
      </c>
      <c r="F71" s="582" t="str">
        <f t="shared" si="7"/>
        <v>RestauraciónA3Existente</v>
      </c>
      <c r="G71" s="583"/>
      <c r="H71" s="584"/>
      <c r="I71" s="276"/>
      <c r="J71" s="11"/>
      <c r="K71" s="11"/>
      <c r="L71" s="11"/>
      <c r="M71" s="11"/>
      <c r="N71" s="11"/>
      <c r="O71" s="11"/>
      <c r="P71" s="11"/>
      <c r="Q71" s="11"/>
      <c r="R71" s="11"/>
      <c r="S71" s="11"/>
      <c r="T71" s="11"/>
      <c r="U71" s="11"/>
      <c r="V71" s="11"/>
      <c r="W71" s="11"/>
    </row>
    <row r="72" spans="1:23" customFormat="1">
      <c r="A72" s="145"/>
      <c r="B72" s="11"/>
      <c r="C72" s="239" t="str">
        <f t="shared" si="8"/>
        <v>Restauración</v>
      </c>
      <c r="D72" s="323" t="s">
        <v>380</v>
      </c>
      <c r="E72" s="239" t="s">
        <v>29</v>
      </c>
      <c r="F72" s="582" t="str">
        <f t="shared" si="7"/>
        <v>RestauraciónA3A</v>
      </c>
      <c r="G72" s="583"/>
      <c r="H72" s="584"/>
      <c r="I72" s="276"/>
      <c r="J72" s="11"/>
      <c r="K72" s="11"/>
      <c r="L72" s="11"/>
      <c r="M72" s="11"/>
      <c r="N72" s="11"/>
      <c r="O72" s="11"/>
      <c r="P72" s="11"/>
      <c r="Q72" s="11"/>
      <c r="R72" s="11"/>
      <c r="S72" s="11"/>
      <c r="T72" s="11"/>
      <c r="U72" s="11"/>
      <c r="V72" s="11"/>
      <c r="W72" s="11"/>
    </row>
    <row r="73" spans="1:23" customFormat="1">
      <c r="A73" s="145"/>
      <c r="B73" s="11"/>
      <c r="C73" s="239" t="str">
        <f t="shared" si="8"/>
        <v>Restauración</v>
      </c>
      <c r="D73" s="323" t="s">
        <v>380</v>
      </c>
      <c r="E73" s="239" t="s">
        <v>35</v>
      </c>
      <c r="F73" s="582" t="str">
        <f t="shared" si="7"/>
        <v>RestauraciónA3B</v>
      </c>
      <c r="G73" s="583"/>
      <c r="H73" s="584"/>
      <c r="I73" s="276"/>
      <c r="J73" s="11"/>
      <c r="K73" s="11"/>
      <c r="L73" s="11"/>
      <c r="M73" s="11"/>
      <c r="N73" s="11"/>
      <c r="O73" s="11"/>
      <c r="P73" s="11"/>
      <c r="Q73" s="11"/>
      <c r="R73" s="11"/>
      <c r="S73" s="11"/>
      <c r="T73" s="11"/>
      <c r="U73" s="11"/>
      <c r="V73" s="11"/>
      <c r="W73" s="11"/>
    </row>
    <row r="74" spans="1:23" customFormat="1">
      <c r="A74" s="145"/>
      <c r="B74" s="11"/>
      <c r="C74" s="239" t="str">
        <f t="shared" si="8"/>
        <v>Restauración</v>
      </c>
      <c r="D74" s="323" t="s">
        <v>380</v>
      </c>
      <c r="E74" s="239" t="s">
        <v>38</v>
      </c>
      <c r="F74" s="582" t="str">
        <f t="shared" si="7"/>
        <v>RestauraciónA3C</v>
      </c>
      <c r="G74" s="583"/>
      <c r="H74" s="584"/>
      <c r="I74" s="276"/>
      <c r="J74" s="11"/>
      <c r="K74" s="11"/>
      <c r="L74" s="11"/>
      <c r="M74" s="11"/>
      <c r="N74" s="11"/>
      <c r="O74" s="11"/>
      <c r="P74" s="11"/>
      <c r="Q74" s="11"/>
      <c r="R74" s="11"/>
      <c r="S74" s="11"/>
      <c r="T74" s="11"/>
      <c r="U74" s="11"/>
      <c r="V74" s="11"/>
      <c r="W74" s="11"/>
    </row>
    <row r="75" spans="1:23" customFormat="1">
      <c r="A75" s="145"/>
      <c r="B75" s="11"/>
      <c r="C75" s="239" t="str">
        <f t="shared" si="8"/>
        <v>Restauración</v>
      </c>
      <c r="D75" s="323" t="s">
        <v>380</v>
      </c>
      <c r="E75" s="239" t="s">
        <v>41</v>
      </c>
      <c r="F75" s="582" t="str">
        <f t="shared" si="7"/>
        <v>RestauraciónA3D</v>
      </c>
      <c r="G75" s="583"/>
      <c r="H75" s="584"/>
      <c r="I75" s="276"/>
      <c r="J75" s="11"/>
      <c r="K75" s="11"/>
      <c r="L75" s="11"/>
      <c r="M75" s="11"/>
      <c r="N75" s="11"/>
      <c r="O75" s="11"/>
      <c r="P75" s="11"/>
      <c r="Q75" s="11"/>
      <c r="R75" s="11"/>
      <c r="S75" s="11"/>
      <c r="T75" s="11"/>
      <c r="U75" s="11"/>
      <c r="V75" s="11"/>
      <c r="W75" s="11"/>
    </row>
    <row r="76" spans="1:23" customFormat="1">
      <c r="A76" s="145"/>
      <c r="B76" s="11"/>
      <c r="C76" s="239" t="str">
        <f t="shared" si="8"/>
        <v>Restauración</v>
      </c>
      <c r="D76" s="323" t="s">
        <v>380</v>
      </c>
      <c r="E76" s="239" t="s">
        <v>44</v>
      </c>
      <c r="F76" s="582" t="str">
        <f t="shared" si="7"/>
        <v>RestauraciónA3E</v>
      </c>
      <c r="G76" s="583"/>
      <c r="H76" s="584"/>
      <c r="I76" s="276"/>
      <c r="J76" s="11"/>
      <c r="K76" s="11"/>
      <c r="L76" s="11"/>
      <c r="M76" s="11"/>
      <c r="N76" s="11"/>
      <c r="O76" s="11"/>
      <c r="P76" s="11" t="s">
        <v>657</v>
      </c>
      <c r="Q76" s="11"/>
      <c r="R76" s="11"/>
      <c r="S76" s="11"/>
      <c r="T76" s="11"/>
      <c r="U76" s="11"/>
      <c r="V76" s="11"/>
      <c r="W76" s="11"/>
    </row>
    <row r="77" spans="1:23" customFormat="1">
      <c r="A77" s="145"/>
      <c r="B77" s="11"/>
      <c r="C77" s="239" t="str">
        <f t="shared" si="8"/>
        <v>Restauración</v>
      </c>
      <c r="D77" s="323" t="s">
        <v>380</v>
      </c>
      <c r="E77" s="289" t="str">
        <f>IF(Idioma=Castellano,"Sin definir",IF(Idioma=Valencià,"Sense definir","Sin definir"))</f>
        <v>Sin definir</v>
      </c>
      <c r="F77" s="582" t="str">
        <f t="shared" si="7"/>
        <v>RestauraciónA3Sin definir</v>
      </c>
      <c r="G77" s="583"/>
      <c r="H77" s="584"/>
      <c r="I77" s="276"/>
      <c r="J77" s="11"/>
      <c r="K77" s="11"/>
      <c r="L77" s="11"/>
      <c r="M77" s="11"/>
      <c r="N77" s="11"/>
      <c r="O77" s="11"/>
      <c r="P77" s="11"/>
      <c r="Q77" s="11"/>
      <c r="R77" s="11"/>
      <c r="S77" s="11"/>
      <c r="T77" s="11"/>
      <c r="U77" s="11"/>
      <c r="V77" s="11"/>
      <c r="W77" s="11"/>
    </row>
    <row r="78" spans="1:23" customFormat="1">
      <c r="A78" s="145"/>
      <c r="B78" s="11"/>
      <c r="C78" s="239" t="str">
        <f t="shared" ref="C78:C84" si="9">IF(Idioma=Castellano,"Sin especificar",IF(Idioma=Valencià,"Sense especificar ","Sin especificar"))</f>
        <v>Sin especificar</v>
      </c>
      <c r="D78" s="323" t="s">
        <v>380</v>
      </c>
      <c r="E78" s="289" t="str">
        <f>IF(Idioma=Castellano,"Existente",IF(Idioma=Valencià,"Existent","Existente"))</f>
        <v>Existente</v>
      </c>
      <c r="F78" s="582" t="str">
        <f t="shared" si="7"/>
        <v>Sin especificarA3Existente</v>
      </c>
      <c r="G78" s="583"/>
      <c r="H78" s="584"/>
      <c r="I78" s="276"/>
      <c r="J78" s="11"/>
      <c r="K78" s="11"/>
      <c r="L78" s="11"/>
      <c r="M78" s="11"/>
      <c r="N78" s="11"/>
      <c r="O78" s="11"/>
      <c r="P78" s="11"/>
      <c r="Q78" s="11"/>
      <c r="R78" s="11"/>
      <c r="S78" s="11"/>
      <c r="T78" s="11"/>
      <c r="U78" s="11"/>
      <c r="V78" s="11"/>
      <c r="W78" s="11"/>
    </row>
    <row r="79" spans="1:23" customFormat="1">
      <c r="A79" s="145"/>
      <c r="B79" s="11"/>
      <c r="C79" s="239" t="str">
        <f t="shared" si="9"/>
        <v>Sin especificar</v>
      </c>
      <c r="D79" s="323" t="s">
        <v>380</v>
      </c>
      <c r="E79" s="239" t="s">
        <v>29</v>
      </c>
      <c r="F79" s="582" t="str">
        <f t="shared" si="7"/>
        <v>Sin especificarA3A</v>
      </c>
      <c r="G79" s="583"/>
      <c r="H79" s="584"/>
      <c r="I79" s="276"/>
      <c r="J79" s="11"/>
      <c r="K79" s="11"/>
      <c r="L79" s="11"/>
      <c r="M79" s="11"/>
      <c r="N79" s="11"/>
      <c r="O79" s="11"/>
      <c r="P79" s="11"/>
      <c r="Q79" s="11"/>
      <c r="R79" s="11"/>
      <c r="S79" s="11"/>
      <c r="T79" s="11"/>
      <c r="U79" s="11"/>
      <c r="V79" s="11"/>
      <c r="W79" s="11"/>
    </row>
    <row r="80" spans="1:23" customFormat="1">
      <c r="A80" s="145"/>
      <c r="B80" s="11"/>
      <c r="C80" s="239" t="str">
        <f t="shared" si="9"/>
        <v>Sin especificar</v>
      </c>
      <c r="D80" s="323" t="s">
        <v>380</v>
      </c>
      <c r="E80" s="239" t="s">
        <v>35</v>
      </c>
      <c r="F80" s="582" t="str">
        <f t="shared" si="7"/>
        <v>Sin especificarA3B</v>
      </c>
      <c r="G80" s="583"/>
      <c r="H80" s="584"/>
      <c r="I80" s="276"/>
      <c r="J80" s="11"/>
      <c r="K80" s="11"/>
      <c r="L80" s="11"/>
      <c r="M80" s="11"/>
      <c r="N80" s="11"/>
      <c r="O80" s="11"/>
      <c r="P80" s="11"/>
      <c r="Q80" s="11"/>
      <c r="R80" s="11"/>
      <c r="S80" s="11"/>
      <c r="T80" s="11"/>
      <c r="U80" s="11"/>
      <c r="V80" s="11"/>
      <c r="W80" s="11"/>
    </row>
    <row r="81" spans="1:23" customFormat="1">
      <c r="A81" s="145"/>
      <c r="B81" s="11"/>
      <c r="C81" s="239" t="str">
        <f t="shared" si="9"/>
        <v>Sin especificar</v>
      </c>
      <c r="D81" s="323" t="s">
        <v>380</v>
      </c>
      <c r="E81" s="239" t="s">
        <v>38</v>
      </c>
      <c r="F81" s="582" t="str">
        <f t="shared" si="7"/>
        <v>Sin especificarA3C</v>
      </c>
      <c r="G81" s="583"/>
      <c r="H81" s="584"/>
      <c r="I81" s="276"/>
      <c r="J81" s="11"/>
      <c r="K81" s="11"/>
      <c r="L81" s="11"/>
      <c r="M81" s="11"/>
      <c r="N81" s="11"/>
      <c r="O81" s="11"/>
      <c r="P81" s="11"/>
      <c r="Q81" s="11"/>
      <c r="R81" s="11"/>
      <c r="S81" s="11"/>
      <c r="T81" s="11"/>
      <c r="U81" s="11"/>
      <c r="V81" s="11"/>
      <c r="W81" s="11"/>
    </row>
    <row r="82" spans="1:23" customFormat="1">
      <c r="A82" s="145"/>
      <c r="B82" s="11"/>
      <c r="C82" s="239" t="str">
        <f t="shared" si="9"/>
        <v>Sin especificar</v>
      </c>
      <c r="D82" s="323" t="s">
        <v>380</v>
      </c>
      <c r="E82" s="239" t="s">
        <v>41</v>
      </c>
      <c r="F82" s="582" t="str">
        <f t="shared" si="7"/>
        <v>Sin especificarA3D</v>
      </c>
      <c r="G82" s="583"/>
      <c r="H82" s="584"/>
      <c r="I82" s="276"/>
      <c r="J82" s="11"/>
      <c r="K82" s="11"/>
      <c r="L82" s="11"/>
      <c r="M82" s="11"/>
      <c r="N82" s="11"/>
      <c r="O82" s="11"/>
      <c r="P82" s="11"/>
      <c r="Q82" s="11"/>
      <c r="R82" s="11"/>
      <c r="S82" s="11"/>
      <c r="T82" s="11"/>
      <c r="U82" s="11"/>
      <c r="V82" s="11"/>
      <c r="W82" s="11"/>
    </row>
    <row r="83" spans="1:23" customFormat="1">
      <c r="A83" s="145"/>
      <c r="B83" s="11"/>
      <c r="C83" s="239" t="str">
        <f t="shared" si="9"/>
        <v>Sin especificar</v>
      </c>
      <c r="D83" s="323" t="s">
        <v>380</v>
      </c>
      <c r="E83" s="239" t="s">
        <v>44</v>
      </c>
      <c r="F83" s="582" t="str">
        <f t="shared" si="7"/>
        <v>Sin especificarA3E</v>
      </c>
      <c r="G83" s="583"/>
      <c r="H83" s="584"/>
      <c r="I83" s="586"/>
      <c r="J83" s="11"/>
      <c r="K83" s="11"/>
      <c r="L83" s="11"/>
      <c r="M83" s="11"/>
      <c r="N83" s="11"/>
      <c r="O83" s="11"/>
      <c r="P83" s="11" t="s">
        <v>657</v>
      </c>
      <c r="Q83" s="11"/>
      <c r="R83" s="11"/>
      <c r="S83" s="11"/>
      <c r="T83" s="11"/>
      <c r="U83" s="11"/>
      <c r="V83" s="11"/>
      <c r="W83" s="11"/>
    </row>
    <row r="84" spans="1:23" customFormat="1">
      <c r="A84" s="145"/>
      <c r="B84" s="11"/>
      <c r="C84" s="239" t="str">
        <f t="shared" si="9"/>
        <v>Sin especificar</v>
      </c>
      <c r="D84" s="323" t="s">
        <v>380</v>
      </c>
      <c r="E84" s="289" t="str">
        <f>IF(Idioma=Castellano,"Sin definir",IF(Idioma=Valencià,"Sense definir","Sin definir"))</f>
        <v>Sin definir</v>
      </c>
      <c r="F84" s="582" t="str">
        <f t="shared" si="7"/>
        <v>Sin especificarA3Sin definir</v>
      </c>
      <c r="G84" s="583"/>
      <c r="H84" s="584"/>
      <c r="I84" s="276"/>
      <c r="J84" s="11"/>
      <c r="K84" s="11"/>
      <c r="L84" s="11"/>
      <c r="M84" s="11"/>
      <c r="N84" s="11"/>
      <c r="O84" s="11"/>
      <c r="P84" s="11" t="s">
        <v>657</v>
      </c>
      <c r="Q84" s="11"/>
      <c r="R84" s="11"/>
      <c r="S84" s="11"/>
      <c r="T84" s="11"/>
      <c r="U84" s="11"/>
      <c r="V84" s="11"/>
      <c r="W84" s="11"/>
    </row>
    <row r="85" spans="1:23" customFormat="1">
      <c r="A85" s="145"/>
      <c r="B85" s="11"/>
      <c r="C85" s="239" t="str">
        <f t="shared" ref="C85:C91" si="10">IF(Idioma=Castellano,"Oficinas",IF(Idioma=Valencià,"Oficines","Oficinas"))</f>
        <v>Oficinas</v>
      </c>
      <c r="D85" s="323" t="s">
        <v>301</v>
      </c>
      <c r="E85" s="289" t="str">
        <f>IF(Idioma=Castellano,"Existente",IF(Idioma=Valencià,"Existent","Existente"))</f>
        <v>Existente</v>
      </c>
      <c r="F85" s="582" t="str">
        <f t="shared" si="7"/>
        <v>OficinasA4Existente</v>
      </c>
      <c r="G85" s="583"/>
      <c r="H85" s="584"/>
      <c r="I85" s="276"/>
      <c r="J85" s="11"/>
      <c r="K85" s="11"/>
      <c r="L85" s="11"/>
      <c r="M85" s="11"/>
      <c r="N85" s="11"/>
      <c r="O85" s="11"/>
      <c r="P85" s="11"/>
      <c r="Q85" s="11"/>
      <c r="R85" s="11"/>
      <c r="S85" s="11"/>
      <c r="T85" s="11"/>
      <c r="U85" s="11"/>
      <c r="V85" s="11"/>
      <c r="W85" s="11"/>
    </row>
    <row r="86" spans="1:23" customFormat="1">
      <c r="A86" s="145"/>
      <c r="B86" s="11"/>
      <c r="C86" s="239" t="str">
        <f t="shared" si="10"/>
        <v>Oficinas</v>
      </c>
      <c r="D86" s="323" t="s">
        <v>301</v>
      </c>
      <c r="E86" s="239" t="s">
        <v>29</v>
      </c>
      <c r="F86" s="582" t="str">
        <f t="shared" si="7"/>
        <v>OficinasA4A</v>
      </c>
      <c r="G86" s="583"/>
      <c r="H86" s="584"/>
      <c r="I86" s="276"/>
      <c r="J86" s="11"/>
      <c r="K86" s="11"/>
      <c r="L86" s="11"/>
      <c r="M86" s="11"/>
      <c r="N86" s="11"/>
      <c r="O86" s="11"/>
      <c r="P86" s="11"/>
      <c r="Q86" s="11"/>
      <c r="R86" s="11"/>
      <c r="S86" s="11"/>
      <c r="T86" s="11"/>
      <c r="U86" s="11"/>
      <c r="V86" s="11"/>
      <c r="W86" s="11"/>
    </row>
    <row r="87" spans="1:23" customFormat="1">
      <c r="A87" s="145"/>
      <c r="B87" s="11"/>
      <c r="C87" s="239" t="str">
        <f t="shared" si="10"/>
        <v>Oficinas</v>
      </c>
      <c r="D87" s="323" t="s">
        <v>301</v>
      </c>
      <c r="E87" s="239" t="s">
        <v>35</v>
      </c>
      <c r="F87" s="582" t="str">
        <f t="shared" si="7"/>
        <v>OficinasA4B</v>
      </c>
      <c r="G87" s="583"/>
      <c r="H87" s="584"/>
      <c r="I87" s="276"/>
      <c r="J87" s="11"/>
      <c r="K87" s="11"/>
      <c r="L87" s="11"/>
      <c r="M87" s="11"/>
      <c r="N87" s="11"/>
      <c r="O87" s="11"/>
      <c r="P87" s="11"/>
      <c r="Q87" s="11"/>
      <c r="R87" s="11"/>
      <c r="S87" s="11"/>
      <c r="T87" s="11"/>
      <c r="U87" s="11"/>
      <c r="V87" s="11"/>
      <c r="W87" s="11"/>
    </row>
    <row r="88" spans="1:23" customFormat="1">
      <c r="A88" s="145"/>
      <c r="B88" s="11"/>
      <c r="C88" s="239" t="str">
        <f t="shared" si="10"/>
        <v>Oficinas</v>
      </c>
      <c r="D88" s="323" t="s">
        <v>301</v>
      </c>
      <c r="E88" s="239" t="s">
        <v>38</v>
      </c>
      <c r="F88" s="582" t="str">
        <f t="shared" si="7"/>
        <v>OficinasA4C</v>
      </c>
      <c r="G88" s="583"/>
      <c r="H88" s="584"/>
      <c r="I88" s="276"/>
      <c r="J88" s="11"/>
      <c r="K88" s="11"/>
      <c r="L88" s="11"/>
      <c r="M88" s="11"/>
      <c r="N88" s="11"/>
      <c r="O88" s="11"/>
      <c r="P88" s="11"/>
      <c r="Q88" s="11"/>
      <c r="R88" s="11"/>
      <c r="S88" s="11"/>
      <c r="T88" s="11"/>
      <c r="U88" s="11"/>
      <c r="V88" s="11"/>
      <c r="W88" s="11"/>
    </row>
    <row r="89" spans="1:23" customFormat="1">
      <c r="A89" s="145"/>
      <c r="B89" s="11"/>
      <c r="C89" s="239" t="str">
        <f t="shared" si="10"/>
        <v>Oficinas</v>
      </c>
      <c r="D89" s="323" t="s">
        <v>301</v>
      </c>
      <c r="E89" s="239" t="s">
        <v>41</v>
      </c>
      <c r="F89" s="582" t="str">
        <f t="shared" si="7"/>
        <v>OficinasA4D</v>
      </c>
      <c r="G89" s="583"/>
      <c r="H89" s="584"/>
      <c r="I89" s="276"/>
      <c r="J89" s="11"/>
      <c r="K89" s="11"/>
      <c r="L89" s="11"/>
      <c r="M89" s="11"/>
      <c r="N89" s="11"/>
      <c r="O89" s="11"/>
      <c r="P89" s="11"/>
      <c r="Q89" s="11"/>
      <c r="R89" s="11"/>
      <c r="S89" s="11"/>
      <c r="T89" s="11"/>
      <c r="U89" s="11"/>
      <c r="V89" s="11"/>
      <c r="W89" s="11"/>
    </row>
    <row r="90" spans="1:23" customFormat="1">
      <c r="A90" s="145"/>
      <c r="B90" s="11"/>
      <c r="C90" s="239" t="str">
        <f t="shared" si="10"/>
        <v>Oficinas</v>
      </c>
      <c r="D90" s="323" t="s">
        <v>301</v>
      </c>
      <c r="E90" s="239" t="s">
        <v>44</v>
      </c>
      <c r="F90" s="582" t="str">
        <f t="shared" si="7"/>
        <v>OficinasA4E</v>
      </c>
      <c r="G90" s="583"/>
      <c r="H90" s="584"/>
      <c r="I90" s="276"/>
      <c r="J90" s="11"/>
      <c r="K90" s="11"/>
      <c r="L90" s="11"/>
      <c r="M90" s="11"/>
      <c r="N90" s="11"/>
      <c r="O90" s="11"/>
      <c r="P90" s="11"/>
      <c r="Q90" s="11"/>
      <c r="R90" s="11"/>
      <c r="S90" s="11"/>
      <c r="T90" s="11"/>
      <c r="U90" s="11"/>
      <c r="V90" s="11"/>
      <c r="W90" s="11"/>
    </row>
    <row r="91" spans="1:23" customFormat="1">
      <c r="A91" s="145"/>
      <c r="B91" s="11"/>
      <c r="C91" s="239" t="str">
        <f t="shared" si="10"/>
        <v>Oficinas</v>
      </c>
      <c r="D91" s="323" t="s">
        <v>301</v>
      </c>
      <c r="E91" s="289" t="str">
        <f>IF(Idioma=Castellano,"Sin definir",IF(Idioma=Valencià,"Sense definir","Sin definir"))</f>
        <v>Sin definir</v>
      </c>
      <c r="F91" s="582" t="str">
        <f t="shared" si="7"/>
        <v>OficinasA4Sin definir</v>
      </c>
      <c r="G91" s="583"/>
      <c r="H91" s="584"/>
      <c r="I91" s="276"/>
      <c r="J91" s="11"/>
      <c r="K91" s="11"/>
      <c r="L91" s="11"/>
      <c r="M91" s="11"/>
      <c r="N91" s="11"/>
      <c r="O91" s="11"/>
      <c r="P91" s="11"/>
      <c r="Q91" s="11"/>
      <c r="R91" s="11"/>
      <c r="S91" s="11"/>
      <c r="T91" s="11"/>
      <c r="U91" s="11"/>
      <c r="V91" s="11"/>
      <c r="W91" s="11"/>
    </row>
    <row r="92" spans="1:23" customFormat="1">
      <c r="A92" s="145"/>
      <c r="B92" s="11"/>
      <c r="C92" s="239" t="str">
        <f t="shared" ref="C92:C98" si="11">IF(Idioma=Castellano,"Comercio",IF(Idioma=Valencià,"Comerç","Comercio"))</f>
        <v>Comercio</v>
      </c>
      <c r="D92" s="323" t="s">
        <v>301</v>
      </c>
      <c r="E92" s="289" t="str">
        <f>IF(Idioma=Castellano,"Existente",IF(Idioma=Valencià,"Existent","Existente"))</f>
        <v>Existente</v>
      </c>
      <c r="F92" s="582" t="str">
        <f t="shared" si="7"/>
        <v>ComercioA4Existente</v>
      </c>
      <c r="G92" s="583"/>
      <c r="H92" s="584"/>
      <c r="I92" s="276"/>
      <c r="J92" s="11"/>
      <c r="K92" s="11"/>
      <c r="L92" s="11"/>
      <c r="M92" s="11"/>
      <c r="N92" s="11"/>
      <c r="O92" s="11"/>
      <c r="P92" s="11"/>
      <c r="Q92" s="11"/>
      <c r="R92" s="11"/>
      <c r="S92" s="11"/>
      <c r="T92" s="11"/>
      <c r="U92" s="11"/>
      <c r="V92" s="11"/>
      <c r="W92" s="11"/>
    </row>
    <row r="93" spans="1:23" customFormat="1">
      <c r="A93" s="145"/>
      <c r="B93" s="11"/>
      <c r="C93" s="239" t="str">
        <f t="shared" si="11"/>
        <v>Comercio</v>
      </c>
      <c r="D93" s="323" t="s">
        <v>301</v>
      </c>
      <c r="E93" s="239" t="s">
        <v>29</v>
      </c>
      <c r="F93" s="582" t="str">
        <f t="shared" si="7"/>
        <v>ComercioA4A</v>
      </c>
      <c r="G93" s="583"/>
      <c r="H93" s="584"/>
      <c r="I93" s="276"/>
      <c r="J93" s="11"/>
      <c r="K93" s="11"/>
      <c r="L93" s="11"/>
      <c r="M93" s="11"/>
      <c r="N93" s="11"/>
      <c r="O93" s="11"/>
      <c r="P93" s="11"/>
      <c r="Q93" s="11"/>
      <c r="R93" s="11"/>
      <c r="S93" s="11"/>
      <c r="T93" s="11"/>
      <c r="U93" s="11"/>
      <c r="V93" s="11"/>
      <c r="W93" s="11"/>
    </row>
    <row r="94" spans="1:23" customFormat="1">
      <c r="A94" s="145"/>
      <c r="B94" s="11"/>
      <c r="C94" s="239" t="str">
        <f t="shared" si="11"/>
        <v>Comercio</v>
      </c>
      <c r="D94" s="323" t="s">
        <v>301</v>
      </c>
      <c r="E94" s="239" t="s">
        <v>35</v>
      </c>
      <c r="F94" s="582" t="str">
        <f t="shared" si="7"/>
        <v>ComercioA4B</v>
      </c>
      <c r="G94" s="583"/>
      <c r="H94" s="584"/>
      <c r="I94" s="276"/>
      <c r="J94" s="11"/>
      <c r="K94" s="11"/>
      <c r="L94" s="11"/>
      <c r="M94" s="11"/>
      <c r="N94" s="11"/>
      <c r="O94" s="11"/>
      <c r="P94" s="11"/>
      <c r="Q94" s="11"/>
      <c r="R94" s="11"/>
      <c r="S94" s="11"/>
      <c r="T94" s="11"/>
      <c r="U94" s="11"/>
      <c r="V94" s="11"/>
      <c r="W94" s="11"/>
    </row>
    <row r="95" spans="1:23" customFormat="1">
      <c r="A95" s="145"/>
      <c r="B95" s="11"/>
      <c r="C95" s="239" t="str">
        <f t="shared" si="11"/>
        <v>Comercio</v>
      </c>
      <c r="D95" s="323" t="s">
        <v>301</v>
      </c>
      <c r="E95" s="239" t="s">
        <v>38</v>
      </c>
      <c r="F95" s="582" t="str">
        <f t="shared" si="7"/>
        <v>ComercioA4C</v>
      </c>
      <c r="G95" s="583"/>
      <c r="H95" s="584"/>
      <c r="I95" s="276"/>
      <c r="J95" s="11"/>
      <c r="K95" s="11"/>
      <c r="L95" s="11"/>
      <c r="M95" s="11"/>
      <c r="N95" s="11"/>
      <c r="O95" s="11"/>
      <c r="P95" s="11"/>
      <c r="Q95" s="11"/>
      <c r="R95" s="11"/>
      <c r="S95" s="11"/>
      <c r="T95" s="11"/>
      <c r="U95" s="11"/>
      <c r="V95" s="11"/>
      <c r="W95" s="11"/>
    </row>
    <row r="96" spans="1:23" customFormat="1">
      <c r="A96" s="145"/>
      <c r="B96" s="11"/>
      <c r="C96" s="239" t="str">
        <f t="shared" si="11"/>
        <v>Comercio</v>
      </c>
      <c r="D96" s="323" t="s">
        <v>301</v>
      </c>
      <c r="E96" s="239" t="s">
        <v>41</v>
      </c>
      <c r="F96" s="582" t="str">
        <f t="shared" si="7"/>
        <v>ComercioA4D</v>
      </c>
      <c r="G96" s="583"/>
      <c r="H96" s="584"/>
      <c r="I96" s="276"/>
      <c r="J96" s="11"/>
      <c r="K96" s="11"/>
      <c r="L96" s="11"/>
      <c r="M96" s="11"/>
      <c r="N96" s="11"/>
      <c r="O96" s="11"/>
      <c r="P96" s="11"/>
      <c r="Q96" s="11"/>
      <c r="R96" s="11"/>
      <c r="S96" s="11"/>
      <c r="T96" s="11"/>
      <c r="U96" s="11"/>
      <c r="V96" s="11"/>
      <c r="W96" s="11"/>
    </row>
    <row r="97" spans="1:23" customFormat="1">
      <c r="A97" s="145"/>
      <c r="B97" s="11"/>
      <c r="C97" s="239" t="str">
        <f t="shared" si="11"/>
        <v>Comercio</v>
      </c>
      <c r="D97" s="323" t="s">
        <v>301</v>
      </c>
      <c r="E97" s="239" t="s">
        <v>44</v>
      </c>
      <c r="F97" s="582" t="str">
        <f t="shared" si="7"/>
        <v>ComercioA4E</v>
      </c>
      <c r="G97" s="583"/>
      <c r="H97" s="584"/>
      <c r="I97" s="276"/>
      <c r="J97" s="11"/>
      <c r="K97" s="11"/>
      <c r="L97" s="11"/>
      <c r="M97" s="11"/>
      <c r="N97" s="11"/>
      <c r="O97" s="11"/>
      <c r="P97" s="11"/>
      <c r="Q97" s="11"/>
      <c r="R97" s="11"/>
      <c r="S97" s="11"/>
      <c r="T97" s="11"/>
      <c r="U97" s="11"/>
      <c r="V97" s="11"/>
      <c r="W97" s="11"/>
    </row>
    <row r="98" spans="1:23" customFormat="1">
      <c r="A98" s="145"/>
      <c r="B98" s="11"/>
      <c r="C98" s="239" t="str">
        <f t="shared" si="11"/>
        <v>Comercio</v>
      </c>
      <c r="D98" s="323" t="s">
        <v>301</v>
      </c>
      <c r="E98" s="289" t="str">
        <f>IF(Idioma=Castellano,"Sin definir",IF(Idioma=Valencià,"Sense definir","Sin definir"))</f>
        <v>Sin definir</v>
      </c>
      <c r="F98" s="582" t="str">
        <f t="shared" si="7"/>
        <v>ComercioA4Sin definir</v>
      </c>
      <c r="G98" s="583"/>
      <c r="H98" s="584"/>
      <c r="I98" s="276"/>
      <c r="J98" s="11"/>
      <c r="K98" s="11"/>
      <c r="L98" s="11"/>
      <c r="M98" s="11"/>
      <c r="N98" s="11"/>
      <c r="O98" s="11"/>
      <c r="P98" s="11"/>
      <c r="Q98" s="11"/>
      <c r="R98" s="11"/>
      <c r="S98" s="11"/>
      <c r="T98" s="11"/>
      <c r="U98" s="11"/>
      <c r="V98" s="11"/>
      <c r="W98" s="11"/>
    </row>
    <row r="99" spans="1:23" customFormat="1">
      <c r="A99" s="145"/>
      <c r="B99" s="11"/>
      <c r="C99" s="239" t="s">
        <v>606</v>
      </c>
      <c r="D99" s="323" t="s">
        <v>301</v>
      </c>
      <c r="E99" s="289" t="str">
        <f>IF(Idioma=Castellano,"Existente",IF(Idioma=Valencià,"Existent","Existente"))</f>
        <v>Existente</v>
      </c>
      <c r="F99" s="582" t="str">
        <f t="shared" si="7"/>
        <v>HotelA4Existente</v>
      </c>
      <c r="G99" s="583"/>
      <c r="H99" s="584"/>
      <c r="I99" s="276"/>
      <c r="J99" s="11"/>
      <c r="K99" s="11"/>
      <c r="L99" s="11"/>
      <c r="M99" s="11"/>
      <c r="N99" s="11"/>
      <c r="O99" s="11"/>
      <c r="P99" s="11"/>
      <c r="Q99" s="11"/>
      <c r="R99" s="11"/>
      <c r="S99" s="11"/>
      <c r="T99" s="11"/>
      <c r="U99" s="11"/>
      <c r="V99" s="11"/>
      <c r="W99" s="11"/>
    </row>
    <row r="100" spans="1:23" customFormat="1">
      <c r="A100" s="145"/>
      <c r="B100" s="11"/>
      <c r="C100" s="239" t="s">
        <v>606</v>
      </c>
      <c r="D100" s="323" t="s">
        <v>301</v>
      </c>
      <c r="E100" s="239" t="s">
        <v>29</v>
      </c>
      <c r="F100" s="582" t="str">
        <f t="shared" si="7"/>
        <v>HotelA4A</v>
      </c>
      <c r="G100" s="583"/>
      <c r="H100" s="584"/>
      <c r="I100" s="276"/>
      <c r="J100" s="11"/>
      <c r="K100" s="11"/>
      <c r="L100" s="11"/>
      <c r="M100" s="11"/>
      <c r="N100" s="11"/>
      <c r="O100" s="11"/>
      <c r="P100" s="11"/>
      <c r="Q100" s="11"/>
      <c r="R100" s="11"/>
      <c r="S100" s="11"/>
      <c r="T100" s="11"/>
      <c r="U100" s="11"/>
      <c r="V100" s="11"/>
      <c r="W100" s="11"/>
    </row>
    <row r="101" spans="1:23" customFormat="1">
      <c r="A101" s="145"/>
      <c r="B101" s="11"/>
      <c r="C101" s="239" t="s">
        <v>606</v>
      </c>
      <c r="D101" s="323" t="s">
        <v>301</v>
      </c>
      <c r="E101" s="239" t="s">
        <v>35</v>
      </c>
      <c r="F101" s="582" t="str">
        <f t="shared" si="7"/>
        <v>HotelA4B</v>
      </c>
      <c r="G101" s="583"/>
      <c r="H101" s="584"/>
      <c r="I101" s="276"/>
      <c r="J101" s="11"/>
      <c r="K101" s="11"/>
      <c r="L101" s="11"/>
      <c r="M101" s="11"/>
      <c r="N101" s="11"/>
      <c r="O101" s="11"/>
      <c r="P101" s="11"/>
      <c r="Q101" s="11"/>
      <c r="R101" s="11"/>
      <c r="S101" s="11"/>
      <c r="T101" s="11"/>
      <c r="U101" s="11"/>
      <c r="V101" s="11"/>
      <c r="W101" s="11"/>
    </row>
    <row r="102" spans="1:23" customFormat="1">
      <c r="A102" s="145"/>
      <c r="B102" s="11"/>
      <c r="C102" s="239" t="s">
        <v>606</v>
      </c>
      <c r="D102" s="323" t="s">
        <v>301</v>
      </c>
      <c r="E102" s="239" t="s">
        <v>38</v>
      </c>
      <c r="F102" s="582" t="str">
        <f t="shared" si="7"/>
        <v>HotelA4C</v>
      </c>
      <c r="G102" s="583"/>
      <c r="H102" s="584"/>
      <c r="I102" s="276"/>
      <c r="J102" s="11"/>
      <c r="K102" s="11"/>
      <c r="L102" s="11"/>
      <c r="M102" s="11"/>
      <c r="N102" s="11"/>
      <c r="O102" s="11"/>
      <c r="P102" s="11"/>
      <c r="Q102" s="11"/>
      <c r="R102" s="11"/>
      <c r="S102" s="11"/>
      <c r="T102" s="11"/>
      <c r="U102" s="11"/>
      <c r="V102" s="11"/>
      <c r="W102" s="11"/>
    </row>
    <row r="103" spans="1:23" customFormat="1">
      <c r="A103" s="145"/>
      <c r="B103" s="11"/>
      <c r="C103" s="239" t="s">
        <v>606</v>
      </c>
      <c r="D103" s="323" t="s">
        <v>301</v>
      </c>
      <c r="E103" s="239" t="s">
        <v>41</v>
      </c>
      <c r="F103" s="582" t="str">
        <f t="shared" si="7"/>
        <v>HotelA4D</v>
      </c>
      <c r="G103" s="583"/>
      <c r="H103" s="584"/>
      <c r="I103" s="276"/>
      <c r="J103" s="11"/>
      <c r="K103" s="11"/>
      <c r="L103" s="11"/>
      <c r="M103" s="11"/>
      <c r="N103" s="11"/>
      <c r="O103" s="11"/>
      <c r="P103" s="11"/>
      <c r="Q103" s="11"/>
      <c r="R103" s="11"/>
      <c r="S103" s="11"/>
      <c r="T103" s="11"/>
      <c r="U103" s="11"/>
      <c r="V103" s="11"/>
      <c r="W103" s="11"/>
    </row>
    <row r="104" spans="1:23" customFormat="1">
      <c r="A104" s="145"/>
      <c r="B104" s="11"/>
      <c r="C104" s="239" t="s">
        <v>606</v>
      </c>
      <c r="D104" s="323" t="s">
        <v>301</v>
      </c>
      <c r="E104" s="239" t="s">
        <v>44</v>
      </c>
      <c r="F104" s="582" t="str">
        <f t="shared" si="7"/>
        <v>HotelA4E</v>
      </c>
      <c r="G104" s="583"/>
      <c r="H104" s="584"/>
      <c r="I104" s="276"/>
      <c r="J104" s="11"/>
      <c r="K104" s="11"/>
      <c r="L104" s="11"/>
      <c r="M104" s="11"/>
      <c r="N104" s="11"/>
      <c r="O104" s="11"/>
      <c r="P104" s="11"/>
      <c r="Q104" s="11"/>
      <c r="R104" s="11"/>
      <c r="S104" s="11"/>
      <c r="T104" s="11"/>
      <c r="U104" s="11"/>
      <c r="V104" s="11"/>
      <c r="W104" s="11"/>
    </row>
    <row r="105" spans="1:23" customFormat="1">
      <c r="A105" s="145"/>
      <c r="B105" s="11"/>
      <c r="C105" s="239" t="s">
        <v>606</v>
      </c>
      <c r="D105" s="323" t="s">
        <v>301</v>
      </c>
      <c r="E105" s="289" t="str">
        <f>IF(Idioma=Castellano,"Sin definir",IF(Idioma=Valencià,"Sense definir","Sin definir"))</f>
        <v>Sin definir</v>
      </c>
      <c r="F105" s="582" t="str">
        <f t="shared" si="7"/>
        <v>HotelA4Sin definir</v>
      </c>
      <c r="G105" s="583"/>
      <c r="H105" s="584"/>
      <c r="I105" s="276"/>
      <c r="J105" s="11"/>
      <c r="K105" s="11"/>
      <c r="L105" s="11"/>
      <c r="M105" s="11"/>
      <c r="N105" s="11"/>
      <c r="O105" s="11"/>
      <c r="P105" s="11"/>
      <c r="Q105" s="11"/>
      <c r="R105" s="11"/>
      <c r="S105" s="11"/>
      <c r="T105" s="11"/>
      <c r="U105" s="11"/>
      <c r="V105" s="11"/>
      <c r="W105" s="11"/>
    </row>
    <row r="106" spans="1:23" customFormat="1">
      <c r="A106" s="145"/>
      <c r="B106" s="11"/>
      <c r="C106" s="239" t="str">
        <f t="shared" ref="C106:C112" si="12">IF(Idioma=Castellano,"Restauración",IF(Idioma=Valencià,"Restauració","Restauración"))</f>
        <v>Restauración</v>
      </c>
      <c r="D106" s="323" t="s">
        <v>301</v>
      </c>
      <c r="E106" s="289" t="str">
        <f>IF(Idioma=Castellano,"Existente",IF(Idioma=Valencià,"Existent","Existente"))</f>
        <v>Existente</v>
      </c>
      <c r="F106" s="582" t="str">
        <f t="shared" si="7"/>
        <v>RestauraciónA4Existente</v>
      </c>
      <c r="G106" s="583"/>
      <c r="H106" s="584"/>
      <c r="I106" s="276"/>
      <c r="J106" s="11"/>
      <c r="K106" s="11"/>
      <c r="L106" s="11"/>
      <c r="M106" s="11"/>
      <c r="N106" s="11"/>
      <c r="O106" s="11"/>
      <c r="P106" s="11"/>
      <c r="Q106" s="11"/>
      <c r="R106" s="11"/>
      <c r="S106" s="11"/>
      <c r="T106" s="11"/>
      <c r="U106" s="11"/>
      <c r="V106" s="11"/>
      <c r="W106" s="11"/>
    </row>
    <row r="107" spans="1:23" customFormat="1">
      <c r="A107" s="145"/>
      <c r="B107" s="11"/>
      <c r="C107" s="239" t="str">
        <f t="shared" si="12"/>
        <v>Restauración</v>
      </c>
      <c r="D107" s="323" t="s">
        <v>301</v>
      </c>
      <c r="E107" s="239" t="s">
        <v>29</v>
      </c>
      <c r="F107" s="582" t="str">
        <f t="shared" si="7"/>
        <v>RestauraciónA4A</v>
      </c>
      <c r="G107" s="583"/>
      <c r="H107" s="584"/>
      <c r="I107" s="276"/>
      <c r="J107" s="11"/>
      <c r="K107" s="11"/>
      <c r="L107" s="11"/>
      <c r="M107" s="11"/>
      <c r="N107" s="11"/>
      <c r="O107" s="11"/>
      <c r="P107" s="11"/>
      <c r="Q107" s="11"/>
      <c r="R107" s="11"/>
      <c r="S107" s="11"/>
      <c r="T107" s="11"/>
      <c r="U107" s="11"/>
      <c r="V107" s="11"/>
      <c r="W107" s="11"/>
    </row>
    <row r="108" spans="1:23" customFormat="1">
      <c r="A108" s="145"/>
      <c r="B108" s="11"/>
      <c r="C108" s="239" t="str">
        <f t="shared" si="12"/>
        <v>Restauración</v>
      </c>
      <c r="D108" s="323" t="s">
        <v>301</v>
      </c>
      <c r="E108" s="239" t="s">
        <v>35</v>
      </c>
      <c r="F108" s="582" t="str">
        <f t="shared" si="7"/>
        <v>RestauraciónA4B</v>
      </c>
      <c r="G108" s="583"/>
      <c r="H108" s="584"/>
      <c r="I108" s="276"/>
      <c r="J108" s="11"/>
      <c r="K108" s="11"/>
      <c r="L108" s="11"/>
      <c r="M108" s="11"/>
      <c r="N108" s="11"/>
      <c r="O108" s="11"/>
      <c r="P108" s="11"/>
      <c r="Q108" s="11"/>
      <c r="R108" s="11"/>
      <c r="S108" s="11"/>
      <c r="T108" s="11"/>
      <c r="U108" s="11"/>
      <c r="V108" s="11"/>
      <c r="W108" s="11"/>
    </row>
    <row r="109" spans="1:23" customFormat="1">
      <c r="A109" s="145"/>
      <c r="B109" s="11"/>
      <c r="C109" s="239" t="str">
        <f t="shared" si="12"/>
        <v>Restauración</v>
      </c>
      <c r="D109" s="323" t="s">
        <v>301</v>
      </c>
      <c r="E109" s="239" t="s">
        <v>38</v>
      </c>
      <c r="F109" s="582" t="str">
        <f t="shared" si="7"/>
        <v>RestauraciónA4C</v>
      </c>
      <c r="G109" s="583"/>
      <c r="H109" s="584"/>
      <c r="I109" s="276"/>
      <c r="J109" s="11"/>
      <c r="K109" s="11"/>
      <c r="L109" s="11"/>
      <c r="M109" s="11"/>
      <c r="N109" s="11"/>
      <c r="O109" s="11"/>
      <c r="P109" s="11"/>
      <c r="Q109" s="11"/>
      <c r="R109" s="11"/>
      <c r="S109" s="11"/>
      <c r="T109" s="11"/>
      <c r="U109" s="11"/>
      <c r="V109" s="11"/>
      <c r="W109" s="11"/>
    </row>
    <row r="110" spans="1:23" customFormat="1">
      <c r="A110" s="145"/>
      <c r="B110" s="11"/>
      <c r="C110" s="239" t="str">
        <f t="shared" si="12"/>
        <v>Restauración</v>
      </c>
      <c r="D110" s="323" t="s">
        <v>301</v>
      </c>
      <c r="E110" s="239" t="s">
        <v>41</v>
      </c>
      <c r="F110" s="582" t="str">
        <f t="shared" si="7"/>
        <v>RestauraciónA4D</v>
      </c>
      <c r="G110" s="583"/>
      <c r="H110" s="584"/>
      <c r="I110" s="276"/>
      <c r="J110" s="11"/>
      <c r="K110" s="11"/>
      <c r="L110" s="11"/>
      <c r="M110" s="11"/>
      <c r="N110" s="11"/>
      <c r="O110" s="11"/>
      <c r="P110" s="11"/>
      <c r="Q110" s="11"/>
      <c r="R110" s="11"/>
      <c r="S110" s="11"/>
      <c r="T110" s="11"/>
      <c r="U110" s="11"/>
      <c r="V110" s="11"/>
      <c r="W110" s="11"/>
    </row>
    <row r="111" spans="1:23" customFormat="1">
      <c r="A111" s="145"/>
      <c r="B111" s="11"/>
      <c r="C111" s="239" t="str">
        <f t="shared" si="12"/>
        <v>Restauración</v>
      </c>
      <c r="D111" s="323" t="s">
        <v>301</v>
      </c>
      <c r="E111" s="239" t="s">
        <v>44</v>
      </c>
      <c r="F111" s="582" t="str">
        <f t="shared" si="7"/>
        <v>RestauraciónA4E</v>
      </c>
      <c r="G111" s="583"/>
      <c r="H111" s="584"/>
      <c r="I111" s="276"/>
      <c r="J111" s="11"/>
      <c r="K111" s="11"/>
      <c r="L111" s="11"/>
      <c r="M111" s="11"/>
      <c r="N111" s="11"/>
      <c r="O111" s="11"/>
      <c r="P111" s="11"/>
      <c r="Q111" s="11"/>
      <c r="R111" s="11"/>
      <c r="S111" s="11"/>
      <c r="T111" s="11"/>
      <c r="U111" s="11"/>
      <c r="V111" s="11"/>
      <c r="W111" s="11"/>
    </row>
    <row r="112" spans="1:23" customFormat="1">
      <c r="A112" s="145"/>
      <c r="B112" s="11"/>
      <c r="C112" s="239" t="str">
        <f t="shared" si="12"/>
        <v>Restauración</v>
      </c>
      <c r="D112" s="323" t="s">
        <v>301</v>
      </c>
      <c r="E112" s="289" t="str">
        <f>IF(Idioma=Castellano,"Sin definir",IF(Idioma=Valencià,"Sense definir","Sin definir"))</f>
        <v>Sin definir</v>
      </c>
      <c r="F112" s="582" t="str">
        <f t="shared" si="7"/>
        <v>RestauraciónA4Sin definir</v>
      </c>
      <c r="G112" s="583"/>
      <c r="H112" s="584"/>
      <c r="I112" s="276"/>
      <c r="J112" s="11"/>
      <c r="K112" s="11"/>
      <c r="L112" s="11"/>
      <c r="M112" s="11"/>
      <c r="N112" s="11"/>
      <c r="O112" s="11"/>
      <c r="P112" s="11"/>
      <c r="Q112" s="11"/>
      <c r="R112" s="11"/>
      <c r="S112" s="11"/>
      <c r="T112" s="11"/>
      <c r="U112" s="11"/>
      <c r="V112" s="11"/>
      <c r="W112" s="11"/>
    </row>
    <row r="113" spans="1:23" customFormat="1">
      <c r="A113" s="145"/>
      <c r="B113" s="11"/>
      <c r="C113" s="239" t="str">
        <f t="shared" ref="C113:C119" si="13">IF(Idioma=Castellano,"Sin especificar",IF(Idioma=Valencià,"Sense especificar ","Sin especificar"))</f>
        <v>Sin especificar</v>
      </c>
      <c r="D113" s="323" t="s">
        <v>301</v>
      </c>
      <c r="E113" s="289" t="str">
        <f>IF(Idioma=Castellano,"Existente",IF(Idioma=Valencià,"Existent","Existente"))</f>
        <v>Existente</v>
      </c>
      <c r="F113" s="582" t="str">
        <f t="shared" si="7"/>
        <v>Sin especificarA4Existente</v>
      </c>
      <c r="G113" s="583"/>
      <c r="H113" s="584"/>
      <c r="I113" s="276"/>
      <c r="J113" s="11"/>
      <c r="K113" s="11"/>
      <c r="L113" s="11"/>
      <c r="M113" s="11"/>
      <c r="N113" s="11"/>
      <c r="O113" s="11"/>
      <c r="P113" s="11"/>
      <c r="Q113" s="11"/>
      <c r="R113" s="11"/>
      <c r="S113" s="11"/>
      <c r="T113" s="11"/>
      <c r="U113" s="11"/>
      <c r="V113" s="11"/>
      <c r="W113" s="11"/>
    </row>
    <row r="114" spans="1:23" customFormat="1">
      <c r="A114" s="145"/>
      <c r="B114" s="11"/>
      <c r="C114" s="239" t="str">
        <f t="shared" si="13"/>
        <v>Sin especificar</v>
      </c>
      <c r="D114" s="323" t="s">
        <v>301</v>
      </c>
      <c r="E114" s="239" t="s">
        <v>29</v>
      </c>
      <c r="F114" s="582" t="str">
        <f t="shared" si="7"/>
        <v>Sin especificarA4A</v>
      </c>
      <c r="G114" s="583"/>
      <c r="H114" s="584"/>
      <c r="I114" s="276"/>
      <c r="J114" s="11"/>
      <c r="K114" s="11"/>
      <c r="L114" s="11"/>
      <c r="M114" s="11"/>
      <c r="N114" s="11"/>
      <c r="O114" s="11"/>
      <c r="P114" s="11"/>
      <c r="Q114" s="11"/>
      <c r="R114" s="11"/>
      <c r="S114" s="11"/>
      <c r="T114" s="11"/>
      <c r="U114" s="11"/>
      <c r="V114" s="11"/>
      <c r="W114" s="11"/>
    </row>
    <row r="115" spans="1:23" customFormat="1">
      <c r="A115" s="145"/>
      <c r="B115" s="11"/>
      <c r="C115" s="239" t="str">
        <f t="shared" si="13"/>
        <v>Sin especificar</v>
      </c>
      <c r="D115" s="323" t="s">
        <v>301</v>
      </c>
      <c r="E115" s="239" t="s">
        <v>35</v>
      </c>
      <c r="F115" s="582" t="str">
        <f t="shared" si="7"/>
        <v>Sin especificarA4B</v>
      </c>
      <c r="G115" s="583"/>
      <c r="H115" s="584"/>
      <c r="I115" s="276"/>
      <c r="J115" s="11"/>
      <c r="K115" s="11"/>
      <c r="L115" s="11"/>
      <c r="M115" s="11"/>
      <c r="N115" s="11"/>
      <c r="O115" s="11"/>
      <c r="P115" s="11"/>
      <c r="Q115" s="11"/>
      <c r="R115" s="11"/>
      <c r="S115" s="11"/>
      <c r="T115" s="11"/>
      <c r="U115" s="11"/>
      <c r="V115" s="11"/>
      <c r="W115" s="11"/>
    </row>
    <row r="116" spans="1:23" customFormat="1">
      <c r="A116" s="145"/>
      <c r="B116" s="11"/>
      <c r="C116" s="239" t="str">
        <f t="shared" si="13"/>
        <v>Sin especificar</v>
      </c>
      <c r="D116" s="323" t="s">
        <v>301</v>
      </c>
      <c r="E116" s="239" t="s">
        <v>38</v>
      </c>
      <c r="F116" s="582" t="str">
        <f t="shared" ref="F116:F179" si="14">C116&amp;D116&amp;E116</f>
        <v>Sin especificarA4C</v>
      </c>
      <c r="G116" s="583"/>
      <c r="H116" s="584"/>
      <c r="I116" s="276"/>
      <c r="J116" s="11"/>
      <c r="K116" s="11"/>
      <c r="L116" s="11"/>
      <c r="M116" s="11"/>
      <c r="N116" s="11"/>
      <c r="O116" s="11"/>
      <c r="P116" s="11"/>
      <c r="Q116" s="11"/>
      <c r="R116" s="11"/>
      <c r="S116" s="11"/>
      <c r="T116" s="11"/>
      <c r="U116" s="11"/>
      <c r="V116" s="11"/>
      <c r="W116" s="11"/>
    </row>
    <row r="117" spans="1:23" customFormat="1">
      <c r="A117" s="145"/>
      <c r="B117" s="11"/>
      <c r="C117" s="239" t="str">
        <f t="shared" si="13"/>
        <v>Sin especificar</v>
      </c>
      <c r="D117" s="323" t="s">
        <v>301</v>
      </c>
      <c r="E117" s="239" t="s">
        <v>41</v>
      </c>
      <c r="F117" s="582" t="str">
        <f t="shared" si="14"/>
        <v>Sin especificarA4D</v>
      </c>
      <c r="G117" s="583"/>
      <c r="H117" s="584"/>
      <c r="I117" s="276"/>
      <c r="J117" s="11"/>
      <c r="K117" s="11"/>
      <c r="L117" s="11"/>
      <c r="M117" s="11"/>
      <c r="N117" s="11"/>
      <c r="O117" s="11"/>
      <c r="P117" s="11"/>
      <c r="Q117" s="11"/>
      <c r="R117" s="11"/>
      <c r="S117" s="11"/>
      <c r="T117" s="11"/>
      <c r="U117" s="11"/>
      <c r="V117" s="11"/>
      <c r="W117" s="11"/>
    </row>
    <row r="118" spans="1:23" customFormat="1">
      <c r="A118" s="145"/>
      <c r="B118" s="11"/>
      <c r="C118" s="239" t="str">
        <f t="shared" si="13"/>
        <v>Sin especificar</v>
      </c>
      <c r="D118" s="323" t="s">
        <v>301</v>
      </c>
      <c r="E118" s="239" t="s">
        <v>44</v>
      </c>
      <c r="F118" s="582" t="str">
        <f t="shared" si="14"/>
        <v>Sin especificarA4E</v>
      </c>
      <c r="G118" s="583"/>
      <c r="H118" s="584"/>
      <c r="I118" s="276"/>
      <c r="J118" s="11"/>
      <c r="K118" s="11"/>
      <c r="L118" s="11"/>
      <c r="M118" s="11"/>
      <c r="N118" s="11"/>
      <c r="O118" s="11"/>
      <c r="P118" s="11"/>
      <c r="Q118" s="11"/>
      <c r="R118" s="11"/>
      <c r="S118" s="11"/>
      <c r="T118" s="11"/>
      <c r="U118" s="11"/>
      <c r="V118" s="11"/>
      <c r="W118" s="11"/>
    </row>
    <row r="119" spans="1:23" customFormat="1">
      <c r="A119" s="145"/>
      <c r="B119" s="11"/>
      <c r="C119" s="239" t="str">
        <f t="shared" si="13"/>
        <v>Sin especificar</v>
      </c>
      <c r="D119" s="323" t="s">
        <v>301</v>
      </c>
      <c r="E119" s="289" t="str">
        <f>IF(Idioma=Castellano,"Sin definir",IF(Idioma=Valencià,"Sense definir","Sin definir"))</f>
        <v>Sin definir</v>
      </c>
      <c r="F119" s="582" t="str">
        <f t="shared" si="14"/>
        <v>Sin especificarA4Sin definir</v>
      </c>
      <c r="G119" s="583"/>
      <c r="H119" s="584"/>
      <c r="I119" s="276"/>
      <c r="J119" s="11"/>
      <c r="K119" s="11"/>
      <c r="L119" s="11"/>
      <c r="M119" s="11"/>
      <c r="N119" s="11"/>
      <c r="O119" s="11"/>
      <c r="P119" s="11"/>
      <c r="Q119" s="11"/>
      <c r="R119" s="11"/>
      <c r="S119" s="11"/>
      <c r="T119" s="11"/>
      <c r="U119" s="11"/>
      <c r="V119" s="11"/>
      <c r="W119" s="11"/>
    </row>
    <row r="120" spans="1:23" customFormat="1">
      <c r="A120" s="145"/>
      <c r="B120" s="11"/>
      <c r="C120" s="239" t="str">
        <f t="shared" ref="C120:C126" si="15">IF(Idioma=Castellano,"Oficinas",IF(Idioma=Valencià,"Oficines","Oficinas"))</f>
        <v>Oficinas</v>
      </c>
      <c r="D120" s="323" t="s">
        <v>34</v>
      </c>
      <c r="E120" s="289" t="str">
        <f>IF(Idioma=Castellano,"Existente",IF(Idioma=Valencià,"Existent","Existente"))</f>
        <v>Existente</v>
      </c>
      <c r="F120" s="582" t="str">
        <f t="shared" si="14"/>
        <v>OficinasB3Existente</v>
      </c>
      <c r="G120" s="583"/>
      <c r="H120" s="584"/>
      <c r="I120" s="276"/>
      <c r="J120" s="11"/>
      <c r="K120" s="11"/>
      <c r="L120" s="11"/>
      <c r="M120" s="11"/>
      <c r="N120" s="11"/>
      <c r="O120" s="11"/>
      <c r="P120" s="11"/>
      <c r="Q120" s="11"/>
      <c r="R120" s="11"/>
      <c r="S120" s="11"/>
      <c r="T120" s="11"/>
      <c r="U120" s="11"/>
      <c r="V120" s="11"/>
      <c r="W120" s="11"/>
    </row>
    <row r="121" spans="1:23" customFormat="1">
      <c r="A121" s="145"/>
      <c r="B121" s="11"/>
      <c r="C121" s="239" t="str">
        <f t="shared" si="15"/>
        <v>Oficinas</v>
      </c>
      <c r="D121" s="323" t="s">
        <v>34</v>
      </c>
      <c r="E121" s="239" t="s">
        <v>29</v>
      </c>
      <c r="F121" s="582" t="str">
        <f t="shared" si="14"/>
        <v>OficinasB3A</v>
      </c>
      <c r="G121" s="583"/>
      <c r="H121" s="584"/>
      <c r="I121" s="276"/>
      <c r="J121" s="11"/>
      <c r="K121" s="11"/>
      <c r="L121" s="11"/>
      <c r="M121" s="11"/>
      <c r="N121" s="11"/>
      <c r="O121" s="11"/>
      <c r="P121" s="11"/>
      <c r="Q121" s="11"/>
      <c r="R121" s="11"/>
      <c r="S121" s="11"/>
      <c r="T121" s="11"/>
      <c r="U121" s="11"/>
      <c r="V121" s="11"/>
      <c r="W121" s="11"/>
    </row>
    <row r="122" spans="1:23" customFormat="1">
      <c r="A122" s="145"/>
      <c r="B122" s="11"/>
      <c r="C122" s="239" t="str">
        <f t="shared" si="15"/>
        <v>Oficinas</v>
      </c>
      <c r="D122" s="323" t="s">
        <v>34</v>
      </c>
      <c r="E122" s="239" t="s">
        <v>35</v>
      </c>
      <c r="F122" s="582" t="str">
        <f t="shared" si="14"/>
        <v>OficinasB3B</v>
      </c>
      <c r="G122" s="583"/>
      <c r="H122" s="584"/>
      <c r="I122" s="276"/>
      <c r="J122" s="11"/>
      <c r="K122" s="11"/>
      <c r="L122" s="11"/>
      <c r="M122" s="11"/>
      <c r="N122" s="11"/>
      <c r="O122" s="11"/>
      <c r="P122" s="11"/>
      <c r="Q122" s="11"/>
      <c r="R122" s="11"/>
      <c r="S122" s="11"/>
      <c r="T122" s="11"/>
      <c r="U122" s="11"/>
      <c r="V122" s="11"/>
      <c r="W122" s="11"/>
    </row>
    <row r="123" spans="1:23" customFormat="1">
      <c r="A123" s="145"/>
      <c r="B123" s="11"/>
      <c r="C123" s="239" t="str">
        <f t="shared" si="15"/>
        <v>Oficinas</v>
      </c>
      <c r="D123" s="323" t="s">
        <v>34</v>
      </c>
      <c r="E123" s="239" t="s">
        <v>38</v>
      </c>
      <c r="F123" s="582" t="str">
        <f t="shared" si="14"/>
        <v>OficinasB3C</v>
      </c>
      <c r="G123" s="583"/>
      <c r="H123" s="584"/>
      <c r="I123" s="276"/>
      <c r="J123" s="11"/>
      <c r="K123" s="11"/>
      <c r="L123" s="11"/>
      <c r="M123" s="11"/>
      <c r="N123" s="11"/>
      <c r="O123" s="11"/>
      <c r="P123" s="11"/>
      <c r="Q123" s="11"/>
      <c r="R123" s="11"/>
      <c r="S123" s="11"/>
      <c r="T123" s="11"/>
      <c r="U123" s="11"/>
      <c r="V123" s="11"/>
      <c r="W123" s="11"/>
    </row>
    <row r="124" spans="1:23" customFormat="1">
      <c r="A124" s="145"/>
      <c r="B124" s="11"/>
      <c r="C124" s="239" t="str">
        <f t="shared" si="15"/>
        <v>Oficinas</v>
      </c>
      <c r="D124" s="323" t="s">
        <v>34</v>
      </c>
      <c r="E124" s="239" t="s">
        <v>41</v>
      </c>
      <c r="F124" s="582" t="str">
        <f t="shared" si="14"/>
        <v>OficinasB3D</v>
      </c>
      <c r="G124" s="583"/>
      <c r="H124" s="584"/>
      <c r="I124" s="276"/>
      <c r="J124" s="11"/>
      <c r="K124" s="11"/>
      <c r="L124" s="11"/>
      <c r="M124" s="11"/>
      <c r="N124" s="11"/>
      <c r="O124" s="11"/>
      <c r="P124" s="11"/>
      <c r="Q124" s="11"/>
      <c r="R124" s="11"/>
      <c r="S124" s="11"/>
      <c r="T124" s="11"/>
      <c r="U124" s="11"/>
      <c r="V124" s="11"/>
      <c r="W124" s="11"/>
    </row>
    <row r="125" spans="1:23" customFormat="1">
      <c r="A125" s="145"/>
      <c r="B125" s="11"/>
      <c r="C125" s="239" t="str">
        <f t="shared" si="15"/>
        <v>Oficinas</v>
      </c>
      <c r="D125" s="323" t="s">
        <v>34</v>
      </c>
      <c r="E125" s="239" t="s">
        <v>44</v>
      </c>
      <c r="F125" s="582" t="str">
        <f t="shared" si="14"/>
        <v>OficinasB3E</v>
      </c>
      <c r="G125" s="583"/>
      <c r="H125" s="584"/>
      <c r="I125" s="276"/>
      <c r="J125" s="11"/>
      <c r="K125" s="11"/>
      <c r="L125" s="11"/>
      <c r="M125" s="11"/>
      <c r="N125" s="11"/>
      <c r="O125" s="11"/>
      <c r="P125" s="11"/>
      <c r="Q125" s="11"/>
      <c r="R125" s="11"/>
      <c r="S125" s="11"/>
      <c r="T125" s="11"/>
      <c r="U125" s="11"/>
      <c r="V125" s="11"/>
      <c r="W125" s="11"/>
    </row>
    <row r="126" spans="1:23" customFormat="1">
      <c r="A126" s="145"/>
      <c r="B126" s="11"/>
      <c r="C126" s="239" t="str">
        <f t="shared" si="15"/>
        <v>Oficinas</v>
      </c>
      <c r="D126" s="323" t="s">
        <v>34</v>
      </c>
      <c r="E126" s="289" t="str">
        <f>IF(Idioma=Castellano,"Sin definir",IF(Idioma=Valencià,"Sense definir","Sin definir"))</f>
        <v>Sin definir</v>
      </c>
      <c r="F126" s="582" t="str">
        <f t="shared" si="14"/>
        <v>OficinasB3Sin definir</v>
      </c>
      <c r="G126" s="583"/>
      <c r="H126" s="584"/>
      <c r="I126" s="276"/>
      <c r="J126" s="11"/>
      <c r="K126" s="11"/>
      <c r="L126" s="11"/>
      <c r="M126" s="11"/>
      <c r="N126" s="11"/>
      <c r="O126" s="11"/>
      <c r="P126" s="11"/>
      <c r="Q126" s="11"/>
      <c r="R126" s="11"/>
      <c r="S126" s="11"/>
      <c r="T126" s="11"/>
      <c r="U126" s="11"/>
      <c r="V126" s="11"/>
      <c r="W126" s="11"/>
    </row>
    <row r="127" spans="1:23" customFormat="1">
      <c r="A127" s="145"/>
      <c r="B127" s="11"/>
      <c r="C127" s="239" t="str">
        <f t="shared" ref="C127:C133" si="16">IF(Idioma=Castellano,"Comercio",IF(Idioma=Valencià,"Comerç","Comercio"))</f>
        <v>Comercio</v>
      </c>
      <c r="D127" s="323" t="s">
        <v>34</v>
      </c>
      <c r="E127" s="289" t="str">
        <f>IF(Idioma=Castellano,"Existente",IF(Idioma=Valencià,"Existent","Existente"))</f>
        <v>Existente</v>
      </c>
      <c r="F127" s="582" t="str">
        <f t="shared" si="14"/>
        <v>ComercioB3Existente</v>
      </c>
      <c r="G127" s="583"/>
      <c r="H127" s="584"/>
      <c r="I127" s="276"/>
      <c r="J127" s="11"/>
      <c r="K127" s="11"/>
      <c r="L127" s="11"/>
      <c r="M127" s="11"/>
      <c r="N127" s="11"/>
      <c r="O127" s="11"/>
      <c r="P127" s="11"/>
      <c r="Q127" s="11"/>
      <c r="R127" s="11"/>
      <c r="S127" s="11"/>
      <c r="T127" s="11"/>
      <c r="U127" s="11"/>
      <c r="V127" s="11"/>
      <c r="W127" s="11"/>
    </row>
    <row r="128" spans="1:23" customFormat="1">
      <c r="A128" s="145"/>
      <c r="B128" s="11"/>
      <c r="C128" s="239" t="str">
        <f t="shared" si="16"/>
        <v>Comercio</v>
      </c>
      <c r="D128" s="323" t="s">
        <v>34</v>
      </c>
      <c r="E128" s="239" t="s">
        <v>29</v>
      </c>
      <c r="F128" s="582" t="str">
        <f t="shared" si="14"/>
        <v>ComercioB3A</v>
      </c>
      <c r="G128" s="583"/>
      <c r="H128" s="584"/>
      <c r="I128" s="276"/>
      <c r="J128" s="11"/>
      <c r="K128" s="11"/>
      <c r="L128" s="11"/>
      <c r="M128" s="11"/>
      <c r="N128" s="11"/>
      <c r="O128" s="11"/>
      <c r="P128" s="11"/>
      <c r="Q128" s="11"/>
      <c r="R128" s="11"/>
      <c r="S128" s="11"/>
      <c r="T128" s="11"/>
      <c r="U128" s="11"/>
      <c r="V128" s="11"/>
      <c r="W128" s="11"/>
    </row>
    <row r="129" spans="1:23" customFormat="1">
      <c r="A129" s="145"/>
      <c r="B129" s="11"/>
      <c r="C129" s="239" t="str">
        <f t="shared" si="16"/>
        <v>Comercio</v>
      </c>
      <c r="D129" s="323" t="s">
        <v>34</v>
      </c>
      <c r="E129" s="239" t="s">
        <v>35</v>
      </c>
      <c r="F129" s="582" t="str">
        <f t="shared" si="14"/>
        <v>ComercioB3B</v>
      </c>
      <c r="G129" s="583"/>
      <c r="H129" s="584"/>
      <c r="I129" s="276"/>
      <c r="J129" s="11"/>
      <c r="K129" s="11"/>
      <c r="L129" s="11"/>
      <c r="M129" s="11"/>
      <c r="N129" s="11"/>
      <c r="O129" s="11"/>
      <c r="P129" s="11"/>
      <c r="Q129" s="11"/>
      <c r="R129" s="11"/>
      <c r="S129" s="11"/>
      <c r="T129" s="11"/>
      <c r="U129" s="11"/>
      <c r="V129" s="11"/>
      <c r="W129" s="11"/>
    </row>
    <row r="130" spans="1:23" customFormat="1">
      <c r="A130" s="145"/>
      <c r="B130" s="11"/>
      <c r="C130" s="239" t="str">
        <f t="shared" si="16"/>
        <v>Comercio</v>
      </c>
      <c r="D130" s="323" t="s">
        <v>34</v>
      </c>
      <c r="E130" s="239" t="s">
        <v>38</v>
      </c>
      <c r="F130" s="582" t="str">
        <f t="shared" si="14"/>
        <v>ComercioB3C</v>
      </c>
      <c r="G130" s="583"/>
      <c r="H130" s="584"/>
      <c r="I130" s="276"/>
      <c r="J130" s="11"/>
      <c r="K130" s="11"/>
      <c r="L130" s="11"/>
      <c r="M130" s="11"/>
      <c r="N130" s="11"/>
      <c r="O130" s="11"/>
      <c r="P130" s="11"/>
      <c r="Q130" s="11"/>
      <c r="R130" s="11"/>
      <c r="S130" s="11"/>
      <c r="T130" s="11"/>
      <c r="U130" s="11"/>
      <c r="V130" s="11"/>
      <c r="W130" s="11"/>
    </row>
    <row r="131" spans="1:23" customFormat="1">
      <c r="A131" s="145"/>
      <c r="B131" s="11"/>
      <c r="C131" s="239" t="str">
        <f t="shared" si="16"/>
        <v>Comercio</v>
      </c>
      <c r="D131" s="323" t="s">
        <v>34</v>
      </c>
      <c r="E131" s="239" t="s">
        <v>41</v>
      </c>
      <c r="F131" s="582" t="str">
        <f t="shared" si="14"/>
        <v>ComercioB3D</v>
      </c>
      <c r="G131" s="583"/>
      <c r="H131" s="584"/>
      <c r="I131" s="276"/>
      <c r="J131" s="11"/>
      <c r="K131" s="11"/>
      <c r="L131" s="11"/>
      <c r="M131" s="11"/>
      <c r="N131" s="11"/>
      <c r="O131" s="11"/>
      <c r="P131" s="11"/>
      <c r="Q131" s="11"/>
      <c r="R131" s="11"/>
      <c r="S131" s="11"/>
      <c r="T131" s="11"/>
      <c r="U131" s="11"/>
      <c r="V131" s="11"/>
      <c r="W131" s="11"/>
    </row>
    <row r="132" spans="1:23" customFormat="1">
      <c r="A132" s="145"/>
      <c r="B132" s="11"/>
      <c r="C132" s="239" t="str">
        <f t="shared" si="16"/>
        <v>Comercio</v>
      </c>
      <c r="D132" s="323" t="s">
        <v>34</v>
      </c>
      <c r="E132" s="239" t="s">
        <v>44</v>
      </c>
      <c r="F132" s="582" t="str">
        <f t="shared" si="14"/>
        <v>ComercioB3E</v>
      </c>
      <c r="G132" s="583"/>
      <c r="H132" s="584"/>
      <c r="I132" s="276"/>
      <c r="J132" s="11"/>
      <c r="K132" s="11"/>
      <c r="L132" s="11"/>
      <c r="M132" s="11"/>
      <c r="N132" s="11"/>
      <c r="O132" s="11"/>
      <c r="P132" s="11"/>
      <c r="Q132" s="11"/>
      <c r="R132" s="11"/>
      <c r="S132" s="11"/>
      <c r="T132" s="11"/>
      <c r="U132" s="11"/>
      <c r="V132" s="11"/>
      <c r="W132" s="11"/>
    </row>
    <row r="133" spans="1:23" customFormat="1">
      <c r="A133" s="145"/>
      <c r="B133" s="11"/>
      <c r="C133" s="239" t="str">
        <f t="shared" si="16"/>
        <v>Comercio</v>
      </c>
      <c r="D133" s="323" t="s">
        <v>34</v>
      </c>
      <c r="E133" s="289" t="str">
        <f>IF(Idioma=Castellano,"Sin definir",IF(Idioma=Valencià,"Sense definir","Sin definir"))</f>
        <v>Sin definir</v>
      </c>
      <c r="F133" s="582" t="str">
        <f t="shared" si="14"/>
        <v>ComercioB3Sin definir</v>
      </c>
      <c r="G133" s="583"/>
      <c r="H133" s="584"/>
      <c r="I133" s="276"/>
      <c r="J133" s="11"/>
      <c r="K133" s="11"/>
      <c r="L133" s="11"/>
      <c r="M133" s="11"/>
      <c r="N133" s="11"/>
      <c r="O133" s="11"/>
      <c r="P133" s="11"/>
      <c r="Q133" s="11"/>
      <c r="R133" s="11"/>
      <c r="S133" s="11"/>
      <c r="T133" s="11"/>
      <c r="U133" s="11"/>
      <c r="V133" s="11"/>
      <c r="W133" s="11"/>
    </row>
    <row r="134" spans="1:23" customFormat="1">
      <c r="A134" s="145"/>
      <c r="B134" s="11"/>
      <c r="C134" s="239" t="s">
        <v>606</v>
      </c>
      <c r="D134" s="323" t="s">
        <v>34</v>
      </c>
      <c r="E134" s="289" t="str">
        <f>IF(Idioma=Castellano,"Existente",IF(Idioma=Valencià,"Existent","Existente"))</f>
        <v>Existente</v>
      </c>
      <c r="F134" s="582" t="str">
        <f t="shared" si="14"/>
        <v>HotelB3Existente</v>
      </c>
      <c r="G134" s="583"/>
      <c r="H134" s="584"/>
      <c r="I134" s="276"/>
      <c r="J134" s="11"/>
      <c r="K134" s="11"/>
      <c r="L134" s="11"/>
      <c r="M134" s="11"/>
      <c r="N134" s="11"/>
      <c r="O134" s="11"/>
      <c r="P134" s="11"/>
      <c r="Q134" s="11"/>
      <c r="R134" s="11"/>
      <c r="S134" s="11"/>
      <c r="T134" s="11"/>
      <c r="U134" s="11"/>
      <c r="V134" s="11"/>
      <c r="W134" s="11"/>
    </row>
    <row r="135" spans="1:23" customFormat="1">
      <c r="A135" s="145"/>
      <c r="B135" s="11"/>
      <c r="C135" s="239" t="s">
        <v>606</v>
      </c>
      <c r="D135" s="323" t="s">
        <v>34</v>
      </c>
      <c r="E135" s="239" t="s">
        <v>29</v>
      </c>
      <c r="F135" s="582" t="str">
        <f t="shared" si="14"/>
        <v>HotelB3A</v>
      </c>
      <c r="G135" s="583"/>
      <c r="H135" s="584"/>
      <c r="I135" s="276"/>
      <c r="J135" s="11"/>
      <c r="K135" s="11"/>
      <c r="L135" s="11"/>
      <c r="M135" s="11"/>
      <c r="N135" s="11"/>
      <c r="O135" s="11"/>
      <c r="P135" s="11"/>
      <c r="Q135" s="11"/>
      <c r="R135" s="11"/>
      <c r="S135" s="11"/>
      <c r="T135" s="11"/>
      <c r="U135" s="11"/>
      <c r="V135" s="11"/>
      <c r="W135" s="11"/>
    </row>
    <row r="136" spans="1:23" customFormat="1">
      <c r="A136" s="145"/>
      <c r="B136" s="11"/>
      <c r="C136" s="239" t="s">
        <v>606</v>
      </c>
      <c r="D136" s="323" t="s">
        <v>34</v>
      </c>
      <c r="E136" s="239" t="s">
        <v>35</v>
      </c>
      <c r="F136" s="582" t="str">
        <f t="shared" si="14"/>
        <v>HotelB3B</v>
      </c>
      <c r="G136" s="583"/>
      <c r="H136" s="584"/>
      <c r="I136" s="276"/>
      <c r="J136" s="11"/>
      <c r="K136" s="11"/>
      <c r="L136" s="11"/>
      <c r="M136" s="11"/>
      <c r="N136" s="11"/>
      <c r="O136" s="11"/>
      <c r="P136" s="11"/>
      <c r="Q136" s="11"/>
      <c r="R136" s="11"/>
      <c r="S136" s="11"/>
      <c r="T136" s="11"/>
      <c r="U136" s="11"/>
      <c r="V136" s="11"/>
      <c r="W136" s="11"/>
    </row>
    <row r="137" spans="1:23" customFormat="1">
      <c r="A137" s="145"/>
      <c r="B137" s="11"/>
      <c r="C137" s="239" t="s">
        <v>606</v>
      </c>
      <c r="D137" s="323" t="s">
        <v>34</v>
      </c>
      <c r="E137" s="239" t="s">
        <v>38</v>
      </c>
      <c r="F137" s="582" t="str">
        <f t="shared" si="14"/>
        <v>HotelB3C</v>
      </c>
      <c r="G137" s="583"/>
      <c r="H137" s="584"/>
      <c r="I137" s="276"/>
      <c r="J137" s="11"/>
      <c r="K137" s="11"/>
      <c r="L137" s="11"/>
      <c r="M137" s="11"/>
      <c r="N137" s="11"/>
      <c r="O137" s="11"/>
      <c r="P137" s="11"/>
      <c r="Q137" s="11"/>
      <c r="R137" s="11"/>
      <c r="S137" s="11"/>
      <c r="T137" s="11"/>
      <c r="U137" s="11"/>
      <c r="V137" s="11"/>
      <c r="W137" s="11"/>
    </row>
    <row r="138" spans="1:23" customFormat="1">
      <c r="A138" s="145"/>
      <c r="B138" s="11"/>
      <c r="C138" s="239" t="s">
        <v>606</v>
      </c>
      <c r="D138" s="323" t="s">
        <v>34</v>
      </c>
      <c r="E138" s="239" t="s">
        <v>41</v>
      </c>
      <c r="F138" s="582" t="str">
        <f t="shared" si="14"/>
        <v>HotelB3D</v>
      </c>
      <c r="G138" s="583"/>
      <c r="H138" s="584"/>
      <c r="I138" s="276"/>
      <c r="J138" s="11"/>
      <c r="K138" s="11"/>
      <c r="L138" s="11"/>
      <c r="M138" s="11"/>
      <c r="N138" s="11"/>
      <c r="O138" s="11"/>
      <c r="P138" s="11"/>
      <c r="Q138" s="11"/>
      <c r="R138" s="11"/>
      <c r="S138" s="11"/>
      <c r="T138" s="11"/>
      <c r="U138" s="11"/>
      <c r="V138" s="11"/>
      <c r="W138" s="11"/>
    </row>
    <row r="139" spans="1:23" customFormat="1">
      <c r="A139" s="145"/>
      <c r="B139" s="11"/>
      <c r="C139" s="239" t="s">
        <v>606</v>
      </c>
      <c r="D139" s="323" t="s">
        <v>34</v>
      </c>
      <c r="E139" s="239" t="s">
        <v>44</v>
      </c>
      <c r="F139" s="582" t="str">
        <f t="shared" si="14"/>
        <v>HotelB3E</v>
      </c>
      <c r="G139" s="583"/>
      <c r="H139" s="584"/>
      <c r="I139" s="276"/>
      <c r="J139" s="11"/>
      <c r="K139" s="11"/>
      <c r="L139" s="11"/>
      <c r="M139" s="11"/>
      <c r="N139" s="11"/>
      <c r="O139" s="11"/>
      <c r="P139" s="11"/>
      <c r="Q139" s="11"/>
      <c r="R139" s="11"/>
      <c r="S139" s="11"/>
      <c r="T139" s="11"/>
      <c r="U139" s="11"/>
      <c r="V139" s="11"/>
      <c r="W139" s="11"/>
    </row>
    <row r="140" spans="1:23" customFormat="1">
      <c r="A140" s="145"/>
      <c r="B140" s="11"/>
      <c r="C140" s="239" t="s">
        <v>606</v>
      </c>
      <c r="D140" s="323" t="s">
        <v>34</v>
      </c>
      <c r="E140" s="289" t="str">
        <f>IF(Idioma=Castellano,"Sin definir",IF(Idioma=Valencià,"Sense definir","Sin definir"))</f>
        <v>Sin definir</v>
      </c>
      <c r="F140" s="582" t="str">
        <f t="shared" si="14"/>
        <v>HotelB3Sin definir</v>
      </c>
      <c r="G140" s="583"/>
      <c r="H140" s="584"/>
      <c r="I140" s="276"/>
      <c r="J140" s="11"/>
      <c r="K140" s="11"/>
      <c r="L140" s="11"/>
      <c r="M140" s="11"/>
      <c r="N140" s="11"/>
      <c r="O140" s="11"/>
      <c r="P140" s="11"/>
      <c r="Q140" s="11"/>
      <c r="R140" s="11"/>
      <c r="S140" s="11"/>
      <c r="T140" s="11"/>
      <c r="U140" s="11"/>
      <c r="V140" s="11"/>
      <c r="W140" s="11"/>
    </row>
    <row r="141" spans="1:23" customFormat="1">
      <c r="A141" s="145"/>
      <c r="B141" s="11"/>
      <c r="C141" s="239" t="str">
        <f t="shared" ref="C141:C147" si="17">IF(Idioma=Castellano,"Restauración",IF(Idioma=Valencià,"Restauració","Restauración"))</f>
        <v>Restauración</v>
      </c>
      <c r="D141" s="323" t="s">
        <v>34</v>
      </c>
      <c r="E141" s="289" t="str">
        <f>IF(Idioma=Castellano,"Existente",IF(Idioma=Valencià,"Existent","Existente"))</f>
        <v>Existente</v>
      </c>
      <c r="F141" s="582" t="str">
        <f t="shared" si="14"/>
        <v>RestauraciónB3Existente</v>
      </c>
      <c r="G141" s="583"/>
      <c r="H141" s="584"/>
      <c r="I141" s="276"/>
      <c r="J141" s="11"/>
      <c r="K141" s="11"/>
      <c r="L141" s="11"/>
      <c r="M141" s="11"/>
      <c r="N141" s="11"/>
      <c r="O141" s="11"/>
      <c r="P141" s="11"/>
      <c r="Q141" s="11"/>
      <c r="R141" s="11"/>
      <c r="S141" s="11"/>
      <c r="T141" s="11"/>
      <c r="U141" s="11"/>
      <c r="V141" s="11"/>
      <c r="W141" s="11"/>
    </row>
    <row r="142" spans="1:23" customFormat="1">
      <c r="A142" s="145"/>
      <c r="B142" s="11"/>
      <c r="C142" s="239" t="str">
        <f t="shared" si="17"/>
        <v>Restauración</v>
      </c>
      <c r="D142" s="323" t="s">
        <v>34</v>
      </c>
      <c r="E142" s="239" t="s">
        <v>29</v>
      </c>
      <c r="F142" s="582" t="str">
        <f t="shared" si="14"/>
        <v>RestauraciónB3A</v>
      </c>
      <c r="G142" s="583"/>
      <c r="H142" s="584"/>
      <c r="I142" s="276"/>
      <c r="J142" s="11"/>
      <c r="K142" s="11"/>
      <c r="L142" s="11"/>
      <c r="M142" s="11"/>
      <c r="N142" s="11"/>
      <c r="O142" s="11"/>
      <c r="P142" s="11"/>
      <c r="Q142" s="11"/>
      <c r="R142" s="11"/>
      <c r="S142" s="11"/>
      <c r="T142" s="11"/>
      <c r="U142" s="11"/>
      <c r="V142" s="11"/>
      <c r="W142" s="11"/>
    </row>
    <row r="143" spans="1:23" customFormat="1">
      <c r="A143" s="145"/>
      <c r="B143" s="11"/>
      <c r="C143" s="239" t="str">
        <f t="shared" si="17"/>
        <v>Restauración</v>
      </c>
      <c r="D143" s="323" t="s">
        <v>34</v>
      </c>
      <c r="E143" s="239" t="s">
        <v>35</v>
      </c>
      <c r="F143" s="582" t="str">
        <f t="shared" si="14"/>
        <v>RestauraciónB3B</v>
      </c>
      <c r="G143" s="583"/>
      <c r="H143" s="584"/>
      <c r="I143" s="276"/>
      <c r="J143" s="11"/>
      <c r="K143" s="11"/>
      <c r="L143" s="11"/>
      <c r="M143" s="11"/>
      <c r="N143" s="11"/>
      <c r="O143" s="11"/>
      <c r="P143" s="11"/>
      <c r="Q143" s="11"/>
      <c r="R143" s="11"/>
      <c r="S143" s="11"/>
      <c r="T143" s="11"/>
      <c r="U143" s="11"/>
      <c r="V143" s="11"/>
      <c r="W143" s="11"/>
    </row>
    <row r="144" spans="1:23" customFormat="1">
      <c r="A144" s="145"/>
      <c r="B144" s="11"/>
      <c r="C144" s="239" t="str">
        <f t="shared" si="17"/>
        <v>Restauración</v>
      </c>
      <c r="D144" s="323" t="s">
        <v>34</v>
      </c>
      <c r="E144" s="239" t="s">
        <v>38</v>
      </c>
      <c r="F144" s="582" t="str">
        <f t="shared" si="14"/>
        <v>RestauraciónB3C</v>
      </c>
      <c r="G144" s="583"/>
      <c r="H144" s="584"/>
      <c r="I144" s="276"/>
      <c r="J144" s="11"/>
      <c r="K144" s="11"/>
      <c r="L144" s="11"/>
      <c r="M144" s="11"/>
      <c r="N144" s="11"/>
      <c r="O144" s="11"/>
      <c r="P144" s="11"/>
      <c r="Q144" s="11"/>
      <c r="R144" s="11"/>
      <c r="S144" s="11"/>
      <c r="T144" s="11"/>
      <c r="U144" s="11"/>
      <c r="V144" s="11"/>
      <c r="W144" s="11"/>
    </row>
    <row r="145" spans="1:23" customFormat="1">
      <c r="A145" s="145"/>
      <c r="B145" s="11"/>
      <c r="C145" s="239" t="str">
        <f t="shared" si="17"/>
        <v>Restauración</v>
      </c>
      <c r="D145" s="323" t="s">
        <v>34</v>
      </c>
      <c r="E145" s="239" t="s">
        <v>41</v>
      </c>
      <c r="F145" s="582" t="str">
        <f t="shared" si="14"/>
        <v>RestauraciónB3D</v>
      </c>
      <c r="G145" s="583"/>
      <c r="H145" s="584"/>
      <c r="I145" s="276"/>
      <c r="J145" s="11"/>
      <c r="K145" s="11"/>
      <c r="L145" s="11"/>
      <c r="M145" s="11"/>
      <c r="N145" s="11"/>
      <c r="O145" s="11"/>
      <c r="P145" s="11"/>
      <c r="Q145" s="11"/>
      <c r="R145" s="11"/>
      <c r="S145" s="11"/>
      <c r="T145" s="11"/>
      <c r="U145" s="11"/>
      <c r="V145" s="11"/>
      <c r="W145" s="11"/>
    </row>
    <row r="146" spans="1:23" customFormat="1">
      <c r="A146" s="145"/>
      <c r="B146" s="11"/>
      <c r="C146" s="239" t="str">
        <f t="shared" si="17"/>
        <v>Restauración</v>
      </c>
      <c r="D146" s="323" t="s">
        <v>34</v>
      </c>
      <c r="E146" s="239" t="s">
        <v>44</v>
      </c>
      <c r="F146" s="582" t="str">
        <f t="shared" si="14"/>
        <v>RestauraciónB3E</v>
      </c>
      <c r="G146" s="583"/>
      <c r="H146" s="584"/>
      <c r="I146" s="276"/>
      <c r="J146" s="11"/>
      <c r="K146" s="11"/>
      <c r="L146" s="11"/>
      <c r="M146" s="11"/>
      <c r="N146" s="11"/>
      <c r="O146" s="11"/>
      <c r="P146" s="11"/>
      <c r="Q146" s="11"/>
      <c r="R146" s="11"/>
      <c r="S146" s="11"/>
      <c r="T146" s="11"/>
      <c r="U146" s="11"/>
      <c r="V146" s="11"/>
      <c r="W146" s="11"/>
    </row>
    <row r="147" spans="1:23" customFormat="1">
      <c r="A147" s="145"/>
      <c r="B147" s="11"/>
      <c r="C147" s="239" t="str">
        <f t="shared" si="17"/>
        <v>Restauración</v>
      </c>
      <c r="D147" s="323" t="s">
        <v>34</v>
      </c>
      <c r="E147" s="289" t="str">
        <f>IF(Idioma=Castellano,"Sin definir",IF(Idioma=Valencià,"Sense definir","Sin definir"))</f>
        <v>Sin definir</v>
      </c>
      <c r="F147" s="582" t="str">
        <f t="shared" si="14"/>
        <v>RestauraciónB3Sin definir</v>
      </c>
      <c r="G147" s="583"/>
      <c r="H147" s="584"/>
      <c r="I147" s="276"/>
      <c r="J147" s="11"/>
      <c r="K147" s="11"/>
      <c r="L147" s="11"/>
      <c r="M147" s="11"/>
      <c r="N147" s="11"/>
      <c r="O147" s="11"/>
      <c r="P147" s="11"/>
      <c r="Q147" s="11"/>
      <c r="R147" s="11"/>
      <c r="S147" s="11"/>
      <c r="T147" s="11"/>
      <c r="U147" s="11"/>
      <c r="V147" s="11"/>
      <c r="W147" s="11"/>
    </row>
    <row r="148" spans="1:23" customFormat="1">
      <c r="A148" s="145"/>
      <c r="B148" s="11"/>
      <c r="C148" s="239" t="str">
        <f t="shared" ref="C148:C154" si="18">IF(Idioma=Castellano,"Sin especificar",IF(Idioma=Valencià,"Sense especificar ","Sin especificar"))</f>
        <v>Sin especificar</v>
      </c>
      <c r="D148" s="323" t="s">
        <v>34</v>
      </c>
      <c r="E148" s="289" t="str">
        <f>IF(Idioma=Castellano,"Existente",IF(Idioma=Valencià,"Existent","Existente"))</f>
        <v>Existente</v>
      </c>
      <c r="F148" s="582" t="str">
        <f t="shared" si="14"/>
        <v>Sin especificarB3Existente</v>
      </c>
      <c r="G148" s="583"/>
      <c r="H148" s="584"/>
      <c r="I148" s="276"/>
      <c r="J148" s="11"/>
      <c r="K148" s="11"/>
      <c r="L148" s="11"/>
      <c r="M148" s="11"/>
      <c r="N148" s="11"/>
      <c r="O148" s="11"/>
      <c r="P148" s="11"/>
      <c r="Q148" s="11"/>
      <c r="R148" s="11"/>
      <c r="S148" s="11"/>
      <c r="T148" s="11"/>
      <c r="U148" s="11"/>
      <c r="V148" s="11"/>
      <c r="W148" s="11"/>
    </row>
    <row r="149" spans="1:23" customFormat="1">
      <c r="A149" s="145"/>
      <c r="B149" s="11"/>
      <c r="C149" s="239" t="str">
        <f t="shared" si="18"/>
        <v>Sin especificar</v>
      </c>
      <c r="D149" s="323" t="s">
        <v>34</v>
      </c>
      <c r="E149" s="239" t="s">
        <v>29</v>
      </c>
      <c r="F149" s="582" t="str">
        <f t="shared" si="14"/>
        <v>Sin especificarB3A</v>
      </c>
      <c r="G149" s="583"/>
      <c r="H149" s="584"/>
      <c r="I149" s="276"/>
      <c r="J149" s="11"/>
      <c r="K149" s="11"/>
      <c r="L149" s="11"/>
      <c r="M149" s="11"/>
      <c r="N149" s="11"/>
      <c r="O149" s="11"/>
      <c r="P149" s="11"/>
      <c r="Q149" s="11"/>
      <c r="R149" s="11"/>
      <c r="S149" s="11"/>
      <c r="T149" s="11"/>
      <c r="U149" s="11"/>
      <c r="V149" s="11"/>
      <c r="W149" s="11"/>
    </row>
    <row r="150" spans="1:23" customFormat="1">
      <c r="A150" s="145"/>
      <c r="B150" s="11"/>
      <c r="C150" s="239" t="str">
        <f t="shared" si="18"/>
        <v>Sin especificar</v>
      </c>
      <c r="D150" s="323" t="s">
        <v>34</v>
      </c>
      <c r="E150" s="239" t="s">
        <v>35</v>
      </c>
      <c r="F150" s="582" t="str">
        <f t="shared" si="14"/>
        <v>Sin especificarB3B</v>
      </c>
      <c r="G150" s="583"/>
      <c r="H150" s="584"/>
      <c r="I150" s="276"/>
      <c r="J150" s="11"/>
      <c r="K150" s="11"/>
      <c r="L150" s="11"/>
      <c r="M150" s="11"/>
      <c r="N150" s="11"/>
      <c r="O150" s="11"/>
      <c r="P150" s="11"/>
      <c r="Q150" s="11"/>
      <c r="R150" s="11"/>
      <c r="S150" s="11"/>
      <c r="T150" s="11"/>
      <c r="U150" s="11"/>
      <c r="V150" s="11"/>
      <c r="W150" s="11"/>
    </row>
    <row r="151" spans="1:23" customFormat="1">
      <c r="A151" s="145"/>
      <c r="B151" s="11"/>
      <c r="C151" s="239" t="str">
        <f t="shared" si="18"/>
        <v>Sin especificar</v>
      </c>
      <c r="D151" s="323" t="s">
        <v>34</v>
      </c>
      <c r="E151" s="239" t="s">
        <v>38</v>
      </c>
      <c r="F151" s="582" t="str">
        <f t="shared" si="14"/>
        <v>Sin especificarB3C</v>
      </c>
      <c r="G151" s="583"/>
      <c r="H151" s="584"/>
      <c r="I151" s="276"/>
      <c r="J151" s="11"/>
      <c r="K151" s="11"/>
      <c r="L151" s="11"/>
      <c r="M151" s="11"/>
      <c r="N151" s="11"/>
      <c r="O151" s="11"/>
      <c r="P151" s="11"/>
      <c r="Q151" s="11"/>
      <c r="R151" s="11"/>
      <c r="S151" s="11"/>
      <c r="T151" s="11"/>
      <c r="U151" s="11"/>
      <c r="V151" s="11"/>
      <c r="W151" s="11"/>
    </row>
    <row r="152" spans="1:23" customFormat="1">
      <c r="A152" s="145"/>
      <c r="B152" s="11"/>
      <c r="C152" s="239" t="str">
        <f t="shared" si="18"/>
        <v>Sin especificar</v>
      </c>
      <c r="D152" s="323" t="s">
        <v>34</v>
      </c>
      <c r="E152" s="239" t="s">
        <v>41</v>
      </c>
      <c r="F152" s="582" t="str">
        <f t="shared" si="14"/>
        <v>Sin especificarB3D</v>
      </c>
      <c r="G152" s="583"/>
      <c r="H152" s="584"/>
      <c r="I152" s="276"/>
      <c r="J152" s="11"/>
      <c r="K152" s="11"/>
      <c r="L152" s="11"/>
      <c r="M152" s="11"/>
      <c r="N152" s="11"/>
      <c r="O152" s="11"/>
      <c r="P152" s="11"/>
      <c r="Q152" s="11"/>
      <c r="R152" s="11"/>
      <c r="S152" s="11"/>
      <c r="T152" s="11"/>
      <c r="U152" s="11"/>
      <c r="V152" s="11"/>
      <c r="W152" s="11"/>
    </row>
    <row r="153" spans="1:23" customFormat="1">
      <c r="A153" s="145"/>
      <c r="B153" s="11"/>
      <c r="C153" s="239" t="str">
        <f t="shared" si="18"/>
        <v>Sin especificar</v>
      </c>
      <c r="D153" s="323" t="s">
        <v>34</v>
      </c>
      <c r="E153" s="239" t="s">
        <v>44</v>
      </c>
      <c r="F153" s="582" t="str">
        <f t="shared" si="14"/>
        <v>Sin especificarB3E</v>
      </c>
      <c r="G153" s="583"/>
      <c r="H153" s="584"/>
      <c r="I153" s="276"/>
      <c r="J153" s="11"/>
      <c r="K153" s="11"/>
      <c r="L153" s="11"/>
      <c r="M153" s="11"/>
      <c r="N153" s="11"/>
      <c r="O153" s="11"/>
      <c r="P153" s="11"/>
      <c r="Q153" s="11"/>
      <c r="R153" s="11"/>
      <c r="S153" s="11"/>
      <c r="T153" s="11"/>
      <c r="U153" s="11"/>
      <c r="V153" s="11"/>
      <c r="W153" s="11"/>
    </row>
    <row r="154" spans="1:23" customFormat="1">
      <c r="A154" s="145"/>
      <c r="B154" s="11"/>
      <c r="C154" s="239" t="str">
        <f t="shared" si="18"/>
        <v>Sin especificar</v>
      </c>
      <c r="D154" s="323" t="s">
        <v>34</v>
      </c>
      <c r="E154" s="289" t="str">
        <f>IF(Idioma=Castellano,"Sin definir",IF(Idioma=Valencià,"Sense definir","Sin definir"))</f>
        <v>Sin definir</v>
      </c>
      <c r="F154" s="582" t="str">
        <f t="shared" si="14"/>
        <v>Sin especificarB3Sin definir</v>
      </c>
      <c r="G154" s="583"/>
      <c r="H154" s="584"/>
      <c r="I154" s="276"/>
      <c r="J154" s="11"/>
      <c r="K154" s="11"/>
      <c r="L154" s="11"/>
      <c r="M154" s="11"/>
      <c r="N154" s="11"/>
      <c r="O154" s="11"/>
      <c r="P154" s="11"/>
      <c r="Q154" s="11"/>
      <c r="R154" s="11"/>
      <c r="S154" s="11"/>
      <c r="T154" s="11"/>
      <c r="U154" s="11"/>
      <c r="V154" s="11"/>
      <c r="W154" s="11"/>
    </row>
    <row r="155" spans="1:23" customFormat="1">
      <c r="A155" s="145"/>
      <c r="B155" s="11"/>
      <c r="C155" s="239" t="str">
        <f t="shared" ref="C155:C161" si="19">IF(Idioma=Castellano,"Oficinas",IF(Idioma=Valencià,"Oficines","Oficinas"))</f>
        <v>Oficinas</v>
      </c>
      <c r="D155" s="323" t="s">
        <v>182</v>
      </c>
      <c r="E155" s="289" t="str">
        <f>IF(Idioma=Castellano,"Existente",IF(Idioma=Valencià,"Existent","Existente"))</f>
        <v>Existente</v>
      </c>
      <c r="F155" s="582" t="str">
        <f t="shared" si="14"/>
        <v>OficinasB4Existente</v>
      </c>
      <c r="G155" s="583"/>
      <c r="H155" s="584"/>
      <c r="I155" s="276"/>
      <c r="J155" s="11"/>
      <c r="K155" s="11"/>
      <c r="L155" s="11"/>
      <c r="M155" s="11"/>
      <c r="N155" s="11"/>
      <c r="O155" s="11"/>
      <c r="P155" s="11"/>
      <c r="Q155" s="11"/>
      <c r="R155" s="11"/>
      <c r="S155" s="11"/>
      <c r="T155" s="11"/>
      <c r="U155" s="11"/>
      <c r="V155" s="11"/>
      <c r="W155" s="11"/>
    </row>
    <row r="156" spans="1:23" customFormat="1">
      <c r="A156" s="145"/>
      <c r="B156" s="11"/>
      <c r="C156" s="239" t="str">
        <f t="shared" si="19"/>
        <v>Oficinas</v>
      </c>
      <c r="D156" s="323" t="s">
        <v>182</v>
      </c>
      <c r="E156" s="239" t="s">
        <v>29</v>
      </c>
      <c r="F156" s="582" t="str">
        <f t="shared" si="14"/>
        <v>OficinasB4A</v>
      </c>
      <c r="G156" s="583"/>
      <c r="H156" s="584"/>
      <c r="I156" s="276"/>
      <c r="J156" s="11"/>
      <c r="K156" s="11"/>
      <c r="L156" s="11"/>
      <c r="M156" s="11"/>
      <c r="N156" s="11"/>
      <c r="O156" s="11"/>
      <c r="P156" s="11"/>
      <c r="Q156" s="11"/>
      <c r="R156" s="11"/>
      <c r="S156" s="11"/>
      <c r="T156" s="11"/>
      <c r="U156" s="11"/>
      <c r="V156" s="11"/>
      <c r="W156" s="11"/>
    </row>
    <row r="157" spans="1:23" customFormat="1">
      <c r="A157" s="145"/>
      <c r="B157" s="11"/>
      <c r="C157" s="239" t="str">
        <f t="shared" si="19"/>
        <v>Oficinas</v>
      </c>
      <c r="D157" s="323" t="s">
        <v>182</v>
      </c>
      <c r="E157" s="239" t="s">
        <v>35</v>
      </c>
      <c r="F157" s="582" t="str">
        <f t="shared" si="14"/>
        <v>OficinasB4B</v>
      </c>
      <c r="G157" s="583"/>
      <c r="H157" s="584"/>
      <c r="I157" s="276"/>
      <c r="J157" s="11"/>
      <c r="K157" s="11"/>
      <c r="L157" s="11"/>
      <c r="M157" s="11"/>
      <c r="N157" s="11"/>
      <c r="O157" s="11"/>
      <c r="P157" s="11"/>
      <c r="Q157" s="11"/>
      <c r="R157" s="11"/>
      <c r="S157" s="11"/>
      <c r="T157" s="11"/>
      <c r="U157" s="11"/>
      <c r="V157" s="11"/>
      <c r="W157" s="11"/>
    </row>
    <row r="158" spans="1:23" customFormat="1">
      <c r="A158" s="145"/>
      <c r="B158" s="11"/>
      <c r="C158" s="239" t="str">
        <f t="shared" si="19"/>
        <v>Oficinas</v>
      </c>
      <c r="D158" s="323" t="s">
        <v>182</v>
      </c>
      <c r="E158" s="239" t="s">
        <v>38</v>
      </c>
      <c r="F158" s="582" t="str">
        <f t="shared" si="14"/>
        <v>OficinasB4C</v>
      </c>
      <c r="G158" s="583"/>
      <c r="H158" s="584"/>
      <c r="I158" s="276"/>
      <c r="J158" s="11"/>
      <c r="K158" s="11"/>
      <c r="L158" s="11"/>
      <c r="M158" s="11"/>
      <c r="N158" s="11"/>
      <c r="O158" s="11"/>
      <c r="P158" s="11"/>
      <c r="Q158" s="11"/>
      <c r="R158" s="11"/>
      <c r="S158" s="11"/>
      <c r="T158" s="11"/>
      <c r="U158" s="11"/>
      <c r="V158" s="11"/>
      <c r="W158" s="11"/>
    </row>
    <row r="159" spans="1:23" customFormat="1">
      <c r="A159" s="145"/>
      <c r="B159" s="11"/>
      <c r="C159" s="239" t="str">
        <f t="shared" si="19"/>
        <v>Oficinas</v>
      </c>
      <c r="D159" s="323" t="s">
        <v>182</v>
      </c>
      <c r="E159" s="239" t="s">
        <v>41</v>
      </c>
      <c r="F159" s="582" t="str">
        <f t="shared" si="14"/>
        <v>OficinasB4D</v>
      </c>
      <c r="G159" s="583"/>
      <c r="H159" s="584"/>
      <c r="I159" s="276"/>
      <c r="J159" s="11"/>
      <c r="K159" s="11"/>
      <c r="L159" s="11"/>
      <c r="M159" s="11"/>
      <c r="N159" s="11"/>
      <c r="O159" s="11"/>
      <c r="P159" s="11"/>
      <c r="Q159" s="11"/>
      <c r="R159" s="11"/>
      <c r="S159" s="11"/>
      <c r="T159" s="11"/>
      <c r="U159" s="11"/>
      <c r="V159" s="11"/>
      <c r="W159" s="11"/>
    </row>
    <row r="160" spans="1:23" customFormat="1">
      <c r="A160" s="145"/>
      <c r="B160" s="11"/>
      <c r="C160" s="239" t="str">
        <f t="shared" si="19"/>
        <v>Oficinas</v>
      </c>
      <c r="D160" s="323" t="s">
        <v>182</v>
      </c>
      <c r="E160" s="239" t="s">
        <v>44</v>
      </c>
      <c r="F160" s="582" t="str">
        <f t="shared" si="14"/>
        <v>OficinasB4E</v>
      </c>
      <c r="G160" s="583"/>
      <c r="H160" s="584"/>
      <c r="I160" s="276"/>
      <c r="J160" s="11"/>
      <c r="K160" s="11"/>
      <c r="L160" s="11"/>
      <c r="M160" s="11"/>
      <c r="N160" s="11"/>
      <c r="O160" s="11"/>
      <c r="P160" s="11"/>
      <c r="Q160" s="11"/>
      <c r="R160" s="11"/>
      <c r="S160" s="11"/>
      <c r="T160" s="11"/>
      <c r="U160" s="11"/>
      <c r="V160" s="11"/>
      <c r="W160" s="11"/>
    </row>
    <row r="161" spans="1:23" customFormat="1">
      <c r="A161" s="145"/>
      <c r="B161" s="11"/>
      <c r="C161" s="239" t="str">
        <f t="shared" si="19"/>
        <v>Oficinas</v>
      </c>
      <c r="D161" s="323" t="s">
        <v>182</v>
      </c>
      <c r="E161" s="289" t="str">
        <f>IF(Idioma=Castellano,"Sin definir",IF(Idioma=Valencià,"Sense definir","Sin definir"))</f>
        <v>Sin definir</v>
      </c>
      <c r="F161" s="582" t="str">
        <f t="shared" si="14"/>
        <v>OficinasB4Sin definir</v>
      </c>
      <c r="G161" s="583"/>
      <c r="H161" s="584"/>
      <c r="I161" s="276"/>
      <c r="J161" s="11"/>
      <c r="K161" s="11"/>
      <c r="L161" s="11"/>
      <c r="M161" s="11"/>
      <c r="N161" s="11"/>
      <c r="O161" s="11"/>
      <c r="P161" s="11"/>
      <c r="Q161" s="11"/>
      <c r="R161" s="11"/>
      <c r="S161" s="11"/>
      <c r="T161" s="11"/>
      <c r="U161" s="11"/>
      <c r="V161" s="11"/>
      <c r="W161" s="11"/>
    </row>
    <row r="162" spans="1:23" customFormat="1">
      <c r="A162" s="145"/>
      <c r="B162" s="11"/>
      <c r="C162" s="239" t="str">
        <f t="shared" ref="C162:C168" si="20">IF(Idioma=Castellano,"Comercio",IF(Idioma=Valencià,"Comerç","Comercio"))</f>
        <v>Comercio</v>
      </c>
      <c r="D162" s="323" t="s">
        <v>182</v>
      </c>
      <c r="E162" s="289" t="str">
        <f>IF(Idioma=Castellano,"Existente",IF(Idioma=Valencià,"Existent","Existente"))</f>
        <v>Existente</v>
      </c>
      <c r="F162" s="582" t="str">
        <f t="shared" si="14"/>
        <v>ComercioB4Existente</v>
      </c>
      <c r="G162" s="583"/>
      <c r="H162" s="584"/>
      <c r="I162" s="276"/>
      <c r="J162" s="11"/>
      <c r="K162" s="11"/>
      <c r="L162" s="11"/>
      <c r="M162" s="11"/>
      <c r="N162" s="11"/>
      <c r="O162" s="11"/>
      <c r="P162" s="11"/>
      <c r="Q162" s="11"/>
      <c r="R162" s="11"/>
      <c r="S162" s="11"/>
      <c r="T162" s="11"/>
      <c r="U162" s="11"/>
      <c r="V162" s="11"/>
      <c r="W162" s="11"/>
    </row>
    <row r="163" spans="1:23" customFormat="1">
      <c r="A163" s="145"/>
      <c r="B163" s="11"/>
      <c r="C163" s="239" t="str">
        <f t="shared" si="20"/>
        <v>Comercio</v>
      </c>
      <c r="D163" s="323" t="s">
        <v>182</v>
      </c>
      <c r="E163" s="239" t="s">
        <v>29</v>
      </c>
      <c r="F163" s="582" t="str">
        <f t="shared" si="14"/>
        <v>ComercioB4A</v>
      </c>
      <c r="G163" s="583"/>
      <c r="H163" s="584"/>
      <c r="I163" s="276"/>
      <c r="J163" s="11"/>
      <c r="K163" s="11"/>
      <c r="L163" s="11"/>
      <c r="M163" s="11"/>
      <c r="N163" s="11"/>
      <c r="O163" s="11"/>
      <c r="P163" s="11"/>
      <c r="Q163" s="11"/>
      <c r="R163" s="11"/>
      <c r="S163" s="11"/>
      <c r="T163" s="11"/>
      <c r="U163" s="11"/>
      <c r="V163" s="11"/>
      <c r="W163" s="11"/>
    </row>
    <row r="164" spans="1:23" customFormat="1">
      <c r="A164" s="145"/>
      <c r="B164" s="11"/>
      <c r="C164" s="239" t="str">
        <f t="shared" si="20"/>
        <v>Comercio</v>
      </c>
      <c r="D164" s="323" t="s">
        <v>182</v>
      </c>
      <c r="E164" s="239" t="s">
        <v>35</v>
      </c>
      <c r="F164" s="582" t="str">
        <f t="shared" si="14"/>
        <v>ComercioB4B</v>
      </c>
      <c r="G164" s="583"/>
      <c r="H164" s="584"/>
      <c r="I164" s="276"/>
      <c r="J164" s="11"/>
      <c r="K164" s="11"/>
      <c r="L164" s="11"/>
      <c r="M164" s="11"/>
      <c r="N164" s="11"/>
      <c r="O164" s="11"/>
      <c r="P164" s="11"/>
      <c r="Q164" s="11"/>
      <c r="R164" s="11"/>
      <c r="S164" s="11"/>
      <c r="T164" s="11"/>
      <c r="U164" s="11"/>
      <c r="V164" s="11"/>
      <c r="W164" s="11"/>
    </row>
    <row r="165" spans="1:23" customFormat="1">
      <c r="A165" s="145"/>
      <c r="B165" s="11"/>
      <c r="C165" s="239" t="str">
        <f t="shared" si="20"/>
        <v>Comercio</v>
      </c>
      <c r="D165" s="323" t="s">
        <v>182</v>
      </c>
      <c r="E165" s="239" t="s">
        <v>38</v>
      </c>
      <c r="F165" s="582" t="str">
        <f t="shared" si="14"/>
        <v>ComercioB4C</v>
      </c>
      <c r="G165" s="583"/>
      <c r="H165" s="584"/>
      <c r="I165" s="276"/>
      <c r="J165" s="11"/>
      <c r="K165" s="11"/>
      <c r="L165" s="11"/>
      <c r="M165" s="11"/>
      <c r="N165" s="11"/>
      <c r="O165" s="11"/>
      <c r="P165" s="11"/>
      <c r="Q165" s="11"/>
      <c r="R165" s="11"/>
      <c r="S165" s="11"/>
      <c r="T165" s="11"/>
      <c r="U165" s="11"/>
      <c r="V165" s="11"/>
      <c r="W165" s="11"/>
    </row>
    <row r="166" spans="1:23" customFormat="1">
      <c r="A166" s="145"/>
      <c r="B166" s="11"/>
      <c r="C166" s="239" t="str">
        <f t="shared" si="20"/>
        <v>Comercio</v>
      </c>
      <c r="D166" s="323" t="s">
        <v>182</v>
      </c>
      <c r="E166" s="239" t="s">
        <v>41</v>
      </c>
      <c r="F166" s="582" t="str">
        <f t="shared" si="14"/>
        <v>ComercioB4D</v>
      </c>
      <c r="G166" s="583"/>
      <c r="H166" s="584"/>
      <c r="I166" s="276"/>
      <c r="J166" s="11"/>
      <c r="K166" s="11"/>
      <c r="L166" s="11"/>
      <c r="M166" s="11"/>
      <c r="N166" s="11"/>
      <c r="O166" s="11"/>
      <c r="P166" s="11"/>
      <c r="Q166" s="11"/>
      <c r="R166" s="11"/>
      <c r="S166" s="11"/>
      <c r="T166" s="11"/>
      <c r="U166" s="11"/>
      <c r="V166" s="11"/>
      <c r="W166" s="11"/>
    </row>
    <row r="167" spans="1:23" customFormat="1">
      <c r="A167" s="145"/>
      <c r="B167" s="11"/>
      <c r="C167" s="239" t="str">
        <f t="shared" si="20"/>
        <v>Comercio</v>
      </c>
      <c r="D167" s="323" t="s">
        <v>182</v>
      </c>
      <c r="E167" s="239" t="s">
        <v>44</v>
      </c>
      <c r="F167" s="582" t="str">
        <f t="shared" si="14"/>
        <v>ComercioB4E</v>
      </c>
      <c r="G167" s="583"/>
      <c r="H167" s="584"/>
      <c r="I167" s="276"/>
      <c r="J167" s="11"/>
      <c r="K167" s="11"/>
      <c r="L167" s="11"/>
      <c r="M167" s="11"/>
      <c r="N167" s="11"/>
      <c r="O167" s="11"/>
      <c r="P167" s="11"/>
      <c r="Q167" s="11"/>
      <c r="R167" s="11"/>
      <c r="S167" s="11"/>
      <c r="T167" s="11"/>
      <c r="U167" s="11"/>
      <c r="V167" s="11"/>
      <c r="W167" s="11"/>
    </row>
    <row r="168" spans="1:23" customFormat="1">
      <c r="A168" s="145"/>
      <c r="B168" s="11"/>
      <c r="C168" s="239" t="str">
        <f t="shared" si="20"/>
        <v>Comercio</v>
      </c>
      <c r="D168" s="323" t="s">
        <v>182</v>
      </c>
      <c r="E168" s="289" t="str">
        <f>IF(Idioma=Castellano,"Sin definir",IF(Idioma=Valencià,"Sense definir","Sin definir"))</f>
        <v>Sin definir</v>
      </c>
      <c r="F168" s="582" t="str">
        <f t="shared" si="14"/>
        <v>ComercioB4Sin definir</v>
      </c>
      <c r="G168" s="583"/>
      <c r="H168" s="584"/>
      <c r="I168" s="276"/>
      <c r="J168" s="11"/>
      <c r="K168" s="11"/>
      <c r="L168" s="11"/>
      <c r="M168" s="11"/>
      <c r="N168" s="11"/>
      <c r="O168" s="11"/>
      <c r="P168" s="11"/>
      <c r="Q168" s="11"/>
      <c r="R168" s="11"/>
      <c r="S168" s="11"/>
      <c r="T168" s="11"/>
      <c r="U168" s="11"/>
      <c r="V168" s="11"/>
      <c r="W168" s="11"/>
    </row>
    <row r="169" spans="1:23" customFormat="1">
      <c r="A169" s="145"/>
      <c r="B169" s="11"/>
      <c r="C169" s="239" t="s">
        <v>606</v>
      </c>
      <c r="D169" s="323" t="s">
        <v>182</v>
      </c>
      <c r="E169" s="289" t="str">
        <f>IF(Idioma=Castellano,"Existente",IF(Idioma=Valencià,"Existent","Existente"))</f>
        <v>Existente</v>
      </c>
      <c r="F169" s="582" t="str">
        <f t="shared" si="14"/>
        <v>HotelB4Existente</v>
      </c>
      <c r="G169" s="583"/>
      <c r="H169" s="584"/>
      <c r="I169" s="276"/>
      <c r="J169" s="11"/>
      <c r="K169" s="11"/>
      <c r="L169" s="11"/>
      <c r="M169" s="11"/>
      <c r="N169" s="11"/>
      <c r="O169" s="11"/>
      <c r="P169" s="11"/>
      <c r="Q169" s="11"/>
      <c r="R169" s="11"/>
      <c r="S169" s="11"/>
      <c r="T169" s="11"/>
      <c r="U169" s="11"/>
      <c r="V169" s="11"/>
      <c r="W169" s="11"/>
    </row>
    <row r="170" spans="1:23" customFormat="1">
      <c r="A170" s="145"/>
      <c r="B170" s="11"/>
      <c r="C170" s="239" t="s">
        <v>606</v>
      </c>
      <c r="D170" s="323" t="s">
        <v>182</v>
      </c>
      <c r="E170" s="239" t="s">
        <v>29</v>
      </c>
      <c r="F170" s="582" t="str">
        <f t="shared" si="14"/>
        <v>HotelB4A</v>
      </c>
      <c r="G170" s="583"/>
      <c r="H170" s="584"/>
      <c r="I170" s="276"/>
      <c r="J170" s="11"/>
      <c r="K170" s="11"/>
      <c r="L170" s="11"/>
      <c r="M170" s="11"/>
      <c r="N170" s="11"/>
      <c r="O170" s="11"/>
      <c r="P170" s="11"/>
      <c r="Q170" s="11"/>
      <c r="R170" s="11"/>
      <c r="S170" s="11"/>
      <c r="T170" s="11"/>
      <c r="U170" s="11"/>
      <c r="V170" s="11"/>
      <c r="W170" s="11"/>
    </row>
    <row r="171" spans="1:23" customFormat="1">
      <c r="A171" s="145"/>
      <c r="B171" s="11"/>
      <c r="C171" s="239" t="s">
        <v>606</v>
      </c>
      <c r="D171" s="323" t="s">
        <v>182</v>
      </c>
      <c r="E171" s="239" t="s">
        <v>35</v>
      </c>
      <c r="F171" s="582" t="str">
        <f t="shared" si="14"/>
        <v>HotelB4B</v>
      </c>
      <c r="G171" s="583"/>
      <c r="H171" s="584"/>
      <c r="I171" s="276"/>
      <c r="J171" s="11"/>
      <c r="K171" s="11"/>
      <c r="L171" s="11"/>
      <c r="M171" s="11"/>
      <c r="N171" s="11"/>
      <c r="O171" s="11"/>
      <c r="P171" s="11"/>
      <c r="Q171" s="11"/>
      <c r="R171" s="11"/>
      <c r="S171" s="11"/>
      <c r="T171" s="11"/>
      <c r="U171" s="11"/>
      <c r="V171" s="11"/>
      <c r="W171" s="11"/>
    </row>
    <row r="172" spans="1:23" customFormat="1">
      <c r="A172" s="145"/>
      <c r="B172" s="11"/>
      <c r="C172" s="239" t="s">
        <v>606</v>
      </c>
      <c r="D172" s="323" t="s">
        <v>182</v>
      </c>
      <c r="E172" s="239" t="s">
        <v>38</v>
      </c>
      <c r="F172" s="582" t="str">
        <f t="shared" si="14"/>
        <v>HotelB4C</v>
      </c>
      <c r="G172" s="583"/>
      <c r="H172" s="584"/>
      <c r="I172" s="276"/>
      <c r="J172" s="11"/>
      <c r="K172" s="11"/>
      <c r="L172" s="11"/>
      <c r="M172" s="11"/>
      <c r="N172" s="11"/>
      <c r="O172" s="11"/>
      <c r="P172" s="11"/>
      <c r="Q172" s="11"/>
      <c r="R172" s="11"/>
      <c r="S172" s="11"/>
      <c r="T172" s="11"/>
      <c r="U172" s="11"/>
      <c r="V172" s="11"/>
      <c r="W172" s="11"/>
    </row>
    <row r="173" spans="1:23" customFormat="1">
      <c r="A173" s="145"/>
      <c r="B173" s="11"/>
      <c r="C173" s="239" t="s">
        <v>606</v>
      </c>
      <c r="D173" s="323" t="s">
        <v>182</v>
      </c>
      <c r="E173" s="239" t="s">
        <v>41</v>
      </c>
      <c r="F173" s="582" t="str">
        <f t="shared" si="14"/>
        <v>HotelB4D</v>
      </c>
      <c r="G173" s="583"/>
      <c r="H173" s="584"/>
      <c r="I173" s="276"/>
      <c r="J173" s="11"/>
      <c r="K173" s="11"/>
      <c r="L173" s="11"/>
      <c r="M173" s="11"/>
      <c r="N173" s="11"/>
      <c r="O173" s="11"/>
      <c r="P173" s="11"/>
      <c r="Q173" s="11"/>
      <c r="R173" s="11"/>
      <c r="S173" s="11"/>
      <c r="T173" s="11"/>
      <c r="U173" s="11"/>
      <c r="V173" s="11"/>
      <c r="W173" s="11"/>
    </row>
    <row r="174" spans="1:23" customFormat="1">
      <c r="A174" s="145"/>
      <c r="B174" s="11"/>
      <c r="C174" s="239" t="s">
        <v>606</v>
      </c>
      <c r="D174" s="323" t="s">
        <v>182</v>
      </c>
      <c r="E174" s="239" t="s">
        <v>44</v>
      </c>
      <c r="F174" s="582" t="str">
        <f t="shared" si="14"/>
        <v>HotelB4E</v>
      </c>
      <c r="G174" s="583"/>
      <c r="H174" s="584"/>
      <c r="I174" s="276"/>
      <c r="J174" s="11"/>
      <c r="K174" s="11"/>
      <c r="L174" s="11"/>
      <c r="M174" s="11"/>
      <c r="N174" s="11"/>
      <c r="O174" s="11"/>
      <c r="P174" s="11"/>
      <c r="Q174" s="11"/>
      <c r="R174" s="11"/>
      <c r="S174" s="11"/>
      <c r="T174" s="11"/>
      <c r="U174" s="11"/>
      <c r="V174" s="11"/>
      <c r="W174" s="11"/>
    </row>
    <row r="175" spans="1:23" customFormat="1">
      <c r="A175" s="145"/>
      <c r="B175" s="11"/>
      <c r="C175" s="239" t="s">
        <v>606</v>
      </c>
      <c r="D175" s="323" t="s">
        <v>182</v>
      </c>
      <c r="E175" s="289" t="str">
        <f>IF(Idioma=Castellano,"Sin definir",IF(Idioma=Valencià,"Sense definir","Sin definir"))</f>
        <v>Sin definir</v>
      </c>
      <c r="F175" s="582" t="str">
        <f t="shared" si="14"/>
        <v>HotelB4Sin definir</v>
      </c>
      <c r="G175" s="583"/>
      <c r="H175" s="584"/>
      <c r="I175" s="276"/>
      <c r="J175" s="11"/>
      <c r="K175" s="11"/>
      <c r="L175" s="11"/>
      <c r="M175" s="11"/>
      <c r="N175" s="11"/>
      <c r="O175" s="11"/>
      <c r="P175" s="11"/>
      <c r="Q175" s="11"/>
      <c r="R175" s="11"/>
      <c r="S175" s="11"/>
      <c r="T175" s="11"/>
      <c r="U175" s="11"/>
      <c r="V175" s="11"/>
      <c r="W175" s="11"/>
    </row>
    <row r="176" spans="1:23" customFormat="1">
      <c r="A176" s="145"/>
      <c r="B176" s="11"/>
      <c r="C176" s="239" t="str">
        <f t="shared" ref="C176:C182" si="21">IF(Idioma=Castellano,"Restauración",IF(Idioma=Valencià,"Restauració","Restauración"))</f>
        <v>Restauración</v>
      </c>
      <c r="D176" s="323" t="s">
        <v>182</v>
      </c>
      <c r="E176" s="289" t="str">
        <f>IF(Idioma=Castellano,"Existente",IF(Idioma=Valencià,"Existent","Existente"))</f>
        <v>Existente</v>
      </c>
      <c r="F176" s="582" t="str">
        <f t="shared" si="14"/>
        <v>RestauraciónB4Existente</v>
      </c>
      <c r="G176" s="583"/>
      <c r="H176" s="584"/>
      <c r="I176" s="276"/>
      <c r="J176" s="11"/>
      <c r="K176" s="11"/>
      <c r="L176" s="11"/>
      <c r="M176" s="11"/>
      <c r="N176" s="11"/>
      <c r="O176" s="11"/>
      <c r="P176" s="11"/>
      <c r="Q176" s="11"/>
      <c r="R176" s="11"/>
      <c r="S176" s="11"/>
      <c r="T176" s="11"/>
      <c r="U176" s="11"/>
      <c r="V176" s="11"/>
      <c r="W176" s="11"/>
    </row>
    <row r="177" spans="1:23" customFormat="1">
      <c r="A177" s="145"/>
      <c r="B177" s="11"/>
      <c r="C177" s="239" t="str">
        <f t="shared" si="21"/>
        <v>Restauración</v>
      </c>
      <c r="D177" s="323" t="s">
        <v>182</v>
      </c>
      <c r="E177" s="239" t="s">
        <v>29</v>
      </c>
      <c r="F177" s="582" t="str">
        <f t="shared" si="14"/>
        <v>RestauraciónB4A</v>
      </c>
      <c r="G177" s="583"/>
      <c r="H177" s="584"/>
      <c r="I177" s="276"/>
      <c r="J177" s="11"/>
      <c r="K177" s="11"/>
      <c r="L177" s="11"/>
      <c r="M177" s="11"/>
      <c r="N177" s="11"/>
      <c r="O177" s="11"/>
      <c r="P177" s="11"/>
      <c r="Q177" s="11"/>
      <c r="R177" s="11"/>
      <c r="S177" s="11"/>
      <c r="T177" s="11"/>
      <c r="U177" s="11"/>
      <c r="V177" s="11"/>
      <c r="W177" s="11"/>
    </row>
    <row r="178" spans="1:23" customFormat="1">
      <c r="A178" s="145"/>
      <c r="B178" s="11"/>
      <c r="C178" s="239" t="str">
        <f t="shared" si="21"/>
        <v>Restauración</v>
      </c>
      <c r="D178" s="323" t="s">
        <v>182</v>
      </c>
      <c r="E178" s="239" t="s">
        <v>35</v>
      </c>
      <c r="F178" s="582" t="str">
        <f t="shared" si="14"/>
        <v>RestauraciónB4B</v>
      </c>
      <c r="G178" s="583"/>
      <c r="H178" s="584"/>
      <c r="I178" s="276"/>
      <c r="J178" s="11"/>
      <c r="K178" s="11"/>
      <c r="L178" s="11"/>
      <c r="M178" s="11"/>
      <c r="N178" s="11"/>
      <c r="O178" s="11"/>
      <c r="P178" s="11"/>
      <c r="Q178" s="11"/>
      <c r="R178" s="11"/>
      <c r="S178" s="11"/>
      <c r="T178" s="11"/>
      <c r="U178" s="11"/>
      <c r="V178" s="11"/>
      <c r="W178" s="11"/>
    </row>
    <row r="179" spans="1:23" customFormat="1">
      <c r="A179" s="145"/>
      <c r="B179" s="11"/>
      <c r="C179" s="239" t="str">
        <f t="shared" si="21"/>
        <v>Restauración</v>
      </c>
      <c r="D179" s="323" t="s">
        <v>182</v>
      </c>
      <c r="E179" s="239" t="s">
        <v>38</v>
      </c>
      <c r="F179" s="582" t="str">
        <f t="shared" si="14"/>
        <v>RestauraciónB4C</v>
      </c>
      <c r="G179" s="583"/>
      <c r="H179" s="584"/>
      <c r="I179" s="276"/>
      <c r="J179" s="11"/>
      <c r="K179" s="11"/>
      <c r="L179" s="11"/>
      <c r="M179" s="11"/>
      <c r="N179" s="11"/>
      <c r="O179" s="11"/>
      <c r="P179" s="11"/>
      <c r="Q179" s="11"/>
      <c r="R179" s="11"/>
      <c r="S179" s="11"/>
      <c r="T179" s="11"/>
      <c r="U179" s="11"/>
      <c r="V179" s="11"/>
      <c r="W179" s="11"/>
    </row>
    <row r="180" spans="1:23" customFormat="1">
      <c r="A180" s="145"/>
      <c r="B180" s="11"/>
      <c r="C180" s="239" t="str">
        <f t="shared" si="21"/>
        <v>Restauración</v>
      </c>
      <c r="D180" s="323" t="s">
        <v>182</v>
      </c>
      <c r="E180" s="239" t="s">
        <v>41</v>
      </c>
      <c r="F180" s="582" t="str">
        <f t="shared" ref="F180:F243" si="22">C180&amp;D180&amp;E180</f>
        <v>RestauraciónB4D</v>
      </c>
      <c r="G180" s="583"/>
      <c r="H180" s="584"/>
      <c r="I180" s="276"/>
      <c r="J180" s="11"/>
      <c r="K180" s="11"/>
      <c r="L180" s="11"/>
      <c r="M180" s="11"/>
      <c r="N180" s="11"/>
      <c r="O180" s="11"/>
      <c r="P180" s="11"/>
      <c r="Q180" s="11"/>
      <c r="R180" s="11"/>
      <c r="S180" s="11"/>
      <c r="T180" s="11"/>
      <c r="U180" s="11"/>
      <c r="V180" s="11"/>
      <c r="W180" s="11"/>
    </row>
    <row r="181" spans="1:23" customFormat="1">
      <c r="A181" s="145"/>
      <c r="B181" s="11"/>
      <c r="C181" s="239" t="str">
        <f t="shared" si="21"/>
        <v>Restauración</v>
      </c>
      <c r="D181" s="323" t="s">
        <v>182</v>
      </c>
      <c r="E181" s="239" t="s">
        <v>44</v>
      </c>
      <c r="F181" s="582" t="str">
        <f t="shared" si="22"/>
        <v>RestauraciónB4E</v>
      </c>
      <c r="G181" s="583"/>
      <c r="H181" s="584"/>
      <c r="I181" s="276"/>
      <c r="J181" s="11"/>
      <c r="K181" s="11"/>
      <c r="L181" s="11"/>
      <c r="M181" s="11"/>
      <c r="N181" s="11"/>
      <c r="O181" s="11"/>
      <c r="P181" s="11"/>
      <c r="Q181" s="11"/>
      <c r="R181" s="11"/>
      <c r="S181" s="11"/>
      <c r="T181" s="11"/>
      <c r="U181" s="11"/>
      <c r="V181" s="11"/>
      <c r="W181" s="11"/>
    </row>
    <row r="182" spans="1:23" customFormat="1">
      <c r="A182" s="145"/>
      <c r="B182" s="11"/>
      <c r="C182" s="239" t="str">
        <f t="shared" si="21"/>
        <v>Restauración</v>
      </c>
      <c r="D182" s="323" t="s">
        <v>182</v>
      </c>
      <c r="E182" s="289" t="str">
        <f>IF(Idioma=Castellano,"Sin definir",IF(Idioma=Valencià,"Sense definir","Sin definir"))</f>
        <v>Sin definir</v>
      </c>
      <c r="F182" s="582" t="str">
        <f t="shared" si="22"/>
        <v>RestauraciónB4Sin definir</v>
      </c>
      <c r="G182" s="583"/>
      <c r="H182" s="584"/>
      <c r="I182" s="276"/>
      <c r="J182" s="11"/>
      <c r="K182" s="11"/>
      <c r="L182" s="11"/>
      <c r="M182" s="11"/>
      <c r="N182" s="11"/>
      <c r="O182" s="11"/>
      <c r="P182" s="11"/>
      <c r="Q182" s="11"/>
      <c r="R182" s="11"/>
      <c r="S182" s="11"/>
      <c r="T182" s="11"/>
      <c r="U182" s="11"/>
      <c r="V182" s="11"/>
      <c r="W182" s="11"/>
    </row>
    <row r="183" spans="1:23" customFormat="1">
      <c r="A183" s="145"/>
      <c r="B183" s="11"/>
      <c r="C183" s="239" t="str">
        <f t="shared" ref="C183:C189" si="23">IF(Idioma=Castellano,"Sin especificar",IF(Idioma=Valencià,"Sense especificar ","Sin especificar"))</f>
        <v>Sin especificar</v>
      </c>
      <c r="D183" s="323" t="s">
        <v>182</v>
      </c>
      <c r="E183" s="289" t="str">
        <f>IF(Idioma=Castellano,"Existente",IF(Idioma=Valencià,"Existent","Existente"))</f>
        <v>Existente</v>
      </c>
      <c r="F183" s="582" t="str">
        <f t="shared" si="22"/>
        <v>Sin especificarB4Existente</v>
      </c>
      <c r="G183" s="583"/>
      <c r="H183" s="584"/>
      <c r="I183" s="276"/>
      <c r="J183" s="11"/>
      <c r="K183" s="11"/>
      <c r="L183" s="11"/>
      <c r="M183" s="11"/>
      <c r="N183" s="11"/>
      <c r="O183" s="11"/>
      <c r="P183" s="11"/>
      <c r="Q183" s="11"/>
      <c r="R183" s="11"/>
      <c r="S183" s="11"/>
      <c r="T183" s="11"/>
      <c r="U183" s="11"/>
      <c r="V183" s="11"/>
      <c r="W183" s="11"/>
    </row>
    <row r="184" spans="1:23" customFormat="1">
      <c r="A184" s="145"/>
      <c r="B184" s="11"/>
      <c r="C184" s="239" t="str">
        <f t="shared" si="23"/>
        <v>Sin especificar</v>
      </c>
      <c r="D184" s="323" t="s">
        <v>182</v>
      </c>
      <c r="E184" s="239" t="s">
        <v>29</v>
      </c>
      <c r="F184" s="582" t="str">
        <f t="shared" si="22"/>
        <v>Sin especificarB4A</v>
      </c>
      <c r="G184" s="583"/>
      <c r="H184" s="584"/>
      <c r="I184" s="276"/>
      <c r="J184" s="11"/>
      <c r="K184" s="11"/>
      <c r="L184" s="11"/>
      <c r="M184" s="11"/>
      <c r="N184" s="11"/>
      <c r="O184" s="11"/>
      <c r="P184" s="11"/>
      <c r="Q184" s="11"/>
      <c r="R184" s="11"/>
      <c r="S184" s="11"/>
      <c r="T184" s="11"/>
      <c r="U184" s="11"/>
      <c r="V184" s="11"/>
      <c r="W184" s="11"/>
    </row>
    <row r="185" spans="1:23" customFormat="1">
      <c r="A185" s="145"/>
      <c r="B185" s="11"/>
      <c r="C185" s="239" t="str">
        <f t="shared" si="23"/>
        <v>Sin especificar</v>
      </c>
      <c r="D185" s="323" t="s">
        <v>182</v>
      </c>
      <c r="E185" s="239" t="s">
        <v>35</v>
      </c>
      <c r="F185" s="582" t="str">
        <f t="shared" si="22"/>
        <v>Sin especificarB4B</v>
      </c>
      <c r="G185" s="583"/>
      <c r="H185" s="584"/>
      <c r="I185" s="276"/>
      <c r="J185" s="11"/>
      <c r="K185" s="11"/>
      <c r="L185" s="11"/>
      <c r="M185" s="11"/>
      <c r="N185" s="11"/>
      <c r="O185" s="11"/>
      <c r="P185" s="11"/>
      <c r="Q185" s="11"/>
      <c r="R185" s="11"/>
      <c r="S185" s="11"/>
      <c r="T185" s="11"/>
      <c r="U185" s="11"/>
      <c r="V185" s="11"/>
      <c r="W185" s="11"/>
    </row>
    <row r="186" spans="1:23" customFormat="1">
      <c r="A186" s="145"/>
      <c r="B186" s="11"/>
      <c r="C186" s="239" t="str">
        <f t="shared" si="23"/>
        <v>Sin especificar</v>
      </c>
      <c r="D186" s="323" t="s">
        <v>182</v>
      </c>
      <c r="E186" s="239" t="s">
        <v>38</v>
      </c>
      <c r="F186" s="582" t="str">
        <f t="shared" si="22"/>
        <v>Sin especificarB4C</v>
      </c>
      <c r="G186" s="583"/>
      <c r="H186" s="584"/>
      <c r="I186" s="276"/>
      <c r="J186" s="11"/>
      <c r="K186" s="11"/>
      <c r="L186" s="11"/>
      <c r="M186" s="11"/>
      <c r="N186" s="11"/>
      <c r="O186" s="11"/>
      <c r="P186" s="11"/>
      <c r="Q186" s="11"/>
      <c r="R186" s="11"/>
      <c r="S186" s="11"/>
      <c r="T186" s="11"/>
      <c r="U186" s="11"/>
      <c r="V186" s="11"/>
      <c r="W186" s="11"/>
    </row>
    <row r="187" spans="1:23" customFormat="1">
      <c r="A187" s="145"/>
      <c r="B187" s="11"/>
      <c r="C187" s="239" t="str">
        <f t="shared" si="23"/>
        <v>Sin especificar</v>
      </c>
      <c r="D187" s="323" t="s">
        <v>182</v>
      </c>
      <c r="E187" s="239" t="s">
        <v>41</v>
      </c>
      <c r="F187" s="582" t="str">
        <f t="shared" si="22"/>
        <v>Sin especificarB4D</v>
      </c>
      <c r="G187" s="583"/>
      <c r="H187" s="584"/>
      <c r="I187" s="276"/>
      <c r="J187" s="11"/>
      <c r="K187" s="11"/>
      <c r="L187" s="11"/>
      <c r="M187" s="11"/>
      <c r="N187" s="11"/>
      <c r="O187" s="11"/>
      <c r="P187" s="11"/>
      <c r="Q187" s="11"/>
      <c r="R187" s="11"/>
      <c r="S187" s="11"/>
      <c r="T187" s="11"/>
      <c r="U187" s="11"/>
      <c r="V187" s="11"/>
      <c r="W187" s="11"/>
    </row>
    <row r="188" spans="1:23" customFormat="1">
      <c r="A188" s="145"/>
      <c r="B188" s="11"/>
      <c r="C188" s="239" t="str">
        <f t="shared" si="23"/>
        <v>Sin especificar</v>
      </c>
      <c r="D188" s="323" t="s">
        <v>182</v>
      </c>
      <c r="E188" s="239" t="s">
        <v>44</v>
      </c>
      <c r="F188" s="582" t="str">
        <f t="shared" si="22"/>
        <v>Sin especificarB4E</v>
      </c>
      <c r="G188" s="583"/>
      <c r="H188" s="584"/>
      <c r="I188" s="276"/>
      <c r="J188" s="11"/>
      <c r="K188" s="11"/>
      <c r="L188" s="11"/>
      <c r="M188" s="11"/>
      <c r="N188" s="11"/>
      <c r="O188" s="11"/>
      <c r="P188" s="11"/>
      <c r="Q188" s="11"/>
      <c r="R188" s="11"/>
      <c r="S188" s="11"/>
      <c r="T188" s="11"/>
      <c r="U188" s="11"/>
      <c r="V188" s="11"/>
      <c r="W188" s="11"/>
    </row>
    <row r="189" spans="1:23" customFormat="1">
      <c r="A189" s="145"/>
      <c r="B189" s="11"/>
      <c r="C189" s="239" t="str">
        <f t="shared" si="23"/>
        <v>Sin especificar</v>
      </c>
      <c r="D189" s="323" t="s">
        <v>182</v>
      </c>
      <c r="E189" s="289" t="str">
        <f>IF(Idioma=Castellano,"Sin definir",IF(Idioma=Valencià,"Sense definir","Sin definir"))</f>
        <v>Sin definir</v>
      </c>
      <c r="F189" s="582" t="str">
        <f t="shared" si="22"/>
        <v>Sin especificarB4Sin definir</v>
      </c>
      <c r="G189" s="583"/>
      <c r="H189" s="584"/>
      <c r="I189" s="276"/>
      <c r="J189" s="11"/>
      <c r="K189" s="11"/>
      <c r="L189" s="11"/>
      <c r="M189" s="11"/>
      <c r="N189" s="11"/>
      <c r="O189" s="11"/>
      <c r="P189" s="11"/>
      <c r="Q189" s="11"/>
      <c r="R189" s="11"/>
      <c r="S189" s="11"/>
      <c r="T189" s="11"/>
      <c r="U189" s="11"/>
      <c r="V189" s="11"/>
      <c r="W189" s="11"/>
    </row>
    <row r="190" spans="1:23" customFormat="1">
      <c r="A190" s="145"/>
      <c r="B190" s="11"/>
      <c r="C190" s="239" t="str">
        <f t="shared" ref="C190:C196" si="24">IF(Idioma=Castellano,"Oficinas",IF(Idioma=Valencià,"Oficines","Oficinas"))</f>
        <v>Oficinas</v>
      </c>
      <c r="D190" s="323" t="s">
        <v>126</v>
      </c>
      <c r="E190" s="289" t="str">
        <f>IF(Idioma=Castellano,"Existente",IF(Idioma=Valencià,"Existent","Existente"))</f>
        <v>Existente</v>
      </c>
      <c r="F190" s="582" t="str">
        <f t="shared" si="22"/>
        <v>OficinasC1Existente</v>
      </c>
      <c r="G190" s="583"/>
      <c r="H190" s="584"/>
      <c r="I190" s="276"/>
      <c r="J190" s="11"/>
      <c r="K190" s="11"/>
      <c r="L190" s="11"/>
      <c r="M190" s="11"/>
      <c r="N190" s="11"/>
      <c r="O190" s="11"/>
      <c r="P190" s="11"/>
      <c r="Q190" s="11"/>
      <c r="R190" s="11"/>
      <c r="S190" s="11"/>
      <c r="T190" s="11"/>
      <c r="U190" s="11"/>
      <c r="V190" s="11"/>
      <c r="W190" s="11"/>
    </row>
    <row r="191" spans="1:23" customFormat="1">
      <c r="A191" s="145"/>
      <c r="B191" s="11"/>
      <c r="C191" s="239" t="str">
        <f t="shared" si="24"/>
        <v>Oficinas</v>
      </c>
      <c r="D191" s="323" t="s">
        <v>126</v>
      </c>
      <c r="E191" s="239" t="s">
        <v>29</v>
      </c>
      <c r="F191" s="582" t="str">
        <f t="shared" si="22"/>
        <v>OficinasC1A</v>
      </c>
      <c r="G191" s="583"/>
      <c r="H191" s="584"/>
      <c r="I191" s="276"/>
      <c r="J191" s="11"/>
      <c r="K191" s="11"/>
      <c r="L191" s="11"/>
      <c r="M191" s="11"/>
      <c r="N191" s="11"/>
      <c r="O191" s="11"/>
      <c r="P191" s="11"/>
      <c r="Q191" s="11"/>
      <c r="R191" s="11"/>
      <c r="S191" s="11"/>
      <c r="T191" s="11"/>
      <c r="U191" s="11"/>
      <c r="V191" s="11"/>
      <c r="W191" s="11"/>
    </row>
    <row r="192" spans="1:23" customFormat="1">
      <c r="A192" s="145"/>
      <c r="B192" s="11"/>
      <c r="C192" s="239" t="str">
        <f t="shared" si="24"/>
        <v>Oficinas</v>
      </c>
      <c r="D192" s="323" t="s">
        <v>126</v>
      </c>
      <c r="E192" s="239" t="s">
        <v>35</v>
      </c>
      <c r="F192" s="582" t="str">
        <f t="shared" si="22"/>
        <v>OficinasC1B</v>
      </c>
      <c r="G192" s="583"/>
      <c r="H192" s="584"/>
      <c r="I192" s="276"/>
      <c r="J192" s="11"/>
      <c r="K192" s="11"/>
      <c r="L192" s="11"/>
      <c r="M192" s="11"/>
      <c r="N192" s="11"/>
      <c r="O192" s="11"/>
      <c r="P192" s="11"/>
      <c r="Q192" s="11"/>
      <c r="R192" s="11"/>
      <c r="S192" s="11"/>
      <c r="T192" s="11"/>
      <c r="U192" s="11"/>
      <c r="V192" s="11"/>
      <c r="W192" s="11"/>
    </row>
    <row r="193" spans="1:23" customFormat="1">
      <c r="A193" s="145"/>
      <c r="B193" s="11"/>
      <c r="C193" s="239" t="str">
        <f t="shared" si="24"/>
        <v>Oficinas</v>
      </c>
      <c r="D193" s="323" t="s">
        <v>126</v>
      </c>
      <c r="E193" s="239" t="s">
        <v>38</v>
      </c>
      <c r="F193" s="582" t="str">
        <f t="shared" si="22"/>
        <v>OficinasC1C</v>
      </c>
      <c r="G193" s="583"/>
      <c r="H193" s="584"/>
      <c r="I193" s="276"/>
      <c r="J193" s="11"/>
      <c r="K193" s="11"/>
      <c r="L193" s="11"/>
      <c r="M193" s="11"/>
      <c r="N193" s="11"/>
      <c r="O193" s="11"/>
      <c r="P193" s="11"/>
      <c r="Q193" s="11"/>
      <c r="R193" s="11"/>
      <c r="S193" s="11"/>
      <c r="T193" s="11"/>
      <c r="U193" s="11"/>
      <c r="V193" s="11"/>
      <c r="W193" s="11"/>
    </row>
    <row r="194" spans="1:23" customFormat="1">
      <c r="A194" s="145"/>
      <c r="B194" s="11"/>
      <c r="C194" s="239" t="str">
        <f t="shared" si="24"/>
        <v>Oficinas</v>
      </c>
      <c r="D194" s="323" t="s">
        <v>126</v>
      </c>
      <c r="E194" s="239" t="s">
        <v>41</v>
      </c>
      <c r="F194" s="582" t="str">
        <f t="shared" si="22"/>
        <v>OficinasC1D</v>
      </c>
      <c r="G194" s="583"/>
      <c r="H194" s="584"/>
      <c r="I194" s="276"/>
      <c r="J194" s="11"/>
      <c r="K194" s="11"/>
      <c r="L194" s="11"/>
      <c r="M194" s="11"/>
      <c r="N194" s="11"/>
      <c r="O194" s="11"/>
      <c r="P194" s="11"/>
      <c r="Q194" s="11"/>
      <c r="R194" s="11"/>
      <c r="S194" s="11"/>
      <c r="T194" s="11"/>
      <c r="U194" s="11"/>
      <c r="V194" s="11"/>
      <c r="W194" s="11"/>
    </row>
    <row r="195" spans="1:23" customFormat="1">
      <c r="A195" s="145"/>
      <c r="B195" s="11"/>
      <c r="C195" s="239" t="str">
        <f t="shared" si="24"/>
        <v>Oficinas</v>
      </c>
      <c r="D195" s="323" t="s">
        <v>126</v>
      </c>
      <c r="E195" s="239" t="s">
        <v>44</v>
      </c>
      <c r="F195" s="582" t="str">
        <f t="shared" si="22"/>
        <v>OficinasC1E</v>
      </c>
      <c r="G195" s="583"/>
      <c r="H195" s="584"/>
      <c r="I195" s="276"/>
      <c r="J195" s="11"/>
      <c r="K195" s="11"/>
      <c r="L195" s="11"/>
      <c r="M195" s="11"/>
      <c r="N195" s="11"/>
      <c r="O195" s="11"/>
      <c r="P195" s="11"/>
      <c r="Q195" s="11"/>
      <c r="R195" s="11"/>
      <c r="S195" s="11"/>
      <c r="T195" s="11"/>
      <c r="U195" s="11"/>
      <c r="V195" s="11"/>
      <c r="W195" s="11"/>
    </row>
    <row r="196" spans="1:23" customFormat="1">
      <c r="A196" s="145"/>
      <c r="B196" s="11"/>
      <c r="C196" s="239" t="str">
        <f t="shared" si="24"/>
        <v>Oficinas</v>
      </c>
      <c r="D196" s="323" t="s">
        <v>126</v>
      </c>
      <c r="E196" s="289" t="str">
        <f>IF(Idioma=Castellano,"Sin definir",IF(Idioma=Valencià,"Sense definir","Sin definir"))</f>
        <v>Sin definir</v>
      </c>
      <c r="F196" s="582" t="str">
        <f t="shared" si="22"/>
        <v>OficinasC1Sin definir</v>
      </c>
      <c r="G196" s="583"/>
      <c r="H196" s="584"/>
      <c r="I196" s="276"/>
      <c r="J196" s="11"/>
      <c r="K196" s="11"/>
      <c r="L196" s="11"/>
      <c r="M196" s="11"/>
      <c r="N196" s="11"/>
      <c r="O196" s="11"/>
      <c r="P196" s="11"/>
      <c r="Q196" s="11"/>
      <c r="R196" s="11"/>
      <c r="S196" s="11"/>
      <c r="T196" s="11"/>
      <c r="U196" s="11"/>
      <c r="V196" s="11"/>
      <c r="W196" s="11"/>
    </row>
    <row r="197" spans="1:23" customFormat="1">
      <c r="A197" s="145"/>
      <c r="B197" s="11"/>
      <c r="C197" s="239" t="str">
        <f t="shared" ref="C197:C203" si="25">IF(Idioma=Castellano,"Comercio",IF(Idioma=Valencià,"Comerç","Comercio"))</f>
        <v>Comercio</v>
      </c>
      <c r="D197" s="323" t="s">
        <v>126</v>
      </c>
      <c r="E197" s="289" t="str">
        <f>IF(Idioma=Castellano,"Existente",IF(Idioma=Valencià,"Existent","Existente"))</f>
        <v>Existente</v>
      </c>
      <c r="F197" s="582" t="str">
        <f t="shared" si="22"/>
        <v>ComercioC1Existente</v>
      </c>
      <c r="G197" s="583"/>
      <c r="H197" s="584"/>
      <c r="I197" s="276"/>
      <c r="J197" s="11"/>
      <c r="K197" s="11"/>
      <c r="L197" s="11"/>
      <c r="M197" s="11"/>
      <c r="N197" s="11"/>
      <c r="O197" s="11"/>
      <c r="P197" s="11"/>
      <c r="Q197" s="11"/>
      <c r="R197" s="11"/>
      <c r="S197" s="11"/>
      <c r="T197" s="11"/>
      <c r="U197" s="11"/>
      <c r="V197" s="11"/>
      <c r="W197" s="11"/>
    </row>
    <row r="198" spans="1:23" customFormat="1">
      <c r="A198" s="145"/>
      <c r="B198" s="11"/>
      <c r="C198" s="239" t="str">
        <f t="shared" si="25"/>
        <v>Comercio</v>
      </c>
      <c r="D198" s="323" t="s">
        <v>126</v>
      </c>
      <c r="E198" s="239" t="s">
        <v>29</v>
      </c>
      <c r="F198" s="582" t="str">
        <f t="shared" si="22"/>
        <v>ComercioC1A</v>
      </c>
      <c r="G198" s="583"/>
      <c r="H198" s="584"/>
      <c r="I198" s="276"/>
      <c r="J198" s="11"/>
      <c r="K198" s="11"/>
      <c r="L198" s="11"/>
      <c r="M198" s="11"/>
      <c r="N198" s="11"/>
      <c r="O198" s="11"/>
      <c r="P198" s="11"/>
      <c r="Q198" s="11"/>
      <c r="R198" s="11"/>
      <c r="S198" s="11"/>
      <c r="T198" s="11"/>
      <c r="U198" s="11"/>
      <c r="V198" s="11"/>
      <c r="W198" s="11"/>
    </row>
    <row r="199" spans="1:23" customFormat="1">
      <c r="A199" s="145"/>
      <c r="B199" s="11"/>
      <c r="C199" s="239" t="str">
        <f t="shared" si="25"/>
        <v>Comercio</v>
      </c>
      <c r="D199" s="323" t="s">
        <v>126</v>
      </c>
      <c r="E199" s="239" t="s">
        <v>35</v>
      </c>
      <c r="F199" s="582" t="str">
        <f t="shared" si="22"/>
        <v>ComercioC1B</v>
      </c>
      <c r="G199" s="583"/>
      <c r="H199" s="584"/>
      <c r="I199" s="276"/>
      <c r="J199" s="11"/>
      <c r="K199" s="11"/>
      <c r="L199" s="11"/>
      <c r="M199" s="11"/>
      <c r="N199" s="11"/>
      <c r="O199" s="11"/>
      <c r="P199" s="11"/>
      <c r="Q199" s="11"/>
      <c r="R199" s="11"/>
      <c r="S199" s="11"/>
      <c r="T199" s="11"/>
      <c r="U199" s="11"/>
      <c r="V199" s="11"/>
      <c r="W199" s="11"/>
    </row>
    <row r="200" spans="1:23" customFormat="1">
      <c r="A200" s="145"/>
      <c r="B200" s="11"/>
      <c r="C200" s="239" t="str">
        <f t="shared" si="25"/>
        <v>Comercio</v>
      </c>
      <c r="D200" s="323" t="s">
        <v>126</v>
      </c>
      <c r="E200" s="239" t="s">
        <v>38</v>
      </c>
      <c r="F200" s="582" t="str">
        <f t="shared" si="22"/>
        <v>ComercioC1C</v>
      </c>
      <c r="G200" s="583"/>
      <c r="H200" s="584"/>
      <c r="I200" s="276"/>
      <c r="J200" s="11"/>
      <c r="K200" s="11"/>
      <c r="L200" s="11"/>
      <c r="M200" s="11"/>
      <c r="N200" s="11"/>
      <c r="O200" s="11"/>
      <c r="P200" s="11"/>
      <c r="Q200" s="11"/>
      <c r="R200" s="11"/>
      <c r="S200" s="11"/>
      <c r="T200" s="11"/>
      <c r="U200" s="11"/>
      <c r="V200" s="11"/>
      <c r="W200" s="11"/>
    </row>
    <row r="201" spans="1:23" customFormat="1">
      <c r="A201" s="145"/>
      <c r="B201" s="11"/>
      <c r="C201" s="239" t="str">
        <f t="shared" si="25"/>
        <v>Comercio</v>
      </c>
      <c r="D201" s="323" t="s">
        <v>126</v>
      </c>
      <c r="E201" s="239" t="s">
        <v>41</v>
      </c>
      <c r="F201" s="582" t="str">
        <f t="shared" si="22"/>
        <v>ComercioC1D</v>
      </c>
      <c r="G201" s="583"/>
      <c r="H201" s="584"/>
      <c r="I201" s="276"/>
      <c r="J201" s="11"/>
      <c r="K201" s="11"/>
      <c r="L201" s="11"/>
      <c r="M201" s="11"/>
      <c r="N201" s="11"/>
      <c r="O201" s="11"/>
      <c r="P201" s="11"/>
      <c r="Q201" s="11"/>
      <c r="R201" s="11"/>
      <c r="S201" s="11"/>
      <c r="T201" s="11"/>
      <c r="U201" s="11"/>
      <c r="V201" s="11"/>
      <c r="W201" s="11"/>
    </row>
    <row r="202" spans="1:23" customFormat="1">
      <c r="A202" s="145"/>
      <c r="B202" s="11"/>
      <c r="C202" s="239" t="str">
        <f t="shared" si="25"/>
        <v>Comercio</v>
      </c>
      <c r="D202" s="323" t="s">
        <v>126</v>
      </c>
      <c r="E202" s="239" t="s">
        <v>44</v>
      </c>
      <c r="F202" s="582" t="str">
        <f t="shared" si="22"/>
        <v>ComercioC1E</v>
      </c>
      <c r="G202" s="583"/>
      <c r="H202" s="584"/>
      <c r="I202" s="276"/>
      <c r="J202" s="11"/>
      <c r="K202" s="11"/>
      <c r="L202" s="11"/>
      <c r="M202" s="11"/>
      <c r="N202" s="11"/>
      <c r="O202" s="11"/>
      <c r="P202" s="11"/>
      <c r="Q202" s="11"/>
      <c r="R202" s="11"/>
      <c r="S202" s="11"/>
      <c r="T202" s="11"/>
      <c r="U202" s="11"/>
      <c r="V202" s="11"/>
      <c r="W202" s="11"/>
    </row>
    <row r="203" spans="1:23" customFormat="1">
      <c r="A203" s="145"/>
      <c r="B203" s="11"/>
      <c r="C203" s="239" t="str">
        <f t="shared" si="25"/>
        <v>Comercio</v>
      </c>
      <c r="D203" s="323" t="s">
        <v>126</v>
      </c>
      <c r="E203" s="289" t="str">
        <f>IF(Idioma=Castellano,"Sin definir",IF(Idioma=Valencià,"Sense definir","Sin definir"))</f>
        <v>Sin definir</v>
      </c>
      <c r="F203" s="582" t="str">
        <f t="shared" si="22"/>
        <v>ComercioC1Sin definir</v>
      </c>
      <c r="G203" s="583"/>
      <c r="H203" s="584"/>
      <c r="I203" s="276"/>
      <c r="J203" s="11"/>
      <c r="K203" s="11"/>
      <c r="L203" s="11"/>
      <c r="M203" s="11"/>
      <c r="N203" s="11"/>
      <c r="O203" s="11"/>
      <c r="P203" s="11"/>
      <c r="Q203" s="11"/>
      <c r="R203" s="11"/>
      <c r="S203" s="11"/>
      <c r="T203" s="11"/>
      <c r="U203" s="11"/>
      <c r="V203" s="11"/>
      <c r="W203" s="11"/>
    </row>
    <row r="204" spans="1:23" customFormat="1">
      <c r="A204" s="145"/>
      <c r="B204" s="11"/>
      <c r="C204" s="239" t="s">
        <v>606</v>
      </c>
      <c r="D204" s="323" t="s">
        <v>126</v>
      </c>
      <c r="E204" s="289" t="str">
        <f>IF(Idioma=Castellano,"Existente",IF(Idioma=Valencià,"Existent","Existente"))</f>
        <v>Existente</v>
      </c>
      <c r="F204" s="582" t="str">
        <f t="shared" si="22"/>
        <v>HotelC1Existente</v>
      </c>
      <c r="G204" s="583"/>
      <c r="H204" s="584"/>
      <c r="I204" s="276"/>
      <c r="J204" s="11"/>
      <c r="K204" s="11"/>
      <c r="L204" s="11"/>
      <c r="M204" s="11"/>
      <c r="N204" s="11"/>
      <c r="O204" s="11"/>
      <c r="P204" s="11"/>
      <c r="Q204" s="11"/>
      <c r="R204" s="11"/>
      <c r="S204" s="11"/>
      <c r="T204" s="11"/>
      <c r="U204" s="11"/>
      <c r="V204" s="11"/>
      <c r="W204" s="11"/>
    </row>
    <row r="205" spans="1:23" customFormat="1">
      <c r="A205" s="145"/>
      <c r="B205" s="11"/>
      <c r="C205" s="239" t="s">
        <v>606</v>
      </c>
      <c r="D205" s="323" t="s">
        <v>126</v>
      </c>
      <c r="E205" s="239" t="s">
        <v>29</v>
      </c>
      <c r="F205" s="582" t="str">
        <f t="shared" si="22"/>
        <v>HotelC1A</v>
      </c>
      <c r="G205" s="583"/>
      <c r="H205" s="584"/>
      <c r="I205" s="276"/>
      <c r="J205" s="11"/>
      <c r="K205" s="11"/>
      <c r="L205" s="11"/>
      <c r="M205" s="11"/>
      <c r="N205" s="11"/>
      <c r="O205" s="11"/>
      <c r="P205" s="11"/>
      <c r="Q205" s="11"/>
      <c r="R205" s="11"/>
      <c r="S205" s="11"/>
      <c r="T205" s="11"/>
      <c r="U205" s="11"/>
      <c r="V205" s="11"/>
      <c r="W205" s="11"/>
    </row>
    <row r="206" spans="1:23" customFormat="1">
      <c r="A206" s="145"/>
      <c r="B206" s="11"/>
      <c r="C206" s="239" t="s">
        <v>606</v>
      </c>
      <c r="D206" s="323" t="s">
        <v>126</v>
      </c>
      <c r="E206" s="239" t="s">
        <v>35</v>
      </c>
      <c r="F206" s="582" t="str">
        <f t="shared" si="22"/>
        <v>HotelC1B</v>
      </c>
      <c r="G206" s="583"/>
      <c r="H206" s="584"/>
      <c r="I206" s="276"/>
      <c r="J206" s="11"/>
      <c r="K206" s="11"/>
      <c r="L206" s="11"/>
      <c r="M206" s="11"/>
      <c r="N206" s="11"/>
      <c r="O206" s="11"/>
      <c r="P206" s="11"/>
      <c r="Q206" s="11"/>
      <c r="R206" s="11"/>
      <c r="S206" s="11"/>
      <c r="T206" s="11"/>
      <c r="U206" s="11"/>
      <c r="V206" s="11"/>
      <c r="W206" s="11"/>
    </row>
    <row r="207" spans="1:23" customFormat="1">
      <c r="A207" s="145"/>
      <c r="B207" s="11"/>
      <c r="C207" s="239" t="s">
        <v>606</v>
      </c>
      <c r="D207" s="323" t="s">
        <v>126</v>
      </c>
      <c r="E207" s="239" t="s">
        <v>38</v>
      </c>
      <c r="F207" s="582" t="str">
        <f t="shared" si="22"/>
        <v>HotelC1C</v>
      </c>
      <c r="G207" s="583"/>
      <c r="H207" s="584"/>
      <c r="I207" s="276"/>
      <c r="J207" s="11"/>
      <c r="K207" s="11"/>
      <c r="L207" s="11"/>
      <c r="M207" s="11"/>
      <c r="N207" s="11"/>
      <c r="O207" s="11"/>
      <c r="P207" s="11"/>
      <c r="Q207" s="11"/>
      <c r="R207" s="11"/>
      <c r="S207" s="11"/>
      <c r="T207" s="11"/>
      <c r="U207" s="11"/>
      <c r="V207" s="11"/>
      <c r="W207" s="11"/>
    </row>
    <row r="208" spans="1:23" customFormat="1">
      <c r="A208" s="145"/>
      <c r="B208" s="11"/>
      <c r="C208" s="239" t="s">
        <v>606</v>
      </c>
      <c r="D208" s="323" t="s">
        <v>126</v>
      </c>
      <c r="E208" s="239" t="s">
        <v>41</v>
      </c>
      <c r="F208" s="582" t="str">
        <f t="shared" si="22"/>
        <v>HotelC1D</v>
      </c>
      <c r="G208" s="583"/>
      <c r="H208" s="584"/>
      <c r="I208" s="276"/>
      <c r="J208" s="11"/>
      <c r="K208" s="11"/>
      <c r="L208" s="11"/>
      <c r="M208" s="11"/>
      <c r="N208" s="11"/>
      <c r="O208" s="11"/>
      <c r="P208" s="11"/>
      <c r="Q208" s="11"/>
      <c r="R208" s="11"/>
      <c r="S208" s="11"/>
      <c r="T208" s="11"/>
      <c r="U208" s="11"/>
      <c r="V208" s="11"/>
      <c r="W208" s="11"/>
    </row>
    <row r="209" spans="1:23" customFormat="1">
      <c r="A209" s="145"/>
      <c r="B209" s="11"/>
      <c r="C209" s="239" t="s">
        <v>606</v>
      </c>
      <c r="D209" s="323" t="s">
        <v>126</v>
      </c>
      <c r="E209" s="239" t="s">
        <v>44</v>
      </c>
      <c r="F209" s="582" t="str">
        <f t="shared" si="22"/>
        <v>HotelC1E</v>
      </c>
      <c r="G209" s="583"/>
      <c r="H209" s="584"/>
      <c r="I209" s="276"/>
      <c r="J209" s="11"/>
      <c r="K209" s="11"/>
      <c r="L209" s="11"/>
      <c r="M209" s="11"/>
      <c r="N209" s="11"/>
      <c r="O209" s="11"/>
      <c r="P209" s="11"/>
      <c r="Q209" s="11"/>
      <c r="R209" s="11"/>
      <c r="S209" s="11"/>
      <c r="T209" s="11"/>
      <c r="U209" s="11"/>
      <c r="V209" s="11"/>
      <c r="W209" s="11"/>
    </row>
    <row r="210" spans="1:23" customFormat="1">
      <c r="A210" s="145"/>
      <c r="B210" s="11"/>
      <c r="C210" s="239" t="s">
        <v>606</v>
      </c>
      <c r="D210" s="323" t="s">
        <v>126</v>
      </c>
      <c r="E210" s="289" t="str">
        <f>IF(Idioma=Castellano,"Sin definir",IF(Idioma=Valencià,"Sense definir","Sin definir"))</f>
        <v>Sin definir</v>
      </c>
      <c r="F210" s="582" t="str">
        <f t="shared" si="22"/>
        <v>HotelC1Sin definir</v>
      </c>
      <c r="G210" s="583"/>
      <c r="H210" s="584"/>
      <c r="I210" s="276"/>
      <c r="J210" s="11"/>
      <c r="K210" s="11"/>
      <c r="L210" s="11"/>
      <c r="M210" s="11"/>
      <c r="N210" s="11"/>
      <c r="O210" s="11"/>
      <c r="P210" s="11"/>
      <c r="Q210" s="11"/>
      <c r="R210" s="11"/>
      <c r="S210" s="11"/>
      <c r="T210" s="11"/>
      <c r="U210" s="11"/>
      <c r="V210" s="11"/>
      <c r="W210" s="11"/>
    </row>
    <row r="211" spans="1:23" customFormat="1">
      <c r="A211" s="145"/>
      <c r="B211" s="11"/>
      <c r="C211" s="239" t="str">
        <f t="shared" ref="C211:C217" si="26">IF(Idioma=Castellano,"Restauración",IF(Idioma=Valencià,"Restauració","Restauración"))</f>
        <v>Restauración</v>
      </c>
      <c r="D211" s="323" t="s">
        <v>126</v>
      </c>
      <c r="E211" s="289" t="str">
        <f>IF(Idioma=Castellano,"Existente",IF(Idioma=Valencià,"Existent","Existente"))</f>
        <v>Existente</v>
      </c>
      <c r="F211" s="582" t="str">
        <f t="shared" si="22"/>
        <v>RestauraciónC1Existente</v>
      </c>
      <c r="G211" s="583"/>
      <c r="H211" s="584"/>
      <c r="I211" s="276"/>
      <c r="J211" s="11"/>
      <c r="K211" s="11"/>
      <c r="L211" s="11"/>
      <c r="M211" s="11"/>
      <c r="N211" s="11"/>
      <c r="O211" s="11"/>
      <c r="P211" s="11"/>
      <c r="Q211" s="11"/>
      <c r="R211" s="11"/>
      <c r="S211" s="11"/>
      <c r="T211" s="11"/>
      <c r="U211" s="11"/>
      <c r="V211" s="11"/>
      <c r="W211" s="11"/>
    </row>
    <row r="212" spans="1:23" customFormat="1">
      <c r="A212" s="145"/>
      <c r="B212" s="11"/>
      <c r="C212" s="239" t="str">
        <f t="shared" si="26"/>
        <v>Restauración</v>
      </c>
      <c r="D212" s="323" t="s">
        <v>126</v>
      </c>
      <c r="E212" s="239" t="s">
        <v>29</v>
      </c>
      <c r="F212" s="582" t="str">
        <f t="shared" si="22"/>
        <v>RestauraciónC1A</v>
      </c>
      <c r="G212" s="583"/>
      <c r="H212" s="584"/>
      <c r="I212" s="276"/>
      <c r="J212" s="11"/>
      <c r="K212" s="11"/>
      <c r="L212" s="11"/>
      <c r="M212" s="11"/>
      <c r="N212" s="11"/>
      <c r="O212" s="11"/>
      <c r="P212" s="11"/>
      <c r="Q212" s="11"/>
      <c r="R212" s="11"/>
      <c r="S212" s="11"/>
      <c r="T212" s="11"/>
      <c r="U212" s="11"/>
      <c r="V212" s="11"/>
      <c r="W212" s="11"/>
    </row>
    <row r="213" spans="1:23" customFormat="1">
      <c r="A213" s="145"/>
      <c r="B213" s="11"/>
      <c r="C213" s="239" t="str">
        <f t="shared" si="26"/>
        <v>Restauración</v>
      </c>
      <c r="D213" s="323" t="s">
        <v>126</v>
      </c>
      <c r="E213" s="239" t="s">
        <v>35</v>
      </c>
      <c r="F213" s="582" t="str">
        <f t="shared" si="22"/>
        <v>RestauraciónC1B</v>
      </c>
      <c r="G213" s="583"/>
      <c r="H213" s="584"/>
      <c r="I213" s="276"/>
      <c r="J213" s="11"/>
      <c r="K213" s="11"/>
      <c r="L213" s="11"/>
      <c r="M213" s="11"/>
      <c r="N213" s="11"/>
      <c r="O213" s="11"/>
      <c r="P213" s="11"/>
      <c r="Q213" s="11"/>
      <c r="R213" s="11"/>
      <c r="S213" s="11"/>
      <c r="T213" s="11"/>
      <c r="U213" s="11"/>
      <c r="V213" s="11"/>
      <c r="W213" s="11"/>
    </row>
    <row r="214" spans="1:23" customFormat="1">
      <c r="A214" s="145"/>
      <c r="B214" s="11"/>
      <c r="C214" s="239" t="str">
        <f t="shared" si="26"/>
        <v>Restauración</v>
      </c>
      <c r="D214" s="323" t="s">
        <v>126</v>
      </c>
      <c r="E214" s="239" t="s">
        <v>38</v>
      </c>
      <c r="F214" s="582" t="str">
        <f t="shared" si="22"/>
        <v>RestauraciónC1C</v>
      </c>
      <c r="G214" s="583"/>
      <c r="H214" s="584"/>
      <c r="I214" s="276"/>
      <c r="J214" s="11"/>
      <c r="K214" s="11"/>
      <c r="L214" s="11"/>
      <c r="M214" s="11"/>
      <c r="N214" s="11"/>
      <c r="O214" s="11"/>
      <c r="P214" s="11"/>
      <c r="Q214" s="11"/>
      <c r="R214" s="11"/>
      <c r="S214" s="11"/>
      <c r="T214" s="11"/>
      <c r="U214" s="11"/>
      <c r="V214" s="11"/>
      <c r="W214" s="11"/>
    </row>
    <row r="215" spans="1:23" customFormat="1">
      <c r="A215" s="145"/>
      <c r="B215" s="11"/>
      <c r="C215" s="239" t="str">
        <f t="shared" si="26"/>
        <v>Restauración</v>
      </c>
      <c r="D215" s="323" t="s">
        <v>126</v>
      </c>
      <c r="E215" s="239" t="s">
        <v>41</v>
      </c>
      <c r="F215" s="582" t="str">
        <f t="shared" si="22"/>
        <v>RestauraciónC1D</v>
      </c>
      <c r="G215" s="583"/>
      <c r="H215" s="584"/>
      <c r="I215" s="276"/>
      <c r="J215" s="11"/>
      <c r="K215" s="11"/>
      <c r="L215" s="11"/>
      <c r="M215" s="11"/>
      <c r="N215" s="11"/>
      <c r="O215" s="11"/>
      <c r="P215" s="11"/>
      <c r="Q215" s="11"/>
      <c r="R215" s="11"/>
      <c r="S215" s="11"/>
      <c r="T215" s="11"/>
      <c r="U215" s="11"/>
      <c r="V215" s="11"/>
      <c r="W215" s="11"/>
    </row>
    <row r="216" spans="1:23" customFormat="1">
      <c r="A216" s="145"/>
      <c r="B216" s="11"/>
      <c r="C216" s="239" t="str">
        <f t="shared" si="26"/>
        <v>Restauración</v>
      </c>
      <c r="D216" s="323" t="s">
        <v>126</v>
      </c>
      <c r="E216" s="239" t="s">
        <v>44</v>
      </c>
      <c r="F216" s="582" t="str">
        <f t="shared" si="22"/>
        <v>RestauraciónC1E</v>
      </c>
      <c r="G216" s="583"/>
      <c r="H216" s="584"/>
      <c r="I216" s="276"/>
      <c r="J216" s="11"/>
      <c r="K216" s="11"/>
      <c r="L216" s="11"/>
      <c r="M216" s="11"/>
      <c r="N216" s="11"/>
      <c r="O216" s="11"/>
      <c r="P216" s="11"/>
      <c r="Q216" s="11"/>
      <c r="R216" s="11"/>
      <c r="S216" s="11"/>
      <c r="T216" s="11"/>
      <c r="U216" s="11"/>
      <c r="V216" s="11"/>
      <c r="W216" s="11"/>
    </row>
    <row r="217" spans="1:23" customFormat="1">
      <c r="A217" s="145"/>
      <c r="B217" s="11"/>
      <c r="C217" s="239" t="str">
        <f t="shared" si="26"/>
        <v>Restauración</v>
      </c>
      <c r="D217" s="323" t="s">
        <v>126</v>
      </c>
      <c r="E217" s="289" t="str">
        <f>IF(Idioma=Castellano,"Sin definir",IF(Idioma=Valencià,"Sense definir","Sin definir"))</f>
        <v>Sin definir</v>
      </c>
      <c r="F217" s="582" t="str">
        <f t="shared" si="22"/>
        <v>RestauraciónC1Sin definir</v>
      </c>
      <c r="G217" s="583"/>
      <c r="H217" s="584"/>
      <c r="I217" s="276"/>
      <c r="J217" s="11"/>
      <c r="K217" s="11"/>
      <c r="L217" s="11"/>
      <c r="M217" s="11"/>
      <c r="N217" s="11"/>
      <c r="O217" s="11"/>
      <c r="P217" s="11"/>
      <c r="Q217" s="11"/>
      <c r="R217" s="11"/>
      <c r="S217" s="11"/>
      <c r="T217" s="11"/>
      <c r="U217" s="11"/>
      <c r="V217" s="11"/>
      <c r="W217" s="11"/>
    </row>
    <row r="218" spans="1:23" customFormat="1">
      <c r="A218" s="145"/>
      <c r="B218" s="11"/>
      <c r="C218" s="239" t="str">
        <f t="shared" ref="C218:C224" si="27">IF(Idioma=Castellano,"Sin especificar",IF(Idioma=Valencià,"Sense especificar ","Sin especificar"))</f>
        <v>Sin especificar</v>
      </c>
      <c r="D218" s="323" t="s">
        <v>126</v>
      </c>
      <c r="E218" s="289" t="str">
        <f>IF(Idioma=Castellano,"Existente",IF(Idioma=Valencià,"Existent","Existente"))</f>
        <v>Existente</v>
      </c>
      <c r="F218" s="582" t="str">
        <f t="shared" si="22"/>
        <v>Sin especificarC1Existente</v>
      </c>
      <c r="G218" s="583"/>
      <c r="H218" s="584"/>
      <c r="I218" s="276"/>
      <c r="J218" s="11"/>
      <c r="K218" s="11"/>
      <c r="L218" s="11"/>
      <c r="M218" s="11"/>
      <c r="N218" s="11"/>
      <c r="O218" s="11"/>
      <c r="P218" s="11"/>
      <c r="Q218" s="11"/>
      <c r="R218" s="11"/>
      <c r="S218" s="11"/>
      <c r="T218" s="11"/>
      <c r="U218" s="11"/>
      <c r="V218" s="11"/>
      <c r="W218" s="11"/>
    </row>
    <row r="219" spans="1:23" customFormat="1">
      <c r="A219" s="145"/>
      <c r="B219" s="11"/>
      <c r="C219" s="239" t="str">
        <f t="shared" si="27"/>
        <v>Sin especificar</v>
      </c>
      <c r="D219" s="323" t="s">
        <v>126</v>
      </c>
      <c r="E219" s="239" t="s">
        <v>29</v>
      </c>
      <c r="F219" s="582" t="str">
        <f t="shared" si="22"/>
        <v>Sin especificarC1A</v>
      </c>
      <c r="G219" s="583"/>
      <c r="H219" s="584"/>
      <c r="I219" s="276"/>
      <c r="J219" s="11"/>
      <c r="K219" s="11"/>
      <c r="L219" s="11"/>
      <c r="M219" s="11"/>
      <c r="N219" s="11"/>
      <c r="O219" s="11"/>
      <c r="P219" s="11"/>
      <c r="Q219" s="11"/>
      <c r="R219" s="11"/>
      <c r="S219" s="11"/>
      <c r="T219" s="11"/>
      <c r="U219" s="11"/>
      <c r="V219" s="11"/>
      <c r="W219" s="11"/>
    </row>
    <row r="220" spans="1:23" customFormat="1">
      <c r="A220" s="145"/>
      <c r="B220" s="11"/>
      <c r="C220" s="239" t="str">
        <f t="shared" si="27"/>
        <v>Sin especificar</v>
      </c>
      <c r="D220" s="323" t="s">
        <v>126</v>
      </c>
      <c r="E220" s="239" t="s">
        <v>35</v>
      </c>
      <c r="F220" s="582" t="str">
        <f t="shared" si="22"/>
        <v>Sin especificarC1B</v>
      </c>
      <c r="G220" s="583"/>
      <c r="H220" s="584"/>
      <c r="I220" s="276"/>
      <c r="J220" s="11"/>
      <c r="K220" s="11"/>
      <c r="L220" s="11"/>
      <c r="M220" s="11"/>
      <c r="N220" s="11"/>
      <c r="O220" s="11"/>
      <c r="P220" s="11"/>
      <c r="Q220" s="11"/>
      <c r="R220" s="11"/>
      <c r="S220" s="11"/>
      <c r="T220" s="11"/>
      <c r="U220" s="11"/>
      <c r="V220" s="11"/>
      <c r="W220" s="11"/>
    </row>
    <row r="221" spans="1:23" customFormat="1">
      <c r="A221" s="145"/>
      <c r="B221" s="11"/>
      <c r="C221" s="239" t="str">
        <f t="shared" si="27"/>
        <v>Sin especificar</v>
      </c>
      <c r="D221" s="323" t="s">
        <v>126</v>
      </c>
      <c r="E221" s="239" t="s">
        <v>38</v>
      </c>
      <c r="F221" s="582" t="str">
        <f t="shared" si="22"/>
        <v>Sin especificarC1C</v>
      </c>
      <c r="G221" s="583"/>
      <c r="H221" s="584"/>
      <c r="I221" s="276"/>
      <c r="J221" s="11"/>
      <c r="K221" s="11"/>
      <c r="L221" s="11"/>
      <c r="M221" s="11"/>
      <c r="N221" s="11"/>
      <c r="O221" s="11"/>
      <c r="P221" s="11"/>
      <c r="Q221" s="11"/>
      <c r="R221" s="11"/>
      <c r="S221" s="11"/>
      <c r="T221" s="11"/>
      <c r="U221" s="11"/>
      <c r="V221" s="11"/>
      <c r="W221" s="11"/>
    </row>
    <row r="222" spans="1:23" customFormat="1">
      <c r="A222" s="145"/>
      <c r="B222" s="11"/>
      <c r="C222" s="239" t="str">
        <f t="shared" si="27"/>
        <v>Sin especificar</v>
      </c>
      <c r="D222" s="323" t="s">
        <v>126</v>
      </c>
      <c r="E222" s="239" t="s">
        <v>41</v>
      </c>
      <c r="F222" s="582" t="str">
        <f t="shared" si="22"/>
        <v>Sin especificarC1D</v>
      </c>
      <c r="G222" s="583"/>
      <c r="H222" s="584"/>
      <c r="I222" s="276"/>
      <c r="J222" s="11"/>
      <c r="K222" s="11"/>
      <c r="L222" s="11"/>
      <c r="M222" s="11"/>
      <c r="N222" s="11"/>
      <c r="O222" s="11"/>
      <c r="P222" s="11"/>
      <c r="Q222" s="11"/>
      <c r="R222" s="11"/>
      <c r="S222" s="11"/>
      <c r="T222" s="11"/>
      <c r="U222" s="11"/>
      <c r="V222" s="11"/>
      <c r="W222" s="11"/>
    </row>
    <row r="223" spans="1:23" customFormat="1">
      <c r="A223" s="145"/>
      <c r="B223" s="11"/>
      <c r="C223" s="239" t="str">
        <f t="shared" si="27"/>
        <v>Sin especificar</v>
      </c>
      <c r="D223" s="323" t="s">
        <v>126</v>
      </c>
      <c r="E223" s="239" t="s">
        <v>44</v>
      </c>
      <c r="F223" s="582" t="str">
        <f t="shared" si="22"/>
        <v>Sin especificarC1E</v>
      </c>
      <c r="G223" s="583"/>
      <c r="H223" s="584"/>
      <c r="I223" s="276"/>
      <c r="J223" s="11"/>
      <c r="K223" s="11"/>
      <c r="L223" s="11"/>
      <c r="M223" s="11"/>
      <c r="N223" s="11"/>
      <c r="O223" s="11"/>
      <c r="P223" s="11"/>
      <c r="Q223" s="11"/>
      <c r="R223" s="11"/>
      <c r="S223" s="11"/>
      <c r="T223" s="11"/>
      <c r="U223" s="11"/>
      <c r="V223" s="11"/>
      <c r="W223" s="11"/>
    </row>
    <row r="224" spans="1:23" customFormat="1">
      <c r="A224" s="145"/>
      <c r="B224" s="11"/>
      <c r="C224" s="239" t="str">
        <f t="shared" si="27"/>
        <v>Sin especificar</v>
      </c>
      <c r="D224" s="323" t="s">
        <v>126</v>
      </c>
      <c r="E224" s="289" t="str">
        <f>IF(Idioma=Castellano,"Sin definir",IF(Idioma=Valencià,"Sense definir","Sin definir"))</f>
        <v>Sin definir</v>
      </c>
      <c r="F224" s="582" t="str">
        <f t="shared" si="22"/>
        <v>Sin especificarC1Sin definir</v>
      </c>
      <c r="G224" s="583"/>
      <c r="H224" s="584"/>
      <c r="I224" s="276"/>
      <c r="J224" s="11"/>
      <c r="K224" s="11"/>
      <c r="L224" s="11"/>
      <c r="M224" s="11"/>
      <c r="N224" s="11"/>
      <c r="O224" s="11"/>
      <c r="P224" s="11"/>
      <c r="Q224" s="11"/>
      <c r="R224" s="11"/>
      <c r="S224" s="11"/>
      <c r="T224" s="11"/>
      <c r="U224" s="11"/>
      <c r="V224" s="11"/>
      <c r="W224" s="11"/>
    </row>
    <row r="225" spans="1:23" customFormat="1">
      <c r="A225" s="145"/>
      <c r="B225" s="11"/>
      <c r="C225" s="239" t="str">
        <f t="shared" ref="C225:C231" si="28">IF(Idioma=Castellano,"Oficinas",IF(Idioma=Valencià,"Oficines","Oficinas"))</f>
        <v>Oficinas</v>
      </c>
      <c r="D225" s="323" t="s">
        <v>26</v>
      </c>
      <c r="E225" s="289" t="str">
        <f>IF(Idioma=Castellano,"Existente",IF(Idioma=Valencià,"Existent","Existente"))</f>
        <v>Existente</v>
      </c>
      <c r="F225" s="582" t="str">
        <f t="shared" si="22"/>
        <v>OficinasC2Existente</v>
      </c>
      <c r="G225" s="583"/>
      <c r="H225" s="584"/>
      <c r="I225" s="276"/>
      <c r="J225" s="11"/>
      <c r="K225" s="11"/>
      <c r="L225" s="11"/>
      <c r="M225" s="11"/>
      <c r="N225" s="11"/>
      <c r="O225" s="11"/>
      <c r="P225" s="11"/>
      <c r="Q225" s="11"/>
      <c r="R225" s="11"/>
      <c r="S225" s="11"/>
      <c r="T225" s="11"/>
      <c r="U225" s="11"/>
      <c r="V225" s="11"/>
      <c r="W225" s="11"/>
    </row>
    <row r="226" spans="1:23" customFormat="1">
      <c r="A226" s="145"/>
      <c r="B226" s="11"/>
      <c r="C226" s="239" t="str">
        <f t="shared" si="28"/>
        <v>Oficinas</v>
      </c>
      <c r="D226" s="323" t="s">
        <v>26</v>
      </c>
      <c r="E226" s="239" t="s">
        <v>29</v>
      </c>
      <c r="F226" s="582" t="str">
        <f t="shared" si="22"/>
        <v>OficinasC2A</v>
      </c>
      <c r="G226" s="583"/>
      <c r="H226" s="584"/>
      <c r="I226" s="276"/>
      <c r="J226" s="11"/>
      <c r="K226" s="11"/>
      <c r="L226" s="11"/>
      <c r="M226" s="11"/>
      <c r="N226" s="11"/>
      <c r="O226" s="11"/>
      <c r="P226" s="11"/>
      <c r="Q226" s="11"/>
      <c r="R226" s="11"/>
      <c r="S226" s="11"/>
      <c r="T226" s="11"/>
      <c r="U226" s="11"/>
      <c r="V226" s="11"/>
      <c r="W226" s="11"/>
    </row>
    <row r="227" spans="1:23" customFormat="1">
      <c r="A227" s="145"/>
      <c r="B227" s="11"/>
      <c r="C227" s="239" t="str">
        <f t="shared" si="28"/>
        <v>Oficinas</v>
      </c>
      <c r="D227" s="323" t="s">
        <v>26</v>
      </c>
      <c r="E227" s="239" t="s">
        <v>35</v>
      </c>
      <c r="F227" s="582" t="str">
        <f t="shared" si="22"/>
        <v>OficinasC2B</v>
      </c>
      <c r="G227" s="583"/>
      <c r="H227" s="584"/>
      <c r="I227" s="276"/>
      <c r="J227" s="11"/>
      <c r="K227" s="11"/>
      <c r="L227" s="11"/>
      <c r="M227" s="11"/>
      <c r="N227" s="11"/>
      <c r="O227" s="11"/>
      <c r="P227" s="11"/>
      <c r="Q227" s="11"/>
      <c r="R227" s="11"/>
      <c r="S227" s="11"/>
      <c r="T227" s="11"/>
      <c r="U227" s="11"/>
      <c r="V227" s="11"/>
      <c r="W227" s="11"/>
    </row>
    <row r="228" spans="1:23" customFormat="1">
      <c r="A228" s="145"/>
      <c r="B228" s="11"/>
      <c r="C228" s="239" t="str">
        <f t="shared" si="28"/>
        <v>Oficinas</v>
      </c>
      <c r="D228" s="323" t="s">
        <v>26</v>
      </c>
      <c r="E228" s="239" t="s">
        <v>38</v>
      </c>
      <c r="F228" s="582" t="str">
        <f t="shared" si="22"/>
        <v>OficinasC2C</v>
      </c>
      <c r="G228" s="583"/>
      <c r="H228" s="584"/>
      <c r="I228" s="276"/>
      <c r="J228" s="11"/>
      <c r="K228" s="11"/>
      <c r="L228" s="11"/>
      <c r="M228" s="11"/>
      <c r="N228" s="11"/>
      <c r="O228" s="11"/>
      <c r="P228" s="11"/>
      <c r="Q228" s="11"/>
      <c r="R228" s="11"/>
      <c r="S228" s="11"/>
      <c r="T228" s="11"/>
      <c r="U228" s="11"/>
      <c r="V228" s="11"/>
      <c r="W228" s="11"/>
    </row>
    <row r="229" spans="1:23" customFormat="1">
      <c r="A229" s="145"/>
      <c r="B229" s="11"/>
      <c r="C229" s="239" t="str">
        <f t="shared" si="28"/>
        <v>Oficinas</v>
      </c>
      <c r="D229" s="323" t="s">
        <v>26</v>
      </c>
      <c r="E229" s="239" t="s">
        <v>41</v>
      </c>
      <c r="F229" s="582" t="str">
        <f t="shared" si="22"/>
        <v>OficinasC2D</v>
      </c>
      <c r="G229" s="583"/>
      <c r="H229" s="584"/>
      <c r="I229" s="276"/>
      <c r="J229" s="11"/>
      <c r="K229" s="11"/>
      <c r="L229" s="11"/>
      <c r="M229" s="11"/>
      <c r="N229" s="11"/>
      <c r="O229" s="11"/>
      <c r="P229" s="11"/>
      <c r="Q229" s="11"/>
      <c r="R229" s="11"/>
      <c r="S229" s="11"/>
      <c r="T229" s="11"/>
      <c r="U229" s="11"/>
      <c r="V229" s="11"/>
      <c r="W229" s="11"/>
    </row>
    <row r="230" spans="1:23" customFormat="1">
      <c r="A230" s="145"/>
      <c r="B230" s="11"/>
      <c r="C230" s="239" t="str">
        <f t="shared" si="28"/>
        <v>Oficinas</v>
      </c>
      <c r="D230" s="323" t="s">
        <v>26</v>
      </c>
      <c r="E230" s="239" t="s">
        <v>44</v>
      </c>
      <c r="F230" s="582" t="str">
        <f t="shared" si="22"/>
        <v>OficinasC2E</v>
      </c>
      <c r="G230" s="583"/>
      <c r="H230" s="584"/>
      <c r="I230" s="276"/>
      <c r="J230" s="11"/>
      <c r="K230" s="11"/>
      <c r="L230" s="11"/>
      <c r="M230" s="11"/>
      <c r="N230" s="11"/>
      <c r="O230" s="11"/>
      <c r="P230" s="11"/>
      <c r="Q230" s="11"/>
      <c r="R230" s="11"/>
      <c r="S230" s="11"/>
      <c r="T230" s="11"/>
      <c r="U230" s="11"/>
      <c r="V230" s="11"/>
      <c r="W230" s="11"/>
    </row>
    <row r="231" spans="1:23" customFormat="1">
      <c r="A231" s="145"/>
      <c r="B231" s="11"/>
      <c r="C231" s="239" t="str">
        <f t="shared" si="28"/>
        <v>Oficinas</v>
      </c>
      <c r="D231" s="323" t="s">
        <v>26</v>
      </c>
      <c r="E231" s="289" t="str">
        <f>IF(Idioma=Castellano,"Sin definir",IF(Idioma=Valencià,"Sense definir","Sin definir"))</f>
        <v>Sin definir</v>
      </c>
      <c r="F231" s="582" t="str">
        <f t="shared" si="22"/>
        <v>OficinasC2Sin definir</v>
      </c>
      <c r="G231" s="583"/>
      <c r="H231" s="584"/>
      <c r="I231" s="276"/>
      <c r="J231" s="11"/>
      <c r="K231" s="11"/>
      <c r="L231" s="11"/>
      <c r="M231" s="11"/>
      <c r="N231" s="11"/>
      <c r="O231" s="11"/>
      <c r="P231" s="11"/>
      <c r="Q231" s="11"/>
      <c r="R231" s="11"/>
      <c r="S231" s="11"/>
      <c r="T231" s="11"/>
      <c r="U231" s="11"/>
      <c r="V231" s="11"/>
      <c r="W231" s="11"/>
    </row>
    <row r="232" spans="1:23" customFormat="1">
      <c r="A232" s="145"/>
      <c r="B232" s="11"/>
      <c r="C232" s="239" t="str">
        <f t="shared" ref="C232:C238" si="29">IF(Idioma=Castellano,"Comercio",IF(Idioma=Valencià,"Comerç","Comercio"))</f>
        <v>Comercio</v>
      </c>
      <c r="D232" s="323" t="s">
        <v>26</v>
      </c>
      <c r="E232" s="289" t="str">
        <f>IF(Idioma=Castellano,"Existente",IF(Idioma=Valencià,"Existent","Existente"))</f>
        <v>Existente</v>
      </c>
      <c r="F232" s="582" t="str">
        <f t="shared" si="22"/>
        <v>ComercioC2Existente</v>
      </c>
      <c r="G232" s="583"/>
      <c r="H232" s="584"/>
      <c r="I232" s="276"/>
      <c r="J232" s="11"/>
      <c r="K232" s="11"/>
      <c r="L232" s="11"/>
      <c r="M232" s="11"/>
      <c r="N232" s="11"/>
      <c r="O232" s="11"/>
      <c r="P232" s="11"/>
      <c r="Q232" s="11"/>
      <c r="R232" s="11"/>
      <c r="S232" s="11"/>
      <c r="T232" s="11"/>
      <c r="U232" s="11"/>
      <c r="V232" s="11"/>
      <c r="W232" s="11"/>
    </row>
    <row r="233" spans="1:23" customFormat="1">
      <c r="A233" s="145"/>
      <c r="B233" s="11"/>
      <c r="C233" s="239" t="str">
        <f t="shared" si="29"/>
        <v>Comercio</v>
      </c>
      <c r="D233" s="323" t="s">
        <v>26</v>
      </c>
      <c r="E233" s="239" t="s">
        <v>29</v>
      </c>
      <c r="F233" s="582" t="str">
        <f t="shared" si="22"/>
        <v>ComercioC2A</v>
      </c>
      <c r="G233" s="583"/>
      <c r="H233" s="584"/>
      <c r="I233" s="276"/>
      <c r="J233" s="11"/>
      <c r="K233" s="11"/>
      <c r="L233" s="11"/>
      <c r="M233" s="11"/>
      <c r="N233" s="11"/>
      <c r="O233" s="11"/>
      <c r="P233" s="11"/>
      <c r="Q233" s="11"/>
      <c r="R233" s="11"/>
      <c r="S233" s="11"/>
      <c r="T233" s="11"/>
      <c r="U233" s="11"/>
      <c r="V233" s="11"/>
      <c r="W233" s="11"/>
    </row>
    <row r="234" spans="1:23" customFormat="1">
      <c r="A234" s="145"/>
      <c r="B234" s="11"/>
      <c r="C234" s="239" t="str">
        <f t="shared" si="29"/>
        <v>Comercio</v>
      </c>
      <c r="D234" s="323" t="s">
        <v>26</v>
      </c>
      <c r="E234" s="239" t="s">
        <v>35</v>
      </c>
      <c r="F234" s="582" t="str">
        <f t="shared" si="22"/>
        <v>ComercioC2B</v>
      </c>
      <c r="G234" s="583"/>
      <c r="H234" s="584"/>
      <c r="I234" s="276"/>
      <c r="J234" s="11"/>
      <c r="K234" s="11"/>
      <c r="L234" s="11"/>
      <c r="M234" s="11"/>
      <c r="N234" s="11"/>
      <c r="O234" s="11"/>
      <c r="P234" s="11"/>
      <c r="Q234" s="11"/>
      <c r="R234" s="11"/>
      <c r="S234" s="11"/>
      <c r="T234" s="11"/>
      <c r="U234" s="11"/>
      <c r="V234" s="11"/>
      <c r="W234" s="11"/>
    </row>
    <row r="235" spans="1:23" customFormat="1">
      <c r="A235" s="145"/>
      <c r="B235" s="11"/>
      <c r="C235" s="239" t="str">
        <f t="shared" si="29"/>
        <v>Comercio</v>
      </c>
      <c r="D235" s="323" t="s">
        <v>26</v>
      </c>
      <c r="E235" s="239" t="s">
        <v>38</v>
      </c>
      <c r="F235" s="582" t="str">
        <f t="shared" si="22"/>
        <v>ComercioC2C</v>
      </c>
      <c r="G235" s="583"/>
      <c r="H235" s="584"/>
      <c r="I235" s="276"/>
      <c r="J235" s="11"/>
      <c r="K235" s="11"/>
      <c r="L235" s="11"/>
      <c r="M235" s="11"/>
      <c r="N235" s="11"/>
      <c r="O235" s="11"/>
      <c r="P235" s="11"/>
      <c r="Q235" s="11"/>
      <c r="R235" s="11"/>
      <c r="S235" s="11"/>
      <c r="T235" s="11"/>
      <c r="U235" s="11"/>
      <c r="V235" s="11"/>
      <c r="W235" s="11"/>
    </row>
    <row r="236" spans="1:23" customFormat="1">
      <c r="A236" s="145"/>
      <c r="B236" s="11"/>
      <c r="C236" s="239" t="str">
        <f t="shared" si="29"/>
        <v>Comercio</v>
      </c>
      <c r="D236" s="323" t="s">
        <v>26</v>
      </c>
      <c r="E236" s="239" t="s">
        <v>41</v>
      </c>
      <c r="F236" s="582" t="str">
        <f t="shared" si="22"/>
        <v>ComercioC2D</v>
      </c>
      <c r="G236" s="583"/>
      <c r="H236" s="584"/>
      <c r="I236" s="276"/>
      <c r="J236" s="11"/>
      <c r="K236" s="11"/>
      <c r="L236" s="11"/>
      <c r="M236" s="11"/>
      <c r="N236" s="11"/>
      <c r="O236" s="11"/>
      <c r="P236" s="11"/>
      <c r="Q236" s="11"/>
      <c r="R236" s="11"/>
      <c r="S236" s="11"/>
      <c r="T236" s="11"/>
      <c r="U236" s="11"/>
      <c r="V236" s="11"/>
      <c r="W236" s="11"/>
    </row>
    <row r="237" spans="1:23" customFormat="1">
      <c r="A237" s="145"/>
      <c r="B237" s="11"/>
      <c r="C237" s="239" t="str">
        <f t="shared" si="29"/>
        <v>Comercio</v>
      </c>
      <c r="D237" s="323" t="s">
        <v>26</v>
      </c>
      <c r="E237" s="239" t="s">
        <v>44</v>
      </c>
      <c r="F237" s="582" t="str">
        <f t="shared" si="22"/>
        <v>ComercioC2E</v>
      </c>
      <c r="G237" s="583"/>
      <c r="H237" s="584"/>
      <c r="I237" s="276"/>
      <c r="J237" s="11"/>
      <c r="K237" s="11"/>
      <c r="L237" s="11"/>
      <c r="M237" s="11"/>
      <c r="N237" s="11"/>
      <c r="O237" s="11"/>
      <c r="P237" s="11"/>
      <c r="Q237" s="11"/>
      <c r="R237" s="11"/>
      <c r="S237" s="11"/>
      <c r="T237" s="11"/>
      <c r="U237" s="11"/>
      <c r="V237" s="11"/>
      <c r="W237" s="11"/>
    </row>
    <row r="238" spans="1:23" customFormat="1">
      <c r="A238" s="145"/>
      <c r="B238" s="11"/>
      <c r="C238" s="239" t="str">
        <f t="shared" si="29"/>
        <v>Comercio</v>
      </c>
      <c r="D238" s="323" t="s">
        <v>26</v>
      </c>
      <c r="E238" s="289" t="str">
        <f>IF(Idioma=Castellano,"Sin definir",IF(Idioma=Valencià,"Sense definir","Sin definir"))</f>
        <v>Sin definir</v>
      </c>
      <c r="F238" s="582" t="str">
        <f t="shared" si="22"/>
        <v>ComercioC2Sin definir</v>
      </c>
      <c r="G238" s="583"/>
      <c r="H238" s="584"/>
      <c r="I238" s="276"/>
      <c r="J238" s="11"/>
      <c r="K238" s="11"/>
      <c r="L238" s="11"/>
      <c r="M238" s="11"/>
      <c r="N238" s="11"/>
      <c r="O238" s="11"/>
      <c r="P238" s="11"/>
      <c r="Q238" s="11"/>
      <c r="R238" s="11"/>
      <c r="S238" s="11"/>
      <c r="T238" s="11"/>
      <c r="U238" s="11"/>
      <c r="V238" s="11"/>
      <c r="W238" s="11"/>
    </row>
    <row r="239" spans="1:23" customFormat="1">
      <c r="A239" s="145"/>
      <c r="B239" s="11"/>
      <c r="C239" s="239" t="s">
        <v>606</v>
      </c>
      <c r="D239" s="323" t="s">
        <v>26</v>
      </c>
      <c r="E239" s="289" t="str">
        <f>IF(Idioma=Castellano,"Existente",IF(Idioma=Valencià,"Existent","Existente"))</f>
        <v>Existente</v>
      </c>
      <c r="F239" s="582" t="str">
        <f t="shared" si="22"/>
        <v>HotelC2Existente</v>
      </c>
      <c r="G239" s="583"/>
      <c r="H239" s="584"/>
      <c r="I239" s="276"/>
      <c r="J239" s="11"/>
      <c r="K239" s="11"/>
      <c r="L239" s="11"/>
      <c r="M239" s="11"/>
      <c r="N239" s="11"/>
      <c r="O239" s="11"/>
      <c r="P239" s="11"/>
      <c r="Q239" s="11"/>
      <c r="R239" s="11"/>
      <c r="S239" s="11"/>
      <c r="T239" s="11"/>
      <c r="U239" s="11"/>
      <c r="V239" s="11"/>
      <c r="W239" s="11"/>
    </row>
    <row r="240" spans="1:23" customFormat="1">
      <c r="A240" s="145"/>
      <c r="B240" s="11"/>
      <c r="C240" s="239" t="s">
        <v>606</v>
      </c>
      <c r="D240" s="323" t="s">
        <v>26</v>
      </c>
      <c r="E240" s="239" t="s">
        <v>29</v>
      </c>
      <c r="F240" s="582" t="str">
        <f t="shared" si="22"/>
        <v>HotelC2A</v>
      </c>
      <c r="G240" s="583"/>
      <c r="H240" s="584"/>
      <c r="I240" s="276"/>
      <c r="J240" s="11"/>
      <c r="K240" s="11"/>
      <c r="L240" s="11"/>
      <c r="M240" s="11"/>
      <c r="N240" s="11"/>
      <c r="O240" s="11"/>
      <c r="P240" s="11"/>
      <c r="Q240" s="11"/>
      <c r="R240" s="11"/>
      <c r="S240" s="11"/>
      <c r="T240" s="11"/>
      <c r="U240" s="11"/>
      <c r="V240" s="11"/>
      <c r="W240" s="11"/>
    </row>
    <row r="241" spans="1:23" customFormat="1">
      <c r="A241" s="145"/>
      <c r="B241" s="11"/>
      <c r="C241" s="239" t="s">
        <v>606</v>
      </c>
      <c r="D241" s="323" t="s">
        <v>26</v>
      </c>
      <c r="E241" s="239" t="s">
        <v>35</v>
      </c>
      <c r="F241" s="582" t="str">
        <f t="shared" si="22"/>
        <v>HotelC2B</v>
      </c>
      <c r="G241" s="583"/>
      <c r="H241" s="584"/>
      <c r="I241" s="276"/>
      <c r="J241" s="11"/>
      <c r="K241" s="11"/>
      <c r="L241" s="11"/>
      <c r="M241" s="11"/>
      <c r="N241" s="11"/>
      <c r="O241" s="11"/>
      <c r="P241" s="11"/>
      <c r="Q241" s="11"/>
      <c r="R241" s="11"/>
      <c r="S241" s="11"/>
      <c r="T241" s="11"/>
      <c r="U241" s="11"/>
      <c r="V241" s="11"/>
      <c r="W241" s="11"/>
    </row>
    <row r="242" spans="1:23" customFormat="1">
      <c r="A242" s="145"/>
      <c r="B242" s="11"/>
      <c r="C242" s="239" t="s">
        <v>606</v>
      </c>
      <c r="D242" s="323" t="s">
        <v>26</v>
      </c>
      <c r="E242" s="239" t="s">
        <v>38</v>
      </c>
      <c r="F242" s="582" t="str">
        <f t="shared" si="22"/>
        <v>HotelC2C</v>
      </c>
      <c r="G242" s="583"/>
      <c r="H242" s="584"/>
      <c r="I242" s="276"/>
      <c r="J242" s="11"/>
      <c r="K242" s="11"/>
      <c r="L242" s="11"/>
      <c r="M242" s="11"/>
      <c r="N242" s="11"/>
      <c r="O242" s="11"/>
      <c r="P242" s="11"/>
      <c r="Q242" s="11"/>
      <c r="R242" s="11"/>
      <c r="S242" s="11"/>
      <c r="T242" s="11"/>
      <c r="U242" s="11"/>
      <c r="V242" s="11"/>
      <c r="W242" s="11"/>
    </row>
    <row r="243" spans="1:23" customFormat="1">
      <c r="A243" s="145"/>
      <c r="B243" s="11"/>
      <c r="C243" s="239" t="s">
        <v>606</v>
      </c>
      <c r="D243" s="323" t="s">
        <v>26</v>
      </c>
      <c r="E243" s="239" t="s">
        <v>41</v>
      </c>
      <c r="F243" s="582" t="str">
        <f t="shared" si="22"/>
        <v>HotelC2D</v>
      </c>
      <c r="G243" s="583"/>
      <c r="H243" s="584"/>
      <c r="I243" s="276"/>
      <c r="J243" s="11"/>
      <c r="K243" s="11"/>
      <c r="L243" s="11"/>
      <c r="M243" s="11"/>
      <c r="N243" s="11"/>
      <c r="O243" s="11"/>
      <c r="P243" s="11"/>
      <c r="Q243" s="11"/>
      <c r="R243" s="11"/>
      <c r="S243" s="11"/>
      <c r="T243" s="11"/>
      <c r="U243" s="11"/>
      <c r="V243" s="11"/>
      <c r="W243" s="11"/>
    </row>
    <row r="244" spans="1:23" customFormat="1">
      <c r="A244" s="145"/>
      <c r="B244" s="11"/>
      <c r="C244" s="239" t="s">
        <v>606</v>
      </c>
      <c r="D244" s="323" t="s">
        <v>26</v>
      </c>
      <c r="E244" s="239" t="s">
        <v>44</v>
      </c>
      <c r="F244" s="582" t="str">
        <f t="shared" ref="F244:F342" si="30">C244&amp;D244&amp;E244</f>
        <v>HotelC2E</v>
      </c>
      <c r="G244" s="583"/>
      <c r="H244" s="584"/>
      <c r="I244" s="276"/>
      <c r="J244" s="11"/>
      <c r="K244" s="11"/>
      <c r="L244" s="11"/>
      <c r="M244" s="11"/>
      <c r="N244" s="11"/>
      <c r="O244" s="11"/>
      <c r="P244" s="11"/>
      <c r="Q244" s="11"/>
      <c r="R244" s="11"/>
      <c r="S244" s="11"/>
      <c r="T244" s="11"/>
      <c r="U244" s="11"/>
      <c r="V244" s="11"/>
      <c r="W244" s="11"/>
    </row>
    <row r="245" spans="1:23" customFormat="1">
      <c r="A245" s="145"/>
      <c r="B245" s="11"/>
      <c r="C245" s="239" t="s">
        <v>606</v>
      </c>
      <c r="D245" s="323" t="s">
        <v>26</v>
      </c>
      <c r="E245" s="289" t="str">
        <f>IF(Idioma=Castellano,"Sin definir",IF(Idioma=Valencià,"Sense definir","Sin definir"))</f>
        <v>Sin definir</v>
      </c>
      <c r="F245" s="582" t="str">
        <f t="shared" si="30"/>
        <v>HotelC2Sin definir</v>
      </c>
      <c r="G245" s="583"/>
      <c r="H245" s="584"/>
      <c r="I245" s="276"/>
      <c r="J245" s="11"/>
      <c r="K245" s="11"/>
      <c r="L245" s="11"/>
      <c r="M245" s="11"/>
      <c r="N245" s="11"/>
      <c r="O245" s="11"/>
      <c r="P245" s="11"/>
      <c r="Q245" s="11"/>
      <c r="R245" s="11"/>
      <c r="S245" s="11"/>
      <c r="T245" s="11"/>
      <c r="U245" s="11"/>
      <c r="V245" s="11"/>
      <c r="W245" s="11"/>
    </row>
    <row r="246" spans="1:23" customFormat="1">
      <c r="A246" s="145"/>
      <c r="B246" s="11"/>
      <c r="C246" s="239" t="str">
        <f t="shared" ref="C246:C252" si="31">IF(Idioma=Castellano,"Restauración",IF(Idioma=Valencià,"Restauració","Restauración"))</f>
        <v>Restauración</v>
      </c>
      <c r="D246" s="323" t="s">
        <v>26</v>
      </c>
      <c r="E246" s="289" t="str">
        <f>IF(Idioma=Castellano,"Existente",IF(Idioma=Valencià,"Existent","Existente"))</f>
        <v>Existente</v>
      </c>
      <c r="F246" s="582" t="str">
        <f t="shared" si="30"/>
        <v>RestauraciónC2Existente</v>
      </c>
      <c r="G246" s="583"/>
      <c r="H246" s="584"/>
      <c r="I246" s="276"/>
      <c r="J246" s="11"/>
      <c r="K246" s="11"/>
      <c r="L246" s="11"/>
      <c r="M246" s="11"/>
      <c r="N246" s="11"/>
      <c r="O246" s="11"/>
      <c r="P246" s="11"/>
      <c r="Q246" s="11"/>
      <c r="R246" s="11"/>
      <c r="S246" s="11"/>
      <c r="T246" s="11"/>
      <c r="U246" s="11"/>
      <c r="V246" s="11"/>
      <c r="W246" s="11"/>
    </row>
    <row r="247" spans="1:23" customFormat="1">
      <c r="A247" s="145"/>
      <c r="B247" s="11"/>
      <c r="C247" s="239" t="str">
        <f t="shared" si="31"/>
        <v>Restauración</v>
      </c>
      <c r="D247" s="323" t="s">
        <v>26</v>
      </c>
      <c r="E247" s="239" t="s">
        <v>29</v>
      </c>
      <c r="F247" s="582" t="str">
        <f t="shared" si="30"/>
        <v>RestauraciónC2A</v>
      </c>
      <c r="G247" s="583"/>
      <c r="H247" s="584"/>
      <c r="I247" s="276"/>
      <c r="J247" s="11"/>
      <c r="K247" s="11"/>
      <c r="L247" s="11"/>
      <c r="M247" s="11"/>
      <c r="N247" s="11"/>
      <c r="O247" s="11"/>
      <c r="P247" s="11"/>
      <c r="Q247" s="11"/>
      <c r="R247" s="11"/>
      <c r="S247" s="11"/>
      <c r="T247" s="11"/>
      <c r="U247" s="11"/>
      <c r="V247" s="11"/>
      <c r="W247" s="11"/>
    </row>
    <row r="248" spans="1:23" customFormat="1">
      <c r="A248" s="145"/>
      <c r="B248" s="11"/>
      <c r="C248" s="239" t="str">
        <f t="shared" si="31"/>
        <v>Restauración</v>
      </c>
      <c r="D248" s="323" t="s">
        <v>26</v>
      </c>
      <c r="E248" s="239" t="s">
        <v>35</v>
      </c>
      <c r="F248" s="582" t="str">
        <f t="shared" si="30"/>
        <v>RestauraciónC2B</v>
      </c>
      <c r="G248" s="583"/>
      <c r="H248" s="584"/>
      <c r="I248" s="276"/>
      <c r="J248" s="11"/>
      <c r="K248" s="11"/>
      <c r="L248" s="11"/>
      <c r="M248" s="11"/>
      <c r="N248" s="11"/>
      <c r="O248" s="11"/>
      <c r="P248" s="11"/>
      <c r="Q248" s="11"/>
      <c r="R248" s="11"/>
      <c r="S248" s="11"/>
      <c r="T248" s="11"/>
      <c r="U248" s="11"/>
      <c r="V248" s="11"/>
      <c r="W248" s="11"/>
    </row>
    <row r="249" spans="1:23" customFormat="1">
      <c r="A249" s="145"/>
      <c r="B249" s="11"/>
      <c r="C249" s="239" t="str">
        <f t="shared" si="31"/>
        <v>Restauración</v>
      </c>
      <c r="D249" s="323" t="s">
        <v>26</v>
      </c>
      <c r="E249" s="239" t="s">
        <v>38</v>
      </c>
      <c r="F249" s="582" t="str">
        <f t="shared" si="30"/>
        <v>RestauraciónC2C</v>
      </c>
      <c r="G249" s="583"/>
      <c r="H249" s="584"/>
      <c r="I249" s="276"/>
      <c r="J249" s="11"/>
      <c r="K249" s="11"/>
      <c r="L249" s="11"/>
      <c r="M249" s="11"/>
      <c r="N249" s="11"/>
      <c r="O249" s="11"/>
      <c r="P249" s="11"/>
      <c r="Q249" s="11"/>
      <c r="R249" s="11"/>
      <c r="S249" s="11"/>
      <c r="T249" s="11"/>
      <c r="U249" s="11"/>
      <c r="V249" s="11"/>
      <c r="W249" s="11"/>
    </row>
    <row r="250" spans="1:23" customFormat="1">
      <c r="A250" s="145"/>
      <c r="B250" s="11"/>
      <c r="C250" s="239" t="str">
        <f t="shared" si="31"/>
        <v>Restauración</v>
      </c>
      <c r="D250" s="323" t="s">
        <v>26</v>
      </c>
      <c r="E250" s="239" t="s">
        <v>41</v>
      </c>
      <c r="F250" s="582" t="str">
        <f t="shared" si="30"/>
        <v>RestauraciónC2D</v>
      </c>
      <c r="G250" s="583"/>
      <c r="H250" s="584"/>
      <c r="I250" s="276"/>
      <c r="J250" s="11"/>
      <c r="K250" s="11"/>
      <c r="L250" s="11"/>
      <c r="M250" s="11"/>
      <c r="N250" s="11"/>
      <c r="O250" s="11"/>
      <c r="P250" s="11"/>
      <c r="Q250" s="11"/>
      <c r="R250" s="11"/>
      <c r="S250" s="11"/>
      <c r="T250" s="11"/>
      <c r="U250" s="11"/>
      <c r="V250" s="11"/>
      <c r="W250" s="11"/>
    </row>
    <row r="251" spans="1:23" customFormat="1">
      <c r="A251" s="145"/>
      <c r="B251" s="11"/>
      <c r="C251" s="239" t="str">
        <f t="shared" si="31"/>
        <v>Restauración</v>
      </c>
      <c r="D251" s="323" t="s">
        <v>26</v>
      </c>
      <c r="E251" s="239" t="s">
        <v>44</v>
      </c>
      <c r="F251" s="582" t="str">
        <f t="shared" si="30"/>
        <v>RestauraciónC2E</v>
      </c>
      <c r="G251" s="583"/>
      <c r="H251" s="584"/>
      <c r="I251" s="276"/>
      <c r="J251" s="11"/>
      <c r="K251" s="11"/>
      <c r="L251" s="11"/>
      <c r="M251" s="11"/>
      <c r="N251" s="11"/>
      <c r="O251" s="11"/>
      <c r="P251" s="11"/>
      <c r="Q251" s="11"/>
      <c r="R251" s="11"/>
      <c r="S251" s="11"/>
      <c r="T251" s="11"/>
      <c r="U251" s="11"/>
      <c r="V251" s="11"/>
      <c r="W251" s="11"/>
    </row>
    <row r="252" spans="1:23" customFormat="1">
      <c r="A252" s="145"/>
      <c r="B252" s="11"/>
      <c r="C252" s="239" t="str">
        <f t="shared" si="31"/>
        <v>Restauración</v>
      </c>
      <c r="D252" s="323" t="s">
        <v>26</v>
      </c>
      <c r="E252" s="289" t="str">
        <f>IF(Idioma=Castellano,"Sin definir",IF(Idioma=Valencià,"Sense definir","Sin definir"))</f>
        <v>Sin definir</v>
      </c>
      <c r="F252" s="582" t="str">
        <f t="shared" si="30"/>
        <v>RestauraciónC2Sin definir</v>
      </c>
      <c r="G252" s="583"/>
      <c r="H252" s="584"/>
      <c r="I252" s="276"/>
      <c r="J252" s="11"/>
      <c r="K252" s="11"/>
      <c r="L252" s="11"/>
      <c r="M252" s="11"/>
      <c r="N252" s="11"/>
      <c r="O252" s="11"/>
      <c r="P252" s="11"/>
      <c r="Q252" s="11"/>
      <c r="R252" s="11"/>
      <c r="S252" s="11"/>
      <c r="T252" s="11"/>
      <c r="U252" s="11"/>
      <c r="V252" s="11"/>
      <c r="W252" s="11"/>
    </row>
    <row r="253" spans="1:23" customFormat="1">
      <c r="A253" s="145"/>
      <c r="B253" s="11"/>
      <c r="C253" s="239" t="str">
        <f t="shared" ref="C253:C259" si="32">IF(Idioma=Castellano,"Sin especificar",IF(Idioma=Valencià,"Sense especificar ","Sin especificar"))</f>
        <v>Sin especificar</v>
      </c>
      <c r="D253" s="323" t="s">
        <v>26</v>
      </c>
      <c r="E253" s="289" t="str">
        <f>IF(Idioma=Castellano,"Existente",IF(Idioma=Valencià,"Existent","Existente"))</f>
        <v>Existente</v>
      </c>
      <c r="F253" s="582" t="str">
        <f t="shared" si="30"/>
        <v>Sin especificarC2Existente</v>
      </c>
      <c r="G253" s="583"/>
      <c r="H253" s="584"/>
      <c r="I253" s="276"/>
      <c r="J253" s="11"/>
      <c r="K253" s="11"/>
      <c r="L253" s="11"/>
      <c r="M253" s="11"/>
      <c r="N253" s="11"/>
      <c r="O253" s="11"/>
      <c r="P253" s="11"/>
      <c r="Q253" s="11"/>
      <c r="R253" s="11"/>
      <c r="S253" s="11"/>
      <c r="T253" s="11"/>
      <c r="U253" s="11"/>
      <c r="V253" s="11"/>
      <c r="W253" s="11"/>
    </row>
    <row r="254" spans="1:23" customFormat="1">
      <c r="A254" s="145"/>
      <c r="B254" s="11"/>
      <c r="C254" s="239" t="str">
        <f t="shared" si="32"/>
        <v>Sin especificar</v>
      </c>
      <c r="D254" s="323" t="s">
        <v>26</v>
      </c>
      <c r="E254" s="239" t="s">
        <v>29</v>
      </c>
      <c r="F254" s="582" t="str">
        <f t="shared" si="30"/>
        <v>Sin especificarC2A</v>
      </c>
      <c r="G254" s="583"/>
      <c r="H254" s="584"/>
      <c r="I254" s="276"/>
      <c r="J254" s="11"/>
      <c r="K254" s="11"/>
      <c r="L254" s="11"/>
      <c r="M254" s="11"/>
      <c r="N254" s="11"/>
      <c r="O254" s="11"/>
      <c r="P254" s="11"/>
      <c r="Q254" s="11"/>
      <c r="R254" s="11"/>
      <c r="S254" s="11"/>
      <c r="T254" s="11"/>
      <c r="U254" s="11"/>
      <c r="V254" s="11"/>
      <c r="W254" s="11"/>
    </row>
    <row r="255" spans="1:23" customFormat="1">
      <c r="A255" s="145"/>
      <c r="B255" s="11"/>
      <c r="C255" s="239" t="str">
        <f t="shared" si="32"/>
        <v>Sin especificar</v>
      </c>
      <c r="D255" s="323" t="s">
        <v>26</v>
      </c>
      <c r="E255" s="239" t="s">
        <v>35</v>
      </c>
      <c r="F255" s="582" t="str">
        <f t="shared" si="30"/>
        <v>Sin especificarC2B</v>
      </c>
      <c r="G255" s="583"/>
      <c r="H255" s="584"/>
      <c r="I255" s="276"/>
      <c r="J255" s="11"/>
      <c r="K255" s="11"/>
      <c r="L255" s="11"/>
      <c r="M255" s="11"/>
      <c r="N255" s="11"/>
      <c r="O255" s="11"/>
      <c r="P255" s="11"/>
      <c r="Q255" s="11"/>
      <c r="R255" s="11"/>
      <c r="S255" s="11"/>
      <c r="T255" s="11"/>
      <c r="U255" s="11"/>
      <c r="V255" s="11"/>
      <c r="W255" s="11"/>
    </row>
    <row r="256" spans="1:23" customFormat="1">
      <c r="A256" s="145"/>
      <c r="B256" s="11"/>
      <c r="C256" s="239" t="str">
        <f t="shared" si="32"/>
        <v>Sin especificar</v>
      </c>
      <c r="D256" s="323" t="s">
        <v>26</v>
      </c>
      <c r="E256" s="239" t="s">
        <v>38</v>
      </c>
      <c r="F256" s="582" t="str">
        <f t="shared" si="30"/>
        <v>Sin especificarC2C</v>
      </c>
      <c r="G256" s="583"/>
      <c r="H256" s="584"/>
      <c r="I256" s="276"/>
      <c r="J256" s="11"/>
      <c r="K256" s="11"/>
      <c r="L256" s="11"/>
      <c r="M256" s="11"/>
      <c r="N256" s="11"/>
      <c r="O256" s="11"/>
      <c r="P256" s="11"/>
      <c r="Q256" s="11"/>
      <c r="R256" s="11"/>
      <c r="S256" s="11"/>
      <c r="T256" s="11"/>
      <c r="U256" s="11"/>
      <c r="V256" s="11"/>
      <c r="W256" s="11"/>
    </row>
    <row r="257" spans="1:23" customFormat="1">
      <c r="A257" s="145"/>
      <c r="B257" s="11"/>
      <c r="C257" s="239" t="str">
        <f t="shared" si="32"/>
        <v>Sin especificar</v>
      </c>
      <c r="D257" s="323" t="s">
        <v>26</v>
      </c>
      <c r="E257" s="239" t="s">
        <v>41</v>
      </c>
      <c r="F257" s="582" t="str">
        <f t="shared" si="30"/>
        <v>Sin especificarC2D</v>
      </c>
      <c r="G257" s="583"/>
      <c r="H257" s="584"/>
      <c r="I257" s="276"/>
      <c r="J257" s="11"/>
      <c r="K257" s="11"/>
      <c r="L257" s="11"/>
      <c r="M257" s="11"/>
      <c r="N257" s="11"/>
      <c r="O257" s="11"/>
      <c r="P257" s="11"/>
      <c r="Q257" s="11"/>
      <c r="R257" s="11"/>
      <c r="S257" s="11"/>
      <c r="T257" s="11"/>
      <c r="U257" s="11"/>
      <c r="V257" s="11"/>
      <c r="W257" s="11"/>
    </row>
    <row r="258" spans="1:23" customFormat="1">
      <c r="A258" s="145"/>
      <c r="B258" s="11"/>
      <c r="C258" s="239" t="str">
        <f t="shared" si="32"/>
        <v>Sin especificar</v>
      </c>
      <c r="D258" s="323" t="s">
        <v>26</v>
      </c>
      <c r="E258" s="239" t="s">
        <v>44</v>
      </c>
      <c r="F258" s="582" t="str">
        <f t="shared" si="30"/>
        <v>Sin especificarC2E</v>
      </c>
      <c r="G258" s="583"/>
      <c r="H258" s="584"/>
      <c r="I258" s="276"/>
      <c r="J258" s="11"/>
      <c r="K258" s="11"/>
      <c r="L258" s="11"/>
      <c r="M258" s="11"/>
      <c r="N258" s="11"/>
      <c r="O258" s="11"/>
      <c r="P258" s="11"/>
      <c r="Q258" s="11"/>
      <c r="R258" s="11"/>
      <c r="S258" s="11"/>
      <c r="T258" s="11"/>
      <c r="U258" s="11"/>
      <c r="V258" s="11"/>
      <c r="W258" s="11"/>
    </row>
    <row r="259" spans="1:23" customFormat="1">
      <c r="A259" s="145"/>
      <c r="B259" s="11"/>
      <c r="C259" s="239" t="str">
        <f t="shared" si="32"/>
        <v>Sin especificar</v>
      </c>
      <c r="D259" s="323" t="s">
        <v>26</v>
      </c>
      <c r="E259" s="289" t="str">
        <f>IF(Idioma=Castellano,"Sin definir",IF(Idioma=Valencià,"Sense definir","Sin definir"))</f>
        <v>Sin definir</v>
      </c>
      <c r="F259" s="582" t="str">
        <f t="shared" si="30"/>
        <v>Sin especificarC2Sin definir</v>
      </c>
      <c r="G259" s="583"/>
      <c r="H259" s="584"/>
      <c r="I259" s="276"/>
      <c r="J259" s="11"/>
      <c r="K259" s="11"/>
      <c r="L259" s="11"/>
      <c r="M259" s="11"/>
      <c r="N259" s="11"/>
      <c r="O259" s="11"/>
      <c r="P259" s="11"/>
      <c r="Q259" s="11"/>
      <c r="R259" s="11"/>
      <c r="S259" s="11"/>
      <c r="T259" s="11"/>
      <c r="U259" s="11"/>
      <c r="V259" s="11"/>
      <c r="W259" s="11"/>
    </row>
    <row r="260" spans="1:23" customFormat="1">
      <c r="A260" s="145"/>
      <c r="B260" s="11"/>
      <c r="C260" s="239" t="str">
        <f t="shared" ref="C260:C266" si="33">IF(Idioma=Castellano,"Oficinas",IF(Idioma=Valencià,"Oficines","Oficinas"))</f>
        <v>Oficinas</v>
      </c>
      <c r="D260" s="323" t="s">
        <v>19</v>
      </c>
      <c r="E260" s="289" t="str">
        <f>IF(Idioma=Castellano,"Existente",IF(Idioma=Valencià,"Existent","Existente"))</f>
        <v>Existente</v>
      </c>
      <c r="F260" s="582" t="str">
        <f t="shared" si="30"/>
        <v>OficinasC3Existente</v>
      </c>
      <c r="G260" s="583"/>
      <c r="H260" s="584"/>
      <c r="I260" s="276"/>
      <c r="J260" s="11"/>
      <c r="K260" s="11"/>
      <c r="L260" s="11"/>
      <c r="M260" s="11"/>
      <c r="N260" s="11"/>
      <c r="O260" s="11"/>
      <c r="P260" s="11"/>
      <c r="Q260" s="11"/>
      <c r="R260" s="11"/>
      <c r="S260" s="11"/>
      <c r="T260" s="11"/>
      <c r="U260" s="11"/>
      <c r="V260" s="11"/>
      <c r="W260" s="11"/>
    </row>
    <row r="261" spans="1:23" customFormat="1">
      <c r="A261" s="145"/>
      <c r="B261" s="11"/>
      <c r="C261" s="239" t="str">
        <f t="shared" si="33"/>
        <v>Oficinas</v>
      </c>
      <c r="D261" s="323" t="s">
        <v>19</v>
      </c>
      <c r="E261" s="239" t="s">
        <v>29</v>
      </c>
      <c r="F261" s="582" t="str">
        <f t="shared" si="30"/>
        <v>OficinasC3A</v>
      </c>
      <c r="G261" s="583"/>
      <c r="H261" s="584"/>
      <c r="I261" s="276"/>
      <c r="J261" s="11"/>
      <c r="K261" s="11"/>
      <c r="L261" s="11"/>
      <c r="M261" s="11"/>
      <c r="N261" s="11"/>
      <c r="O261" s="11"/>
      <c r="P261" s="11"/>
      <c r="Q261" s="11"/>
      <c r="R261" s="11"/>
      <c r="S261" s="11"/>
      <c r="T261" s="11"/>
      <c r="U261" s="11"/>
      <c r="V261" s="11"/>
      <c r="W261" s="11"/>
    </row>
    <row r="262" spans="1:23" customFormat="1">
      <c r="A262" s="145"/>
      <c r="B262" s="11"/>
      <c r="C262" s="239" t="str">
        <f t="shared" si="33"/>
        <v>Oficinas</v>
      </c>
      <c r="D262" s="323" t="s">
        <v>19</v>
      </c>
      <c r="E262" s="239" t="s">
        <v>35</v>
      </c>
      <c r="F262" s="582" t="str">
        <f t="shared" si="30"/>
        <v>OficinasC3B</v>
      </c>
      <c r="G262" s="583"/>
      <c r="H262" s="584"/>
      <c r="I262" s="276"/>
      <c r="J262" s="11"/>
      <c r="K262" s="11"/>
      <c r="L262" s="11"/>
      <c r="M262" s="11"/>
      <c r="N262" s="11"/>
      <c r="O262" s="11"/>
      <c r="P262" s="11"/>
      <c r="Q262" s="11"/>
      <c r="R262" s="11"/>
      <c r="S262" s="11"/>
      <c r="T262" s="11"/>
      <c r="U262" s="11"/>
      <c r="V262" s="11"/>
      <c r="W262" s="11"/>
    </row>
    <row r="263" spans="1:23" customFormat="1">
      <c r="A263" s="145"/>
      <c r="B263" s="11"/>
      <c r="C263" s="239" t="str">
        <f t="shared" si="33"/>
        <v>Oficinas</v>
      </c>
      <c r="D263" s="323" t="s">
        <v>19</v>
      </c>
      <c r="E263" s="239" t="s">
        <v>38</v>
      </c>
      <c r="F263" s="582" t="str">
        <f t="shared" si="30"/>
        <v>OficinasC3C</v>
      </c>
      <c r="G263" s="583"/>
      <c r="H263" s="584"/>
      <c r="I263" s="276"/>
      <c r="J263" s="11"/>
      <c r="K263" s="11"/>
      <c r="L263" s="11"/>
      <c r="M263" s="11"/>
      <c r="N263" s="11"/>
      <c r="O263" s="11"/>
      <c r="P263" s="11"/>
      <c r="Q263" s="11"/>
      <c r="R263" s="11"/>
      <c r="S263" s="11"/>
      <c r="T263" s="11"/>
      <c r="U263" s="11"/>
      <c r="V263" s="11"/>
      <c r="W263" s="11"/>
    </row>
    <row r="264" spans="1:23" customFormat="1">
      <c r="A264" s="145"/>
      <c r="B264" s="11"/>
      <c r="C264" s="239" t="str">
        <f t="shared" si="33"/>
        <v>Oficinas</v>
      </c>
      <c r="D264" s="323" t="s">
        <v>19</v>
      </c>
      <c r="E264" s="239" t="s">
        <v>41</v>
      </c>
      <c r="F264" s="582" t="str">
        <f t="shared" si="30"/>
        <v>OficinasC3D</v>
      </c>
      <c r="G264" s="583"/>
      <c r="H264" s="584"/>
      <c r="I264" s="276"/>
      <c r="J264" s="11"/>
      <c r="K264" s="11"/>
      <c r="L264" s="11"/>
      <c r="M264" s="11"/>
      <c r="N264" s="11"/>
      <c r="O264" s="11"/>
      <c r="P264" s="11"/>
      <c r="Q264" s="11"/>
      <c r="R264" s="11"/>
      <c r="S264" s="11"/>
      <c r="T264" s="11"/>
      <c r="U264" s="11"/>
      <c r="V264" s="11"/>
      <c r="W264" s="11"/>
    </row>
    <row r="265" spans="1:23" customFormat="1">
      <c r="A265" s="145"/>
      <c r="B265" s="11"/>
      <c r="C265" s="239" t="str">
        <f t="shared" si="33"/>
        <v>Oficinas</v>
      </c>
      <c r="D265" s="323" t="s">
        <v>19</v>
      </c>
      <c r="E265" s="239" t="s">
        <v>44</v>
      </c>
      <c r="F265" s="582" t="str">
        <f t="shared" si="30"/>
        <v>OficinasC3E</v>
      </c>
      <c r="G265" s="583"/>
      <c r="H265" s="584"/>
      <c r="I265" s="276"/>
      <c r="J265" s="11"/>
      <c r="K265" s="11"/>
      <c r="L265" s="11"/>
      <c r="M265" s="11"/>
      <c r="N265" s="11"/>
      <c r="O265" s="11"/>
      <c r="P265" s="11"/>
      <c r="Q265" s="11"/>
      <c r="R265" s="11"/>
      <c r="S265" s="11"/>
      <c r="T265" s="11"/>
      <c r="U265" s="11"/>
      <c r="V265" s="11"/>
      <c r="W265" s="11"/>
    </row>
    <row r="266" spans="1:23" customFormat="1">
      <c r="A266" s="145"/>
      <c r="B266" s="11"/>
      <c r="C266" s="239" t="str">
        <f t="shared" si="33"/>
        <v>Oficinas</v>
      </c>
      <c r="D266" s="323" t="s">
        <v>19</v>
      </c>
      <c r="E266" s="289" t="str">
        <f>IF(Idioma=Castellano,"Sin definir",IF(Idioma=Valencià,"Sense definir","Sin definir"))</f>
        <v>Sin definir</v>
      </c>
      <c r="F266" s="582" t="str">
        <f t="shared" si="30"/>
        <v>OficinasC3Sin definir</v>
      </c>
      <c r="G266" s="583"/>
      <c r="H266" s="584"/>
      <c r="I266" s="276"/>
      <c r="J266" s="11"/>
      <c r="K266" s="11"/>
      <c r="L266" s="11"/>
      <c r="M266" s="11"/>
      <c r="N266" s="11"/>
      <c r="O266" s="11"/>
      <c r="P266" s="11"/>
      <c r="Q266" s="11"/>
      <c r="R266" s="11"/>
      <c r="S266" s="11"/>
      <c r="T266" s="11"/>
      <c r="U266" s="11"/>
      <c r="V266" s="11"/>
      <c r="W266" s="11"/>
    </row>
    <row r="267" spans="1:23" customFormat="1">
      <c r="A267" s="145"/>
      <c r="B267" s="11"/>
      <c r="C267" s="239" t="str">
        <f t="shared" ref="C267:C273" si="34">IF(Idioma=Castellano,"Comercio",IF(Idioma=Valencià,"Comerç","Comercio"))</f>
        <v>Comercio</v>
      </c>
      <c r="D267" s="323" t="s">
        <v>19</v>
      </c>
      <c r="E267" s="289" t="str">
        <f>IF(Idioma=Castellano,"Existente",IF(Idioma=Valencià,"Existent","Existente"))</f>
        <v>Existente</v>
      </c>
      <c r="F267" s="582" t="str">
        <f t="shared" si="30"/>
        <v>ComercioC3Existente</v>
      </c>
      <c r="G267" s="583"/>
      <c r="H267" s="584"/>
      <c r="I267" s="276"/>
      <c r="J267" s="11"/>
      <c r="K267" s="11"/>
      <c r="L267" s="11"/>
      <c r="M267" s="11"/>
      <c r="N267" s="11"/>
      <c r="O267" s="11"/>
      <c r="P267" s="11"/>
      <c r="Q267" s="11"/>
      <c r="R267" s="11"/>
      <c r="S267" s="11"/>
      <c r="T267" s="11"/>
      <c r="U267" s="11"/>
      <c r="V267" s="11"/>
      <c r="W267" s="11"/>
    </row>
    <row r="268" spans="1:23" customFormat="1">
      <c r="A268" s="145"/>
      <c r="B268" s="11"/>
      <c r="C268" s="239" t="str">
        <f t="shared" si="34"/>
        <v>Comercio</v>
      </c>
      <c r="D268" s="323" t="s">
        <v>19</v>
      </c>
      <c r="E268" s="239" t="s">
        <v>29</v>
      </c>
      <c r="F268" s="582" t="str">
        <f t="shared" si="30"/>
        <v>ComercioC3A</v>
      </c>
      <c r="G268" s="583"/>
      <c r="H268" s="584"/>
      <c r="I268" s="276"/>
      <c r="J268" s="11"/>
      <c r="K268" s="11"/>
      <c r="L268" s="11"/>
      <c r="M268" s="11"/>
      <c r="N268" s="11"/>
      <c r="O268" s="11"/>
      <c r="P268" s="11"/>
      <c r="Q268" s="11"/>
      <c r="R268" s="11"/>
      <c r="S268" s="11"/>
      <c r="T268" s="11"/>
      <c r="U268" s="11"/>
      <c r="V268" s="11"/>
      <c r="W268" s="11"/>
    </row>
    <row r="269" spans="1:23" customFormat="1">
      <c r="A269" s="145"/>
      <c r="B269" s="11"/>
      <c r="C269" s="239" t="str">
        <f t="shared" si="34"/>
        <v>Comercio</v>
      </c>
      <c r="D269" s="323" t="s">
        <v>19</v>
      </c>
      <c r="E269" s="239" t="s">
        <v>35</v>
      </c>
      <c r="F269" s="582" t="str">
        <f t="shared" si="30"/>
        <v>ComercioC3B</v>
      </c>
      <c r="G269" s="583"/>
      <c r="H269" s="584"/>
      <c r="I269" s="276"/>
      <c r="J269" s="11"/>
      <c r="K269" s="11"/>
      <c r="L269" s="11"/>
      <c r="M269" s="11"/>
      <c r="N269" s="11"/>
      <c r="O269" s="11"/>
      <c r="P269" s="11"/>
      <c r="Q269" s="11"/>
      <c r="R269" s="11"/>
      <c r="S269" s="11"/>
      <c r="T269" s="11"/>
      <c r="U269" s="11"/>
      <c r="V269" s="11"/>
      <c r="W269" s="11"/>
    </row>
    <row r="270" spans="1:23" customFormat="1">
      <c r="A270" s="145"/>
      <c r="B270" s="11"/>
      <c r="C270" s="239" t="str">
        <f t="shared" si="34"/>
        <v>Comercio</v>
      </c>
      <c r="D270" s="323" t="s">
        <v>19</v>
      </c>
      <c r="E270" s="239" t="s">
        <v>38</v>
      </c>
      <c r="F270" s="582" t="str">
        <f t="shared" si="30"/>
        <v>ComercioC3C</v>
      </c>
      <c r="G270" s="583"/>
      <c r="H270" s="584"/>
      <c r="I270" s="276"/>
      <c r="J270" s="11"/>
      <c r="K270" s="11"/>
      <c r="L270" s="11"/>
      <c r="M270" s="11"/>
      <c r="N270" s="11"/>
      <c r="O270" s="11"/>
      <c r="P270" s="11"/>
      <c r="Q270" s="11"/>
      <c r="R270" s="11"/>
      <c r="S270" s="11"/>
      <c r="T270" s="11"/>
      <c r="U270" s="11"/>
      <c r="V270" s="11"/>
      <c r="W270" s="11"/>
    </row>
    <row r="271" spans="1:23" customFormat="1">
      <c r="A271" s="145"/>
      <c r="B271" s="11"/>
      <c r="C271" s="239" t="str">
        <f t="shared" si="34"/>
        <v>Comercio</v>
      </c>
      <c r="D271" s="323" t="s">
        <v>19</v>
      </c>
      <c r="E271" s="239" t="s">
        <v>41</v>
      </c>
      <c r="F271" s="582" t="str">
        <f t="shared" si="30"/>
        <v>ComercioC3D</v>
      </c>
      <c r="G271" s="583"/>
      <c r="H271" s="584"/>
      <c r="I271" s="276"/>
      <c r="J271" s="11"/>
      <c r="K271" s="11"/>
      <c r="L271" s="11"/>
      <c r="M271" s="11"/>
      <c r="N271" s="11"/>
      <c r="O271" s="11"/>
      <c r="P271" s="11"/>
      <c r="Q271" s="11"/>
      <c r="R271" s="11"/>
      <c r="S271" s="11"/>
      <c r="T271" s="11"/>
      <c r="U271" s="11"/>
      <c r="V271" s="11"/>
      <c r="W271" s="11"/>
    </row>
    <row r="272" spans="1:23" customFormat="1">
      <c r="A272" s="145"/>
      <c r="B272" s="11"/>
      <c r="C272" s="239" t="str">
        <f t="shared" si="34"/>
        <v>Comercio</v>
      </c>
      <c r="D272" s="323" t="s">
        <v>19</v>
      </c>
      <c r="E272" s="239" t="s">
        <v>44</v>
      </c>
      <c r="F272" s="582" t="str">
        <f t="shared" si="30"/>
        <v>ComercioC3E</v>
      </c>
      <c r="G272" s="583"/>
      <c r="H272" s="584"/>
      <c r="I272" s="276"/>
      <c r="J272" s="11"/>
      <c r="K272" s="11"/>
      <c r="L272" s="11"/>
      <c r="M272" s="11"/>
      <c r="N272" s="11"/>
      <c r="O272" s="11"/>
      <c r="P272" s="11"/>
      <c r="Q272" s="11"/>
      <c r="R272" s="11"/>
      <c r="S272" s="11"/>
      <c r="T272" s="11"/>
      <c r="U272" s="11"/>
      <c r="V272" s="11"/>
      <c r="W272" s="11"/>
    </row>
    <row r="273" spans="1:23" customFormat="1">
      <c r="A273" s="145"/>
      <c r="B273" s="11"/>
      <c r="C273" s="239" t="str">
        <f t="shared" si="34"/>
        <v>Comercio</v>
      </c>
      <c r="D273" s="323" t="s">
        <v>19</v>
      </c>
      <c r="E273" s="289" t="str">
        <f>IF(Idioma=Castellano,"Sin definir",IF(Idioma=Valencià,"Sense definir","Sin definir"))</f>
        <v>Sin definir</v>
      </c>
      <c r="F273" s="582" t="str">
        <f t="shared" si="30"/>
        <v>ComercioC3Sin definir</v>
      </c>
      <c r="G273" s="583"/>
      <c r="H273" s="584"/>
      <c r="I273" s="276"/>
      <c r="J273" s="11"/>
      <c r="K273" s="11"/>
      <c r="L273" s="11"/>
      <c r="M273" s="11"/>
      <c r="N273" s="11"/>
      <c r="O273" s="11"/>
      <c r="P273" s="11"/>
      <c r="Q273" s="11"/>
      <c r="R273" s="11"/>
      <c r="S273" s="11"/>
      <c r="T273" s="11"/>
      <c r="U273" s="11"/>
      <c r="V273" s="11"/>
      <c r="W273" s="11"/>
    </row>
    <row r="274" spans="1:23" customFormat="1">
      <c r="A274" s="145"/>
      <c r="B274" s="11"/>
      <c r="C274" s="239" t="s">
        <v>606</v>
      </c>
      <c r="D274" s="323" t="s">
        <v>19</v>
      </c>
      <c r="E274" s="289" t="str">
        <f>IF(Idioma=Castellano,"Existente",IF(Idioma=Valencià,"Existent","Existente"))</f>
        <v>Existente</v>
      </c>
      <c r="F274" s="582" t="str">
        <f t="shared" si="30"/>
        <v>HotelC3Existente</v>
      </c>
      <c r="G274" s="583"/>
      <c r="H274" s="584"/>
      <c r="I274" s="276"/>
      <c r="J274" s="11"/>
      <c r="K274" s="11"/>
      <c r="L274" s="11"/>
      <c r="M274" s="11"/>
      <c r="N274" s="11"/>
      <c r="O274" s="11"/>
      <c r="P274" s="11"/>
      <c r="Q274" s="11"/>
      <c r="R274" s="11"/>
      <c r="S274" s="11"/>
      <c r="T274" s="11"/>
      <c r="U274" s="11"/>
      <c r="V274" s="11"/>
      <c r="W274" s="11"/>
    </row>
    <row r="275" spans="1:23" customFormat="1">
      <c r="A275" s="145"/>
      <c r="B275" s="11"/>
      <c r="C275" s="239" t="s">
        <v>606</v>
      </c>
      <c r="D275" s="323" t="s">
        <v>19</v>
      </c>
      <c r="E275" s="239" t="s">
        <v>29</v>
      </c>
      <c r="F275" s="582" t="str">
        <f t="shared" si="30"/>
        <v>HotelC3A</v>
      </c>
      <c r="G275" s="583"/>
      <c r="H275" s="584"/>
      <c r="I275" s="276"/>
      <c r="J275" s="11"/>
      <c r="K275" s="11"/>
      <c r="L275" s="11"/>
      <c r="M275" s="11"/>
      <c r="N275" s="11"/>
      <c r="O275" s="11"/>
      <c r="P275" s="11"/>
      <c r="Q275" s="11"/>
      <c r="R275" s="11"/>
      <c r="S275" s="11"/>
      <c r="T275" s="11"/>
      <c r="U275" s="11"/>
      <c r="V275" s="11"/>
      <c r="W275" s="11"/>
    </row>
    <row r="276" spans="1:23" customFormat="1">
      <c r="A276" s="145"/>
      <c r="B276" s="11"/>
      <c r="C276" s="239" t="s">
        <v>606</v>
      </c>
      <c r="D276" s="323" t="s">
        <v>19</v>
      </c>
      <c r="E276" s="239" t="s">
        <v>35</v>
      </c>
      <c r="F276" s="582" t="str">
        <f t="shared" si="30"/>
        <v>HotelC3B</v>
      </c>
      <c r="G276" s="583"/>
      <c r="H276" s="584"/>
      <c r="I276" s="276"/>
      <c r="J276" s="11"/>
      <c r="K276" s="11"/>
      <c r="L276" s="11"/>
      <c r="M276" s="11"/>
      <c r="N276" s="11"/>
      <c r="O276" s="11"/>
      <c r="P276" s="11"/>
      <c r="Q276" s="11"/>
      <c r="R276" s="11"/>
      <c r="S276" s="11"/>
      <c r="T276" s="11"/>
      <c r="U276" s="11"/>
      <c r="V276" s="11"/>
      <c r="W276" s="11"/>
    </row>
    <row r="277" spans="1:23" customFormat="1">
      <c r="A277" s="145"/>
      <c r="B277" s="11"/>
      <c r="C277" s="239" t="s">
        <v>606</v>
      </c>
      <c r="D277" s="323" t="s">
        <v>19</v>
      </c>
      <c r="E277" s="239" t="s">
        <v>38</v>
      </c>
      <c r="F277" s="582" t="str">
        <f t="shared" si="30"/>
        <v>HotelC3C</v>
      </c>
      <c r="G277" s="583"/>
      <c r="H277" s="584"/>
      <c r="I277" s="276"/>
      <c r="J277" s="11"/>
      <c r="K277" s="11"/>
      <c r="L277" s="11"/>
      <c r="M277" s="11"/>
      <c r="N277" s="11"/>
      <c r="O277" s="11"/>
      <c r="P277" s="11"/>
      <c r="Q277" s="11"/>
      <c r="R277" s="11"/>
      <c r="S277" s="11"/>
      <c r="T277" s="11"/>
      <c r="U277" s="11"/>
      <c r="V277" s="11"/>
      <c r="W277" s="11"/>
    </row>
    <row r="278" spans="1:23" customFormat="1">
      <c r="A278" s="145"/>
      <c r="B278" s="11"/>
      <c r="C278" s="239" t="s">
        <v>606</v>
      </c>
      <c r="D278" s="323" t="s">
        <v>19</v>
      </c>
      <c r="E278" s="239" t="s">
        <v>41</v>
      </c>
      <c r="F278" s="582" t="str">
        <f t="shared" si="30"/>
        <v>HotelC3D</v>
      </c>
      <c r="G278" s="583"/>
      <c r="H278" s="584"/>
      <c r="I278" s="276"/>
      <c r="J278" s="11"/>
      <c r="K278" s="11"/>
      <c r="L278" s="11"/>
      <c r="M278" s="11"/>
      <c r="N278" s="11"/>
      <c r="O278" s="11"/>
      <c r="P278" s="11"/>
      <c r="Q278" s="11"/>
      <c r="R278" s="11"/>
      <c r="S278" s="11"/>
      <c r="T278" s="11"/>
      <c r="U278" s="11"/>
      <c r="V278" s="11"/>
      <c r="W278" s="11"/>
    </row>
    <row r="279" spans="1:23" customFormat="1">
      <c r="A279" s="145"/>
      <c r="B279" s="11"/>
      <c r="C279" s="239" t="s">
        <v>606</v>
      </c>
      <c r="D279" s="323" t="s">
        <v>19</v>
      </c>
      <c r="E279" s="239" t="s">
        <v>44</v>
      </c>
      <c r="F279" s="582" t="str">
        <f t="shared" si="30"/>
        <v>HotelC3E</v>
      </c>
      <c r="G279" s="583"/>
      <c r="H279" s="584"/>
      <c r="I279" s="276"/>
      <c r="J279" s="11"/>
      <c r="K279" s="11"/>
      <c r="L279" s="11"/>
      <c r="M279" s="11"/>
      <c r="N279" s="11"/>
      <c r="O279" s="11"/>
      <c r="P279" s="11"/>
      <c r="Q279" s="11"/>
      <c r="R279" s="11"/>
      <c r="S279" s="11"/>
      <c r="T279" s="11"/>
      <c r="U279" s="11"/>
      <c r="V279" s="11"/>
      <c r="W279" s="11"/>
    </row>
    <row r="280" spans="1:23" customFormat="1">
      <c r="A280" s="145"/>
      <c r="B280" s="11"/>
      <c r="C280" s="239" t="s">
        <v>606</v>
      </c>
      <c r="D280" s="323" t="s">
        <v>19</v>
      </c>
      <c r="E280" s="289" t="str">
        <f>IF(Idioma=Castellano,"Sin definir",IF(Idioma=Valencià,"Sense definir","Sin definir"))</f>
        <v>Sin definir</v>
      </c>
      <c r="F280" s="582" t="str">
        <f t="shared" si="30"/>
        <v>HotelC3Sin definir</v>
      </c>
      <c r="G280" s="583"/>
      <c r="H280" s="584"/>
      <c r="I280" s="276"/>
      <c r="J280" s="11"/>
      <c r="K280" s="11"/>
      <c r="L280" s="11"/>
      <c r="M280" s="11"/>
      <c r="N280" s="11"/>
      <c r="O280" s="11"/>
      <c r="P280" s="11"/>
      <c r="Q280" s="11"/>
      <c r="R280" s="11"/>
      <c r="S280" s="11"/>
      <c r="T280" s="11"/>
      <c r="U280" s="11"/>
      <c r="V280" s="11"/>
      <c r="W280" s="11"/>
    </row>
    <row r="281" spans="1:23" customFormat="1">
      <c r="A281" s="145"/>
      <c r="B281" s="11"/>
      <c r="C281" s="239" t="str">
        <f t="shared" ref="C281:C287" si="35">IF(Idioma=Castellano,"Restauración",IF(Idioma=Valencià,"Restauració","Restauración"))</f>
        <v>Restauración</v>
      </c>
      <c r="D281" s="323" t="s">
        <v>19</v>
      </c>
      <c r="E281" s="289" t="str">
        <f>IF(Idioma=Castellano,"Existente",IF(Idioma=Valencià,"Existent","Existente"))</f>
        <v>Existente</v>
      </c>
      <c r="F281" s="582" t="str">
        <f t="shared" si="30"/>
        <v>RestauraciónC3Existente</v>
      </c>
      <c r="G281" s="583"/>
      <c r="H281" s="584"/>
      <c r="I281" s="276"/>
      <c r="J281" s="11"/>
      <c r="K281" s="11"/>
      <c r="L281" s="11"/>
      <c r="M281" s="11"/>
      <c r="N281" s="11"/>
      <c r="O281" s="11"/>
      <c r="P281" s="11"/>
      <c r="Q281" s="11"/>
      <c r="R281" s="11"/>
      <c r="S281" s="11"/>
      <c r="T281" s="11"/>
      <c r="U281" s="11"/>
      <c r="V281" s="11"/>
      <c r="W281" s="11"/>
    </row>
    <row r="282" spans="1:23" customFormat="1">
      <c r="A282" s="145"/>
      <c r="B282" s="11"/>
      <c r="C282" s="239" t="str">
        <f t="shared" si="35"/>
        <v>Restauración</v>
      </c>
      <c r="D282" s="323" t="s">
        <v>19</v>
      </c>
      <c r="E282" s="239" t="s">
        <v>29</v>
      </c>
      <c r="F282" s="582" t="str">
        <f t="shared" si="30"/>
        <v>RestauraciónC3A</v>
      </c>
      <c r="G282" s="583"/>
      <c r="H282" s="584"/>
      <c r="I282" s="276"/>
      <c r="J282" s="11"/>
      <c r="K282" s="11"/>
      <c r="L282" s="11"/>
      <c r="M282" s="11"/>
      <c r="N282" s="11"/>
      <c r="O282" s="11"/>
      <c r="P282" s="11"/>
      <c r="Q282" s="11"/>
      <c r="R282" s="11"/>
      <c r="S282" s="11"/>
      <c r="T282" s="11"/>
      <c r="U282" s="11"/>
      <c r="V282" s="11"/>
      <c r="W282" s="11"/>
    </row>
    <row r="283" spans="1:23" customFormat="1">
      <c r="A283" s="145"/>
      <c r="B283" s="11"/>
      <c r="C283" s="239" t="str">
        <f t="shared" si="35"/>
        <v>Restauración</v>
      </c>
      <c r="D283" s="323" t="s">
        <v>19</v>
      </c>
      <c r="E283" s="239" t="s">
        <v>35</v>
      </c>
      <c r="F283" s="582" t="str">
        <f t="shared" si="30"/>
        <v>RestauraciónC3B</v>
      </c>
      <c r="G283" s="583"/>
      <c r="H283" s="584"/>
      <c r="I283" s="276"/>
      <c r="J283" s="11"/>
      <c r="K283" s="11"/>
      <c r="L283" s="11"/>
      <c r="M283" s="11"/>
      <c r="N283" s="11"/>
      <c r="O283" s="11"/>
      <c r="P283" s="11"/>
      <c r="Q283" s="11"/>
      <c r="R283" s="11"/>
      <c r="S283" s="11"/>
      <c r="T283" s="11"/>
      <c r="U283" s="11"/>
      <c r="V283" s="11"/>
      <c r="W283" s="11"/>
    </row>
    <row r="284" spans="1:23" customFormat="1">
      <c r="A284" s="145"/>
      <c r="B284" s="11"/>
      <c r="C284" s="239" t="str">
        <f t="shared" si="35"/>
        <v>Restauración</v>
      </c>
      <c r="D284" s="323" t="s">
        <v>19</v>
      </c>
      <c r="E284" s="239" t="s">
        <v>38</v>
      </c>
      <c r="F284" s="582" t="str">
        <f t="shared" si="30"/>
        <v>RestauraciónC3C</v>
      </c>
      <c r="G284" s="583"/>
      <c r="H284" s="584"/>
      <c r="I284" s="276"/>
      <c r="J284" s="11"/>
      <c r="K284" s="11"/>
      <c r="L284" s="11"/>
      <c r="M284" s="11"/>
      <c r="N284" s="11"/>
      <c r="O284" s="11"/>
      <c r="P284" s="11"/>
      <c r="Q284" s="11"/>
      <c r="R284" s="11"/>
      <c r="S284" s="11"/>
      <c r="T284" s="11"/>
      <c r="U284" s="11"/>
      <c r="V284" s="11"/>
      <c r="W284" s="11"/>
    </row>
    <row r="285" spans="1:23" customFormat="1">
      <c r="A285" s="145"/>
      <c r="B285" s="11"/>
      <c r="C285" s="239" t="str">
        <f t="shared" si="35"/>
        <v>Restauración</v>
      </c>
      <c r="D285" s="323" t="s">
        <v>19</v>
      </c>
      <c r="E285" s="239" t="s">
        <v>41</v>
      </c>
      <c r="F285" s="582" t="str">
        <f t="shared" si="30"/>
        <v>RestauraciónC3D</v>
      </c>
      <c r="G285" s="583"/>
      <c r="H285" s="584"/>
      <c r="I285" s="276"/>
      <c r="J285" s="11"/>
      <c r="K285" s="11"/>
      <c r="L285" s="11"/>
      <c r="M285" s="11"/>
      <c r="N285" s="11"/>
      <c r="O285" s="11"/>
      <c r="P285" s="11"/>
      <c r="Q285" s="11"/>
      <c r="R285" s="11"/>
      <c r="S285" s="11"/>
      <c r="T285" s="11"/>
      <c r="U285" s="11"/>
      <c r="V285" s="11"/>
      <c r="W285" s="11"/>
    </row>
    <row r="286" spans="1:23" customFormat="1">
      <c r="A286" s="145"/>
      <c r="B286" s="11"/>
      <c r="C286" s="239" t="str">
        <f t="shared" si="35"/>
        <v>Restauración</v>
      </c>
      <c r="D286" s="323" t="s">
        <v>19</v>
      </c>
      <c r="E286" s="239" t="s">
        <v>44</v>
      </c>
      <c r="F286" s="582" t="str">
        <f t="shared" si="30"/>
        <v>RestauraciónC3E</v>
      </c>
      <c r="G286" s="583"/>
      <c r="H286" s="584"/>
      <c r="I286" s="276"/>
      <c r="J286" s="11"/>
      <c r="K286" s="11"/>
      <c r="L286" s="11"/>
      <c r="M286" s="11"/>
      <c r="N286" s="11"/>
      <c r="O286" s="11"/>
      <c r="P286" s="11"/>
      <c r="Q286" s="11"/>
      <c r="R286" s="11"/>
      <c r="S286" s="11"/>
      <c r="T286" s="11"/>
      <c r="U286" s="11"/>
      <c r="V286" s="11"/>
      <c r="W286" s="11"/>
    </row>
    <row r="287" spans="1:23" customFormat="1">
      <c r="A287" s="145"/>
      <c r="B287" s="11"/>
      <c r="C287" s="239" t="str">
        <f t="shared" si="35"/>
        <v>Restauración</v>
      </c>
      <c r="D287" s="323" t="s">
        <v>19</v>
      </c>
      <c r="E287" s="289" t="str">
        <f>IF(Idioma=Castellano,"Sin definir",IF(Idioma=Valencià,"Sense definir","Sin definir"))</f>
        <v>Sin definir</v>
      </c>
      <c r="F287" s="582" t="str">
        <f t="shared" si="30"/>
        <v>RestauraciónC3Sin definir</v>
      </c>
      <c r="G287" s="583"/>
      <c r="H287" s="584"/>
      <c r="I287" s="276"/>
      <c r="J287" s="11"/>
      <c r="K287" s="11"/>
      <c r="L287" s="11"/>
      <c r="M287" s="11"/>
      <c r="N287" s="11"/>
      <c r="O287" s="11"/>
      <c r="P287" s="11"/>
      <c r="Q287" s="11"/>
      <c r="R287" s="11"/>
      <c r="S287" s="11"/>
      <c r="T287" s="11"/>
      <c r="U287" s="11"/>
      <c r="V287" s="11"/>
      <c r="W287" s="11"/>
    </row>
    <row r="288" spans="1:23" customFormat="1">
      <c r="A288" s="145"/>
      <c r="B288" s="11"/>
      <c r="C288" s="239" t="str">
        <f t="shared" ref="C288:C294" si="36">IF(Idioma=Castellano,"Sin especificar",IF(Idioma=Valencià,"Sense especificar ","Sin especificar"))</f>
        <v>Sin especificar</v>
      </c>
      <c r="D288" s="323" t="s">
        <v>19</v>
      </c>
      <c r="E288" s="289" t="str">
        <f>IF(Idioma=Castellano,"Existente",IF(Idioma=Valencià,"Existent","Existente"))</f>
        <v>Existente</v>
      </c>
      <c r="F288" s="582" t="str">
        <f t="shared" si="30"/>
        <v>Sin especificarC3Existente</v>
      </c>
      <c r="G288" s="583"/>
      <c r="H288" s="584"/>
      <c r="I288" s="276"/>
      <c r="J288" s="11"/>
      <c r="K288" s="11"/>
      <c r="L288" s="11"/>
      <c r="M288" s="11"/>
      <c r="N288" s="11"/>
      <c r="O288" s="11"/>
      <c r="P288" s="11"/>
      <c r="Q288" s="11"/>
      <c r="R288" s="11"/>
      <c r="S288" s="11"/>
      <c r="T288" s="11"/>
      <c r="U288" s="11"/>
      <c r="V288" s="11"/>
      <c r="W288" s="11"/>
    </row>
    <row r="289" spans="1:23" customFormat="1">
      <c r="A289" s="145"/>
      <c r="B289" s="11"/>
      <c r="C289" s="239" t="str">
        <f t="shared" si="36"/>
        <v>Sin especificar</v>
      </c>
      <c r="D289" s="323" t="s">
        <v>19</v>
      </c>
      <c r="E289" s="239" t="s">
        <v>29</v>
      </c>
      <c r="F289" s="582" t="str">
        <f t="shared" si="30"/>
        <v>Sin especificarC3A</v>
      </c>
      <c r="G289" s="583"/>
      <c r="H289" s="584"/>
      <c r="I289" s="276"/>
      <c r="J289" s="11"/>
      <c r="K289" s="11"/>
      <c r="L289" s="11"/>
      <c r="M289" s="11"/>
      <c r="N289" s="11"/>
      <c r="O289" s="11"/>
      <c r="P289" s="11"/>
      <c r="Q289" s="11"/>
      <c r="R289" s="11"/>
      <c r="S289" s="11"/>
      <c r="T289" s="11"/>
      <c r="U289" s="11"/>
      <c r="V289" s="11"/>
      <c r="W289" s="11"/>
    </row>
    <row r="290" spans="1:23" customFormat="1">
      <c r="A290" s="145"/>
      <c r="B290" s="11"/>
      <c r="C290" s="239" t="str">
        <f t="shared" si="36"/>
        <v>Sin especificar</v>
      </c>
      <c r="D290" s="323" t="s">
        <v>19</v>
      </c>
      <c r="E290" s="239" t="s">
        <v>35</v>
      </c>
      <c r="F290" s="582" t="str">
        <f t="shared" si="30"/>
        <v>Sin especificarC3B</v>
      </c>
      <c r="G290" s="583"/>
      <c r="H290" s="584"/>
      <c r="I290" s="276"/>
      <c r="J290" s="11"/>
      <c r="K290" s="11"/>
      <c r="L290" s="11"/>
      <c r="M290" s="11"/>
      <c r="N290" s="11"/>
      <c r="O290" s="11"/>
      <c r="P290" s="11"/>
      <c r="Q290" s="11"/>
      <c r="R290" s="11"/>
      <c r="S290" s="11"/>
      <c r="T290" s="11"/>
      <c r="U290" s="11"/>
      <c r="V290" s="11"/>
      <c r="W290" s="11"/>
    </row>
    <row r="291" spans="1:23" customFormat="1">
      <c r="A291" s="145"/>
      <c r="B291" s="11"/>
      <c r="C291" s="239" t="str">
        <f t="shared" si="36"/>
        <v>Sin especificar</v>
      </c>
      <c r="D291" s="323" t="s">
        <v>19</v>
      </c>
      <c r="E291" s="239" t="s">
        <v>38</v>
      </c>
      <c r="F291" s="582" t="str">
        <f t="shared" si="30"/>
        <v>Sin especificarC3C</v>
      </c>
      <c r="G291" s="583"/>
      <c r="H291" s="584"/>
      <c r="I291" s="276"/>
      <c r="J291" s="11"/>
      <c r="K291" s="11"/>
      <c r="L291" s="11"/>
      <c r="M291" s="11"/>
      <c r="N291" s="11"/>
      <c r="O291" s="11"/>
      <c r="P291" s="11"/>
      <c r="Q291" s="11"/>
      <c r="R291" s="11"/>
      <c r="S291" s="11"/>
      <c r="T291" s="11"/>
      <c r="U291" s="11"/>
      <c r="V291" s="11"/>
      <c r="W291" s="11"/>
    </row>
    <row r="292" spans="1:23" customFormat="1">
      <c r="A292" s="145"/>
      <c r="B292" s="11"/>
      <c r="C292" s="239" t="str">
        <f t="shared" si="36"/>
        <v>Sin especificar</v>
      </c>
      <c r="D292" s="323" t="s">
        <v>19</v>
      </c>
      <c r="E292" s="239" t="s">
        <v>41</v>
      </c>
      <c r="F292" s="582" t="str">
        <f t="shared" si="30"/>
        <v>Sin especificarC3D</v>
      </c>
      <c r="G292" s="583"/>
      <c r="H292" s="584"/>
      <c r="I292" s="276"/>
      <c r="J292" s="11"/>
      <c r="K292" s="11"/>
      <c r="L292" s="11"/>
      <c r="M292" s="11"/>
      <c r="N292" s="11"/>
      <c r="O292" s="11"/>
      <c r="P292" s="11"/>
      <c r="Q292" s="11"/>
      <c r="R292" s="11"/>
      <c r="S292" s="11"/>
      <c r="T292" s="11"/>
      <c r="U292" s="11"/>
      <c r="V292" s="11"/>
      <c r="W292" s="11"/>
    </row>
    <row r="293" spans="1:23" customFormat="1">
      <c r="A293" s="145"/>
      <c r="B293" s="11"/>
      <c r="C293" s="239" t="str">
        <f t="shared" si="36"/>
        <v>Sin especificar</v>
      </c>
      <c r="D293" s="323" t="s">
        <v>19</v>
      </c>
      <c r="E293" s="239" t="s">
        <v>44</v>
      </c>
      <c r="F293" s="582" t="str">
        <f t="shared" si="30"/>
        <v>Sin especificarC3E</v>
      </c>
      <c r="G293" s="583"/>
      <c r="H293" s="584"/>
      <c r="I293" s="276"/>
      <c r="J293" s="11"/>
      <c r="K293" s="11"/>
      <c r="L293" s="11"/>
      <c r="M293" s="11"/>
      <c r="N293" s="11"/>
      <c r="O293" s="11"/>
      <c r="P293" s="11"/>
      <c r="Q293" s="11"/>
      <c r="R293" s="11"/>
      <c r="S293" s="11"/>
      <c r="T293" s="11"/>
      <c r="U293" s="11"/>
      <c r="V293" s="11"/>
      <c r="W293" s="11"/>
    </row>
    <row r="294" spans="1:23" customFormat="1">
      <c r="A294" s="145"/>
      <c r="B294" s="11"/>
      <c r="C294" s="239" t="str">
        <f t="shared" si="36"/>
        <v>Sin especificar</v>
      </c>
      <c r="D294" s="323" t="s">
        <v>19</v>
      </c>
      <c r="E294" s="289" t="str">
        <f>IF(Idioma=Castellano,"Sin definir",IF(Idioma=Valencià,"Sense definir","Sin definir"))</f>
        <v>Sin definir</v>
      </c>
      <c r="F294" s="582" t="str">
        <f t="shared" si="30"/>
        <v>Sin especificarC3Sin definir</v>
      </c>
      <c r="G294" s="583"/>
      <c r="H294" s="584"/>
      <c r="I294" s="276"/>
      <c r="J294" s="11"/>
      <c r="K294" s="11"/>
      <c r="L294" s="11"/>
      <c r="M294" s="11"/>
      <c r="N294" s="11"/>
      <c r="O294" s="11"/>
      <c r="P294" s="11"/>
      <c r="Q294" s="11"/>
      <c r="R294" s="11"/>
      <c r="S294" s="11"/>
      <c r="T294" s="11"/>
      <c r="U294" s="11"/>
      <c r="V294" s="11"/>
      <c r="W294" s="11"/>
    </row>
    <row r="295" spans="1:23" customFormat="1">
      <c r="A295" s="145"/>
      <c r="B295" s="11"/>
      <c r="C295" s="239" t="str">
        <f t="shared" ref="C295:C301" si="37">IF(Idioma=Castellano,"Oficinas",IF(Idioma=Valencià,"Oficines","Oficinas"))</f>
        <v>Oficinas</v>
      </c>
      <c r="D295" s="323" t="s">
        <v>55</v>
      </c>
      <c r="E295" s="289" t="str">
        <f>IF(Idioma=Castellano,"Existente",IF(Idioma=Valencià,"Existent","Existente"))</f>
        <v>Existente</v>
      </c>
      <c r="F295" s="582" t="str">
        <f t="shared" si="30"/>
        <v>OficinasD1Existente</v>
      </c>
      <c r="G295" s="583"/>
      <c r="H295" s="584"/>
      <c r="I295" s="276"/>
      <c r="J295" s="11"/>
      <c r="K295" s="11"/>
      <c r="L295" s="11"/>
      <c r="M295" s="11"/>
      <c r="N295" s="11"/>
      <c r="O295" s="11"/>
      <c r="P295" s="11"/>
      <c r="Q295" s="11"/>
      <c r="R295" s="11"/>
      <c r="S295" s="11"/>
      <c r="T295" s="11"/>
      <c r="U295" s="11"/>
      <c r="V295" s="11"/>
      <c r="W295" s="11"/>
    </row>
    <row r="296" spans="1:23" customFormat="1">
      <c r="A296" s="145"/>
      <c r="B296" s="11"/>
      <c r="C296" s="239" t="str">
        <f t="shared" si="37"/>
        <v>Oficinas</v>
      </c>
      <c r="D296" s="323" t="s">
        <v>55</v>
      </c>
      <c r="E296" s="239" t="s">
        <v>29</v>
      </c>
      <c r="F296" s="582" t="str">
        <f t="shared" si="30"/>
        <v>OficinasD1A</v>
      </c>
      <c r="G296" s="583"/>
      <c r="H296" s="584"/>
      <c r="I296" s="276"/>
      <c r="J296" s="11"/>
      <c r="K296" s="11"/>
      <c r="L296" s="11"/>
      <c r="M296" s="11"/>
      <c r="N296" s="11"/>
      <c r="O296" s="11"/>
      <c r="P296" s="11"/>
      <c r="Q296" s="11"/>
      <c r="R296" s="11"/>
      <c r="S296" s="11"/>
      <c r="T296" s="11"/>
      <c r="U296" s="11"/>
      <c r="V296" s="11"/>
      <c r="W296" s="11"/>
    </row>
    <row r="297" spans="1:23" customFormat="1">
      <c r="A297" s="145"/>
      <c r="B297" s="11"/>
      <c r="C297" s="239" t="str">
        <f t="shared" si="37"/>
        <v>Oficinas</v>
      </c>
      <c r="D297" s="323" t="s">
        <v>55</v>
      </c>
      <c r="E297" s="239" t="s">
        <v>35</v>
      </c>
      <c r="F297" s="582" t="str">
        <f t="shared" si="30"/>
        <v>OficinasD1B</v>
      </c>
      <c r="G297" s="583"/>
      <c r="H297" s="584"/>
      <c r="I297" s="276"/>
      <c r="J297" s="11"/>
      <c r="K297" s="11"/>
      <c r="L297" s="11"/>
      <c r="M297" s="11"/>
      <c r="N297" s="11"/>
      <c r="O297" s="11"/>
      <c r="P297" s="11"/>
      <c r="Q297" s="11"/>
      <c r="R297" s="11"/>
      <c r="S297" s="11"/>
      <c r="T297" s="11"/>
      <c r="U297" s="11"/>
      <c r="V297" s="11"/>
      <c r="W297" s="11"/>
    </row>
    <row r="298" spans="1:23" customFormat="1">
      <c r="A298" s="145"/>
      <c r="B298" s="11"/>
      <c r="C298" s="239" t="str">
        <f t="shared" si="37"/>
        <v>Oficinas</v>
      </c>
      <c r="D298" s="323" t="s">
        <v>55</v>
      </c>
      <c r="E298" s="239" t="s">
        <v>38</v>
      </c>
      <c r="F298" s="582" t="str">
        <f t="shared" si="30"/>
        <v>OficinasD1C</v>
      </c>
      <c r="G298" s="583"/>
      <c r="H298" s="584"/>
      <c r="I298" s="276"/>
      <c r="J298" s="11"/>
      <c r="K298" s="11"/>
      <c r="L298" s="11"/>
      <c r="M298" s="11"/>
      <c r="N298" s="11"/>
      <c r="O298" s="11"/>
      <c r="P298" s="11"/>
      <c r="Q298" s="11"/>
      <c r="R298" s="11"/>
      <c r="S298" s="11"/>
      <c r="T298" s="11"/>
      <c r="U298" s="11"/>
      <c r="V298" s="11"/>
      <c r="W298" s="11"/>
    </row>
    <row r="299" spans="1:23" customFormat="1">
      <c r="A299" s="145"/>
      <c r="B299" s="11"/>
      <c r="C299" s="239" t="str">
        <f t="shared" si="37"/>
        <v>Oficinas</v>
      </c>
      <c r="D299" s="323" t="s">
        <v>55</v>
      </c>
      <c r="E299" s="239" t="s">
        <v>41</v>
      </c>
      <c r="F299" s="582" t="str">
        <f t="shared" si="30"/>
        <v>OficinasD1D</v>
      </c>
      <c r="G299" s="583"/>
      <c r="H299" s="584"/>
      <c r="I299" s="276"/>
      <c r="J299" s="11"/>
      <c r="K299" s="11"/>
      <c r="L299" s="11"/>
      <c r="M299" s="11"/>
      <c r="N299" s="11"/>
      <c r="O299" s="11"/>
      <c r="P299" s="11"/>
      <c r="Q299" s="11"/>
      <c r="R299" s="11"/>
      <c r="S299" s="11"/>
      <c r="T299" s="11"/>
      <c r="U299" s="11"/>
      <c r="V299" s="11"/>
      <c r="W299" s="11"/>
    </row>
    <row r="300" spans="1:23" customFormat="1">
      <c r="A300" s="145"/>
      <c r="B300" s="11"/>
      <c r="C300" s="239" t="str">
        <f t="shared" si="37"/>
        <v>Oficinas</v>
      </c>
      <c r="D300" s="323" t="s">
        <v>55</v>
      </c>
      <c r="E300" s="239" t="s">
        <v>44</v>
      </c>
      <c r="F300" s="582" t="str">
        <f t="shared" si="30"/>
        <v>OficinasD1E</v>
      </c>
      <c r="G300" s="583"/>
      <c r="H300" s="584"/>
      <c r="I300" s="276"/>
      <c r="J300" s="11"/>
      <c r="K300" s="11"/>
      <c r="L300" s="11"/>
      <c r="M300" s="11"/>
      <c r="N300" s="11"/>
      <c r="O300" s="11"/>
      <c r="P300" s="11"/>
      <c r="Q300" s="11"/>
      <c r="R300" s="11"/>
      <c r="S300" s="11"/>
      <c r="T300" s="11"/>
      <c r="U300" s="11"/>
      <c r="V300" s="11"/>
      <c r="W300" s="11"/>
    </row>
    <row r="301" spans="1:23" customFormat="1">
      <c r="A301" s="145"/>
      <c r="B301" s="11"/>
      <c r="C301" s="239" t="str">
        <f t="shared" si="37"/>
        <v>Oficinas</v>
      </c>
      <c r="D301" s="323" t="s">
        <v>55</v>
      </c>
      <c r="E301" s="289" t="str">
        <f>IF(Idioma=Castellano,"Sin definir",IF(Idioma=Valencià,"Sense definir","Sin definir"))</f>
        <v>Sin definir</v>
      </c>
      <c r="F301" s="582" t="str">
        <f t="shared" si="30"/>
        <v>OficinasD1Sin definir</v>
      </c>
      <c r="G301" s="583"/>
      <c r="H301" s="584"/>
      <c r="I301" s="276"/>
      <c r="J301" s="11"/>
      <c r="K301" s="11"/>
      <c r="L301" s="11"/>
      <c r="M301" s="11"/>
      <c r="N301" s="11"/>
      <c r="O301" s="11"/>
      <c r="P301" s="11"/>
      <c r="Q301" s="11"/>
      <c r="R301" s="11"/>
      <c r="S301" s="11"/>
      <c r="T301" s="11"/>
      <c r="U301" s="11"/>
      <c r="V301" s="11"/>
      <c r="W301" s="11"/>
    </row>
    <row r="302" spans="1:23" customFormat="1">
      <c r="A302" s="145"/>
      <c r="B302" s="11"/>
      <c r="C302" s="239" t="str">
        <f t="shared" ref="C302:C308" si="38">IF(Idioma=Castellano,"Comercio",IF(Idioma=Valencià,"Comerç","Comercio"))</f>
        <v>Comercio</v>
      </c>
      <c r="D302" s="323" t="s">
        <v>55</v>
      </c>
      <c r="E302" s="289" t="str">
        <f>IF(Idioma=Castellano,"Existente",IF(Idioma=Valencià,"Existent","Existente"))</f>
        <v>Existente</v>
      </c>
      <c r="F302" s="582" t="str">
        <f t="shared" si="30"/>
        <v>ComercioD1Existente</v>
      </c>
      <c r="G302" s="583"/>
      <c r="H302" s="584"/>
      <c r="I302" s="276"/>
      <c r="J302" s="11"/>
      <c r="K302" s="11"/>
      <c r="L302" s="11"/>
      <c r="M302" s="11"/>
      <c r="N302" s="11"/>
      <c r="O302" s="11"/>
      <c r="P302" s="11"/>
      <c r="Q302" s="11"/>
      <c r="R302" s="11"/>
      <c r="S302" s="11"/>
      <c r="T302" s="11"/>
      <c r="U302" s="11"/>
      <c r="V302" s="11"/>
      <c r="W302" s="11"/>
    </row>
    <row r="303" spans="1:23" customFormat="1">
      <c r="A303" s="145"/>
      <c r="B303" s="11"/>
      <c r="C303" s="239" t="str">
        <f t="shared" si="38"/>
        <v>Comercio</v>
      </c>
      <c r="D303" s="323" t="s">
        <v>55</v>
      </c>
      <c r="E303" s="239" t="s">
        <v>29</v>
      </c>
      <c r="F303" s="582" t="str">
        <f t="shared" si="30"/>
        <v>ComercioD1A</v>
      </c>
      <c r="G303" s="583"/>
      <c r="H303" s="584"/>
      <c r="I303" s="276"/>
      <c r="J303" s="11"/>
      <c r="K303" s="11"/>
      <c r="L303" s="11"/>
      <c r="M303" s="11"/>
      <c r="N303" s="11"/>
      <c r="O303" s="11"/>
      <c r="P303" s="11"/>
      <c r="Q303" s="11"/>
      <c r="R303" s="11"/>
      <c r="S303" s="11"/>
      <c r="T303" s="11"/>
      <c r="U303" s="11"/>
      <c r="V303" s="11"/>
      <c r="W303" s="11"/>
    </row>
    <row r="304" spans="1:23" customFormat="1">
      <c r="A304" s="145"/>
      <c r="B304" s="11"/>
      <c r="C304" s="239" t="str">
        <f t="shared" si="38"/>
        <v>Comercio</v>
      </c>
      <c r="D304" s="323" t="s">
        <v>55</v>
      </c>
      <c r="E304" s="239" t="s">
        <v>35</v>
      </c>
      <c r="F304" s="582" t="str">
        <f t="shared" si="30"/>
        <v>ComercioD1B</v>
      </c>
      <c r="G304" s="583"/>
      <c r="H304" s="584"/>
      <c r="I304" s="276"/>
      <c r="J304" s="11"/>
      <c r="K304" s="11"/>
      <c r="L304" s="11"/>
      <c r="M304" s="11"/>
      <c r="N304" s="11"/>
      <c r="O304" s="11"/>
      <c r="P304" s="11"/>
      <c r="Q304" s="11"/>
      <c r="R304" s="11"/>
      <c r="S304" s="11"/>
      <c r="T304" s="11"/>
      <c r="U304" s="11"/>
      <c r="V304" s="11"/>
      <c r="W304" s="11"/>
    </row>
    <row r="305" spans="1:23" customFormat="1">
      <c r="A305" s="145"/>
      <c r="B305" s="11"/>
      <c r="C305" s="239" t="str">
        <f t="shared" si="38"/>
        <v>Comercio</v>
      </c>
      <c r="D305" s="323" t="s">
        <v>55</v>
      </c>
      <c r="E305" s="239" t="s">
        <v>38</v>
      </c>
      <c r="F305" s="582" t="str">
        <f t="shared" si="30"/>
        <v>ComercioD1C</v>
      </c>
      <c r="G305" s="583"/>
      <c r="H305" s="584"/>
      <c r="I305" s="276"/>
      <c r="J305" s="11"/>
      <c r="K305" s="11"/>
      <c r="L305" s="11"/>
      <c r="M305" s="11"/>
      <c r="N305" s="11"/>
      <c r="O305" s="11"/>
      <c r="P305" s="11"/>
      <c r="Q305" s="11"/>
      <c r="R305" s="11"/>
      <c r="S305" s="11"/>
      <c r="T305" s="11"/>
      <c r="U305" s="11"/>
      <c r="V305" s="11"/>
      <c r="W305" s="11"/>
    </row>
    <row r="306" spans="1:23" customFormat="1">
      <c r="A306" s="145"/>
      <c r="B306" s="11"/>
      <c r="C306" s="239" t="str">
        <f t="shared" si="38"/>
        <v>Comercio</v>
      </c>
      <c r="D306" s="323" t="s">
        <v>55</v>
      </c>
      <c r="E306" s="239" t="s">
        <v>41</v>
      </c>
      <c r="F306" s="582" t="str">
        <f t="shared" si="30"/>
        <v>ComercioD1D</v>
      </c>
      <c r="G306" s="583"/>
      <c r="H306" s="584"/>
      <c r="I306" s="276"/>
      <c r="J306" s="11"/>
      <c r="K306" s="11"/>
      <c r="L306" s="11"/>
      <c r="M306" s="11"/>
      <c r="N306" s="11"/>
      <c r="O306" s="11"/>
      <c r="P306" s="11"/>
      <c r="Q306" s="11"/>
      <c r="R306" s="11"/>
      <c r="S306" s="11"/>
      <c r="T306" s="11"/>
      <c r="U306" s="11"/>
      <c r="V306" s="11"/>
      <c r="W306" s="11"/>
    </row>
    <row r="307" spans="1:23" customFormat="1">
      <c r="A307" s="145"/>
      <c r="B307" s="11"/>
      <c r="C307" s="239" t="str">
        <f t="shared" si="38"/>
        <v>Comercio</v>
      </c>
      <c r="D307" s="323" t="s">
        <v>55</v>
      </c>
      <c r="E307" s="239" t="s">
        <v>44</v>
      </c>
      <c r="F307" s="582" t="str">
        <f t="shared" si="30"/>
        <v>ComercioD1E</v>
      </c>
      <c r="G307" s="583"/>
      <c r="H307" s="584"/>
      <c r="I307" s="276"/>
      <c r="J307" s="11"/>
      <c r="K307" s="11"/>
      <c r="L307" s="11"/>
      <c r="M307" s="11"/>
      <c r="N307" s="11"/>
      <c r="O307" s="11"/>
      <c r="P307" s="11"/>
      <c r="Q307" s="11"/>
      <c r="R307" s="11"/>
      <c r="S307" s="11"/>
      <c r="T307" s="11"/>
      <c r="U307" s="11"/>
      <c r="V307" s="11"/>
      <c r="W307" s="11"/>
    </row>
    <row r="308" spans="1:23" customFormat="1">
      <c r="A308" s="145"/>
      <c r="B308" s="11"/>
      <c r="C308" s="239" t="str">
        <f t="shared" si="38"/>
        <v>Comercio</v>
      </c>
      <c r="D308" s="323" t="s">
        <v>55</v>
      </c>
      <c r="E308" s="289" t="str">
        <f>IF(Idioma=Castellano,"Sin definir",IF(Idioma=Valencià,"Sense definir","Sin definir"))</f>
        <v>Sin definir</v>
      </c>
      <c r="F308" s="582" t="str">
        <f t="shared" si="30"/>
        <v>ComercioD1Sin definir</v>
      </c>
      <c r="G308" s="583"/>
      <c r="H308" s="584"/>
      <c r="I308" s="276"/>
      <c r="J308" s="11"/>
      <c r="K308" s="11"/>
      <c r="L308" s="11"/>
      <c r="M308" s="11"/>
      <c r="N308" s="11"/>
      <c r="O308" s="11"/>
      <c r="P308" s="11"/>
      <c r="Q308" s="11"/>
      <c r="R308" s="11"/>
      <c r="S308" s="11"/>
      <c r="T308" s="11"/>
      <c r="U308" s="11"/>
      <c r="V308" s="11"/>
      <c r="W308" s="11"/>
    </row>
    <row r="309" spans="1:23" customFormat="1">
      <c r="A309" s="145"/>
      <c r="B309" s="11"/>
      <c r="C309" s="239" t="s">
        <v>606</v>
      </c>
      <c r="D309" s="323" t="s">
        <v>55</v>
      </c>
      <c r="E309" s="289" t="str">
        <f>IF(Idioma=Castellano,"Existente",IF(Idioma=Valencià,"Existent","Existente"))</f>
        <v>Existente</v>
      </c>
      <c r="F309" s="582" t="str">
        <f t="shared" si="30"/>
        <v>HotelD1Existente</v>
      </c>
      <c r="G309" s="583"/>
      <c r="H309" s="584"/>
      <c r="I309" s="276"/>
      <c r="J309" s="11"/>
      <c r="K309" s="11"/>
      <c r="L309" s="11"/>
      <c r="M309" s="11"/>
      <c r="N309" s="11"/>
      <c r="O309" s="11"/>
      <c r="P309" s="11"/>
      <c r="Q309" s="11"/>
      <c r="R309" s="11"/>
      <c r="S309" s="11"/>
      <c r="T309" s="11"/>
      <c r="U309" s="11"/>
      <c r="V309" s="11"/>
      <c r="W309" s="11"/>
    </row>
    <row r="310" spans="1:23" customFormat="1">
      <c r="A310" s="145"/>
      <c r="B310" s="11"/>
      <c r="C310" s="239" t="s">
        <v>606</v>
      </c>
      <c r="D310" s="323" t="s">
        <v>55</v>
      </c>
      <c r="E310" s="239" t="s">
        <v>29</v>
      </c>
      <c r="F310" s="582" t="str">
        <f t="shared" si="30"/>
        <v>HotelD1A</v>
      </c>
      <c r="G310" s="583"/>
      <c r="H310" s="584"/>
      <c r="I310" s="276"/>
      <c r="J310" s="11"/>
      <c r="K310" s="11"/>
      <c r="L310" s="11"/>
      <c r="M310" s="11"/>
      <c r="N310" s="11"/>
      <c r="O310" s="11"/>
      <c r="P310" s="11"/>
      <c r="Q310" s="11"/>
      <c r="R310" s="11"/>
      <c r="S310" s="11"/>
      <c r="T310" s="11"/>
      <c r="U310" s="11"/>
      <c r="V310" s="11"/>
      <c r="W310" s="11"/>
    </row>
    <row r="311" spans="1:23" customFormat="1">
      <c r="A311" s="145"/>
      <c r="B311" s="11"/>
      <c r="C311" s="239" t="s">
        <v>606</v>
      </c>
      <c r="D311" s="323" t="s">
        <v>55</v>
      </c>
      <c r="E311" s="239" t="s">
        <v>35</v>
      </c>
      <c r="F311" s="582" t="str">
        <f t="shared" si="30"/>
        <v>HotelD1B</v>
      </c>
      <c r="G311" s="583"/>
      <c r="H311" s="584"/>
      <c r="I311" s="276"/>
      <c r="J311" s="11"/>
      <c r="K311" s="11"/>
      <c r="L311" s="11"/>
      <c r="M311" s="11"/>
      <c r="N311" s="11"/>
      <c r="O311" s="11"/>
      <c r="P311" s="11"/>
      <c r="Q311" s="11"/>
      <c r="R311" s="11"/>
      <c r="S311" s="11"/>
      <c r="T311" s="11"/>
      <c r="U311" s="11"/>
      <c r="V311" s="11"/>
      <c r="W311" s="11"/>
    </row>
    <row r="312" spans="1:23" customFormat="1">
      <c r="A312" s="145"/>
      <c r="B312" s="11"/>
      <c r="C312" s="239" t="s">
        <v>606</v>
      </c>
      <c r="D312" s="323" t="s">
        <v>55</v>
      </c>
      <c r="E312" s="239" t="s">
        <v>38</v>
      </c>
      <c r="F312" s="582" t="str">
        <f t="shared" si="30"/>
        <v>HotelD1C</v>
      </c>
      <c r="G312" s="583"/>
      <c r="H312" s="584"/>
      <c r="I312" s="276"/>
      <c r="J312" s="11"/>
      <c r="K312" s="11"/>
      <c r="L312" s="11"/>
      <c r="M312" s="11"/>
      <c r="N312" s="11"/>
      <c r="O312" s="11"/>
      <c r="P312" s="11"/>
      <c r="Q312" s="11"/>
      <c r="R312" s="11"/>
      <c r="S312" s="11"/>
      <c r="T312" s="11"/>
      <c r="U312" s="11"/>
      <c r="V312" s="11"/>
      <c r="W312" s="11"/>
    </row>
    <row r="313" spans="1:23" customFormat="1">
      <c r="A313" s="145"/>
      <c r="B313" s="11"/>
      <c r="C313" s="239" t="s">
        <v>606</v>
      </c>
      <c r="D313" s="323" t="s">
        <v>55</v>
      </c>
      <c r="E313" s="239" t="s">
        <v>41</v>
      </c>
      <c r="F313" s="582" t="str">
        <f t="shared" si="30"/>
        <v>HotelD1D</v>
      </c>
      <c r="G313" s="583"/>
      <c r="H313" s="584"/>
      <c r="I313" s="276"/>
      <c r="J313" s="11"/>
      <c r="K313" s="11"/>
      <c r="L313" s="11"/>
      <c r="M313" s="11"/>
      <c r="N313" s="11"/>
      <c r="O313" s="11"/>
      <c r="P313" s="11"/>
      <c r="Q313" s="11"/>
      <c r="R313" s="11"/>
      <c r="S313" s="11"/>
      <c r="T313" s="11"/>
      <c r="U313" s="11"/>
      <c r="V313" s="11"/>
      <c r="W313" s="11"/>
    </row>
    <row r="314" spans="1:23" customFormat="1">
      <c r="A314" s="145"/>
      <c r="B314" s="11"/>
      <c r="C314" s="239" t="s">
        <v>606</v>
      </c>
      <c r="D314" s="323" t="s">
        <v>55</v>
      </c>
      <c r="E314" s="239" t="s">
        <v>44</v>
      </c>
      <c r="F314" s="582" t="str">
        <f t="shared" si="30"/>
        <v>HotelD1E</v>
      </c>
      <c r="G314" s="583"/>
      <c r="H314" s="584"/>
      <c r="I314" s="276"/>
      <c r="J314" s="11"/>
      <c r="K314" s="11"/>
      <c r="L314" s="11"/>
      <c r="M314" s="11"/>
      <c r="N314" s="11"/>
      <c r="O314" s="11"/>
      <c r="P314" s="11"/>
      <c r="Q314" s="11"/>
      <c r="R314" s="11"/>
      <c r="S314" s="11"/>
      <c r="T314" s="11"/>
      <c r="U314" s="11"/>
      <c r="V314" s="11"/>
      <c r="W314" s="11"/>
    </row>
    <row r="315" spans="1:23" customFormat="1">
      <c r="A315" s="145"/>
      <c r="B315" s="11"/>
      <c r="C315" s="239" t="s">
        <v>606</v>
      </c>
      <c r="D315" s="323" t="s">
        <v>55</v>
      </c>
      <c r="E315" s="289" t="str">
        <f>IF(Idioma=Castellano,"Sin definir",IF(Idioma=Valencià,"Sense definir","Sin definir"))</f>
        <v>Sin definir</v>
      </c>
      <c r="F315" s="582" t="str">
        <f t="shared" si="30"/>
        <v>HotelD1Sin definir</v>
      </c>
      <c r="G315" s="583"/>
      <c r="H315" s="584"/>
      <c r="I315" s="276"/>
      <c r="J315" s="11"/>
      <c r="K315" s="11"/>
      <c r="L315" s="11"/>
      <c r="M315" s="11"/>
      <c r="N315" s="11"/>
      <c r="O315" s="11"/>
      <c r="P315" s="11"/>
      <c r="Q315" s="11"/>
      <c r="R315" s="11"/>
      <c r="S315" s="11"/>
      <c r="T315" s="11"/>
      <c r="U315" s="11"/>
      <c r="V315" s="11"/>
      <c r="W315" s="11"/>
    </row>
    <row r="316" spans="1:23" customFormat="1">
      <c r="A316" s="145"/>
      <c r="B316" s="11"/>
      <c r="C316" s="239" t="str">
        <f t="shared" ref="C316:C322" si="39">IF(Idioma=Castellano,"Restauración",IF(Idioma=Valencià,"Restauració","Restauración"))</f>
        <v>Restauración</v>
      </c>
      <c r="D316" s="323" t="s">
        <v>55</v>
      </c>
      <c r="E316" s="289" t="str">
        <f>IF(Idioma=Castellano,"Existente",IF(Idioma=Valencià,"Existent","Existente"))</f>
        <v>Existente</v>
      </c>
      <c r="F316" s="582" t="str">
        <f t="shared" si="30"/>
        <v>RestauraciónD1Existente</v>
      </c>
      <c r="G316" s="583"/>
      <c r="H316" s="584"/>
      <c r="I316" s="276"/>
      <c r="J316" s="11"/>
      <c r="K316" s="11"/>
      <c r="L316" s="11"/>
      <c r="M316" s="11"/>
      <c r="N316" s="11"/>
      <c r="O316" s="11"/>
      <c r="P316" s="11"/>
      <c r="Q316" s="11"/>
      <c r="R316" s="11"/>
      <c r="S316" s="11"/>
      <c r="T316" s="11"/>
      <c r="U316" s="11"/>
      <c r="V316" s="11"/>
      <c r="W316" s="11"/>
    </row>
    <row r="317" spans="1:23" customFormat="1">
      <c r="A317" s="145"/>
      <c r="B317" s="11"/>
      <c r="C317" s="239" t="str">
        <f t="shared" si="39"/>
        <v>Restauración</v>
      </c>
      <c r="D317" s="323" t="s">
        <v>55</v>
      </c>
      <c r="E317" s="239" t="s">
        <v>29</v>
      </c>
      <c r="F317" s="582" t="str">
        <f t="shared" si="30"/>
        <v>RestauraciónD1A</v>
      </c>
      <c r="G317" s="583"/>
      <c r="H317" s="584"/>
      <c r="I317" s="276"/>
      <c r="J317" s="11"/>
      <c r="K317" s="11"/>
      <c r="L317" s="11"/>
      <c r="M317" s="11"/>
      <c r="N317" s="11"/>
      <c r="O317" s="11"/>
      <c r="P317" s="11"/>
      <c r="Q317" s="11"/>
      <c r="R317" s="11"/>
      <c r="S317" s="11"/>
      <c r="T317" s="11"/>
      <c r="U317" s="11"/>
      <c r="V317" s="11"/>
      <c r="W317" s="11"/>
    </row>
    <row r="318" spans="1:23" customFormat="1">
      <c r="A318" s="145"/>
      <c r="B318" s="11"/>
      <c r="C318" s="239" t="str">
        <f t="shared" si="39"/>
        <v>Restauración</v>
      </c>
      <c r="D318" s="323" t="s">
        <v>55</v>
      </c>
      <c r="E318" s="239" t="s">
        <v>35</v>
      </c>
      <c r="F318" s="582" t="str">
        <f t="shared" si="30"/>
        <v>RestauraciónD1B</v>
      </c>
      <c r="G318" s="583"/>
      <c r="H318" s="584"/>
      <c r="I318" s="276"/>
      <c r="J318" s="11"/>
      <c r="K318" s="11"/>
      <c r="L318" s="11"/>
      <c r="M318" s="11"/>
      <c r="N318" s="11"/>
      <c r="O318" s="11"/>
      <c r="P318" s="11"/>
      <c r="Q318" s="11"/>
      <c r="R318" s="11"/>
      <c r="S318" s="11"/>
      <c r="T318" s="11"/>
      <c r="U318" s="11"/>
      <c r="V318" s="11"/>
      <c r="W318" s="11"/>
    </row>
    <row r="319" spans="1:23" customFormat="1">
      <c r="A319" s="145"/>
      <c r="B319" s="11"/>
      <c r="C319" s="239" t="str">
        <f t="shared" si="39"/>
        <v>Restauración</v>
      </c>
      <c r="D319" s="323" t="s">
        <v>55</v>
      </c>
      <c r="E319" s="239" t="s">
        <v>38</v>
      </c>
      <c r="F319" s="582" t="str">
        <f t="shared" si="30"/>
        <v>RestauraciónD1C</v>
      </c>
      <c r="G319" s="583"/>
      <c r="H319" s="584"/>
      <c r="I319" s="276"/>
      <c r="J319" s="11"/>
      <c r="K319" s="11"/>
      <c r="L319" s="11"/>
      <c r="M319" s="11"/>
      <c r="N319" s="11"/>
      <c r="O319" s="11"/>
      <c r="P319" s="11"/>
      <c r="Q319" s="11"/>
      <c r="R319" s="11"/>
      <c r="S319" s="11"/>
      <c r="T319" s="11"/>
      <c r="U319" s="11"/>
      <c r="V319" s="11"/>
      <c r="W319" s="11"/>
    </row>
    <row r="320" spans="1:23" customFormat="1">
      <c r="A320" s="145"/>
      <c r="B320" s="11"/>
      <c r="C320" s="239" t="str">
        <f t="shared" si="39"/>
        <v>Restauración</v>
      </c>
      <c r="D320" s="323" t="s">
        <v>55</v>
      </c>
      <c r="E320" s="239" t="s">
        <v>41</v>
      </c>
      <c r="F320" s="582" t="str">
        <f t="shared" si="30"/>
        <v>RestauraciónD1D</v>
      </c>
      <c r="G320" s="583"/>
      <c r="H320" s="584"/>
      <c r="I320" s="276"/>
      <c r="J320" s="11"/>
      <c r="K320" s="11"/>
      <c r="L320" s="11"/>
      <c r="M320" s="11"/>
      <c r="N320" s="11"/>
      <c r="O320" s="11"/>
      <c r="P320" s="11"/>
      <c r="Q320" s="11"/>
      <c r="R320" s="11"/>
      <c r="S320" s="11"/>
      <c r="T320" s="11"/>
      <c r="U320" s="11"/>
      <c r="V320" s="11"/>
      <c r="W320" s="11"/>
    </row>
    <row r="321" spans="1:23" customFormat="1">
      <c r="A321" s="145"/>
      <c r="B321" s="11"/>
      <c r="C321" s="239" t="str">
        <f t="shared" si="39"/>
        <v>Restauración</v>
      </c>
      <c r="D321" s="323" t="s">
        <v>55</v>
      </c>
      <c r="E321" s="239" t="s">
        <v>44</v>
      </c>
      <c r="F321" s="582" t="str">
        <f t="shared" si="30"/>
        <v>RestauraciónD1E</v>
      </c>
      <c r="G321" s="583"/>
      <c r="H321" s="584"/>
      <c r="I321" s="276"/>
      <c r="J321" s="11"/>
      <c r="K321" s="11"/>
      <c r="L321" s="11"/>
      <c r="M321" s="11"/>
      <c r="N321" s="11"/>
      <c r="O321" s="11"/>
      <c r="P321" s="11"/>
      <c r="Q321" s="11"/>
      <c r="R321" s="11"/>
      <c r="S321" s="11"/>
      <c r="T321" s="11"/>
      <c r="U321" s="11"/>
      <c r="V321" s="11"/>
      <c r="W321" s="11"/>
    </row>
    <row r="322" spans="1:23" customFormat="1">
      <c r="A322" s="145"/>
      <c r="B322" s="11"/>
      <c r="C322" s="239" t="str">
        <f t="shared" si="39"/>
        <v>Restauración</v>
      </c>
      <c r="D322" s="323" t="s">
        <v>55</v>
      </c>
      <c r="E322" s="289" t="str">
        <f>IF(Idioma=Castellano,"Sin definir",IF(Idioma=Valencià,"Sense definir","Sin definir"))</f>
        <v>Sin definir</v>
      </c>
      <c r="F322" s="582" t="str">
        <f t="shared" si="30"/>
        <v>RestauraciónD1Sin definir</v>
      </c>
      <c r="G322" s="583"/>
      <c r="H322" s="584"/>
      <c r="I322" s="276"/>
      <c r="J322" s="11"/>
      <c r="K322" s="11"/>
      <c r="L322" s="11"/>
      <c r="M322" s="11"/>
      <c r="N322" s="11"/>
      <c r="O322" s="11"/>
      <c r="P322" s="11"/>
      <c r="Q322" s="11"/>
      <c r="R322" s="11"/>
      <c r="S322" s="11"/>
      <c r="T322" s="11"/>
      <c r="U322" s="11"/>
      <c r="V322" s="11"/>
      <c r="W322" s="11"/>
    </row>
    <row r="323" spans="1:23" customFormat="1">
      <c r="A323" s="145"/>
      <c r="B323" s="11"/>
      <c r="C323" s="239" t="str">
        <f t="shared" ref="C323:C329" si="40">IF(Idioma=Castellano,"Sin especificar",IF(Idioma=Valencià,"Sense especificar ","Sin especificar"))</f>
        <v>Sin especificar</v>
      </c>
      <c r="D323" s="323" t="s">
        <v>55</v>
      </c>
      <c r="E323" s="289" t="str">
        <f>IF(Idioma=Castellano,"Existente",IF(Idioma=Valencià,"Existent","Existente"))</f>
        <v>Existente</v>
      </c>
      <c r="F323" s="582" t="str">
        <f t="shared" si="30"/>
        <v>Sin especificarD1Existente</v>
      </c>
      <c r="G323" s="583"/>
      <c r="H323" s="584"/>
      <c r="I323" s="276"/>
      <c r="J323" s="11"/>
      <c r="K323" s="11"/>
      <c r="L323" s="11"/>
      <c r="M323" s="11"/>
      <c r="N323" s="11"/>
      <c r="O323" s="11"/>
      <c r="P323" s="11"/>
      <c r="Q323" s="11"/>
      <c r="R323" s="11"/>
      <c r="S323" s="11"/>
      <c r="T323" s="11"/>
      <c r="U323" s="11"/>
      <c r="V323" s="11"/>
      <c r="W323" s="11"/>
    </row>
    <row r="324" spans="1:23" customFormat="1">
      <c r="A324" s="145"/>
      <c r="B324" s="11"/>
      <c r="C324" s="239" t="str">
        <f t="shared" si="40"/>
        <v>Sin especificar</v>
      </c>
      <c r="D324" s="323" t="s">
        <v>55</v>
      </c>
      <c r="E324" s="239" t="s">
        <v>29</v>
      </c>
      <c r="F324" s="582" t="str">
        <f t="shared" si="30"/>
        <v>Sin especificarD1A</v>
      </c>
      <c r="G324" s="583"/>
      <c r="H324" s="584"/>
      <c r="I324" s="276"/>
      <c r="J324" s="11"/>
      <c r="K324" s="11"/>
      <c r="L324" s="11"/>
      <c r="M324" s="11"/>
      <c r="N324" s="11"/>
      <c r="O324" s="11"/>
      <c r="P324" s="11"/>
      <c r="Q324" s="11"/>
      <c r="R324" s="11"/>
      <c r="S324" s="11"/>
      <c r="T324" s="11"/>
      <c r="U324" s="11"/>
      <c r="V324" s="11"/>
      <c r="W324" s="11"/>
    </row>
    <row r="325" spans="1:23" customFormat="1">
      <c r="A325" s="145"/>
      <c r="B325" s="11"/>
      <c r="C325" s="239" t="str">
        <f t="shared" si="40"/>
        <v>Sin especificar</v>
      </c>
      <c r="D325" s="323" t="s">
        <v>55</v>
      </c>
      <c r="E325" s="239" t="s">
        <v>35</v>
      </c>
      <c r="F325" s="582" t="str">
        <f t="shared" si="30"/>
        <v>Sin especificarD1B</v>
      </c>
      <c r="G325" s="583"/>
      <c r="H325" s="584"/>
      <c r="I325" s="276"/>
      <c r="J325" s="11"/>
      <c r="K325" s="11"/>
      <c r="L325" s="11"/>
      <c r="M325" s="11"/>
      <c r="N325" s="11"/>
      <c r="O325" s="11"/>
      <c r="P325" s="11"/>
      <c r="Q325" s="11"/>
      <c r="R325" s="11"/>
      <c r="S325" s="11"/>
      <c r="T325" s="11"/>
      <c r="U325" s="11"/>
      <c r="V325" s="11"/>
      <c r="W325" s="11"/>
    </row>
    <row r="326" spans="1:23" customFormat="1">
      <c r="A326" s="145"/>
      <c r="B326" s="11"/>
      <c r="C326" s="239" t="str">
        <f t="shared" si="40"/>
        <v>Sin especificar</v>
      </c>
      <c r="D326" s="323" t="s">
        <v>55</v>
      </c>
      <c r="E326" s="239" t="s">
        <v>38</v>
      </c>
      <c r="F326" s="582" t="str">
        <f t="shared" si="30"/>
        <v>Sin especificarD1C</v>
      </c>
      <c r="G326" s="583"/>
      <c r="H326" s="584"/>
      <c r="I326" s="276"/>
      <c r="J326" s="11"/>
      <c r="K326" s="11"/>
      <c r="L326" s="11"/>
      <c r="M326" s="11"/>
      <c r="N326" s="11"/>
      <c r="O326" s="11"/>
      <c r="P326" s="11"/>
      <c r="Q326" s="11"/>
      <c r="R326" s="11"/>
      <c r="S326" s="11"/>
      <c r="T326" s="11"/>
      <c r="U326" s="11"/>
      <c r="V326" s="11"/>
      <c r="W326" s="11"/>
    </row>
    <row r="327" spans="1:23" customFormat="1">
      <c r="A327" s="145"/>
      <c r="B327" s="11"/>
      <c r="C327" s="239" t="str">
        <f t="shared" si="40"/>
        <v>Sin especificar</v>
      </c>
      <c r="D327" s="323" t="s">
        <v>55</v>
      </c>
      <c r="E327" s="239" t="s">
        <v>41</v>
      </c>
      <c r="F327" s="582" t="str">
        <f t="shared" si="30"/>
        <v>Sin especificarD1D</v>
      </c>
      <c r="G327" s="583"/>
      <c r="H327" s="584"/>
      <c r="I327" s="276"/>
      <c r="J327" s="11"/>
      <c r="K327" s="11"/>
      <c r="L327" s="11"/>
      <c r="M327" s="11"/>
      <c r="N327" s="11"/>
      <c r="O327" s="11"/>
      <c r="P327" s="11"/>
      <c r="Q327" s="11"/>
      <c r="R327" s="11"/>
      <c r="S327" s="11"/>
      <c r="T327" s="11"/>
      <c r="U327" s="11"/>
      <c r="V327" s="11"/>
      <c r="W327" s="11"/>
    </row>
    <row r="328" spans="1:23" customFormat="1">
      <c r="A328" s="145"/>
      <c r="B328" s="11"/>
      <c r="C328" s="239" t="str">
        <f t="shared" si="40"/>
        <v>Sin especificar</v>
      </c>
      <c r="D328" s="323" t="s">
        <v>55</v>
      </c>
      <c r="E328" s="239" t="s">
        <v>44</v>
      </c>
      <c r="F328" s="582" t="str">
        <f t="shared" si="30"/>
        <v>Sin especificarD1E</v>
      </c>
      <c r="G328" s="583"/>
      <c r="H328" s="584"/>
      <c r="I328" s="276"/>
      <c r="J328" s="11"/>
      <c r="K328" s="11"/>
      <c r="L328" s="11"/>
      <c r="M328" s="11"/>
      <c r="N328" s="11"/>
      <c r="O328" s="11"/>
      <c r="P328" s="11"/>
      <c r="Q328" s="11"/>
      <c r="R328" s="11"/>
      <c r="S328" s="11"/>
      <c r="T328" s="11"/>
      <c r="U328" s="11"/>
      <c r="V328" s="11"/>
      <c r="W328" s="11"/>
    </row>
    <row r="329" spans="1:23" customFormat="1">
      <c r="A329" s="145"/>
      <c r="B329" s="11"/>
      <c r="C329" s="239" t="str">
        <f t="shared" si="40"/>
        <v>Sin especificar</v>
      </c>
      <c r="D329" s="323" t="s">
        <v>55</v>
      </c>
      <c r="E329" s="289" t="str">
        <f>IF(Idioma=Castellano,"Sin definir",IF(Idioma=Valencià,"Sense definir","Sin definir"))</f>
        <v>Sin definir</v>
      </c>
      <c r="F329" s="582" t="str">
        <f t="shared" si="30"/>
        <v>Sin especificarD1Sin definir</v>
      </c>
      <c r="G329" s="583"/>
      <c r="H329" s="584"/>
      <c r="I329" s="276"/>
      <c r="J329" s="11"/>
      <c r="K329" s="11"/>
      <c r="L329" s="11"/>
      <c r="M329" s="11"/>
      <c r="N329" s="11"/>
      <c r="O329" s="11"/>
      <c r="P329" s="11"/>
      <c r="Q329" s="11"/>
      <c r="R329" s="11"/>
      <c r="S329" s="11"/>
      <c r="T329" s="11"/>
      <c r="U329" s="11"/>
      <c r="V329" s="11"/>
      <c r="W329" s="11"/>
    </row>
    <row r="330" spans="1:23" customFormat="1">
      <c r="A330" s="145"/>
      <c r="B330" s="11"/>
      <c r="C330" s="239" t="str">
        <f t="shared" ref="C330:C336" si="41">IF(Idioma=Castellano,"Oficinas",IF(Idioma=Valencià,"Oficines","Oficinas"))</f>
        <v>Oficinas</v>
      </c>
      <c r="D330" s="323" t="s">
        <v>63</v>
      </c>
      <c r="E330" s="289" t="str">
        <f>IF(Idioma=Castellano,"Existente",IF(Idioma=Valencià,"Existent","Existente"))</f>
        <v>Existente</v>
      </c>
      <c r="F330" s="582" t="str">
        <f t="shared" si="30"/>
        <v>OficinasD2Existente</v>
      </c>
      <c r="G330" s="583"/>
      <c r="H330" s="584"/>
      <c r="I330" s="276"/>
      <c r="J330" s="11"/>
      <c r="K330" s="11"/>
      <c r="L330" s="11"/>
      <c r="M330" s="11"/>
      <c r="N330" s="11"/>
      <c r="O330" s="11"/>
      <c r="P330" s="11"/>
      <c r="Q330" s="11"/>
      <c r="R330" s="11"/>
      <c r="S330" s="11"/>
      <c r="T330" s="11"/>
      <c r="U330" s="11"/>
      <c r="V330" s="11"/>
      <c r="W330" s="11"/>
    </row>
    <row r="331" spans="1:23" customFormat="1">
      <c r="A331" s="145"/>
      <c r="B331" s="11"/>
      <c r="C331" s="239" t="str">
        <f t="shared" si="41"/>
        <v>Oficinas</v>
      </c>
      <c r="D331" s="323" t="s">
        <v>63</v>
      </c>
      <c r="E331" s="239" t="s">
        <v>29</v>
      </c>
      <c r="F331" s="582" t="str">
        <f t="shared" si="30"/>
        <v>OficinasD2A</v>
      </c>
      <c r="G331" s="583"/>
      <c r="H331" s="584"/>
      <c r="I331" s="276"/>
      <c r="J331" s="11"/>
      <c r="K331" s="11"/>
      <c r="L331" s="11"/>
      <c r="M331" s="11"/>
      <c r="N331" s="11"/>
      <c r="O331" s="11"/>
      <c r="P331" s="11"/>
      <c r="Q331" s="11"/>
      <c r="R331" s="11"/>
      <c r="S331" s="11"/>
      <c r="T331" s="11"/>
      <c r="U331" s="11"/>
      <c r="V331" s="11"/>
      <c r="W331" s="11"/>
    </row>
    <row r="332" spans="1:23" customFormat="1">
      <c r="A332" s="145"/>
      <c r="B332" s="11"/>
      <c r="C332" s="239" t="str">
        <f t="shared" si="41"/>
        <v>Oficinas</v>
      </c>
      <c r="D332" s="323" t="s">
        <v>63</v>
      </c>
      <c r="E332" s="239" t="s">
        <v>35</v>
      </c>
      <c r="F332" s="582" t="str">
        <f t="shared" si="30"/>
        <v>OficinasD2B</v>
      </c>
      <c r="G332" s="583"/>
      <c r="H332" s="584"/>
      <c r="I332" s="276"/>
      <c r="J332" s="11"/>
      <c r="K332" s="11"/>
      <c r="L332" s="11"/>
      <c r="M332" s="11"/>
      <c r="N332" s="11"/>
      <c r="O332" s="11"/>
      <c r="P332" s="11"/>
      <c r="Q332" s="11"/>
      <c r="R332" s="11"/>
      <c r="S332" s="11"/>
      <c r="T332" s="11"/>
      <c r="U332" s="11"/>
      <c r="V332" s="11"/>
      <c r="W332" s="11"/>
    </row>
    <row r="333" spans="1:23" customFormat="1">
      <c r="A333" s="145"/>
      <c r="B333" s="11"/>
      <c r="C333" s="239" t="str">
        <f t="shared" si="41"/>
        <v>Oficinas</v>
      </c>
      <c r="D333" s="323" t="s">
        <v>63</v>
      </c>
      <c r="E333" s="239" t="s">
        <v>38</v>
      </c>
      <c r="F333" s="582" t="str">
        <f t="shared" si="30"/>
        <v>OficinasD2C</v>
      </c>
      <c r="G333" s="583"/>
      <c r="H333" s="584"/>
      <c r="I333" s="276"/>
      <c r="J333" s="11"/>
      <c r="K333" s="11"/>
      <c r="L333" s="11"/>
      <c r="M333" s="11"/>
      <c r="N333" s="11"/>
      <c r="O333" s="11"/>
      <c r="P333" s="11"/>
      <c r="Q333" s="11"/>
      <c r="R333" s="11"/>
      <c r="S333" s="11"/>
      <c r="T333" s="11"/>
      <c r="U333" s="11"/>
      <c r="V333" s="11"/>
      <c r="W333" s="11"/>
    </row>
    <row r="334" spans="1:23" customFormat="1">
      <c r="A334" s="145"/>
      <c r="B334" s="11"/>
      <c r="C334" s="239" t="str">
        <f t="shared" si="41"/>
        <v>Oficinas</v>
      </c>
      <c r="D334" s="323" t="s">
        <v>63</v>
      </c>
      <c r="E334" s="239" t="s">
        <v>41</v>
      </c>
      <c r="F334" s="582" t="str">
        <f t="shared" si="30"/>
        <v>OficinasD2D</v>
      </c>
      <c r="G334" s="583"/>
      <c r="H334" s="584"/>
      <c r="I334" s="276"/>
      <c r="J334" s="11"/>
      <c r="K334" s="11"/>
      <c r="L334" s="11"/>
      <c r="M334" s="11"/>
      <c r="N334" s="11"/>
      <c r="O334" s="11"/>
      <c r="P334" s="11"/>
      <c r="Q334" s="11"/>
      <c r="R334" s="11"/>
      <c r="S334" s="11"/>
      <c r="T334" s="11"/>
      <c r="U334" s="11"/>
      <c r="V334" s="11"/>
      <c r="W334" s="11"/>
    </row>
    <row r="335" spans="1:23" customFormat="1">
      <c r="A335" s="145"/>
      <c r="B335" s="11"/>
      <c r="C335" s="239" t="str">
        <f t="shared" si="41"/>
        <v>Oficinas</v>
      </c>
      <c r="D335" s="323" t="s">
        <v>63</v>
      </c>
      <c r="E335" s="239" t="s">
        <v>44</v>
      </c>
      <c r="F335" s="582" t="str">
        <f t="shared" si="30"/>
        <v>OficinasD2E</v>
      </c>
      <c r="G335" s="583"/>
      <c r="H335" s="584"/>
      <c r="I335" s="276"/>
      <c r="J335" s="11"/>
      <c r="K335" s="11"/>
      <c r="L335" s="11"/>
      <c r="M335" s="11"/>
      <c r="N335" s="11"/>
      <c r="O335" s="11"/>
      <c r="P335" s="11"/>
      <c r="Q335" s="11"/>
      <c r="R335" s="11"/>
      <c r="S335" s="11"/>
      <c r="T335" s="11"/>
      <c r="U335" s="11"/>
      <c r="V335" s="11"/>
      <c r="W335" s="11"/>
    </row>
    <row r="336" spans="1:23" customFormat="1">
      <c r="A336" s="145"/>
      <c r="B336" s="11"/>
      <c r="C336" s="239" t="str">
        <f t="shared" si="41"/>
        <v>Oficinas</v>
      </c>
      <c r="D336" s="323" t="s">
        <v>63</v>
      </c>
      <c r="E336" s="289" t="str">
        <f>IF(Idioma=Castellano,"Sin definir",IF(Idioma=Valencià,"Sense definir","Sin definir"))</f>
        <v>Sin definir</v>
      </c>
      <c r="F336" s="582" t="str">
        <f t="shared" si="30"/>
        <v>OficinasD2Sin definir</v>
      </c>
      <c r="G336" s="583"/>
      <c r="H336" s="584"/>
      <c r="I336" s="276"/>
      <c r="J336" s="11"/>
      <c r="K336" s="11"/>
      <c r="L336" s="11"/>
      <c r="M336" s="11"/>
      <c r="N336" s="11"/>
      <c r="O336" s="11"/>
      <c r="P336" s="11"/>
      <c r="Q336" s="11"/>
      <c r="R336" s="11"/>
      <c r="S336" s="11"/>
      <c r="T336" s="11"/>
      <c r="U336" s="11"/>
      <c r="V336" s="11"/>
      <c r="W336" s="11"/>
    </row>
    <row r="337" spans="1:23" customFormat="1">
      <c r="A337" s="145"/>
      <c r="B337" s="11"/>
      <c r="C337" s="239" t="str">
        <f t="shared" ref="C337:C343" si="42">IF(Idioma=Castellano,"Comercio",IF(Idioma=Valencià,"Comerç","Comercio"))</f>
        <v>Comercio</v>
      </c>
      <c r="D337" s="323" t="s">
        <v>63</v>
      </c>
      <c r="E337" s="289" t="str">
        <f>IF(Idioma=Castellano,"Existente",IF(Idioma=Valencià,"Existent","Existente"))</f>
        <v>Existente</v>
      </c>
      <c r="F337" s="582" t="str">
        <f t="shared" si="30"/>
        <v>ComercioD2Existente</v>
      </c>
      <c r="G337" s="583"/>
      <c r="H337" s="584"/>
      <c r="I337" s="276"/>
      <c r="J337" s="11"/>
      <c r="K337" s="11"/>
      <c r="L337" s="11"/>
      <c r="M337" s="11"/>
      <c r="N337" s="11"/>
      <c r="O337" s="11"/>
      <c r="P337" s="11"/>
      <c r="Q337" s="11"/>
      <c r="R337" s="11"/>
      <c r="S337" s="11"/>
      <c r="T337" s="11"/>
      <c r="U337" s="11"/>
      <c r="V337" s="11"/>
      <c r="W337" s="11"/>
    </row>
    <row r="338" spans="1:23" customFormat="1">
      <c r="A338" s="145"/>
      <c r="B338" s="11"/>
      <c r="C338" s="239" t="str">
        <f t="shared" si="42"/>
        <v>Comercio</v>
      </c>
      <c r="D338" s="323" t="s">
        <v>63</v>
      </c>
      <c r="E338" s="239" t="s">
        <v>29</v>
      </c>
      <c r="F338" s="582" t="str">
        <f t="shared" si="30"/>
        <v>ComercioD2A</v>
      </c>
      <c r="G338" s="583"/>
      <c r="H338" s="584"/>
      <c r="I338" s="276"/>
      <c r="J338" s="11"/>
      <c r="K338" s="11"/>
      <c r="L338" s="11"/>
      <c r="M338" s="11"/>
      <c r="N338" s="11"/>
      <c r="O338" s="11"/>
      <c r="P338" s="11"/>
      <c r="Q338" s="11"/>
      <c r="R338" s="11"/>
      <c r="S338" s="11"/>
      <c r="T338" s="11"/>
      <c r="U338" s="11"/>
      <c r="V338" s="11"/>
      <c r="W338" s="11"/>
    </row>
    <row r="339" spans="1:23" customFormat="1">
      <c r="A339" s="145"/>
      <c r="B339" s="11"/>
      <c r="C339" s="239" t="str">
        <f t="shared" si="42"/>
        <v>Comercio</v>
      </c>
      <c r="D339" s="323" t="s">
        <v>63</v>
      </c>
      <c r="E339" s="239" t="s">
        <v>35</v>
      </c>
      <c r="F339" s="582" t="str">
        <f t="shared" si="30"/>
        <v>ComercioD2B</v>
      </c>
      <c r="G339" s="583"/>
      <c r="H339" s="584"/>
      <c r="I339" s="276"/>
      <c r="J339" s="11"/>
      <c r="K339" s="11"/>
      <c r="L339" s="11"/>
      <c r="M339" s="11"/>
      <c r="N339" s="11"/>
      <c r="O339" s="11"/>
      <c r="P339" s="11"/>
      <c r="Q339" s="11"/>
      <c r="R339" s="11"/>
      <c r="S339" s="11"/>
      <c r="T339" s="11"/>
      <c r="U339" s="11"/>
      <c r="V339" s="11"/>
      <c r="W339" s="11"/>
    </row>
    <row r="340" spans="1:23" customFormat="1">
      <c r="A340" s="145"/>
      <c r="B340" s="11"/>
      <c r="C340" s="239" t="str">
        <f t="shared" si="42"/>
        <v>Comercio</v>
      </c>
      <c r="D340" s="323" t="s">
        <v>63</v>
      </c>
      <c r="E340" s="239" t="s">
        <v>38</v>
      </c>
      <c r="F340" s="582" t="str">
        <f t="shared" si="30"/>
        <v>ComercioD2C</v>
      </c>
      <c r="G340" s="583"/>
      <c r="H340" s="584"/>
      <c r="I340" s="276"/>
      <c r="J340" s="11"/>
      <c r="K340" s="11"/>
      <c r="L340" s="11"/>
      <c r="M340" s="11"/>
      <c r="N340" s="11"/>
      <c r="O340" s="11"/>
      <c r="P340" s="11"/>
      <c r="Q340" s="11"/>
      <c r="R340" s="11"/>
      <c r="S340" s="11"/>
      <c r="T340" s="11"/>
      <c r="U340" s="11"/>
      <c r="V340" s="11"/>
      <c r="W340" s="11"/>
    </row>
    <row r="341" spans="1:23" customFormat="1">
      <c r="A341" s="145"/>
      <c r="B341" s="11"/>
      <c r="C341" s="239" t="str">
        <f t="shared" si="42"/>
        <v>Comercio</v>
      </c>
      <c r="D341" s="323" t="s">
        <v>63</v>
      </c>
      <c r="E341" s="239" t="s">
        <v>41</v>
      </c>
      <c r="F341" s="582" t="str">
        <f t="shared" si="30"/>
        <v>ComercioD2D</v>
      </c>
      <c r="G341" s="583"/>
      <c r="H341" s="584"/>
      <c r="I341" s="276"/>
      <c r="J341" s="11"/>
      <c r="K341" s="11"/>
      <c r="L341" s="11"/>
      <c r="M341" s="11"/>
      <c r="N341" s="11"/>
      <c r="O341" s="11"/>
      <c r="P341" s="11"/>
      <c r="Q341" s="11"/>
      <c r="R341" s="11"/>
      <c r="S341" s="11"/>
      <c r="T341" s="11"/>
      <c r="U341" s="11"/>
      <c r="V341" s="11"/>
      <c r="W341" s="11"/>
    </row>
    <row r="342" spans="1:23" customFormat="1">
      <c r="A342" s="145"/>
      <c r="B342" s="11"/>
      <c r="C342" s="239" t="str">
        <f t="shared" si="42"/>
        <v>Comercio</v>
      </c>
      <c r="D342" s="323" t="s">
        <v>63</v>
      </c>
      <c r="E342" s="239" t="s">
        <v>44</v>
      </c>
      <c r="F342" s="582" t="str">
        <f t="shared" si="30"/>
        <v>ComercioD2E</v>
      </c>
      <c r="G342" s="583"/>
      <c r="H342" s="584"/>
      <c r="I342" s="276"/>
      <c r="J342" s="11"/>
      <c r="K342" s="11"/>
      <c r="L342" s="11"/>
      <c r="M342" s="11"/>
      <c r="N342" s="11"/>
      <c r="O342" s="11"/>
      <c r="P342" s="11"/>
      <c r="Q342" s="11"/>
      <c r="R342" s="11"/>
      <c r="S342" s="11"/>
      <c r="T342" s="11"/>
      <c r="U342" s="11"/>
      <c r="V342" s="11"/>
      <c r="W342" s="11"/>
    </row>
    <row r="343" spans="1:23" customFormat="1">
      <c r="A343" s="145"/>
      <c r="B343" s="11"/>
      <c r="C343" s="239" t="str">
        <f t="shared" si="42"/>
        <v>Comercio</v>
      </c>
      <c r="D343" s="323" t="s">
        <v>63</v>
      </c>
      <c r="E343" s="289" t="str">
        <f>IF(Idioma=Castellano,"Sin definir",IF(Idioma=Valencià,"Sense definir","Sin definir"))</f>
        <v>Sin definir</v>
      </c>
      <c r="F343" s="582" t="str">
        <f t="shared" ref="F343:F406" si="43">C343&amp;D343&amp;E343</f>
        <v>ComercioD2Sin definir</v>
      </c>
      <c r="G343" s="583"/>
      <c r="H343" s="584"/>
      <c r="I343" s="276"/>
      <c r="J343" s="11"/>
      <c r="K343" s="11"/>
      <c r="L343" s="11"/>
      <c r="M343" s="11"/>
      <c r="N343" s="11"/>
      <c r="O343" s="11"/>
      <c r="P343" s="11"/>
      <c r="Q343" s="11"/>
      <c r="R343" s="11"/>
      <c r="S343" s="11"/>
      <c r="T343" s="11"/>
      <c r="U343" s="11"/>
      <c r="V343" s="11"/>
      <c r="W343" s="11"/>
    </row>
    <row r="344" spans="1:23" customFormat="1">
      <c r="A344" s="145"/>
      <c r="B344" s="11"/>
      <c r="C344" s="239" t="s">
        <v>606</v>
      </c>
      <c r="D344" s="323" t="s">
        <v>63</v>
      </c>
      <c r="E344" s="289" t="str">
        <f>IF(Idioma=Castellano,"Existente",IF(Idioma=Valencià,"Existent","Existente"))</f>
        <v>Existente</v>
      </c>
      <c r="F344" s="582" t="str">
        <f t="shared" si="43"/>
        <v>HotelD2Existente</v>
      </c>
      <c r="G344" s="583"/>
      <c r="H344" s="584"/>
      <c r="I344" s="276"/>
      <c r="J344" s="11"/>
      <c r="K344" s="11"/>
      <c r="L344" s="11"/>
      <c r="M344" s="11"/>
      <c r="N344" s="11"/>
      <c r="O344" s="11"/>
      <c r="P344" s="11"/>
      <c r="Q344" s="11"/>
      <c r="R344" s="11"/>
      <c r="S344" s="11"/>
      <c r="T344" s="11"/>
      <c r="U344" s="11"/>
      <c r="V344" s="11"/>
      <c r="W344" s="11"/>
    </row>
    <row r="345" spans="1:23" customFormat="1">
      <c r="A345" s="145"/>
      <c r="B345" s="11"/>
      <c r="C345" s="239" t="s">
        <v>606</v>
      </c>
      <c r="D345" s="323" t="s">
        <v>63</v>
      </c>
      <c r="E345" s="239" t="s">
        <v>29</v>
      </c>
      <c r="F345" s="582" t="str">
        <f t="shared" si="43"/>
        <v>HotelD2A</v>
      </c>
      <c r="G345" s="583"/>
      <c r="H345" s="584"/>
      <c r="I345" s="276"/>
      <c r="J345" s="11"/>
      <c r="K345" s="11"/>
      <c r="L345" s="11"/>
      <c r="M345" s="11"/>
      <c r="N345" s="11"/>
      <c r="O345" s="11"/>
      <c r="P345" s="11"/>
      <c r="Q345" s="11"/>
      <c r="R345" s="11"/>
      <c r="S345" s="11"/>
      <c r="T345" s="11"/>
      <c r="U345" s="11"/>
      <c r="V345" s="11"/>
      <c r="W345" s="11"/>
    </row>
    <row r="346" spans="1:23" customFormat="1">
      <c r="A346" s="145"/>
      <c r="B346" s="11"/>
      <c r="C346" s="239" t="s">
        <v>606</v>
      </c>
      <c r="D346" s="323" t="s">
        <v>63</v>
      </c>
      <c r="E346" s="239" t="s">
        <v>35</v>
      </c>
      <c r="F346" s="582" t="str">
        <f t="shared" si="43"/>
        <v>HotelD2B</v>
      </c>
      <c r="G346" s="583"/>
      <c r="H346" s="584"/>
      <c r="I346" s="276"/>
      <c r="J346" s="11"/>
      <c r="K346" s="11"/>
      <c r="L346" s="11"/>
      <c r="M346" s="11"/>
      <c r="N346" s="11"/>
      <c r="O346" s="11"/>
      <c r="P346" s="11"/>
      <c r="Q346" s="11"/>
      <c r="R346" s="11"/>
      <c r="S346" s="11"/>
      <c r="T346" s="11"/>
      <c r="U346" s="11"/>
      <c r="V346" s="11"/>
      <c r="W346" s="11"/>
    </row>
    <row r="347" spans="1:23" customFormat="1">
      <c r="A347" s="145"/>
      <c r="B347" s="11"/>
      <c r="C347" s="239" t="s">
        <v>606</v>
      </c>
      <c r="D347" s="323" t="s">
        <v>63</v>
      </c>
      <c r="E347" s="239" t="s">
        <v>38</v>
      </c>
      <c r="F347" s="582" t="str">
        <f t="shared" si="43"/>
        <v>HotelD2C</v>
      </c>
      <c r="G347" s="583"/>
      <c r="H347" s="584"/>
      <c r="I347" s="276"/>
      <c r="J347" s="11"/>
      <c r="K347" s="11"/>
      <c r="L347" s="11"/>
      <c r="M347" s="11"/>
      <c r="N347" s="11"/>
      <c r="O347" s="11"/>
      <c r="P347" s="11"/>
      <c r="Q347" s="11"/>
      <c r="R347" s="11"/>
      <c r="S347" s="11"/>
      <c r="T347" s="11"/>
      <c r="U347" s="11"/>
      <c r="V347" s="11"/>
      <c r="W347" s="11"/>
    </row>
    <row r="348" spans="1:23" customFormat="1">
      <c r="A348" s="145"/>
      <c r="B348" s="11"/>
      <c r="C348" s="239" t="s">
        <v>606</v>
      </c>
      <c r="D348" s="323" t="s">
        <v>63</v>
      </c>
      <c r="E348" s="239" t="s">
        <v>41</v>
      </c>
      <c r="F348" s="582" t="str">
        <f t="shared" si="43"/>
        <v>HotelD2D</v>
      </c>
      <c r="G348" s="583"/>
      <c r="H348" s="584"/>
      <c r="I348" s="276"/>
      <c r="J348" s="11"/>
      <c r="K348" s="11"/>
      <c r="L348" s="11"/>
      <c r="M348" s="11"/>
      <c r="N348" s="11"/>
      <c r="O348" s="11"/>
      <c r="P348" s="11"/>
      <c r="Q348" s="11"/>
      <c r="R348" s="11"/>
      <c r="S348" s="11"/>
      <c r="T348" s="11"/>
      <c r="U348" s="11"/>
      <c r="V348" s="11"/>
      <c r="W348" s="11"/>
    </row>
    <row r="349" spans="1:23" customFormat="1">
      <c r="A349" s="145"/>
      <c r="B349" s="11"/>
      <c r="C349" s="239" t="s">
        <v>606</v>
      </c>
      <c r="D349" s="323" t="s">
        <v>63</v>
      </c>
      <c r="E349" s="239" t="s">
        <v>44</v>
      </c>
      <c r="F349" s="582" t="str">
        <f t="shared" si="43"/>
        <v>HotelD2E</v>
      </c>
      <c r="G349" s="583"/>
      <c r="H349" s="584"/>
      <c r="I349" s="276"/>
      <c r="J349" s="11"/>
      <c r="K349" s="11"/>
      <c r="L349" s="11"/>
      <c r="M349" s="11"/>
      <c r="N349" s="11"/>
      <c r="O349" s="11"/>
      <c r="P349" s="11"/>
      <c r="Q349" s="11"/>
      <c r="R349" s="11"/>
      <c r="S349" s="11"/>
      <c r="T349" s="11"/>
      <c r="U349" s="11"/>
      <c r="V349" s="11"/>
      <c r="W349" s="11"/>
    </row>
    <row r="350" spans="1:23" customFormat="1">
      <c r="A350" s="145"/>
      <c r="B350" s="11"/>
      <c r="C350" s="239" t="s">
        <v>606</v>
      </c>
      <c r="D350" s="323" t="s">
        <v>63</v>
      </c>
      <c r="E350" s="289" t="str">
        <f>IF(Idioma=Castellano,"Sin definir",IF(Idioma=Valencià,"Sense definir","Sin definir"))</f>
        <v>Sin definir</v>
      </c>
      <c r="F350" s="582" t="str">
        <f t="shared" si="43"/>
        <v>HotelD2Sin definir</v>
      </c>
      <c r="G350" s="583"/>
      <c r="H350" s="584"/>
      <c r="I350" s="276"/>
      <c r="J350" s="11"/>
      <c r="K350" s="11"/>
      <c r="L350" s="11"/>
      <c r="M350" s="11"/>
      <c r="N350" s="11"/>
      <c r="O350" s="11"/>
      <c r="P350" s="11"/>
      <c r="Q350" s="11"/>
      <c r="R350" s="11"/>
      <c r="S350" s="11"/>
      <c r="T350" s="11"/>
      <c r="U350" s="11"/>
      <c r="V350" s="11"/>
      <c r="W350" s="11"/>
    </row>
    <row r="351" spans="1:23" customFormat="1">
      <c r="A351" s="145"/>
      <c r="B351" s="11"/>
      <c r="C351" s="239" t="str">
        <f t="shared" ref="C351:C357" si="44">IF(Idioma=Castellano,"Restauración",IF(Idioma=Valencià,"Restauració","Restauración"))</f>
        <v>Restauración</v>
      </c>
      <c r="D351" s="323" t="s">
        <v>63</v>
      </c>
      <c r="E351" s="289" t="str">
        <f>IF(Idioma=Castellano,"Existente",IF(Idioma=Valencià,"Existent","Existente"))</f>
        <v>Existente</v>
      </c>
      <c r="F351" s="582" t="str">
        <f t="shared" si="43"/>
        <v>RestauraciónD2Existente</v>
      </c>
      <c r="G351" s="583"/>
      <c r="H351" s="584"/>
      <c r="I351" s="276"/>
      <c r="J351" s="11"/>
      <c r="K351" s="11"/>
      <c r="L351" s="11"/>
      <c r="M351" s="11"/>
      <c r="N351" s="11"/>
      <c r="O351" s="11"/>
      <c r="P351" s="11"/>
      <c r="Q351" s="11"/>
      <c r="R351" s="11"/>
      <c r="S351" s="11"/>
      <c r="T351" s="11"/>
      <c r="U351" s="11"/>
      <c r="V351" s="11"/>
      <c r="W351" s="11"/>
    </row>
    <row r="352" spans="1:23" customFormat="1">
      <c r="A352" s="145"/>
      <c r="B352" s="11"/>
      <c r="C352" s="239" t="str">
        <f t="shared" si="44"/>
        <v>Restauración</v>
      </c>
      <c r="D352" s="323" t="s">
        <v>63</v>
      </c>
      <c r="E352" s="239" t="s">
        <v>29</v>
      </c>
      <c r="F352" s="582" t="str">
        <f t="shared" si="43"/>
        <v>RestauraciónD2A</v>
      </c>
      <c r="G352" s="583"/>
      <c r="H352" s="584"/>
      <c r="I352" s="276"/>
      <c r="J352" s="11"/>
      <c r="K352" s="11"/>
      <c r="L352" s="11"/>
      <c r="M352" s="11"/>
      <c r="N352" s="11"/>
      <c r="O352" s="11"/>
      <c r="P352" s="11"/>
      <c r="Q352" s="11"/>
      <c r="R352" s="11"/>
      <c r="S352" s="11"/>
      <c r="T352" s="11"/>
      <c r="U352" s="11"/>
      <c r="V352" s="11"/>
      <c r="W352" s="11"/>
    </row>
    <row r="353" spans="1:23" customFormat="1">
      <c r="A353" s="145"/>
      <c r="B353" s="11"/>
      <c r="C353" s="239" t="str">
        <f t="shared" si="44"/>
        <v>Restauración</v>
      </c>
      <c r="D353" s="323" t="s">
        <v>63</v>
      </c>
      <c r="E353" s="239" t="s">
        <v>35</v>
      </c>
      <c r="F353" s="582" t="str">
        <f t="shared" si="43"/>
        <v>RestauraciónD2B</v>
      </c>
      <c r="G353" s="583"/>
      <c r="H353" s="584"/>
      <c r="I353" s="276"/>
      <c r="J353" s="11"/>
      <c r="K353" s="11"/>
      <c r="L353" s="11"/>
      <c r="M353" s="11"/>
      <c r="N353" s="11"/>
      <c r="O353" s="11"/>
      <c r="P353" s="11"/>
      <c r="Q353" s="11"/>
      <c r="R353" s="11"/>
      <c r="S353" s="11"/>
      <c r="T353" s="11"/>
      <c r="U353" s="11"/>
      <c r="V353" s="11"/>
      <c r="W353" s="11"/>
    </row>
    <row r="354" spans="1:23" customFormat="1">
      <c r="A354" s="145"/>
      <c r="B354" s="11"/>
      <c r="C354" s="239" t="str">
        <f t="shared" si="44"/>
        <v>Restauración</v>
      </c>
      <c r="D354" s="323" t="s">
        <v>63</v>
      </c>
      <c r="E354" s="239" t="s">
        <v>38</v>
      </c>
      <c r="F354" s="582" t="str">
        <f t="shared" si="43"/>
        <v>RestauraciónD2C</v>
      </c>
      <c r="G354" s="583"/>
      <c r="H354" s="584"/>
      <c r="I354" s="276"/>
      <c r="J354" s="11"/>
      <c r="K354" s="11"/>
      <c r="L354" s="11"/>
      <c r="M354" s="11"/>
      <c r="N354" s="11"/>
      <c r="O354" s="11"/>
      <c r="P354" s="11"/>
      <c r="Q354" s="11"/>
      <c r="R354" s="11"/>
      <c r="S354" s="11"/>
      <c r="T354" s="11"/>
      <c r="U354" s="11"/>
      <c r="V354" s="11"/>
      <c r="W354" s="11"/>
    </row>
    <row r="355" spans="1:23" customFormat="1">
      <c r="A355" s="145"/>
      <c r="B355" s="11"/>
      <c r="C355" s="239" t="str">
        <f t="shared" si="44"/>
        <v>Restauración</v>
      </c>
      <c r="D355" s="323" t="s">
        <v>63</v>
      </c>
      <c r="E355" s="239" t="s">
        <v>41</v>
      </c>
      <c r="F355" s="582" t="str">
        <f t="shared" si="43"/>
        <v>RestauraciónD2D</v>
      </c>
      <c r="G355" s="583"/>
      <c r="H355" s="584"/>
      <c r="I355" s="276"/>
      <c r="J355" s="11"/>
      <c r="K355" s="11"/>
      <c r="L355" s="11"/>
      <c r="M355" s="11"/>
      <c r="N355" s="11"/>
      <c r="O355" s="11"/>
      <c r="P355" s="11"/>
      <c r="Q355" s="11"/>
      <c r="R355" s="11"/>
      <c r="S355" s="11"/>
      <c r="T355" s="11"/>
      <c r="U355" s="11"/>
      <c r="V355" s="11"/>
      <c r="W355" s="11"/>
    </row>
    <row r="356" spans="1:23" customFormat="1">
      <c r="A356" s="145"/>
      <c r="B356" s="11"/>
      <c r="C356" s="239" t="str">
        <f t="shared" si="44"/>
        <v>Restauración</v>
      </c>
      <c r="D356" s="323" t="s">
        <v>63</v>
      </c>
      <c r="E356" s="239" t="s">
        <v>44</v>
      </c>
      <c r="F356" s="582" t="str">
        <f t="shared" si="43"/>
        <v>RestauraciónD2E</v>
      </c>
      <c r="G356" s="583"/>
      <c r="H356" s="584"/>
      <c r="I356" s="276"/>
      <c r="J356" s="11"/>
      <c r="K356" s="11"/>
      <c r="L356" s="11"/>
      <c r="M356" s="11"/>
      <c r="N356" s="11"/>
      <c r="O356" s="11"/>
      <c r="P356" s="11"/>
      <c r="Q356" s="11"/>
      <c r="R356" s="11"/>
      <c r="S356" s="11"/>
      <c r="T356" s="11"/>
      <c r="U356" s="11"/>
      <c r="V356" s="11"/>
      <c r="W356" s="11"/>
    </row>
    <row r="357" spans="1:23" customFormat="1">
      <c r="A357" s="145"/>
      <c r="B357" s="11"/>
      <c r="C357" s="239" t="str">
        <f t="shared" si="44"/>
        <v>Restauración</v>
      </c>
      <c r="D357" s="323" t="s">
        <v>63</v>
      </c>
      <c r="E357" s="289" t="str">
        <f>IF(Idioma=Castellano,"Sin definir",IF(Idioma=Valencià,"Sense definir","Sin definir"))</f>
        <v>Sin definir</v>
      </c>
      <c r="F357" s="582" t="str">
        <f t="shared" si="43"/>
        <v>RestauraciónD2Sin definir</v>
      </c>
      <c r="G357" s="583"/>
      <c r="H357" s="584"/>
      <c r="I357" s="276"/>
      <c r="J357" s="11"/>
      <c r="K357" s="11"/>
      <c r="L357" s="11"/>
      <c r="M357" s="11"/>
      <c r="N357" s="11"/>
      <c r="O357" s="11"/>
      <c r="P357" s="11"/>
      <c r="Q357" s="11"/>
      <c r="R357" s="11"/>
      <c r="S357" s="11"/>
      <c r="T357" s="11"/>
      <c r="U357" s="11"/>
      <c r="V357" s="11"/>
      <c r="W357" s="11"/>
    </row>
    <row r="358" spans="1:23" customFormat="1">
      <c r="A358" s="145"/>
      <c r="B358" s="11"/>
      <c r="C358" s="239" t="str">
        <f t="shared" ref="C358:C364" si="45">IF(Idioma=Castellano,"Sin especificar",IF(Idioma=Valencià,"Sense especificar ","Sin especificar"))</f>
        <v>Sin especificar</v>
      </c>
      <c r="D358" s="323" t="s">
        <v>63</v>
      </c>
      <c r="E358" s="289" t="str">
        <f>IF(Idioma=Castellano,"Existente",IF(Idioma=Valencià,"Existent","Existente"))</f>
        <v>Existente</v>
      </c>
      <c r="F358" s="582" t="str">
        <f t="shared" si="43"/>
        <v>Sin especificarD2Existente</v>
      </c>
      <c r="G358" s="583"/>
      <c r="H358" s="584"/>
      <c r="I358" s="276"/>
      <c r="J358" s="11"/>
      <c r="K358" s="11"/>
      <c r="L358" s="11"/>
      <c r="M358" s="11"/>
      <c r="N358" s="11"/>
      <c r="O358" s="11"/>
      <c r="P358" s="11"/>
      <c r="Q358" s="11"/>
      <c r="R358" s="11"/>
      <c r="S358" s="11"/>
      <c r="T358" s="11"/>
      <c r="U358" s="11"/>
      <c r="V358" s="11"/>
      <c r="W358" s="11"/>
    </row>
    <row r="359" spans="1:23" customFormat="1">
      <c r="A359" s="145"/>
      <c r="B359" s="11"/>
      <c r="C359" s="239" t="str">
        <f t="shared" si="45"/>
        <v>Sin especificar</v>
      </c>
      <c r="D359" s="323" t="s">
        <v>63</v>
      </c>
      <c r="E359" s="239" t="s">
        <v>29</v>
      </c>
      <c r="F359" s="582" t="str">
        <f t="shared" si="43"/>
        <v>Sin especificarD2A</v>
      </c>
      <c r="G359" s="583"/>
      <c r="H359" s="584"/>
      <c r="I359" s="276"/>
      <c r="J359" s="11"/>
      <c r="K359" s="11"/>
      <c r="L359" s="11"/>
      <c r="M359" s="11"/>
      <c r="N359" s="11"/>
      <c r="O359" s="11"/>
      <c r="P359" s="11"/>
      <c r="Q359" s="11"/>
      <c r="R359" s="11"/>
      <c r="S359" s="11"/>
      <c r="T359" s="11"/>
      <c r="U359" s="11"/>
      <c r="V359" s="11"/>
      <c r="W359" s="11"/>
    </row>
    <row r="360" spans="1:23" customFormat="1">
      <c r="A360" s="145"/>
      <c r="B360" s="11"/>
      <c r="C360" s="239" t="str">
        <f t="shared" si="45"/>
        <v>Sin especificar</v>
      </c>
      <c r="D360" s="323" t="s">
        <v>63</v>
      </c>
      <c r="E360" s="239" t="s">
        <v>35</v>
      </c>
      <c r="F360" s="582" t="str">
        <f t="shared" si="43"/>
        <v>Sin especificarD2B</v>
      </c>
      <c r="G360" s="583"/>
      <c r="H360" s="584"/>
      <c r="I360" s="276"/>
      <c r="J360" s="11"/>
      <c r="K360" s="11"/>
      <c r="L360" s="11"/>
      <c r="M360" s="11"/>
      <c r="N360" s="11"/>
      <c r="O360" s="11"/>
      <c r="P360" s="11"/>
      <c r="Q360" s="11"/>
      <c r="R360" s="11"/>
      <c r="S360" s="11"/>
      <c r="T360" s="11"/>
      <c r="U360" s="11"/>
      <c r="V360" s="11"/>
      <c r="W360" s="11"/>
    </row>
    <row r="361" spans="1:23" customFormat="1">
      <c r="A361" s="145"/>
      <c r="B361" s="11"/>
      <c r="C361" s="239" t="str">
        <f t="shared" si="45"/>
        <v>Sin especificar</v>
      </c>
      <c r="D361" s="323" t="s">
        <v>63</v>
      </c>
      <c r="E361" s="239" t="s">
        <v>38</v>
      </c>
      <c r="F361" s="582" t="str">
        <f t="shared" si="43"/>
        <v>Sin especificarD2C</v>
      </c>
      <c r="G361" s="583"/>
      <c r="H361" s="584"/>
      <c r="I361" s="276"/>
      <c r="J361" s="11"/>
      <c r="K361" s="11"/>
      <c r="L361" s="11"/>
      <c r="M361" s="11"/>
      <c r="N361" s="11"/>
      <c r="O361" s="11"/>
      <c r="P361" s="11"/>
      <c r="Q361" s="11"/>
      <c r="R361" s="11"/>
      <c r="S361" s="11"/>
      <c r="T361" s="11"/>
      <c r="U361" s="11"/>
      <c r="V361" s="11"/>
      <c r="W361" s="11"/>
    </row>
    <row r="362" spans="1:23" customFormat="1">
      <c r="A362" s="145"/>
      <c r="B362" s="11"/>
      <c r="C362" s="239" t="str">
        <f t="shared" si="45"/>
        <v>Sin especificar</v>
      </c>
      <c r="D362" s="323" t="s">
        <v>63</v>
      </c>
      <c r="E362" s="239" t="s">
        <v>41</v>
      </c>
      <c r="F362" s="582" t="str">
        <f t="shared" si="43"/>
        <v>Sin especificarD2D</v>
      </c>
      <c r="G362" s="583"/>
      <c r="H362" s="584"/>
      <c r="I362" s="276"/>
      <c r="J362" s="11"/>
      <c r="K362" s="11"/>
      <c r="L362" s="11"/>
      <c r="M362" s="11"/>
      <c r="N362" s="11"/>
      <c r="O362" s="11"/>
      <c r="P362" s="11"/>
      <c r="Q362" s="11"/>
      <c r="R362" s="11"/>
      <c r="S362" s="11"/>
      <c r="T362" s="11"/>
      <c r="U362" s="11"/>
      <c r="V362" s="11"/>
      <c r="W362" s="11"/>
    </row>
    <row r="363" spans="1:23" customFormat="1">
      <c r="A363" s="145"/>
      <c r="B363" s="11"/>
      <c r="C363" s="239" t="str">
        <f t="shared" si="45"/>
        <v>Sin especificar</v>
      </c>
      <c r="D363" s="323" t="s">
        <v>63</v>
      </c>
      <c r="E363" s="239" t="s">
        <v>44</v>
      </c>
      <c r="F363" s="582" t="str">
        <f t="shared" si="43"/>
        <v>Sin especificarD2E</v>
      </c>
      <c r="G363" s="583"/>
      <c r="H363" s="584"/>
      <c r="I363" s="276"/>
      <c r="J363" s="11"/>
      <c r="K363" s="11"/>
      <c r="L363" s="11"/>
      <c r="M363" s="11"/>
      <c r="N363" s="11"/>
      <c r="O363" s="11"/>
      <c r="P363" s="11"/>
      <c r="Q363" s="11"/>
      <c r="R363" s="11"/>
      <c r="S363" s="11"/>
      <c r="T363" s="11"/>
      <c r="U363" s="11"/>
      <c r="V363" s="11"/>
      <c r="W363" s="11"/>
    </row>
    <row r="364" spans="1:23" customFormat="1">
      <c r="A364" s="145"/>
      <c r="B364" s="11"/>
      <c r="C364" s="239" t="str">
        <f t="shared" si="45"/>
        <v>Sin especificar</v>
      </c>
      <c r="D364" s="323" t="s">
        <v>63</v>
      </c>
      <c r="E364" s="289" t="str">
        <f>IF(Idioma=Castellano,"Sin definir",IF(Idioma=Valencià,"Sense definir","Sin definir"))</f>
        <v>Sin definir</v>
      </c>
      <c r="F364" s="582" t="str">
        <f t="shared" si="43"/>
        <v>Sin especificarD2Sin definir</v>
      </c>
      <c r="G364" s="583"/>
      <c r="H364" s="584"/>
      <c r="I364" s="276"/>
      <c r="J364" s="11"/>
      <c r="K364" s="11"/>
      <c r="L364" s="11"/>
      <c r="M364" s="11"/>
      <c r="N364" s="11"/>
      <c r="O364" s="11"/>
      <c r="P364" s="11"/>
      <c r="Q364" s="11"/>
      <c r="R364" s="11"/>
      <c r="S364" s="11"/>
      <c r="T364" s="11"/>
      <c r="U364" s="11"/>
      <c r="V364" s="11"/>
      <c r="W364" s="11"/>
    </row>
    <row r="365" spans="1:23" customFormat="1">
      <c r="A365" s="145"/>
      <c r="B365" s="11"/>
      <c r="C365" s="239" t="str">
        <f t="shared" ref="C365:C371" si="46">IF(Idioma=Castellano,"Oficinas",IF(Idioma=Valencià,"Oficines","Oficinas"))</f>
        <v>Oficinas</v>
      </c>
      <c r="D365" s="323" t="s">
        <v>231</v>
      </c>
      <c r="E365" s="289" t="str">
        <f>IF(Idioma=Castellano,"Existente",IF(Idioma=Valencià,"Existent","Existente"))</f>
        <v>Existente</v>
      </c>
      <c r="F365" s="582" t="str">
        <f t="shared" si="43"/>
        <v>OficinasD3Existente</v>
      </c>
      <c r="G365" s="583"/>
      <c r="H365" s="584"/>
      <c r="I365" s="276"/>
      <c r="J365" s="11"/>
      <c r="K365" s="11"/>
      <c r="L365" s="11"/>
      <c r="M365" s="11"/>
      <c r="N365" s="11"/>
      <c r="O365" s="11"/>
      <c r="P365" s="11"/>
      <c r="Q365" s="11"/>
      <c r="R365" s="11"/>
      <c r="S365" s="11"/>
      <c r="T365" s="11"/>
      <c r="U365" s="11"/>
      <c r="V365" s="11"/>
      <c r="W365" s="11"/>
    </row>
    <row r="366" spans="1:23" customFormat="1">
      <c r="A366" s="145"/>
      <c r="B366" s="11"/>
      <c r="C366" s="239" t="str">
        <f t="shared" si="46"/>
        <v>Oficinas</v>
      </c>
      <c r="D366" s="323" t="s">
        <v>231</v>
      </c>
      <c r="E366" s="239" t="s">
        <v>29</v>
      </c>
      <c r="F366" s="582" t="str">
        <f t="shared" si="43"/>
        <v>OficinasD3A</v>
      </c>
      <c r="G366" s="583"/>
      <c r="H366" s="584"/>
      <c r="I366" s="276"/>
      <c r="J366" s="11"/>
      <c r="K366" s="11"/>
      <c r="L366" s="11"/>
      <c r="M366" s="11"/>
      <c r="N366" s="11"/>
      <c r="O366" s="11"/>
      <c r="P366" s="11"/>
      <c r="Q366" s="11"/>
      <c r="R366" s="11"/>
      <c r="S366" s="11"/>
      <c r="T366" s="11"/>
      <c r="U366" s="11"/>
      <c r="V366" s="11"/>
      <c r="W366" s="11"/>
    </row>
    <row r="367" spans="1:23" customFormat="1">
      <c r="A367" s="145"/>
      <c r="B367" s="11"/>
      <c r="C367" s="239" t="str">
        <f t="shared" si="46"/>
        <v>Oficinas</v>
      </c>
      <c r="D367" s="323" t="s">
        <v>231</v>
      </c>
      <c r="E367" s="239" t="s">
        <v>35</v>
      </c>
      <c r="F367" s="582" t="str">
        <f t="shared" si="43"/>
        <v>OficinasD3B</v>
      </c>
      <c r="G367" s="583"/>
      <c r="H367" s="584"/>
      <c r="I367" s="276"/>
      <c r="J367" s="11"/>
      <c r="K367" s="11"/>
      <c r="L367" s="11"/>
      <c r="M367" s="11"/>
      <c r="N367" s="11"/>
      <c r="O367" s="11"/>
      <c r="P367" s="11"/>
      <c r="Q367" s="11"/>
      <c r="R367" s="11"/>
      <c r="S367" s="11"/>
      <c r="T367" s="11"/>
      <c r="U367" s="11"/>
      <c r="V367" s="11"/>
      <c r="W367" s="11"/>
    </row>
    <row r="368" spans="1:23" customFormat="1">
      <c r="A368" s="145"/>
      <c r="B368" s="11"/>
      <c r="C368" s="239" t="str">
        <f t="shared" si="46"/>
        <v>Oficinas</v>
      </c>
      <c r="D368" s="323" t="s">
        <v>231</v>
      </c>
      <c r="E368" s="239" t="s">
        <v>38</v>
      </c>
      <c r="F368" s="582" t="str">
        <f t="shared" si="43"/>
        <v>OficinasD3C</v>
      </c>
      <c r="G368" s="583"/>
      <c r="H368" s="584"/>
      <c r="I368" s="276"/>
      <c r="J368" s="11"/>
      <c r="K368" s="11"/>
      <c r="L368" s="11"/>
      <c r="M368" s="11"/>
      <c r="N368" s="11"/>
      <c r="O368" s="11"/>
      <c r="P368" s="11"/>
      <c r="Q368" s="11"/>
      <c r="R368" s="11"/>
      <c r="S368" s="11"/>
      <c r="T368" s="11"/>
      <c r="U368" s="11"/>
      <c r="V368" s="11"/>
      <c r="W368" s="11"/>
    </row>
    <row r="369" spans="1:23" customFormat="1">
      <c r="A369" s="145"/>
      <c r="B369" s="11"/>
      <c r="C369" s="239" t="str">
        <f t="shared" si="46"/>
        <v>Oficinas</v>
      </c>
      <c r="D369" s="323" t="s">
        <v>231</v>
      </c>
      <c r="E369" s="239" t="s">
        <v>41</v>
      </c>
      <c r="F369" s="582" t="str">
        <f t="shared" si="43"/>
        <v>OficinasD3D</v>
      </c>
      <c r="G369" s="583"/>
      <c r="H369" s="584"/>
      <c r="I369" s="276"/>
      <c r="J369" s="11"/>
      <c r="K369" s="11"/>
      <c r="L369" s="11"/>
      <c r="M369" s="11"/>
      <c r="N369" s="11"/>
      <c r="O369" s="11"/>
      <c r="P369" s="11"/>
      <c r="Q369" s="11"/>
      <c r="R369" s="11"/>
      <c r="S369" s="11"/>
      <c r="T369" s="11"/>
      <c r="U369" s="11"/>
      <c r="V369" s="11"/>
      <c r="W369" s="11"/>
    </row>
    <row r="370" spans="1:23" customFormat="1">
      <c r="A370" s="145"/>
      <c r="B370" s="11"/>
      <c r="C370" s="239" t="str">
        <f t="shared" si="46"/>
        <v>Oficinas</v>
      </c>
      <c r="D370" s="323" t="s">
        <v>231</v>
      </c>
      <c r="E370" s="239" t="s">
        <v>44</v>
      </c>
      <c r="F370" s="582" t="str">
        <f t="shared" si="43"/>
        <v>OficinasD3E</v>
      </c>
      <c r="G370" s="583"/>
      <c r="H370" s="584"/>
      <c r="I370" s="276"/>
      <c r="J370" s="11"/>
      <c r="K370" s="11"/>
      <c r="L370" s="11"/>
      <c r="M370" s="11"/>
      <c r="N370" s="11"/>
      <c r="O370" s="11"/>
      <c r="P370" s="11"/>
      <c r="Q370" s="11"/>
      <c r="R370" s="11"/>
      <c r="S370" s="11"/>
      <c r="T370" s="11"/>
      <c r="U370" s="11"/>
      <c r="V370" s="11"/>
      <c r="W370" s="11"/>
    </row>
    <row r="371" spans="1:23" customFormat="1">
      <c r="A371" s="145"/>
      <c r="B371" s="11"/>
      <c r="C371" s="239" t="str">
        <f t="shared" si="46"/>
        <v>Oficinas</v>
      </c>
      <c r="D371" s="323" t="s">
        <v>231</v>
      </c>
      <c r="E371" s="289" t="str">
        <f>IF(Idioma=Castellano,"Sin definir",IF(Idioma=Valencià,"Sense definir","Sin definir"))</f>
        <v>Sin definir</v>
      </c>
      <c r="F371" s="582" t="str">
        <f t="shared" si="43"/>
        <v>OficinasD3Sin definir</v>
      </c>
      <c r="G371" s="583"/>
      <c r="H371" s="584"/>
      <c r="I371" s="276"/>
      <c r="J371" s="11"/>
      <c r="K371" s="11"/>
      <c r="L371" s="11"/>
      <c r="M371" s="11"/>
      <c r="N371" s="11"/>
      <c r="O371" s="11"/>
      <c r="P371" s="11"/>
      <c r="Q371" s="11"/>
      <c r="R371" s="11"/>
      <c r="S371" s="11"/>
      <c r="T371" s="11"/>
      <c r="U371" s="11"/>
      <c r="V371" s="11"/>
      <c r="W371" s="11"/>
    </row>
    <row r="372" spans="1:23" customFormat="1">
      <c r="A372" s="145"/>
      <c r="B372" s="11"/>
      <c r="C372" s="239" t="str">
        <f t="shared" ref="C372:C378" si="47">IF(Idioma=Castellano,"Comercio",IF(Idioma=Valencià,"Comerç","Comercio"))</f>
        <v>Comercio</v>
      </c>
      <c r="D372" s="323" t="s">
        <v>231</v>
      </c>
      <c r="E372" s="289" t="str">
        <f>IF(Idioma=Castellano,"Existente",IF(Idioma=Valencià,"Existent","Existente"))</f>
        <v>Existente</v>
      </c>
      <c r="F372" s="582" t="str">
        <f t="shared" si="43"/>
        <v>ComercioD3Existente</v>
      </c>
      <c r="G372" s="583"/>
      <c r="H372" s="584"/>
      <c r="I372" s="276"/>
      <c r="J372" s="11"/>
      <c r="K372" s="11"/>
      <c r="L372" s="11"/>
      <c r="M372" s="11"/>
      <c r="N372" s="11"/>
      <c r="O372" s="11"/>
      <c r="P372" s="11"/>
      <c r="Q372" s="11"/>
      <c r="R372" s="11"/>
      <c r="S372" s="11"/>
      <c r="T372" s="11"/>
      <c r="U372" s="11"/>
      <c r="V372" s="11"/>
      <c r="W372" s="11"/>
    </row>
    <row r="373" spans="1:23" customFormat="1">
      <c r="A373" s="145"/>
      <c r="B373" s="11"/>
      <c r="C373" s="239" t="str">
        <f t="shared" si="47"/>
        <v>Comercio</v>
      </c>
      <c r="D373" s="323" t="s">
        <v>231</v>
      </c>
      <c r="E373" s="239" t="s">
        <v>29</v>
      </c>
      <c r="F373" s="582" t="str">
        <f t="shared" si="43"/>
        <v>ComercioD3A</v>
      </c>
      <c r="G373" s="583"/>
      <c r="H373" s="584"/>
      <c r="I373" s="276"/>
      <c r="J373" s="11"/>
      <c r="K373" s="11"/>
      <c r="L373" s="11"/>
      <c r="M373" s="11"/>
      <c r="N373" s="11"/>
      <c r="O373" s="11"/>
      <c r="P373" s="11"/>
      <c r="Q373" s="11"/>
      <c r="R373" s="11"/>
      <c r="S373" s="11"/>
      <c r="T373" s="11"/>
      <c r="U373" s="11"/>
      <c r="V373" s="11"/>
      <c r="W373" s="11"/>
    </row>
    <row r="374" spans="1:23" customFormat="1">
      <c r="A374" s="145"/>
      <c r="B374" s="11"/>
      <c r="C374" s="239" t="str">
        <f t="shared" si="47"/>
        <v>Comercio</v>
      </c>
      <c r="D374" s="323" t="s">
        <v>231</v>
      </c>
      <c r="E374" s="239" t="s">
        <v>35</v>
      </c>
      <c r="F374" s="582" t="str">
        <f t="shared" si="43"/>
        <v>ComercioD3B</v>
      </c>
      <c r="G374" s="583"/>
      <c r="H374" s="584"/>
      <c r="I374" s="276"/>
      <c r="J374" s="11"/>
      <c r="K374" s="11"/>
      <c r="L374" s="11"/>
      <c r="M374" s="11"/>
      <c r="N374" s="11"/>
      <c r="O374" s="11"/>
      <c r="P374" s="11"/>
      <c r="Q374" s="11"/>
      <c r="R374" s="11"/>
      <c r="S374" s="11"/>
      <c r="T374" s="11"/>
      <c r="U374" s="11"/>
      <c r="V374" s="11"/>
      <c r="W374" s="11"/>
    </row>
    <row r="375" spans="1:23" customFormat="1">
      <c r="A375" s="145"/>
      <c r="B375" s="11"/>
      <c r="C375" s="239" t="str">
        <f t="shared" si="47"/>
        <v>Comercio</v>
      </c>
      <c r="D375" s="323" t="s">
        <v>231</v>
      </c>
      <c r="E375" s="239" t="s">
        <v>38</v>
      </c>
      <c r="F375" s="582" t="str">
        <f t="shared" si="43"/>
        <v>ComercioD3C</v>
      </c>
      <c r="G375" s="583"/>
      <c r="H375" s="584"/>
      <c r="I375" s="276"/>
      <c r="J375" s="11"/>
      <c r="K375" s="11"/>
      <c r="L375" s="11"/>
      <c r="M375" s="11"/>
      <c r="N375" s="11"/>
      <c r="O375" s="11"/>
      <c r="P375" s="11"/>
      <c r="Q375" s="11"/>
      <c r="R375" s="11"/>
      <c r="S375" s="11"/>
      <c r="T375" s="11"/>
      <c r="U375" s="11"/>
      <c r="V375" s="11"/>
      <c r="W375" s="11"/>
    </row>
    <row r="376" spans="1:23" customFormat="1">
      <c r="A376" s="145"/>
      <c r="B376" s="11"/>
      <c r="C376" s="239" t="str">
        <f t="shared" si="47"/>
        <v>Comercio</v>
      </c>
      <c r="D376" s="323" t="s">
        <v>231</v>
      </c>
      <c r="E376" s="239" t="s">
        <v>41</v>
      </c>
      <c r="F376" s="582" t="str">
        <f t="shared" si="43"/>
        <v>ComercioD3D</v>
      </c>
      <c r="G376" s="583"/>
      <c r="H376" s="584"/>
      <c r="I376" s="276"/>
      <c r="J376" s="11"/>
      <c r="K376" s="11"/>
      <c r="L376" s="11"/>
      <c r="M376" s="11"/>
      <c r="N376" s="11"/>
      <c r="O376" s="11"/>
      <c r="P376" s="11"/>
      <c r="Q376" s="11"/>
      <c r="R376" s="11"/>
      <c r="S376" s="11"/>
      <c r="T376" s="11"/>
      <c r="U376" s="11"/>
      <c r="V376" s="11"/>
      <c r="W376" s="11"/>
    </row>
    <row r="377" spans="1:23" customFormat="1">
      <c r="A377" s="145"/>
      <c r="B377" s="11"/>
      <c r="C377" s="239" t="str">
        <f t="shared" si="47"/>
        <v>Comercio</v>
      </c>
      <c r="D377" s="323" t="s">
        <v>231</v>
      </c>
      <c r="E377" s="239" t="s">
        <v>44</v>
      </c>
      <c r="F377" s="582" t="str">
        <f t="shared" si="43"/>
        <v>ComercioD3E</v>
      </c>
      <c r="G377" s="583"/>
      <c r="H377" s="584"/>
      <c r="I377" s="276"/>
      <c r="J377" s="11"/>
      <c r="K377" s="11"/>
      <c r="L377" s="11"/>
      <c r="M377" s="11"/>
      <c r="N377" s="11"/>
      <c r="O377" s="11"/>
      <c r="P377" s="11"/>
      <c r="Q377" s="11"/>
      <c r="R377" s="11"/>
      <c r="S377" s="11"/>
      <c r="T377" s="11"/>
      <c r="U377" s="11"/>
      <c r="V377" s="11"/>
      <c r="W377" s="11"/>
    </row>
    <row r="378" spans="1:23" customFormat="1">
      <c r="A378" s="145"/>
      <c r="B378" s="11"/>
      <c r="C378" s="239" t="str">
        <f t="shared" si="47"/>
        <v>Comercio</v>
      </c>
      <c r="D378" s="323" t="s">
        <v>231</v>
      </c>
      <c r="E378" s="289" t="str">
        <f>IF(Idioma=Castellano,"Sin definir",IF(Idioma=Valencià,"Sense definir","Sin definir"))</f>
        <v>Sin definir</v>
      </c>
      <c r="F378" s="582" t="str">
        <f t="shared" si="43"/>
        <v>ComercioD3Sin definir</v>
      </c>
      <c r="G378" s="583"/>
      <c r="H378" s="584"/>
      <c r="I378" s="276"/>
      <c r="J378" s="11"/>
      <c r="K378" s="11"/>
      <c r="L378" s="11"/>
      <c r="M378" s="11"/>
      <c r="N378" s="11"/>
      <c r="O378" s="11"/>
      <c r="P378" s="11"/>
      <c r="Q378" s="11"/>
      <c r="R378" s="11"/>
      <c r="S378" s="11"/>
      <c r="T378" s="11"/>
      <c r="U378" s="11"/>
      <c r="V378" s="11"/>
      <c r="W378" s="11"/>
    </row>
    <row r="379" spans="1:23" customFormat="1">
      <c r="A379" s="145"/>
      <c r="B379" s="11"/>
      <c r="C379" s="239" t="s">
        <v>606</v>
      </c>
      <c r="D379" s="323" t="s">
        <v>231</v>
      </c>
      <c r="E379" s="289" t="str">
        <f>IF(Idioma=Castellano,"Existente",IF(Idioma=Valencià,"Existent","Existente"))</f>
        <v>Existente</v>
      </c>
      <c r="F379" s="582" t="str">
        <f t="shared" si="43"/>
        <v>HotelD3Existente</v>
      </c>
      <c r="G379" s="583"/>
      <c r="H379" s="584"/>
      <c r="I379" s="276"/>
      <c r="J379" s="11"/>
      <c r="K379" s="11"/>
      <c r="L379" s="11"/>
      <c r="M379" s="11"/>
      <c r="N379" s="11"/>
      <c r="O379" s="11"/>
      <c r="P379" s="11"/>
      <c r="Q379" s="11"/>
      <c r="R379" s="11"/>
      <c r="S379" s="11"/>
      <c r="T379" s="11"/>
      <c r="U379" s="11"/>
      <c r="V379" s="11"/>
      <c r="W379" s="11"/>
    </row>
    <row r="380" spans="1:23" customFormat="1">
      <c r="A380" s="145"/>
      <c r="B380" s="11"/>
      <c r="C380" s="239" t="s">
        <v>606</v>
      </c>
      <c r="D380" s="323" t="s">
        <v>231</v>
      </c>
      <c r="E380" s="239" t="s">
        <v>29</v>
      </c>
      <c r="F380" s="582" t="str">
        <f t="shared" si="43"/>
        <v>HotelD3A</v>
      </c>
      <c r="G380" s="583"/>
      <c r="H380" s="584"/>
      <c r="I380" s="276"/>
      <c r="J380" s="11"/>
      <c r="K380" s="11"/>
      <c r="L380" s="11"/>
      <c r="M380" s="11"/>
      <c r="N380" s="11"/>
      <c r="O380" s="11"/>
      <c r="P380" s="11"/>
      <c r="Q380" s="11"/>
      <c r="R380" s="11"/>
      <c r="S380" s="11"/>
      <c r="T380" s="11"/>
      <c r="U380" s="11"/>
      <c r="V380" s="11"/>
      <c r="W380" s="11"/>
    </row>
    <row r="381" spans="1:23" customFormat="1">
      <c r="A381" s="145"/>
      <c r="B381" s="11"/>
      <c r="C381" s="239" t="s">
        <v>606</v>
      </c>
      <c r="D381" s="323" t="s">
        <v>231</v>
      </c>
      <c r="E381" s="239" t="s">
        <v>35</v>
      </c>
      <c r="F381" s="582" t="str">
        <f t="shared" si="43"/>
        <v>HotelD3B</v>
      </c>
      <c r="G381" s="583"/>
      <c r="H381" s="584"/>
      <c r="I381" s="276"/>
      <c r="J381" s="11"/>
      <c r="K381" s="11"/>
      <c r="L381" s="11"/>
      <c r="M381" s="11"/>
      <c r="N381" s="11"/>
      <c r="O381" s="11"/>
      <c r="P381" s="11"/>
      <c r="Q381" s="11"/>
      <c r="R381" s="11"/>
      <c r="S381" s="11"/>
      <c r="T381" s="11"/>
      <c r="U381" s="11"/>
      <c r="V381" s="11"/>
      <c r="W381" s="11"/>
    </row>
    <row r="382" spans="1:23" customFormat="1">
      <c r="A382" s="145"/>
      <c r="B382" s="11"/>
      <c r="C382" s="239" t="s">
        <v>606</v>
      </c>
      <c r="D382" s="323" t="s">
        <v>231</v>
      </c>
      <c r="E382" s="239" t="s">
        <v>38</v>
      </c>
      <c r="F382" s="582" t="str">
        <f t="shared" si="43"/>
        <v>HotelD3C</v>
      </c>
      <c r="G382" s="583"/>
      <c r="H382" s="584"/>
      <c r="I382" s="276"/>
      <c r="J382" s="11"/>
      <c r="K382" s="11"/>
      <c r="L382" s="11"/>
      <c r="M382" s="11"/>
      <c r="N382" s="11"/>
      <c r="O382" s="11"/>
      <c r="P382" s="11"/>
      <c r="Q382" s="11"/>
      <c r="R382" s="11"/>
      <c r="S382" s="11"/>
      <c r="T382" s="11"/>
      <c r="U382" s="11"/>
      <c r="V382" s="11"/>
      <c r="W382" s="11"/>
    </row>
    <row r="383" spans="1:23" customFormat="1">
      <c r="A383" s="145"/>
      <c r="B383" s="11"/>
      <c r="C383" s="239" t="s">
        <v>606</v>
      </c>
      <c r="D383" s="323" t="s">
        <v>231</v>
      </c>
      <c r="E383" s="239" t="s">
        <v>41</v>
      </c>
      <c r="F383" s="582" t="str">
        <f t="shared" si="43"/>
        <v>HotelD3D</v>
      </c>
      <c r="G383" s="583"/>
      <c r="H383" s="584"/>
      <c r="I383" s="276"/>
      <c r="J383" s="11"/>
      <c r="K383" s="11"/>
      <c r="L383" s="11"/>
      <c r="M383" s="11"/>
      <c r="N383" s="11"/>
      <c r="O383" s="11"/>
      <c r="P383" s="11"/>
      <c r="Q383" s="11"/>
      <c r="R383" s="11"/>
      <c r="S383" s="11"/>
      <c r="T383" s="11"/>
      <c r="U383" s="11"/>
      <c r="V383" s="11"/>
      <c r="W383" s="11"/>
    </row>
    <row r="384" spans="1:23" customFormat="1">
      <c r="A384" s="145"/>
      <c r="B384" s="11"/>
      <c r="C384" s="239" t="s">
        <v>606</v>
      </c>
      <c r="D384" s="323" t="s">
        <v>231</v>
      </c>
      <c r="E384" s="239" t="s">
        <v>44</v>
      </c>
      <c r="F384" s="582" t="str">
        <f t="shared" si="43"/>
        <v>HotelD3E</v>
      </c>
      <c r="G384" s="583"/>
      <c r="H384" s="584"/>
      <c r="I384" s="276"/>
      <c r="J384" s="11"/>
      <c r="K384" s="11"/>
      <c r="L384" s="11"/>
      <c r="M384" s="11"/>
      <c r="N384" s="11"/>
      <c r="O384" s="11"/>
      <c r="P384" s="11"/>
      <c r="Q384" s="11"/>
      <c r="R384" s="11"/>
      <c r="S384" s="11"/>
      <c r="T384" s="11"/>
      <c r="U384" s="11"/>
      <c r="V384" s="11"/>
      <c r="W384" s="11"/>
    </row>
    <row r="385" spans="1:23" customFormat="1">
      <c r="A385" s="145"/>
      <c r="B385" s="11"/>
      <c r="C385" s="239" t="s">
        <v>606</v>
      </c>
      <c r="D385" s="323" t="s">
        <v>231</v>
      </c>
      <c r="E385" s="289" t="str">
        <f>IF(Idioma=Castellano,"Sin definir",IF(Idioma=Valencià,"Sense definir","Sin definir"))</f>
        <v>Sin definir</v>
      </c>
      <c r="F385" s="582" t="str">
        <f t="shared" si="43"/>
        <v>HotelD3Sin definir</v>
      </c>
      <c r="G385" s="583"/>
      <c r="H385" s="584"/>
      <c r="I385" s="276"/>
      <c r="J385" s="11"/>
      <c r="K385" s="11"/>
      <c r="L385" s="11"/>
      <c r="M385" s="11"/>
      <c r="N385" s="11"/>
      <c r="O385" s="11"/>
      <c r="P385" s="11"/>
      <c r="Q385" s="11"/>
      <c r="R385" s="11"/>
      <c r="S385" s="11"/>
      <c r="T385" s="11"/>
      <c r="U385" s="11"/>
      <c r="V385" s="11"/>
      <c r="W385" s="11"/>
    </row>
    <row r="386" spans="1:23" customFormat="1">
      <c r="A386" s="145"/>
      <c r="B386" s="11"/>
      <c r="C386" s="239" t="str">
        <f t="shared" ref="C386:C392" si="48">IF(Idioma=Castellano,"Restauración",IF(Idioma=Valencià,"Restauració","Restauración"))</f>
        <v>Restauración</v>
      </c>
      <c r="D386" s="323" t="s">
        <v>231</v>
      </c>
      <c r="E386" s="289" t="str">
        <f>IF(Idioma=Castellano,"Existente",IF(Idioma=Valencià,"Existent","Existente"))</f>
        <v>Existente</v>
      </c>
      <c r="F386" s="582" t="str">
        <f t="shared" si="43"/>
        <v>RestauraciónD3Existente</v>
      </c>
      <c r="G386" s="583"/>
      <c r="H386" s="584"/>
      <c r="I386" s="276"/>
      <c r="J386" s="11"/>
      <c r="K386" s="11"/>
      <c r="L386" s="11"/>
      <c r="M386" s="11"/>
      <c r="N386" s="11"/>
      <c r="O386" s="11"/>
      <c r="P386" s="11"/>
      <c r="Q386" s="11"/>
      <c r="R386" s="11"/>
      <c r="S386" s="11"/>
      <c r="T386" s="11"/>
      <c r="U386" s="11"/>
      <c r="V386" s="11"/>
      <c r="W386" s="11"/>
    </row>
    <row r="387" spans="1:23" customFormat="1">
      <c r="A387" s="145"/>
      <c r="B387" s="11"/>
      <c r="C387" s="239" t="str">
        <f t="shared" si="48"/>
        <v>Restauración</v>
      </c>
      <c r="D387" s="323" t="s">
        <v>231</v>
      </c>
      <c r="E387" s="239" t="s">
        <v>29</v>
      </c>
      <c r="F387" s="582" t="str">
        <f t="shared" si="43"/>
        <v>RestauraciónD3A</v>
      </c>
      <c r="G387" s="583"/>
      <c r="H387" s="584"/>
      <c r="I387" s="276"/>
      <c r="J387" s="11"/>
      <c r="K387" s="11"/>
      <c r="L387" s="11"/>
      <c r="M387" s="11"/>
      <c r="N387" s="11"/>
      <c r="O387" s="11"/>
      <c r="P387" s="11"/>
      <c r="Q387" s="11"/>
      <c r="R387" s="11"/>
      <c r="S387" s="11"/>
      <c r="T387" s="11"/>
      <c r="U387" s="11"/>
      <c r="V387" s="11"/>
      <c r="W387" s="11"/>
    </row>
    <row r="388" spans="1:23" customFormat="1">
      <c r="A388" s="145"/>
      <c r="B388" s="11"/>
      <c r="C388" s="239" t="str">
        <f t="shared" si="48"/>
        <v>Restauración</v>
      </c>
      <c r="D388" s="323" t="s">
        <v>231</v>
      </c>
      <c r="E388" s="239" t="s">
        <v>35</v>
      </c>
      <c r="F388" s="582" t="str">
        <f t="shared" si="43"/>
        <v>RestauraciónD3B</v>
      </c>
      <c r="G388" s="583"/>
      <c r="H388" s="584"/>
      <c r="I388" s="276"/>
      <c r="J388" s="11"/>
      <c r="K388" s="11"/>
      <c r="L388" s="11"/>
      <c r="M388" s="11"/>
      <c r="N388" s="11"/>
      <c r="O388" s="11"/>
      <c r="P388" s="11"/>
      <c r="Q388" s="11"/>
      <c r="R388" s="11"/>
      <c r="S388" s="11"/>
      <c r="T388" s="11"/>
      <c r="U388" s="11"/>
      <c r="V388" s="11"/>
      <c r="W388" s="11"/>
    </row>
    <row r="389" spans="1:23" customFormat="1">
      <c r="A389" s="145"/>
      <c r="B389" s="11"/>
      <c r="C389" s="239" t="str">
        <f t="shared" si="48"/>
        <v>Restauración</v>
      </c>
      <c r="D389" s="323" t="s">
        <v>231</v>
      </c>
      <c r="E389" s="239" t="s">
        <v>38</v>
      </c>
      <c r="F389" s="582" t="str">
        <f t="shared" si="43"/>
        <v>RestauraciónD3C</v>
      </c>
      <c r="G389" s="583"/>
      <c r="H389" s="584"/>
      <c r="I389" s="276"/>
      <c r="J389" s="11"/>
      <c r="K389" s="11"/>
      <c r="L389" s="11"/>
      <c r="M389" s="11"/>
      <c r="N389" s="11"/>
      <c r="O389" s="11"/>
      <c r="P389" s="11"/>
      <c r="Q389" s="11"/>
      <c r="R389" s="11"/>
      <c r="S389" s="11"/>
      <c r="T389" s="11"/>
      <c r="U389" s="11"/>
      <c r="V389" s="11"/>
      <c r="W389" s="11"/>
    </row>
    <row r="390" spans="1:23" customFormat="1">
      <c r="A390" s="145"/>
      <c r="B390" s="11"/>
      <c r="C390" s="239" t="str">
        <f t="shared" si="48"/>
        <v>Restauración</v>
      </c>
      <c r="D390" s="323" t="s">
        <v>231</v>
      </c>
      <c r="E390" s="239" t="s">
        <v>41</v>
      </c>
      <c r="F390" s="582" t="str">
        <f t="shared" si="43"/>
        <v>RestauraciónD3D</v>
      </c>
      <c r="G390" s="583"/>
      <c r="H390" s="584"/>
      <c r="I390" s="276"/>
      <c r="J390" s="11"/>
      <c r="K390" s="11"/>
      <c r="L390" s="11"/>
      <c r="M390" s="11"/>
      <c r="N390" s="11"/>
      <c r="O390" s="11"/>
      <c r="P390" s="11"/>
      <c r="Q390" s="11"/>
      <c r="R390" s="11"/>
      <c r="S390" s="11"/>
      <c r="T390" s="11"/>
      <c r="U390" s="11"/>
      <c r="V390" s="11"/>
      <c r="W390" s="11"/>
    </row>
    <row r="391" spans="1:23" customFormat="1">
      <c r="A391" s="145"/>
      <c r="B391" s="11"/>
      <c r="C391" s="239" t="str">
        <f t="shared" si="48"/>
        <v>Restauración</v>
      </c>
      <c r="D391" s="323" t="s">
        <v>231</v>
      </c>
      <c r="E391" s="239" t="s">
        <v>44</v>
      </c>
      <c r="F391" s="582" t="str">
        <f t="shared" si="43"/>
        <v>RestauraciónD3E</v>
      </c>
      <c r="G391" s="583"/>
      <c r="H391" s="584"/>
      <c r="I391" s="276"/>
      <c r="J391" s="11"/>
      <c r="K391" s="11"/>
      <c r="L391" s="11"/>
      <c r="M391" s="11"/>
      <c r="N391" s="11"/>
      <c r="O391" s="11"/>
      <c r="P391" s="11"/>
      <c r="Q391" s="11"/>
      <c r="R391" s="11"/>
      <c r="S391" s="11"/>
      <c r="T391" s="11"/>
      <c r="U391" s="11"/>
      <c r="V391" s="11"/>
      <c r="W391" s="11"/>
    </row>
    <row r="392" spans="1:23" customFormat="1">
      <c r="A392" s="145"/>
      <c r="B392" s="11"/>
      <c r="C392" s="239" t="str">
        <f t="shared" si="48"/>
        <v>Restauración</v>
      </c>
      <c r="D392" s="323" t="s">
        <v>231</v>
      </c>
      <c r="E392" s="289" t="str">
        <f>IF(Idioma=Castellano,"Sin definir",IF(Idioma=Valencià,"Sense definir","Sin definir"))</f>
        <v>Sin definir</v>
      </c>
      <c r="F392" s="582" t="str">
        <f t="shared" si="43"/>
        <v>RestauraciónD3Sin definir</v>
      </c>
      <c r="G392" s="583"/>
      <c r="H392" s="584"/>
      <c r="I392" s="276"/>
      <c r="J392" s="11"/>
      <c r="K392" s="11"/>
      <c r="L392" s="11"/>
      <c r="M392" s="11"/>
      <c r="N392" s="11"/>
      <c r="O392" s="11"/>
      <c r="P392" s="11"/>
      <c r="Q392" s="11"/>
      <c r="R392" s="11"/>
      <c r="S392" s="11"/>
      <c r="T392" s="11"/>
      <c r="U392" s="11"/>
      <c r="V392" s="11"/>
      <c r="W392" s="11"/>
    </row>
    <row r="393" spans="1:23" customFormat="1">
      <c r="A393" s="145"/>
      <c r="B393" s="11"/>
      <c r="C393" s="239" t="str">
        <f t="shared" ref="C393:C399" si="49">IF(Idioma=Castellano,"Sin especificar",IF(Idioma=Valencià,"Sense especificar ","Sin especificar"))</f>
        <v>Sin especificar</v>
      </c>
      <c r="D393" s="323" t="s">
        <v>231</v>
      </c>
      <c r="E393" s="289" t="str">
        <f>IF(Idioma=Castellano,"Existente",IF(Idioma=Valencià,"Existent","Existente"))</f>
        <v>Existente</v>
      </c>
      <c r="F393" s="582" t="str">
        <f t="shared" si="43"/>
        <v>Sin especificarD3Existente</v>
      </c>
      <c r="G393" s="583"/>
      <c r="H393" s="584"/>
      <c r="I393" s="276"/>
      <c r="J393" s="11"/>
      <c r="K393" s="11"/>
      <c r="L393" s="11"/>
      <c r="M393" s="11"/>
      <c r="N393" s="11"/>
      <c r="O393" s="11"/>
      <c r="P393" s="11"/>
      <c r="Q393" s="11"/>
      <c r="R393" s="11"/>
      <c r="S393" s="11"/>
      <c r="T393" s="11"/>
      <c r="U393" s="11"/>
      <c r="V393" s="11"/>
      <c r="W393" s="11"/>
    </row>
    <row r="394" spans="1:23" customFormat="1">
      <c r="A394" s="145"/>
      <c r="B394" s="11"/>
      <c r="C394" s="239" t="str">
        <f t="shared" si="49"/>
        <v>Sin especificar</v>
      </c>
      <c r="D394" s="323" t="s">
        <v>231</v>
      </c>
      <c r="E394" s="239" t="s">
        <v>29</v>
      </c>
      <c r="F394" s="582" t="str">
        <f t="shared" si="43"/>
        <v>Sin especificarD3A</v>
      </c>
      <c r="G394" s="583"/>
      <c r="H394" s="584"/>
      <c r="I394" s="276"/>
      <c r="J394" s="11"/>
      <c r="K394" s="11"/>
      <c r="L394" s="11"/>
      <c r="M394" s="11"/>
      <c r="N394" s="11"/>
      <c r="O394" s="11"/>
      <c r="P394" s="11"/>
      <c r="Q394" s="11"/>
      <c r="R394" s="11"/>
      <c r="S394" s="11"/>
      <c r="T394" s="11"/>
      <c r="U394" s="11"/>
      <c r="V394" s="11"/>
      <c r="W394" s="11"/>
    </row>
    <row r="395" spans="1:23" customFormat="1">
      <c r="A395" s="145"/>
      <c r="B395" s="11"/>
      <c r="C395" s="239" t="str">
        <f t="shared" si="49"/>
        <v>Sin especificar</v>
      </c>
      <c r="D395" s="323" t="s">
        <v>231</v>
      </c>
      <c r="E395" s="239" t="s">
        <v>35</v>
      </c>
      <c r="F395" s="582" t="str">
        <f t="shared" si="43"/>
        <v>Sin especificarD3B</v>
      </c>
      <c r="G395" s="583"/>
      <c r="H395" s="584"/>
      <c r="I395" s="276"/>
      <c r="J395" s="11"/>
      <c r="K395" s="11"/>
      <c r="L395" s="11"/>
      <c r="M395" s="11"/>
      <c r="N395" s="11"/>
      <c r="O395" s="11"/>
      <c r="P395" s="11"/>
      <c r="Q395" s="11"/>
      <c r="R395" s="11"/>
      <c r="S395" s="11"/>
      <c r="T395" s="11"/>
      <c r="U395" s="11"/>
      <c r="V395" s="11"/>
      <c r="W395" s="11"/>
    </row>
    <row r="396" spans="1:23" customFormat="1">
      <c r="A396" s="145"/>
      <c r="B396" s="11"/>
      <c r="C396" s="239" t="str">
        <f t="shared" si="49"/>
        <v>Sin especificar</v>
      </c>
      <c r="D396" s="323" t="s">
        <v>231</v>
      </c>
      <c r="E396" s="239" t="s">
        <v>38</v>
      </c>
      <c r="F396" s="582" t="str">
        <f t="shared" si="43"/>
        <v>Sin especificarD3C</v>
      </c>
      <c r="G396" s="583"/>
      <c r="H396" s="584"/>
      <c r="I396" s="276"/>
      <c r="J396" s="11"/>
      <c r="K396" s="11"/>
      <c r="L396" s="11"/>
      <c r="M396" s="11"/>
      <c r="N396" s="11"/>
      <c r="O396" s="11"/>
      <c r="P396" s="11"/>
      <c r="Q396" s="11"/>
      <c r="R396" s="11"/>
      <c r="S396" s="11"/>
      <c r="T396" s="11"/>
      <c r="U396" s="11"/>
      <c r="V396" s="11"/>
      <c r="W396" s="11"/>
    </row>
    <row r="397" spans="1:23" customFormat="1">
      <c r="A397" s="145"/>
      <c r="B397" s="11"/>
      <c r="C397" s="239" t="str">
        <f t="shared" si="49"/>
        <v>Sin especificar</v>
      </c>
      <c r="D397" s="323" t="s">
        <v>231</v>
      </c>
      <c r="E397" s="239" t="s">
        <v>41</v>
      </c>
      <c r="F397" s="582" t="str">
        <f t="shared" si="43"/>
        <v>Sin especificarD3D</v>
      </c>
      <c r="G397" s="583"/>
      <c r="H397" s="584"/>
      <c r="I397" s="276"/>
      <c r="J397" s="11"/>
      <c r="K397" s="11"/>
      <c r="L397" s="11"/>
      <c r="M397" s="11"/>
      <c r="N397" s="11"/>
      <c r="O397" s="11"/>
      <c r="P397" s="11"/>
      <c r="Q397" s="11"/>
      <c r="R397" s="11"/>
      <c r="S397" s="11"/>
      <c r="T397" s="11"/>
      <c r="U397" s="11"/>
      <c r="V397" s="11"/>
      <c r="W397" s="11"/>
    </row>
    <row r="398" spans="1:23" customFormat="1">
      <c r="A398" s="145"/>
      <c r="B398" s="11"/>
      <c r="C398" s="239" t="str">
        <f t="shared" si="49"/>
        <v>Sin especificar</v>
      </c>
      <c r="D398" s="323" t="s">
        <v>231</v>
      </c>
      <c r="E398" s="239" t="s">
        <v>44</v>
      </c>
      <c r="F398" s="582" t="str">
        <f t="shared" si="43"/>
        <v>Sin especificarD3E</v>
      </c>
      <c r="G398" s="583"/>
      <c r="H398" s="584"/>
      <c r="I398" s="276"/>
      <c r="J398" s="11"/>
      <c r="K398" s="11"/>
      <c r="L398" s="11"/>
      <c r="M398" s="11"/>
      <c r="N398" s="11"/>
      <c r="O398" s="11"/>
      <c r="P398" s="11"/>
      <c r="Q398" s="11"/>
      <c r="R398" s="11"/>
      <c r="S398" s="11"/>
      <c r="T398" s="11"/>
      <c r="U398" s="11"/>
      <c r="V398" s="11"/>
      <c r="W398" s="11"/>
    </row>
    <row r="399" spans="1:23" customFormat="1">
      <c r="A399" s="145"/>
      <c r="B399" s="11"/>
      <c r="C399" s="239" t="str">
        <f t="shared" si="49"/>
        <v>Sin especificar</v>
      </c>
      <c r="D399" s="323" t="s">
        <v>231</v>
      </c>
      <c r="E399" s="289" t="str">
        <f>IF(Idioma=Castellano,"Sin definir",IF(Idioma=Valencià,"Sense definir","Sin definir"))</f>
        <v>Sin definir</v>
      </c>
      <c r="F399" s="582" t="str">
        <f t="shared" si="43"/>
        <v>Sin especificarD3Sin definir</v>
      </c>
      <c r="G399" s="583"/>
      <c r="H399" s="584"/>
      <c r="I399" s="276"/>
      <c r="J399" s="11"/>
      <c r="K399" s="11"/>
      <c r="L399" s="11"/>
      <c r="M399" s="11"/>
      <c r="N399" s="11"/>
      <c r="O399" s="11"/>
      <c r="P399" s="11"/>
      <c r="Q399" s="11"/>
      <c r="R399" s="11"/>
      <c r="S399" s="11"/>
      <c r="T399" s="11"/>
      <c r="U399" s="11"/>
      <c r="V399" s="11"/>
      <c r="W399" s="11"/>
    </row>
    <row r="400" spans="1:23" customFormat="1">
      <c r="A400" s="145"/>
      <c r="B400" s="11"/>
      <c r="C400" s="239" t="str">
        <f t="shared" ref="C400:C406" si="50">IF(Idioma=Castellano,"Oficinas",IF(Idioma=Valencià,"Oficines","Oficinas"))</f>
        <v>Oficinas</v>
      </c>
      <c r="D400" s="323" t="s">
        <v>86</v>
      </c>
      <c r="E400" s="289" t="str">
        <f>IF(Idioma=Castellano,"Existente",IF(Idioma=Valencià,"Existent","Existente"))</f>
        <v>Existente</v>
      </c>
      <c r="F400" s="582" t="str">
        <f t="shared" si="43"/>
        <v>OficinasE1Existente</v>
      </c>
      <c r="G400" s="583"/>
      <c r="H400" s="584"/>
      <c r="I400" s="276"/>
      <c r="J400" s="11"/>
      <c r="K400" s="11"/>
      <c r="L400" s="11"/>
      <c r="M400" s="11"/>
      <c r="N400" s="11"/>
      <c r="O400" s="11"/>
      <c r="P400" s="11"/>
      <c r="Q400" s="11"/>
      <c r="R400" s="11"/>
      <c r="S400" s="11"/>
      <c r="T400" s="11"/>
      <c r="U400" s="11"/>
      <c r="V400" s="11"/>
      <c r="W400" s="11"/>
    </row>
    <row r="401" spans="1:23" customFormat="1">
      <c r="A401" s="145"/>
      <c r="B401" s="11"/>
      <c r="C401" s="239" t="str">
        <f t="shared" si="50"/>
        <v>Oficinas</v>
      </c>
      <c r="D401" s="323" t="s">
        <v>86</v>
      </c>
      <c r="E401" s="239" t="s">
        <v>29</v>
      </c>
      <c r="F401" s="582" t="str">
        <f t="shared" si="43"/>
        <v>OficinasE1A</v>
      </c>
      <c r="G401" s="583"/>
      <c r="H401" s="584"/>
      <c r="I401" s="276"/>
      <c r="J401" s="11"/>
      <c r="K401" s="11"/>
      <c r="L401" s="11"/>
      <c r="M401" s="11"/>
      <c r="N401" s="11"/>
      <c r="O401" s="11"/>
      <c r="P401" s="11"/>
      <c r="Q401" s="11"/>
      <c r="R401" s="11"/>
      <c r="S401" s="11"/>
      <c r="T401" s="11"/>
      <c r="U401" s="11"/>
      <c r="V401" s="11"/>
      <c r="W401" s="11"/>
    </row>
    <row r="402" spans="1:23" customFormat="1">
      <c r="A402" s="145"/>
      <c r="B402" s="11"/>
      <c r="C402" s="239" t="str">
        <f t="shared" si="50"/>
        <v>Oficinas</v>
      </c>
      <c r="D402" s="323" t="s">
        <v>86</v>
      </c>
      <c r="E402" s="239" t="s">
        <v>35</v>
      </c>
      <c r="F402" s="582" t="str">
        <f t="shared" si="43"/>
        <v>OficinasE1B</v>
      </c>
      <c r="G402" s="583"/>
      <c r="H402" s="584"/>
      <c r="I402" s="276"/>
      <c r="J402" s="11"/>
      <c r="K402" s="11"/>
      <c r="L402" s="11"/>
      <c r="M402" s="11"/>
      <c r="N402" s="11"/>
      <c r="O402" s="11"/>
      <c r="P402" s="11"/>
      <c r="Q402" s="11"/>
      <c r="R402" s="11"/>
      <c r="S402" s="11"/>
      <c r="T402" s="11"/>
      <c r="U402" s="11"/>
      <c r="V402" s="11"/>
      <c r="W402" s="11"/>
    </row>
    <row r="403" spans="1:23" customFormat="1">
      <c r="A403" s="145"/>
      <c r="B403" s="11"/>
      <c r="C403" s="239" t="str">
        <f t="shared" si="50"/>
        <v>Oficinas</v>
      </c>
      <c r="D403" s="323" t="s">
        <v>86</v>
      </c>
      <c r="E403" s="239" t="s">
        <v>38</v>
      </c>
      <c r="F403" s="582" t="str">
        <f t="shared" si="43"/>
        <v>OficinasE1C</v>
      </c>
      <c r="G403" s="583"/>
      <c r="H403" s="584"/>
      <c r="I403" s="276"/>
      <c r="J403" s="11"/>
      <c r="K403" s="11"/>
      <c r="L403" s="11"/>
      <c r="M403" s="11"/>
      <c r="N403" s="11"/>
      <c r="O403" s="11"/>
      <c r="P403" s="11"/>
      <c r="Q403" s="11"/>
      <c r="R403" s="11"/>
      <c r="S403" s="11"/>
      <c r="T403" s="11"/>
      <c r="U403" s="11"/>
      <c r="V403" s="11"/>
      <c r="W403" s="11"/>
    </row>
    <row r="404" spans="1:23" customFormat="1">
      <c r="A404" s="145"/>
      <c r="B404" s="11"/>
      <c r="C404" s="239" t="str">
        <f t="shared" si="50"/>
        <v>Oficinas</v>
      </c>
      <c r="D404" s="323" t="s">
        <v>86</v>
      </c>
      <c r="E404" s="239" t="s">
        <v>41</v>
      </c>
      <c r="F404" s="582" t="str">
        <f t="shared" si="43"/>
        <v>OficinasE1D</v>
      </c>
      <c r="G404" s="583"/>
      <c r="H404" s="584"/>
      <c r="I404" s="276"/>
      <c r="J404" s="11"/>
      <c r="K404" s="11"/>
      <c r="L404" s="11"/>
      <c r="M404" s="11"/>
      <c r="N404" s="11"/>
      <c r="O404" s="11"/>
      <c r="P404" s="11"/>
      <c r="Q404" s="11"/>
      <c r="R404" s="11"/>
      <c r="S404" s="11"/>
      <c r="T404" s="11"/>
      <c r="U404" s="11"/>
      <c r="V404" s="11"/>
      <c r="W404" s="11"/>
    </row>
    <row r="405" spans="1:23" customFormat="1">
      <c r="A405" s="145"/>
      <c r="B405" s="11"/>
      <c r="C405" s="239" t="str">
        <f t="shared" si="50"/>
        <v>Oficinas</v>
      </c>
      <c r="D405" s="323" t="s">
        <v>86</v>
      </c>
      <c r="E405" s="239" t="s">
        <v>44</v>
      </c>
      <c r="F405" s="582" t="str">
        <f t="shared" si="43"/>
        <v>OficinasE1E</v>
      </c>
      <c r="G405" s="583"/>
      <c r="H405" s="584"/>
      <c r="I405" s="276"/>
      <c r="J405" s="11"/>
      <c r="K405" s="11"/>
      <c r="L405" s="11"/>
      <c r="M405" s="11"/>
      <c r="N405" s="11"/>
      <c r="O405" s="11"/>
      <c r="P405" s="11"/>
      <c r="Q405" s="11"/>
      <c r="R405" s="11"/>
      <c r="S405" s="11"/>
      <c r="T405" s="11"/>
      <c r="U405" s="11"/>
      <c r="V405" s="11"/>
      <c r="W405" s="11"/>
    </row>
    <row r="406" spans="1:23" customFormat="1">
      <c r="A406" s="145"/>
      <c r="B406" s="11"/>
      <c r="C406" s="239" t="str">
        <f t="shared" si="50"/>
        <v>Oficinas</v>
      </c>
      <c r="D406" s="323" t="s">
        <v>86</v>
      </c>
      <c r="E406" s="289" t="str">
        <f>IF(Idioma=Castellano,"Sin definir",IF(Idioma=Valencià,"Sense definir","Sin definir"))</f>
        <v>Sin definir</v>
      </c>
      <c r="F406" s="582" t="str">
        <f t="shared" si="43"/>
        <v>OficinasE1Sin definir</v>
      </c>
      <c r="G406" s="583"/>
      <c r="H406" s="584"/>
      <c r="I406" s="276"/>
      <c r="J406" s="11"/>
      <c r="K406" s="11"/>
      <c r="L406" s="11"/>
      <c r="M406" s="11"/>
      <c r="N406" s="11"/>
      <c r="O406" s="11"/>
      <c r="P406" s="11"/>
      <c r="Q406" s="11"/>
      <c r="R406" s="11"/>
      <c r="S406" s="11"/>
      <c r="T406" s="11"/>
      <c r="U406" s="11"/>
      <c r="V406" s="11"/>
      <c r="W406" s="11"/>
    </row>
    <row r="407" spans="1:23" customFormat="1">
      <c r="A407" s="145"/>
      <c r="B407" s="11"/>
      <c r="C407" s="239" t="str">
        <f t="shared" ref="C407:C413" si="51">IF(Idioma=Castellano,"Comercio",IF(Idioma=Valencià,"Comerç","Comercio"))</f>
        <v>Comercio</v>
      </c>
      <c r="D407" s="323" t="s">
        <v>86</v>
      </c>
      <c r="E407" s="289" t="str">
        <f>IF(Idioma=Castellano,"Existente",IF(Idioma=Valencià,"Existent","Existente"))</f>
        <v>Existente</v>
      </c>
      <c r="F407" s="582" t="str">
        <f t="shared" ref="F407:F434" si="52">C407&amp;D407&amp;E407</f>
        <v>ComercioE1Existente</v>
      </c>
      <c r="G407" s="583"/>
      <c r="H407" s="584"/>
      <c r="I407" s="276"/>
      <c r="J407" s="11"/>
      <c r="K407" s="11"/>
      <c r="L407" s="11"/>
      <c r="M407" s="11"/>
      <c r="N407" s="11"/>
      <c r="O407" s="11"/>
      <c r="P407" s="11"/>
      <c r="Q407" s="11"/>
      <c r="R407" s="11"/>
      <c r="S407" s="11"/>
      <c r="T407" s="11"/>
      <c r="U407" s="11"/>
      <c r="V407" s="11"/>
      <c r="W407" s="11"/>
    </row>
    <row r="408" spans="1:23" customFormat="1">
      <c r="A408" s="145"/>
      <c r="B408" s="11"/>
      <c r="C408" s="239" t="str">
        <f t="shared" si="51"/>
        <v>Comercio</v>
      </c>
      <c r="D408" s="323" t="s">
        <v>86</v>
      </c>
      <c r="E408" s="239" t="s">
        <v>29</v>
      </c>
      <c r="F408" s="582" t="str">
        <f t="shared" si="52"/>
        <v>ComercioE1A</v>
      </c>
      <c r="G408" s="583"/>
      <c r="H408" s="584"/>
      <c r="I408" s="276"/>
      <c r="J408" s="11"/>
      <c r="K408" s="11"/>
      <c r="L408" s="11"/>
      <c r="M408" s="11"/>
      <c r="N408" s="11"/>
      <c r="O408" s="11"/>
      <c r="P408" s="11"/>
      <c r="Q408" s="11"/>
      <c r="R408" s="11"/>
      <c r="S408" s="11"/>
      <c r="T408" s="11"/>
      <c r="U408" s="11"/>
      <c r="V408" s="11"/>
      <c r="W408" s="11"/>
    </row>
    <row r="409" spans="1:23" customFormat="1">
      <c r="A409" s="145"/>
      <c r="B409" s="11"/>
      <c r="C409" s="239" t="str">
        <f t="shared" si="51"/>
        <v>Comercio</v>
      </c>
      <c r="D409" s="323" t="s">
        <v>86</v>
      </c>
      <c r="E409" s="239" t="s">
        <v>35</v>
      </c>
      <c r="F409" s="582" t="str">
        <f t="shared" si="52"/>
        <v>ComercioE1B</v>
      </c>
      <c r="G409" s="583"/>
      <c r="H409" s="584"/>
      <c r="I409" s="276"/>
      <c r="J409" s="11"/>
      <c r="K409" s="11"/>
      <c r="L409" s="11"/>
      <c r="M409" s="11"/>
      <c r="N409" s="11"/>
      <c r="O409" s="11"/>
      <c r="P409" s="11"/>
      <c r="Q409" s="11"/>
      <c r="R409" s="11"/>
      <c r="S409" s="11"/>
      <c r="T409" s="11"/>
      <c r="U409" s="11"/>
      <c r="V409" s="11"/>
      <c r="W409" s="11"/>
    </row>
    <row r="410" spans="1:23" customFormat="1">
      <c r="A410" s="145"/>
      <c r="B410" s="11"/>
      <c r="C410" s="239" t="str">
        <f t="shared" si="51"/>
        <v>Comercio</v>
      </c>
      <c r="D410" s="323" t="s">
        <v>86</v>
      </c>
      <c r="E410" s="239" t="s">
        <v>38</v>
      </c>
      <c r="F410" s="582" t="str">
        <f t="shared" si="52"/>
        <v>ComercioE1C</v>
      </c>
      <c r="G410" s="583"/>
      <c r="H410" s="584"/>
      <c r="I410" s="276"/>
      <c r="J410" s="11"/>
      <c r="K410" s="11"/>
      <c r="L410" s="11"/>
      <c r="M410" s="11"/>
      <c r="N410" s="11"/>
      <c r="O410" s="11"/>
      <c r="P410" s="11"/>
      <c r="Q410" s="11"/>
      <c r="R410" s="11"/>
      <c r="S410" s="11"/>
      <c r="T410" s="11"/>
      <c r="U410" s="11"/>
      <c r="V410" s="11"/>
      <c r="W410" s="11"/>
    </row>
    <row r="411" spans="1:23" customFormat="1">
      <c r="A411" s="145"/>
      <c r="B411" s="11"/>
      <c r="C411" s="239" t="str">
        <f t="shared" si="51"/>
        <v>Comercio</v>
      </c>
      <c r="D411" s="323" t="s">
        <v>86</v>
      </c>
      <c r="E411" s="239" t="s">
        <v>41</v>
      </c>
      <c r="F411" s="582" t="str">
        <f t="shared" si="52"/>
        <v>ComercioE1D</v>
      </c>
      <c r="G411" s="583"/>
      <c r="H411" s="584"/>
      <c r="I411" s="276"/>
      <c r="J411" s="11"/>
      <c r="K411" s="11"/>
      <c r="L411" s="11"/>
      <c r="M411" s="11"/>
      <c r="N411" s="11"/>
      <c r="O411" s="11"/>
      <c r="P411" s="11"/>
      <c r="Q411" s="11"/>
      <c r="R411" s="11"/>
      <c r="S411" s="11"/>
      <c r="T411" s="11"/>
      <c r="U411" s="11"/>
      <c r="V411" s="11"/>
      <c r="W411" s="11"/>
    </row>
    <row r="412" spans="1:23" customFormat="1">
      <c r="A412" s="145"/>
      <c r="B412" s="11"/>
      <c r="C412" s="239" t="str">
        <f t="shared" si="51"/>
        <v>Comercio</v>
      </c>
      <c r="D412" s="323" t="s">
        <v>86</v>
      </c>
      <c r="E412" s="239" t="s">
        <v>44</v>
      </c>
      <c r="F412" s="582" t="str">
        <f t="shared" si="52"/>
        <v>ComercioE1E</v>
      </c>
      <c r="G412" s="583"/>
      <c r="H412" s="584"/>
      <c r="I412" s="276"/>
      <c r="J412" s="11"/>
      <c r="K412" s="11"/>
      <c r="L412" s="11"/>
      <c r="M412" s="11"/>
      <c r="N412" s="11"/>
      <c r="O412" s="11"/>
      <c r="P412" s="11"/>
      <c r="Q412" s="11"/>
      <c r="R412" s="11"/>
      <c r="S412" s="11"/>
      <c r="T412" s="11"/>
      <c r="U412" s="11"/>
      <c r="V412" s="11"/>
      <c r="W412" s="11"/>
    </row>
    <row r="413" spans="1:23" customFormat="1">
      <c r="A413" s="145"/>
      <c r="B413" s="11"/>
      <c r="C413" s="239" t="str">
        <f t="shared" si="51"/>
        <v>Comercio</v>
      </c>
      <c r="D413" s="323" t="s">
        <v>86</v>
      </c>
      <c r="E413" s="289" t="str">
        <f>IF(Idioma=Castellano,"Sin definir",IF(Idioma=Valencià,"Sense definir","Sin definir"))</f>
        <v>Sin definir</v>
      </c>
      <c r="F413" s="582" t="str">
        <f t="shared" si="52"/>
        <v>ComercioE1Sin definir</v>
      </c>
      <c r="G413" s="583"/>
      <c r="H413" s="584"/>
      <c r="I413" s="276"/>
      <c r="J413" s="11"/>
      <c r="K413" s="11"/>
      <c r="L413" s="11"/>
      <c r="M413" s="11"/>
      <c r="N413" s="11"/>
      <c r="O413" s="11"/>
      <c r="P413" s="11"/>
      <c r="Q413" s="11"/>
      <c r="R413" s="11"/>
      <c r="S413" s="11"/>
      <c r="T413" s="11"/>
      <c r="U413" s="11"/>
      <c r="V413" s="11"/>
      <c r="W413" s="11"/>
    </row>
    <row r="414" spans="1:23" customFormat="1">
      <c r="A414" s="145"/>
      <c r="B414" s="11"/>
      <c r="C414" s="239" t="s">
        <v>606</v>
      </c>
      <c r="D414" s="323" t="s">
        <v>86</v>
      </c>
      <c r="E414" s="289" t="str">
        <f>IF(Idioma=Castellano,"Existente",IF(Idioma=Valencià,"Existent","Existente"))</f>
        <v>Existente</v>
      </c>
      <c r="F414" s="582" t="str">
        <f t="shared" si="52"/>
        <v>HotelE1Existente</v>
      </c>
      <c r="G414" s="583"/>
      <c r="H414" s="584"/>
      <c r="I414" s="276"/>
      <c r="J414" s="11"/>
      <c r="K414" s="11"/>
      <c r="L414" s="11"/>
      <c r="M414" s="11"/>
      <c r="N414" s="11"/>
      <c r="O414" s="11"/>
      <c r="P414" s="11"/>
      <c r="Q414" s="11"/>
      <c r="R414" s="11"/>
      <c r="S414" s="11"/>
      <c r="T414" s="11"/>
      <c r="U414" s="11"/>
      <c r="V414" s="11"/>
      <c r="W414" s="11"/>
    </row>
    <row r="415" spans="1:23" customFormat="1">
      <c r="A415" s="145"/>
      <c r="B415" s="11"/>
      <c r="C415" s="239" t="s">
        <v>606</v>
      </c>
      <c r="D415" s="323" t="s">
        <v>86</v>
      </c>
      <c r="E415" s="239" t="s">
        <v>29</v>
      </c>
      <c r="F415" s="582" t="str">
        <f t="shared" si="52"/>
        <v>HotelE1A</v>
      </c>
      <c r="G415" s="583"/>
      <c r="H415" s="584"/>
      <c r="I415" s="276"/>
      <c r="J415" s="11"/>
      <c r="K415" s="11"/>
      <c r="L415" s="11"/>
      <c r="M415" s="11"/>
      <c r="N415" s="11"/>
      <c r="O415" s="11"/>
      <c r="P415" s="11"/>
      <c r="Q415" s="11"/>
      <c r="R415" s="11"/>
      <c r="S415" s="11"/>
      <c r="T415" s="11"/>
      <c r="U415" s="11"/>
      <c r="V415" s="11"/>
      <c r="W415" s="11"/>
    </row>
    <row r="416" spans="1:23" customFormat="1">
      <c r="A416" s="145"/>
      <c r="B416" s="11"/>
      <c r="C416" s="239" t="s">
        <v>606</v>
      </c>
      <c r="D416" s="323" t="s">
        <v>86</v>
      </c>
      <c r="E416" s="239" t="s">
        <v>35</v>
      </c>
      <c r="F416" s="582" t="str">
        <f t="shared" si="52"/>
        <v>HotelE1B</v>
      </c>
      <c r="G416" s="583"/>
      <c r="H416" s="584"/>
      <c r="I416" s="276"/>
      <c r="J416" s="11"/>
      <c r="K416" s="11"/>
      <c r="L416" s="11"/>
      <c r="M416" s="11"/>
      <c r="N416" s="11"/>
      <c r="O416" s="11"/>
      <c r="P416" s="11"/>
      <c r="Q416" s="11"/>
      <c r="R416" s="11"/>
      <c r="S416" s="11"/>
      <c r="T416" s="11"/>
      <c r="U416" s="11"/>
      <c r="V416" s="11"/>
      <c r="W416" s="11"/>
    </row>
    <row r="417" spans="1:23" customFormat="1">
      <c r="A417" s="145"/>
      <c r="B417" s="11"/>
      <c r="C417" s="239" t="s">
        <v>606</v>
      </c>
      <c r="D417" s="323" t="s">
        <v>86</v>
      </c>
      <c r="E417" s="239" t="s">
        <v>38</v>
      </c>
      <c r="F417" s="582" t="str">
        <f t="shared" si="52"/>
        <v>HotelE1C</v>
      </c>
      <c r="G417" s="583"/>
      <c r="H417" s="584"/>
      <c r="I417" s="276"/>
      <c r="J417" s="11"/>
      <c r="K417" s="11"/>
      <c r="L417" s="11"/>
      <c r="M417" s="11"/>
      <c r="N417" s="11"/>
      <c r="O417" s="11"/>
      <c r="P417" s="11"/>
      <c r="Q417" s="11"/>
      <c r="R417" s="11"/>
      <c r="S417" s="11"/>
      <c r="T417" s="11"/>
      <c r="U417" s="11"/>
      <c r="V417" s="11"/>
      <c r="W417" s="11"/>
    </row>
    <row r="418" spans="1:23" customFormat="1">
      <c r="A418" s="145"/>
      <c r="B418" s="11"/>
      <c r="C418" s="239" t="s">
        <v>606</v>
      </c>
      <c r="D418" s="323" t="s">
        <v>86</v>
      </c>
      <c r="E418" s="239" t="s">
        <v>41</v>
      </c>
      <c r="F418" s="582" t="str">
        <f t="shared" si="52"/>
        <v>HotelE1D</v>
      </c>
      <c r="G418" s="583"/>
      <c r="H418" s="584"/>
      <c r="I418" s="276"/>
      <c r="J418" s="11"/>
      <c r="K418" s="11"/>
      <c r="L418" s="11"/>
      <c r="M418" s="11"/>
      <c r="N418" s="11"/>
      <c r="O418" s="11"/>
      <c r="P418" s="11"/>
      <c r="Q418" s="11"/>
      <c r="R418" s="11"/>
      <c r="S418" s="11"/>
      <c r="T418" s="11"/>
      <c r="U418" s="11"/>
      <c r="V418" s="11"/>
      <c r="W418" s="11"/>
    </row>
    <row r="419" spans="1:23" customFormat="1">
      <c r="A419" s="145"/>
      <c r="B419" s="11"/>
      <c r="C419" s="239" t="s">
        <v>606</v>
      </c>
      <c r="D419" s="323" t="s">
        <v>86</v>
      </c>
      <c r="E419" s="239" t="s">
        <v>44</v>
      </c>
      <c r="F419" s="582" t="str">
        <f t="shared" si="52"/>
        <v>HotelE1E</v>
      </c>
      <c r="G419" s="583"/>
      <c r="H419" s="584"/>
      <c r="I419" s="276"/>
      <c r="J419" s="11"/>
      <c r="K419" s="11"/>
      <c r="L419" s="11"/>
      <c r="M419" s="11"/>
      <c r="N419" s="11"/>
      <c r="O419" s="11"/>
      <c r="P419" s="11"/>
      <c r="Q419" s="11"/>
      <c r="R419" s="11"/>
      <c r="S419" s="11"/>
      <c r="T419" s="11"/>
      <c r="U419" s="11"/>
      <c r="V419" s="11"/>
      <c r="W419" s="11"/>
    </row>
    <row r="420" spans="1:23" customFormat="1">
      <c r="A420" s="145"/>
      <c r="B420" s="11"/>
      <c r="C420" s="239" t="s">
        <v>606</v>
      </c>
      <c r="D420" s="323" t="s">
        <v>86</v>
      </c>
      <c r="E420" s="289" t="str">
        <f>IF(Idioma=Castellano,"Sin definir",IF(Idioma=Valencià,"Sense definir","Sin definir"))</f>
        <v>Sin definir</v>
      </c>
      <c r="F420" s="582" t="str">
        <f t="shared" si="52"/>
        <v>HotelE1Sin definir</v>
      </c>
      <c r="G420" s="583"/>
      <c r="H420" s="584"/>
      <c r="I420" s="276"/>
      <c r="J420" s="11"/>
      <c r="K420" s="11"/>
      <c r="L420" s="11"/>
      <c r="M420" s="11"/>
      <c r="N420" s="11"/>
      <c r="O420" s="11"/>
      <c r="P420" s="11"/>
      <c r="Q420" s="11"/>
      <c r="R420" s="11"/>
      <c r="S420" s="11"/>
      <c r="T420" s="11"/>
      <c r="U420" s="11"/>
      <c r="V420" s="11"/>
      <c r="W420" s="11"/>
    </row>
    <row r="421" spans="1:23" customFormat="1">
      <c r="A421" s="145"/>
      <c r="B421" s="11"/>
      <c r="C421" s="239" t="str">
        <f t="shared" ref="C421:C427" si="53">IF(Idioma=Castellano,"Restauración",IF(Idioma=Valencià,"Restauració","Restauración"))</f>
        <v>Restauración</v>
      </c>
      <c r="D421" s="323" t="s">
        <v>86</v>
      </c>
      <c r="E421" s="289" t="str">
        <f>IF(Idioma=Castellano,"Existente",IF(Idioma=Valencià,"Existent","Existente"))</f>
        <v>Existente</v>
      </c>
      <c r="F421" s="582" t="str">
        <f t="shared" si="52"/>
        <v>RestauraciónE1Existente</v>
      </c>
      <c r="G421" s="583"/>
      <c r="H421" s="584"/>
      <c r="I421" s="276"/>
      <c r="J421" s="11"/>
      <c r="K421" s="11"/>
      <c r="L421" s="11"/>
      <c r="M421" s="11"/>
      <c r="N421" s="11"/>
      <c r="O421" s="11"/>
      <c r="P421" s="11"/>
      <c r="Q421" s="11"/>
      <c r="R421" s="11"/>
      <c r="S421" s="11"/>
      <c r="T421" s="11"/>
      <c r="U421" s="11"/>
      <c r="V421" s="11"/>
      <c r="W421" s="11"/>
    </row>
    <row r="422" spans="1:23" customFormat="1">
      <c r="A422" s="145"/>
      <c r="B422" s="11"/>
      <c r="C422" s="239" t="str">
        <f t="shared" si="53"/>
        <v>Restauración</v>
      </c>
      <c r="D422" s="323" t="s">
        <v>86</v>
      </c>
      <c r="E422" s="239" t="s">
        <v>29</v>
      </c>
      <c r="F422" s="582" t="str">
        <f t="shared" si="52"/>
        <v>RestauraciónE1A</v>
      </c>
      <c r="G422" s="583"/>
      <c r="H422" s="584"/>
      <c r="I422" s="276"/>
      <c r="J422" s="11"/>
      <c r="K422" s="11"/>
      <c r="L422" s="11"/>
      <c r="M422" s="11"/>
      <c r="N422" s="11"/>
      <c r="O422" s="11"/>
      <c r="P422" s="11"/>
      <c r="Q422" s="11"/>
      <c r="R422" s="11"/>
      <c r="S422" s="11"/>
      <c r="T422" s="11"/>
      <c r="U422" s="11"/>
      <c r="V422" s="11"/>
      <c r="W422" s="11"/>
    </row>
    <row r="423" spans="1:23" customFormat="1">
      <c r="A423" s="145"/>
      <c r="B423" s="11"/>
      <c r="C423" s="239" t="str">
        <f t="shared" si="53"/>
        <v>Restauración</v>
      </c>
      <c r="D423" s="323" t="s">
        <v>86</v>
      </c>
      <c r="E423" s="239" t="s">
        <v>35</v>
      </c>
      <c r="F423" s="582" t="str">
        <f t="shared" si="52"/>
        <v>RestauraciónE1B</v>
      </c>
      <c r="G423" s="583"/>
      <c r="H423" s="584"/>
      <c r="I423" s="276"/>
      <c r="J423" s="11"/>
      <c r="K423" s="11"/>
      <c r="L423" s="11"/>
      <c r="M423" s="11"/>
      <c r="N423" s="11"/>
      <c r="O423" s="11"/>
      <c r="P423" s="11"/>
      <c r="Q423" s="11"/>
      <c r="R423" s="11"/>
      <c r="S423" s="11"/>
      <c r="T423" s="11"/>
      <c r="U423" s="11"/>
      <c r="V423" s="11"/>
      <c r="W423" s="11"/>
    </row>
    <row r="424" spans="1:23" customFormat="1">
      <c r="A424" s="145"/>
      <c r="B424" s="11"/>
      <c r="C424" s="239" t="str">
        <f t="shared" si="53"/>
        <v>Restauración</v>
      </c>
      <c r="D424" s="323" t="s">
        <v>86</v>
      </c>
      <c r="E424" s="239" t="s">
        <v>38</v>
      </c>
      <c r="F424" s="582" t="str">
        <f t="shared" si="52"/>
        <v>RestauraciónE1C</v>
      </c>
      <c r="G424" s="583"/>
      <c r="H424" s="584"/>
      <c r="I424" s="276"/>
      <c r="J424" s="11"/>
      <c r="K424" s="11"/>
      <c r="L424" s="11"/>
      <c r="M424" s="11"/>
      <c r="N424" s="11"/>
      <c r="O424" s="11"/>
      <c r="P424" s="11"/>
      <c r="Q424" s="11"/>
      <c r="R424" s="11"/>
      <c r="S424" s="11"/>
      <c r="T424" s="11"/>
      <c r="U424" s="11"/>
      <c r="V424" s="11"/>
      <c r="W424" s="11"/>
    </row>
    <row r="425" spans="1:23" customFormat="1">
      <c r="A425" s="145"/>
      <c r="B425" s="11"/>
      <c r="C425" s="239" t="str">
        <f t="shared" si="53"/>
        <v>Restauración</v>
      </c>
      <c r="D425" s="323" t="s">
        <v>86</v>
      </c>
      <c r="E425" s="239" t="s">
        <v>41</v>
      </c>
      <c r="F425" s="582" t="str">
        <f t="shared" si="52"/>
        <v>RestauraciónE1D</v>
      </c>
      <c r="G425" s="583"/>
      <c r="H425" s="584"/>
      <c r="I425" s="276"/>
      <c r="J425" s="11"/>
      <c r="K425" s="11"/>
      <c r="L425" s="11"/>
      <c r="M425" s="11"/>
      <c r="N425" s="11"/>
      <c r="O425" s="11"/>
      <c r="P425" s="11"/>
      <c r="Q425" s="11"/>
      <c r="R425" s="11"/>
      <c r="S425" s="11"/>
      <c r="T425" s="11"/>
      <c r="U425" s="11"/>
      <c r="V425" s="11"/>
      <c r="W425" s="11"/>
    </row>
    <row r="426" spans="1:23" customFormat="1">
      <c r="A426" s="145"/>
      <c r="B426" s="11"/>
      <c r="C426" s="239" t="str">
        <f t="shared" si="53"/>
        <v>Restauración</v>
      </c>
      <c r="D426" s="323" t="s">
        <v>86</v>
      </c>
      <c r="E426" s="239" t="s">
        <v>44</v>
      </c>
      <c r="F426" s="582" t="str">
        <f t="shared" si="52"/>
        <v>RestauraciónE1E</v>
      </c>
      <c r="G426" s="583"/>
      <c r="H426" s="584"/>
      <c r="I426" s="276"/>
      <c r="J426" s="11"/>
      <c r="K426" s="11"/>
      <c r="L426" s="11"/>
      <c r="M426" s="11"/>
      <c r="N426" s="11"/>
      <c r="O426" s="11"/>
      <c r="P426" s="11"/>
      <c r="Q426" s="11"/>
      <c r="R426" s="11"/>
      <c r="S426" s="11"/>
      <c r="T426" s="11"/>
      <c r="U426" s="11"/>
      <c r="V426" s="11"/>
      <c r="W426" s="11"/>
    </row>
    <row r="427" spans="1:23" customFormat="1">
      <c r="A427" s="145"/>
      <c r="B427" s="11"/>
      <c r="C427" s="239" t="str">
        <f t="shared" si="53"/>
        <v>Restauración</v>
      </c>
      <c r="D427" s="323" t="s">
        <v>86</v>
      </c>
      <c r="E427" s="289" t="str">
        <f>IF(Idioma=Castellano,"Sin definir",IF(Idioma=Valencià,"Sense definir","Sin definir"))</f>
        <v>Sin definir</v>
      </c>
      <c r="F427" s="582" t="str">
        <f t="shared" si="52"/>
        <v>RestauraciónE1Sin definir</v>
      </c>
      <c r="G427" s="583"/>
      <c r="H427" s="584"/>
      <c r="I427" s="276"/>
      <c r="J427" s="11"/>
      <c r="K427" s="11"/>
      <c r="L427" s="11"/>
      <c r="M427" s="11"/>
      <c r="N427" s="11"/>
      <c r="O427" s="11"/>
      <c r="P427" s="11"/>
      <c r="Q427" s="11"/>
      <c r="R427" s="11"/>
      <c r="S427" s="11"/>
      <c r="T427" s="11"/>
      <c r="U427" s="11"/>
      <c r="V427" s="11"/>
      <c r="W427" s="11"/>
    </row>
    <row r="428" spans="1:23" customFormat="1">
      <c r="A428" s="145"/>
      <c r="B428" s="11"/>
      <c r="C428" s="239" t="str">
        <f t="shared" ref="C428:C434" si="54">IF(Idioma=Castellano,"Sin especificar",IF(Idioma=Valencià,"Sense especificar ","Sin especificar"))</f>
        <v>Sin especificar</v>
      </c>
      <c r="D428" s="323" t="s">
        <v>86</v>
      </c>
      <c r="E428" s="289" t="str">
        <f>IF(Idioma=Castellano,"Existente",IF(Idioma=Valencià,"Existent","Existente"))</f>
        <v>Existente</v>
      </c>
      <c r="F428" s="582" t="str">
        <f t="shared" si="52"/>
        <v>Sin especificarE1Existente</v>
      </c>
      <c r="G428" s="583"/>
      <c r="H428" s="584"/>
      <c r="I428" s="276"/>
      <c r="J428" s="11"/>
      <c r="K428" s="11"/>
      <c r="L428" s="11"/>
      <c r="M428" s="11"/>
      <c r="N428" s="11"/>
      <c r="O428" s="11"/>
      <c r="P428" s="11"/>
      <c r="Q428" s="11"/>
      <c r="R428" s="11"/>
      <c r="S428" s="11"/>
      <c r="T428" s="11"/>
      <c r="U428" s="11"/>
      <c r="V428" s="11"/>
      <c r="W428" s="11"/>
    </row>
    <row r="429" spans="1:23" customFormat="1">
      <c r="A429" s="145"/>
      <c r="B429" s="11"/>
      <c r="C429" s="239" t="str">
        <f t="shared" si="54"/>
        <v>Sin especificar</v>
      </c>
      <c r="D429" s="323" t="s">
        <v>86</v>
      </c>
      <c r="E429" s="239" t="s">
        <v>29</v>
      </c>
      <c r="F429" s="582" t="str">
        <f t="shared" si="52"/>
        <v>Sin especificarE1A</v>
      </c>
      <c r="G429" s="583"/>
      <c r="H429" s="584"/>
      <c r="I429" s="276"/>
      <c r="J429" s="11"/>
      <c r="K429" s="11"/>
      <c r="L429" s="11"/>
      <c r="M429" s="11"/>
      <c r="N429" s="11"/>
      <c r="O429" s="11"/>
      <c r="P429" s="11"/>
      <c r="Q429" s="11"/>
      <c r="R429" s="11"/>
      <c r="S429" s="11"/>
      <c r="T429" s="11"/>
      <c r="U429" s="11"/>
      <c r="V429" s="11"/>
      <c r="W429" s="11"/>
    </row>
    <row r="430" spans="1:23" customFormat="1">
      <c r="A430" s="145"/>
      <c r="B430" s="11"/>
      <c r="C430" s="239" t="str">
        <f t="shared" si="54"/>
        <v>Sin especificar</v>
      </c>
      <c r="D430" s="323" t="s">
        <v>86</v>
      </c>
      <c r="E430" s="239" t="s">
        <v>35</v>
      </c>
      <c r="F430" s="582" t="str">
        <f t="shared" si="52"/>
        <v>Sin especificarE1B</v>
      </c>
      <c r="G430" s="583"/>
      <c r="H430" s="584"/>
      <c r="I430" s="276"/>
      <c r="J430" s="11"/>
      <c r="K430" s="11"/>
      <c r="L430" s="11"/>
      <c r="M430" s="11"/>
      <c r="N430" s="11"/>
      <c r="O430" s="11"/>
      <c r="P430" s="11"/>
      <c r="Q430" s="11"/>
      <c r="R430" s="11"/>
      <c r="S430" s="11"/>
      <c r="T430" s="11"/>
      <c r="U430" s="11"/>
      <c r="V430" s="11"/>
      <c r="W430" s="11"/>
    </row>
    <row r="431" spans="1:23" customFormat="1">
      <c r="A431" s="145"/>
      <c r="B431" s="11"/>
      <c r="C431" s="239" t="str">
        <f t="shared" si="54"/>
        <v>Sin especificar</v>
      </c>
      <c r="D431" s="323" t="s">
        <v>86</v>
      </c>
      <c r="E431" s="239" t="s">
        <v>38</v>
      </c>
      <c r="F431" s="582" t="str">
        <f t="shared" si="52"/>
        <v>Sin especificarE1C</v>
      </c>
      <c r="G431" s="583"/>
      <c r="H431" s="584"/>
      <c r="I431" s="276"/>
      <c r="J431" s="11"/>
      <c r="K431" s="11"/>
      <c r="L431" s="11"/>
      <c r="M431" s="11"/>
      <c r="N431" s="11"/>
      <c r="O431" s="11"/>
      <c r="P431" s="11"/>
      <c r="Q431" s="11"/>
      <c r="R431" s="11"/>
      <c r="S431" s="11"/>
      <c r="T431" s="11"/>
      <c r="U431" s="11"/>
      <c r="V431" s="11"/>
      <c r="W431" s="11"/>
    </row>
    <row r="432" spans="1:23" customFormat="1">
      <c r="A432" s="145"/>
      <c r="B432" s="11"/>
      <c r="C432" s="239" t="str">
        <f t="shared" si="54"/>
        <v>Sin especificar</v>
      </c>
      <c r="D432" s="323" t="s">
        <v>86</v>
      </c>
      <c r="E432" s="239" t="s">
        <v>41</v>
      </c>
      <c r="F432" s="582" t="str">
        <f t="shared" si="52"/>
        <v>Sin especificarE1D</v>
      </c>
      <c r="G432" s="583"/>
      <c r="H432" s="584"/>
      <c r="I432" s="276"/>
      <c r="J432" s="11"/>
      <c r="K432" s="11"/>
      <c r="L432" s="11"/>
      <c r="M432" s="11"/>
      <c r="N432" s="11"/>
      <c r="O432" s="11"/>
      <c r="P432" s="11"/>
      <c r="Q432" s="11"/>
      <c r="R432" s="11"/>
      <c r="S432" s="11"/>
      <c r="T432" s="11"/>
      <c r="U432" s="11"/>
      <c r="V432" s="11"/>
      <c r="W432" s="11"/>
    </row>
    <row r="433" spans="1:23" customFormat="1">
      <c r="A433" s="145"/>
      <c r="B433" s="11"/>
      <c r="C433" s="239" t="str">
        <f t="shared" si="54"/>
        <v>Sin especificar</v>
      </c>
      <c r="D433" s="323" t="s">
        <v>86</v>
      </c>
      <c r="E433" s="239" t="s">
        <v>44</v>
      </c>
      <c r="F433" s="582" t="str">
        <f t="shared" si="52"/>
        <v>Sin especificarE1E</v>
      </c>
      <c r="G433" s="583"/>
      <c r="H433" s="584"/>
      <c r="I433" s="276"/>
      <c r="J433" s="11"/>
      <c r="K433" s="11"/>
      <c r="L433" s="11"/>
      <c r="M433" s="11"/>
      <c r="N433" s="11"/>
      <c r="O433" s="11"/>
      <c r="P433" s="11"/>
      <c r="Q433" s="11"/>
      <c r="R433" s="11"/>
      <c r="S433" s="11"/>
      <c r="T433" s="11"/>
      <c r="U433" s="11"/>
      <c r="V433" s="11"/>
      <c r="W433" s="11"/>
    </row>
    <row r="434" spans="1:23" customFormat="1">
      <c r="A434" s="145"/>
      <c r="B434" s="11"/>
      <c r="C434" s="239" t="str">
        <f t="shared" si="54"/>
        <v>Sin especificar</v>
      </c>
      <c r="D434" s="323" t="s">
        <v>86</v>
      </c>
      <c r="E434" s="289" t="str">
        <f>IF(Idioma=Castellano,"Sin definir",IF(Idioma=Valencià,"Sense definir","Sin definir"))</f>
        <v>Sin definir</v>
      </c>
      <c r="F434" s="582" t="str">
        <f t="shared" si="52"/>
        <v>Sin especificarE1Sin definir</v>
      </c>
      <c r="G434" s="583"/>
      <c r="H434" s="584"/>
      <c r="I434" s="276"/>
      <c r="J434" s="11"/>
      <c r="K434" s="11"/>
      <c r="L434" s="11"/>
      <c r="M434" s="11"/>
      <c r="N434" s="11"/>
      <c r="O434" s="11"/>
      <c r="P434" s="11"/>
      <c r="Q434" s="11"/>
      <c r="R434" s="11"/>
      <c r="S434" s="11"/>
      <c r="T434" s="11"/>
      <c r="U434" s="11"/>
      <c r="V434" s="11"/>
      <c r="W434" s="11"/>
    </row>
    <row r="435" spans="1:23" customFormat="1">
      <c r="A435" s="145"/>
      <c r="B435" s="11"/>
      <c r="C435" s="337"/>
      <c r="D435" s="493"/>
      <c r="E435" s="337"/>
      <c r="F435" s="11"/>
      <c r="G435" s="337"/>
      <c r="H435" s="494"/>
      <c r="I435" s="495"/>
      <c r="J435" s="11"/>
      <c r="K435" s="11"/>
      <c r="L435" s="11"/>
      <c r="M435" s="11"/>
      <c r="N435" s="11"/>
      <c r="O435" s="11"/>
      <c r="P435" s="11"/>
      <c r="Q435" s="11"/>
      <c r="R435" s="11"/>
      <c r="S435" s="11"/>
      <c r="T435" s="11"/>
      <c r="U435" s="11"/>
      <c r="V435" s="11"/>
      <c r="W435" s="11"/>
    </row>
    <row r="436" spans="1:23" customFormat="1">
      <c r="A436" s="145"/>
      <c r="B436" s="11"/>
      <c r="C436" s="337"/>
      <c r="D436" s="493"/>
      <c r="E436" s="337"/>
      <c r="F436" s="11"/>
      <c r="G436" s="337"/>
      <c r="H436" s="494"/>
      <c r="I436" s="495"/>
      <c r="J436" s="11"/>
      <c r="K436" s="11"/>
      <c r="L436" s="11"/>
      <c r="M436" s="11"/>
      <c r="N436" s="11"/>
      <c r="O436" s="11"/>
      <c r="P436" s="11"/>
      <c r="Q436" s="11"/>
      <c r="R436" s="11"/>
      <c r="S436" s="11"/>
      <c r="T436" s="11"/>
      <c r="U436" s="11"/>
      <c r="V436" s="11"/>
      <c r="W436" s="11"/>
    </row>
    <row r="437" spans="1:23" customFormat="1">
      <c r="A437" s="145"/>
      <c r="B437" s="11"/>
      <c r="C437" s="337"/>
      <c r="D437" s="493"/>
      <c r="E437" s="337"/>
      <c r="F437" s="11"/>
      <c r="G437" s="337"/>
      <c r="H437" s="494"/>
      <c r="I437" s="495"/>
      <c r="J437" s="11"/>
      <c r="K437" s="11"/>
      <c r="L437" s="11"/>
      <c r="M437" s="11"/>
      <c r="N437" s="11"/>
      <c r="O437" s="11"/>
      <c r="P437" s="11"/>
      <c r="Q437" s="11"/>
      <c r="R437" s="11"/>
      <c r="S437" s="11"/>
      <c r="T437" s="11"/>
      <c r="U437" s="11"/>
      <c r="V437" s="11"/>
      <c r="W437" s="11"/>
    </row>
    <row r="438" spans="1:23" customFormat="1">
      <c r="A438" s="145"/>
      <c r="B438" s="11"/>
      <c r="C438" s="337"/>
      <c r="D438" s="493"/>
      <c r="E438" s="337"/>
      <c r="F438" s="11"/>
      <c r="G438" s="337"/>
      <c r="H438" s="494"/>
      <c r="I438" s="495"/>
      <c r="J438" s="11"/>
      <c r="K438" s="11"/>
      <c r="L438" s="11"/>
      <c r="M438" s="11"/>
      <c r="N438" s="11"/>
      <c r="O438" s="11"/>
      <c r="P438" s="11"/>
      <c r="Q438" s="11"/>
      <c r="R438" s="11"/>
      <c r="S438" s="11"/>
      <c r="T438" s="11"/>
      <c r="U438" s="11"/>
      <c r="V438" s="11"/>
      <c r="W438" s="11"/>
    </row>
    <row r="439" spans="1:23" customFormat="1">
      <c r="A439" s="145"/>
      <c r="B439" s="11"/>
      <c r="C439" s="81" t="str">
        <f>IF(Idioma=Castellano,"¿Se ha completado la tabla de demanda energética y factores de emisión para equipamientos?",IF(Idioma=Valencià,"S'ha completat la taula de demanda energètica i factors d'emissió per a equipaments?"))</f>
        <v>¿Se ha completado la tabla de demanda energética y factores de emisión para equipamientos?</v>
      </c>
      <c r="D439" s="12"/>
      <c r="E439" s="12"/>
      <c r="F439" s="12"/>
      <c r="G439" s="492" t="s">
        <v>27</v>
      </c>
      <c r="H439" s="494"/>
      <c r="I439" s="495"/>
      <c r="J439" s="11"/>
      <c r="K439" s="11"/>
      <c r="L439" s="11"/>
      <c r="M439" s="11"/>
      <c r="N439" s="11"/>
      <c r="O439" s="11"/>
      <c r="P439" s="11"/>
      <c r="Q439" s="11"/>
      <c r="R439" s="11"/>
      <c r="S439" s="11"/>
      <c r="T439" s="11"/>
      <c r="U439" s="11"/>
      <c r="V439" s="11"/>
      <c r="W439" s="11"/>
    </row>
    <row r="440" spans="1:23" customFormat="1">
      <c r="A440" s="145"/>
      <c r="B440" s="11"/>
      <c r="C440" s="81"/>
      <c r="D440" s="12"/>
      <c r="E440" s="12"/>
      <c r="F440" s="12"/>
      <c r="G440" s="504"/>
      <c r="H440" s="11"/>
      <c r="I440" s="11"/>
      <c r="J440" s="11"/>
      <c r="K440" s="11"/>
      <c r="L440" s="11"/>
      <c r="M440" s="11"/>
      <c r="N440" s="11"/>
      <c r="O440" s="11"/>
      <c r="P440" s="11"/>
      <c r="Q440" s="11"/>
      <c r="R440" s="11"/>
      <c r="S440" s="11"/>
      <c r="T440" s="11"/>
      <c r="U440" s="11"/>
      <c r="V440" s="11"/>
      <c r="W440" s="11"/>
    </row>
    <row r="441" spans="1:23">
      <c r="C441" s="81" t="str">
        <f>IF(Idioma=Castellano,"¿Se dispone de información por zonas climáticas?",IF(Idioma=Valencià,"Es disposa d'informació per zones climàtiques?"))</f>
        <v>¿Se dispone de información por zonas climáticas?</v>
      </c>
      <c r="D441" s="12"/>
      <c r="E441" s="12"/>
      <c r="F441" s="12"/>
      <c r="G441" s="492" t="s">
        <v>27</v>
      </c>
    </row>
    <row r="443" spans="1:23">
      <c r="C443" s="258" t="str">
        <f>IF(Idioma=Castellano,"Tabla emisiones equipamientos",IF(Idioma=Valencià,"Taula emissions equipaments"))</f>
        <v>Tabla emisiones equipamientos</v>
      </c>
      <c r="D443" s="259"/>
      <c r="E443" s="259"/>
      <c r="F443" s="259"/>
      <c r="G443" s="259"/>
      <c r="H443" s="259"/>
      <c r="I443" s="259"/>
    </row>
    <row r="444" spans="1:23">
      <c r="C444" s="573" t="str">
        <f>IF(Idioma=Castellano,"Tipo",IF(Idioma=Valencià,"Tipus"))</f>
        <v>Tipo</v>
      </c>
      <c r="D444" s="681" t="str">
        <f>IF(Idioma=Castellano,"Zonas climáticas de Valencia",IF(Idioma=Valencià,"Zones climàtiques de València"))</f>
        <v>Zonas climáticas de Valencia</v>
      </c>
      <c r="E444" s="681" t="str">
        <f>IF(Idioma=Castellano,"Clasificación energética",IF(Idioma=Valencià,"Classificació energètica"))</f>
        <v>Clasificación energética</v>
      </c>
      <c r="F444" s="485"/>
      <c r="G444" s="681"/>
      <c r="H444" s="681"/>
      <c r="I444" s="261"/>
    </row>
    <row r="445" spans="1:23">
      <c r="C445" s="580"/>
      <c r="D445" s="682"/>
      <c r="E445" s="682"/>
      <c r="F445" s="265"/>
      <c r="G445" s="263" t="str">
        <f>IF(Idioma=Castellano,"Consumo de EPnr (kWh/m2*año)",IF(Idioma=Valencià,"Consum de EPnr (kWh/m2*any)"))</f>
        <v>Consumo de EPnr (kWh/m2*año)</v>
      </c>
      <c r="H445" s="581" t="str">
        <f>IF(Idioma=Castellano,"Total (kg CO2e/m2*año)",IF(Idioma=Valencià,"Total (kg CO2e/m2*any)"))</f>
        <v>Total (kg CO2e/m2*año)</v>
      </c>
      <c r="I445" s="263" t="str">
        <f>IF(Idioma=Castellano,"Fuente",IF(Idioma=Valencià,"Font"))</f>
        <v>Fuente</v>
      </c>
    </row>
    <row r="446" spans="1:23">
      <c r="C446" s="239" t="str">
        <f t="shared" ref="C446:C452" si="55">IF(Idioma=Castellano,"Sanitario",IF(Idioma=Valencià,"Sanitari ","Sanitario"))</f>
        <v>Sanitario</v>
      </c>
      <c r="D446" s="323" t="s">
        <v>886</v>
      </c>
      <c r="E446" s="289" t="str">
        <f>IF(Idioma=Castellano,"Existente",IF(Idioma=Valencià,"Existent","Existente"))</f>
        <v>Existente</v>
      </c>
      <c r="F446" s="582" t="str">
        <f>C446&amp;D446&amp;E446</f>
        <v>SanitarioGeneralExistente</v>
      </c>
      <c r="G446" s="587"/>
      <c r="H446" s="584"/>
      <c r="I446" s="360"/>
    </row>
    <row r="447" spans="1:23">
      <c r="C447" s="239" t="str">
        <f t="shared" si="55"/>
        <v>Sanitario</v>
      </c>
      <c r="D447" s="323" t="s">
        <v>886</v>
      </c>
      <c r="E447" s="239" t="s">
        <v>29</v>
      </c>
      <c r="F447" s="582" t="str">
        <f t="shared" ref="F447:F496" si="56">C447&amp;D447&amp;E447</f>
        <v>SanitarioGeneralA</v>
      </c>
      <c r="G447" s="587"/>
      <c r="H447" s="584"/>
      <c r="I447" s="360"/>
    </row>
    <row r="448" spans="1:23">
      <c r="C448" s="239" t="str">
        <f t="shared" si="55"/>
        <v>Sanitario</v>
      </c>
      <c r="D448" s="323" t="s">
        <v>886</v>
      </c>
      <c r="E448" s="239" t="s">
        <v>35</v>
      </c>
      <c r="F448" s="582" t="str">
        <f t="shared" si="56"/>
        <v>SanitarioGeneralB</v>
      </c>
      <c r="G448" s="587"/>
      <c r="H448" s="584"/>
      <c r="I448" s="360"/>
    </row>
    <row r="449" spans="3:9">
      <c r="C449" s="239" t="str">
        <f t="shared" si="55"/>
        <v>Sanitario</v>
      </c>
      <c r="D449" s="323" t="s">
        <v>886</v>
      </c>
      <c r="E449" s="239" t="s">
        <v>38</v>
      </c>
      <c r="F449" s="582" t="str">
        <f t="shared" si="56"/>
        <v>SanitarioGeneralC</v>
      </c>
      <c r="G449" s="587"/>
      <c r="H449" s="584"/>
      <c r="I449" s="360"/>
    </row>
    <row r="450" spans="3:9">
      <c r="C450" s="239" t="str">
        <f t="shared" si="55"/>
        <v>Sanitario</v>
      </c>
      <c r="D450" s="323" t="s">
        <v>886</v>
      </c>
      <c r="E450" s="239" t="s">
        <v>41</v>
      </c>
      <c r="F450" s="582" t="str">
        <f t="shared" si="56"/>
        <v>SanitarioGeneralD</v>
      </c>
      <c r="G450" s="587"/>
      <c r="H450" s="584"/>
      <c r="I450" s="360"/>
    </row>
    <row r="451" spans="3:9">
      <c r="C451" s="239" t="str">
        <f t="shared" si="55"/>
        <v>Sanitario</v>
      </c>
      <c r="D451" s="323" t="s">
        <v>886</v>
      </c>
      <c r="E451" s="239" t="s">
        <v>44</v>
      </c>
      <c r="F451" s="582" t="str">
        <f t="shared" si="56"/>
        <v>SanitarioGeneralE</v>
      </c>
      <c r="G451" s="587"/>
      <c r="H451" s="584"/>
      <c r="I451" s="360"/>
    </row>
    <row r="452" spans="3:9">
      <c r="C452" s="239" t="str">
        <f t="shared" si="55"/>
        <v>Sanitario</v>
      </c>
      <c r="D452" s="323" t="s">
        <v>886</v>
      </c>
      <c r="E452" s="289" t="str">
        <f>IF(Idioma=Castellano,"Sin definir",IF(Idioma=Valencià,"Sense definir","Sin definir"))</f>
        <v>Sin definir</v>
      </c>
      <c r="F452" s="582" t="str">
        <f t="shared" si="56"/>
        <v>SanitarioGeneralSin definir</v>
      </c>
      <c r="G452" s="587"/>
      <c r="H452" s="584"/>
      <c r="I452" s="588"/>
    </row>
    <row r="453" spans="3:9">
      <c r="C453" s="239" t="str">
        <f t="shared" ref="C453:C459" si="57">IF(Idioma=Castellano,"Educativo",IF(Idioma=Valencià,"Educatiu","Educativo"))</f>
        <v>Educativo</v>
      </c>
      <c r="D453" s="323" t="s">
        <v>886</v>
      </c>
      <c r="E453" s="289" t="str">
        <f>IF(Idioma=Castellano,"Existente",IF(Idioma=Valencià,"Existent","Existente"))</f>
        <v>Existente</v>
      </c>
      <c r="F453" s="582" t="str">
        <f t="shared" si="56"/>
        <v>EducativoGeneralExistente</v>
      </c>
      <c r="G453" s="587"/>
      <c r="H453" s="584"/>
      <c r="I453" s="360"/>
    </row>
    <row r="454" spans="3:9">
      <c r="C454" s="239" t="str">
        <f t="shared" si="57"/>
        <v>Educativo</v>
      </c>
      <c r="D454" s="323" t="s">
        <v>886</v>
      </c>
      <c r="E454" s="239" t="s">
        <v>29</v>
      </c>
      <c r="F454" s="582" t="str">
        <f t="shared" si="56"/>
        <v>EducativoGeneralA</v>
      </c>
      <c r="G454" s="587"/>
      <c r="H454" s="584"/>
      <c r="I454" s="360"/>
    </row>
    <row r="455" spans="3:9">
      <c r="C455" s="239" t="str">
        <f t="shared" si="57"/>
        <v>Educativo</v>
      </c>
      <c r="D455" s="323" t="s">
        <v>886</v>
      </c>
      <c r="E455" s="239" t="s">
        <v>35</v>
      </c>
      <c r="F455" s="582" t="str">
        <f t="shared" si="56"/>
        <v>EducativoGeneralB</v>
      </c>
      <c r="G455" s="587"/>
      <c r="H455" s="584"/>
      <c r="I455" s="360"/>
    </row>
    <row r="456" spans="3:9">
      <c r="C456" s="239" t="str">
        <f t="shared" si="57"/>
        <v>Educativo</v>
      </c>
      <c r="D456" s="323" t="s">
        <v>886</v>
      </c>
      <c r="E456" s="239" t="s">
        <v>38</v>
      </c>
      <c r="F456" s="582" t="str">
        <f t="shared" si="56"/>
        <v>EducativoGeneralC</v>
      </c>
      <c r="G456" s="587"/>
      <c r="H456" s="584"/>
      <c r="I456" s="360"/>
    </row>
    <row r="457" spans="3:9">
      <c r="C457" s="239" t="str">
        <f t="shared" si="57"/>
        <v>Educativo</v>
      </c>
      <c r="D457" s="323" t="s">
        <v>886</v>
      </c>
      <c r="E457" s="239" t="s">
        <v>41</v>
      </c>
      <c r="F457" s="582" t="str">
        <f t="shared" si="56"/>
        <v>EducativoGeneralD</v>
      </c>
      <c r="G457" s="587"/>
      <c r="H457" s="584"/>
      <c r="I457" s="360"/>
    </row>
    <row r="458" spans="3:9">
      <c r="C458" s="239" t="str">
        <f t="shared" si="57"/>
        <v>Educativo</v>
      </c>
      <c r="D458" s="323" t="s">
        <v>886</v>
      </c>
      <c r="E458" s="239" t="s">
        <v>44</v>
      </c>
      <c r="F458" s="582" t="str">
        <f t="shared" si="56"/>
        <v>EducativoGeneralE</v>
      </c>
      <c r="G458" s="587"/>
      <c r="H458" s="584"/>
      <c r="I458" s="360"/>
    </row>
    <row r="459" spans="3:9">
      <c r="C459" s="239" t="str">
        <f t="shared" si="57"/>
        <v>Educativo</v>
      </c>
      <c r="D459" s="323" t="s">
        <v>886</v>
      </c>
      <c r="E459" s="289" t="str">
        <f>IF(Idioma=Castellano,"Sin definir",IF(Idioma=Valencià,"Sense definir","Sin definir"))</f>
        <v>Sin definir</v>
      </c>
      <c r="F459" s="582" t="str">
        <f t="shared" si="56"/>
        <v>EducativoGeneralSin definir</v>
      </c>
      <c r="G459" s="587"/>
      <c r="H459" s="584"/>
      <c r="I459" s="360"/>
    </row>
    <row r="460" spans="3:9">
      <c r="C460" s="239" t="str">
        <f t="shared" ref="C460:C466" si="58">IF(Idioma=Castellano,"Deportivo",IF(Idioma=Valencià,"Esportiu","Deportivo"))</f>
        <v>Deportivo</v>
      </c>
      <c r="D460" s="323" t="s">
        <v>886</v>
      </c>
      <c r="E460" s="289" t="str">
        <f>IF(Idioma=Castellano,"Existente",IF(Idioma=Valencià,"Existent","Existente"))</f>
        <v>Existente</v>
      </c>
      <c r="F460" s="582" t="str">
        <f t="shared" si="56"/>
        <v>DeportivoGeneralExistente</v>
      </c>
      <c r="G460" s="587"/>
      <c r="H460" s="584"/>
      <c r="I460" s="360"/>
    </row>
    <row r="461" spans="3:9">
      <c r="C461" s="239" t="str">
        <f t="shared" si="58"/>
        <v>Deportivo</v>
      </c>
      <c r="D461" s="323" t="s">
        <v>886</v>
      </c>
      <c r="E461" s="239" t="s">
        <v>29</v>
      </c>
      <c r="F461" s="582" t="str">
        <f t="shared" si="56"/>
        <v>DeportivoGeneralA</v>
      </c>
      <c r="G461" s="587"/>
      <c r="H461" s="584"/>
      <c r="I461" s="360"/>
    </row>
    <row r="462" spans="3:9">
      <c r="C462" s="239" t="str">
        <f t="shared" si="58"/>
        <v>Deportivo</v>
      </c>
      <c r="D462" s="323" t="s">
        <v>886</v>
      </c>
      <c r="E462" s="239" t="s">
        <v>35</v>
      </c>
      <c r="F462" s="582" t="str">
        <f t="shared" si="56"/>
        <v>DeportivoGeneralB</v>
      </c>
      <c r="G462" s="587"/>
      <c r="H462" s="584"/>
      <c r="I462" s="360"/>
    </row>
    <row r="463" spans="3:9">
      <c r="C463" s="239" t="str">
        <f t="shared" si="58"/>
        <v>Deportivo</v>
      </c>
      <c r="D463" s="323" t="s">
        <v>886</v>
      </c>
      <c r="E463" s="239" t="s">
        <v>38</v>
      </c>
      <c r="F463" s="582" t="str">
        <f t="shared" si="56"/>
        <v>DeportivoGeneralC</v>
      </c>
      <c r="G463" s="587"/>
      <c r="H463" s="584"/>
      <c r="I463" s="360"/>
    </row>
    <row r="464" spans="3:9">
      <c r="C464" s="239" t="str">
        <f t="shared" si="58"/>
        <v>Deportivo</v>
      </c>
      <c r="D464" s="323" t="s">
        <v>886</v>
      </c>
      <c r="E464" s="239" t="s">
        <v>41</v>
      </c>
      <c r="F464" s="582" t="str">
        <f t="shared" si="56"/>
        <v>DeportivoGeneralD</v>
      </c>
      <c r="G464" s="587"/>
      <c r="H464" s="584"/>
      <c r="I464" s="360"/>
    </row>
    <row r="465" spans="3:9">
      <c r="C465" s="239" t="str">
        <f t="shared" si="58"/>
        <v>Deportivo</v>
      </c>
      <c r="D465" s="323" t="s">
        <v>886</v>
      </c>
      <c r="E465" s="239" t="s">
        <v>44</v>
      </c>
      <c r="F465" s="582" t="str">
        <f t="shared" si="56"/>
        <v>DeportivoGeneralE</v>
      </c>
      <c r="G465" s="587"/>
      <c r="H465" s="584"/>
      <c r="I465" s="360"/>
    </row>
    <row r="466" spans="3:9">
      <c r="C466" s="239" t="str">
        <f t="shared" si="58"/>
        <v>Deportivo</v>
      </c>
      <c r="D466" s="323" t="s">
        <v>886</v>
      </c>
      <c r="E466" s="289" t="str">
        <f>IF(Idioma=Castellano,"Sin definir",IF(Idioma=Valencià,"Sense definir","Sin definir"))</f>
        <v>Sin definir</v>
      </c>
      <c r="F466" s="582" t="str">
        <f t="shared" si="56"/>
        <v>DeportivoGeneralSin definir</v>
      </c>
      <c r="G466" s="587"/>
      <c r="H466" s="584"/>
      <c r="I466" s="360"/>
    </row>
    <row r="467" spans="3:9">
      <c r="C467" s="239" t="str">
        <f t="shared" ref="C467:C473" si="59">IF(Idioma=Castellano,"Sin especificar",IF(Idioma=Valencià,"Sense especificar ","Sin especificar"))</f>
        <v>Sin especificar</v>
      </c>
      <c r="D467" s="323" t="s">
        <v>886</v>
      </c>
      <c r="E467" s="289" t="str">
        <f>IF(Idioma=Castellano,"Existente",IF(Idioma=Valencià,"Existent","Existente"))</f>
        <v>Existente</v>
      </c>
      <c r="F467" s="582" t="str">
        <f t="shared" si="56"/>
        <v>Sin especificarGeneralExistente</v>
      </c>
      <c r="G467" s="587">
        <v>2000</v>
      </c>
      <c r="H467" s="584"/>
      <c r="I467" s="360"/>
    </row>
    <row r="468" spans="3:9">
      <c r="C468" s="239" t="str">
        <f t="shared" si="59"/>
        <v>Sin especificar</v>
      </c>
      <c r="D468" s="323" t="s">
        <v>886</v>
      </c>
      <c r="E468" s="239" t="s">
        <v>29</v>
      </c>
      <c r="F468" s="582" t="str">
        <f t="shared" si="56"/>
        <v>Sin especificarGeneralA</v>
      </c>
      <c r="G468" s="587">
        <v>2000</v>
      </c>
      <c r="H468" s="584"/>
      <c r="I468" s="360"/>
    </row>
    <row r="469" spans="3:9">
      <c r="C469" s="239" t="str">
        <f t="shared" si="59"/>
        <v>Sin especificar</v>
      </c>
      <c r="D469" s="323" t="s">
        <v>886</v>
      </c>
      <c r="E469" s="239" t="s">
        <v>35</v>
      </c>
      <c r="F469" s="582" t="str">
        <f t="shared" si="56"/>
        <v>Sin especificarGeneralB</v>
      </c>
      <c r="G469" s="587">
        <v>2000</v>
      </c>
      <c r="H469" s="584"/>
      <c r="I469" s="360"/>
    </row>
    <row r="470" spans="3:9">
      <c r="C470" s="239" t="str">
        <f t="shared" si="59"/>
        <v>Sin especificar</v>
      </c>
      <c r="D470" s="323" t="s">
        <v>886</v>
      </c>
      <c r="E470" s="239" t="s">
        <v>38</v>
      </c>
      <c r="F470" s="582" t="str">
        <f t="shared" si="56"/>
        <v>Sin especificarGeneralC</v>
      </c>
      <c r="G470" s="587">
        <v>2000</v>
      </c>
      <c r="H470" s="584"/>
      <c r="I470" s="360"/>
    </row>
    <row r="471" spans="3:9">
      <c r="C471" s="239" t="str">
        <f t="shared" si="59"/>
        <v>Sin especificar</v>
      </c>
      <c r="D471" s="323" t="s">
        <v>886</v>
      </c>
      <c r="E471" s="239" t="s">
        <v>41</v>
      </c>
      <c r="F471" s="582" t="str">
        <f t="shared" si="56"/>
        <v>Sin especificarGeneralD</v>
      </c>
      <c r="G471" s="587"/>
      <c r="H471" s="584"/>
      <c r="I471" s="360"/>
    </row>
    <row r="472" spans="3:9">
      <c r="C472" s="239" t="str">
        <f t="shared" si="59"/>
        <v>Sin especificar</v>
      </c>
      <c r="D472" s="323" t="s">
        <v>886</v>
      </c>
      <c r="E472" s="239" t="s">
        <v>44</v>
      </c>
      <c r="F472" s="582" t="str">
        <f t="shared" si="56"/>
        <v>Sin especificarGeneralE</v>
      </c>
      <c r="G472" s="587"/>
      <c r="H472" s="584"/>
      <c r="I472" s="360"/>
    </row>
    <row r="473" spans="3:9">
      <c r="C473" s="239" t="str">
        <f t="shared" si="59"/>
        <v>Sin especificar</v>
      </c>
      <c r="D473" s="323" t="s">
        <v>886</v>
      </c>
      <c r="E473" s="289" t="str">
        <f>IF(Idioma=Castellano,"Sin definir",IF(Idioma=Valencià,"Sense definir","Sin definir"))</f>
        <v>Sin definir</v>
      </c>
      <c r="F473" s="582" t="str">
        <f t="shared" si="56"/>
        <v>Sin especificarGeneralSin definir</v>
      </c>
      <c r="G473" s="587"/>
      <c r="H473" s="584"/>
      <c r="I473" s="360"/>
    </row>
    <row r="474" spans="3:9">
      <c r="C474" s="239" t="str">
        <f t="shared" ref="C474:C480" si="60">IF(Idioma=Castellano,"Sanitario",IF(Idioma=Valencià,"Sanitari ","Sanitario"))</f>
        <v>Sanitario</v>
      </c>
      <c r="D474" s="323" t="s">
        <v>380</v>
      </c>
      <c r="E474" s="289" t="str">
        <f>IF(Idioma=Castellano,"Existente",IF(Idioma=Valencià,"Existent","Existente"))</f>
        <v>Existente</v>
      </c>
      <c r="F474" s="582" t="str">
        <f t="shared" si="56"/>
        <v>SanitarioA3Existente</v>
      </c>
      <c r="G474" s="587"/>
      <c r="H474" s="584"/>
      <c r="I474" s="360"/>
    </row>
    <row r="475" spans="3:9">
      <c r="C475" s="239" t="str">
        <f t="shared" si="60"/>
        <v>Sanitario</v>
      </c>
      <c r="D475" s="323" t="s">
        <v>380</v>
      </c>
      <c r="E475" s="239" t="s">
        <v>29</v>
      </c>
      <c r="F475" s="582" t="str">
        <f t="shared" si="56"/>
        <v>SanitarioA3A</v>
      </c>
      <c r="G475" s="587"/>
      <c r="H475" s="584"/>
      <c r="I475" s="360"/>
    </row>
    <row r="476" spans="3:9">
      <c r="C476" s="239" t="str">
        <f t="shared" si="60"/>
        <v>Sanitario</v>
      </c>
      <c r="D476" s="323" t="s">
        <v>380</v>
      </c>
      <c r="E476" s="239" t="s">
        <v>35</v>
      </c>
      <c r="F476" s="582" t="str">
        <f t="shared" si="56"/>
        <v>SanitarioA3B</v>
      </c>
      <c r="G476" s="587"/>
      <c r="H476" s="584"/>
      <c r="I476" s="360"/>
    </row>
    <row r="477" spans="3:9">
      <c r="C477" s="239" t="str">
        <f t="shared" si="60"/>
        <v>Sanitario</v>
      </c>
      <c r="D477" s="323" t="s">
        <v>380</v>
      </c>
      <c r="E477" s="239" t="s">
        <v>38</v>
      </c>
      <c r="F477" s="582" t="str">
        <f t="shared" si="56"/>
        <v>SanitarioA3C</v>
      </c>
      <c r="G477" s="587"/>
      <c r="H477" s="584"/>
      <c r="I477" s="360"/>
    </row>
    <row r="478" spans="3:9">
      <c r="C478" s="239" t="str">
        <f t="shared" si="60"/>
        <v>Sanitario</v>
      </c>
      <c r="D478" s="323" t="s">
        <v>380</v>
      </c>
      <c r="E478" s="239" t="s">
        <v>41</v>
      </c>
      <c r="F478" s="582" t="str">
        <f t="shared" si="56"/>
        <v>SanitarioA3D</v>
      </c>
      <c r="G478" s="587"/>
      <c r="H478" s="584"/>
      <c r="I478" s="360"/>
    </row>
    <row r="479" spans="3:9">
      <c r="C479" s="239" t="str">
        <f t="shared" si="60"/>
        <v>Sanitario</v>
      </c>
      <c r="D479" s="323" t="s">
        <v>380</v>
      </c>
      <c r="E479" s="239" t="s">
        <v>44</v>
      </c>
      <c r="F479" s="582" t="str">
        <f t="shared" si="56"/>
        <v>SanitarioA3E</v>
      </c>
      <c r="G479" s="587"/>
      <c r="H479" s="584"/>
      <c r="I479" s="360"/>
    </row>
    <row r="480" spans="3:9">
      <c r="C480" s="239" t="str">
        <f t="shared" si="60"/>
        <v>Sanitario</v>
      </c>
      <c r="D480" s="323" t="s">
        <v>380</v>
      </c>
      <c r="E480" s="289" t="str">
        <f>IF(Idioma=Castellano,"Sin definir",IF(Idioma=Valencià,"Sense definir","Sin definir"))</f>
        <v>Sin definir</v>
      </c>
      <c r="F480" s="582" t="str">
        <f t="shared" si="56"/>
        <v>SanitarioA3Sin definir</v>
      </c>
      <c r="G480" s="587"/>
      <c r="H480" s="584"/>
      <c r="I480" s="360"/>
    </row>
    <row r="481" spans="3:9">
      <c r="C481" s="239" t="str">
        <f t="shared" ref="C481:C487" si="61">IF(Idioma=Castellano,"Educativo",IF(Idioma=Valencià,"Educatiu","Educativo"))</f>
        <v>Educativo</v>
      </c>
      <c r="D481" s="323" t="s">
        <v>380</v>
      </c>
      <c r="E481" s="289" t="str">
        <f>IF(Idioma=Castellano,"Existente",IF(Idioma=Valencià,"Existent","Existente"))</f>
        <v>Existente</v>
      </c>
      <c r="F481" s="582" t="str">
        <f t="shared" si="56"/>
        <v>EducativoA3Existente</v>
      </c>
      <c r="G481" s="587"/>
      <c r="H481" s="584"/>
      <c r="I481" s="360"/>
    </row>
    <row r="482" spans="3:9">
      <c r="C482" s="239" t="str">
        <f t="shared" si="61"/>
        <v>Educativo</v>
      </c>
      <c r="D482" s="323" t="s">
        <v>380</v>
      </c>
      <c r="E482" s="239" t="s">
        <v>29</v>
      </c>
      <c r="F482" s="582" t="str">
        <f t="shared" si="56"/>
        <v>EducativoA3A</v>
      </c>
      <c r="G482" s="587"/>
      <c r="H482" s="584"/>
      <c r="I482" s="360"/>
    </row>
    <row r="483" spans="3:9">
      <c r="C483" s="239" t="str">
        <f t="shared" si="61"/>
        <v>Educativo</v>
      </c>
      <c r="D483" s="323" t="s">
        <v>380</v>
      </c>
      <c r="E483" s="239" t="s">
        <v>35</v>
      </c>
      <c r="F483" s="582" t="str">
        <f t="shared" si="56"/>
        <v>EducativoA3B</v>
      </c>
      <c r="G483" s="587"/>
      <c r="H483" s="584"/>
      <c r="I483" s="360"/>
    </row>
    <row r="484" spans="3:9">
      <c r="C484" s="239" t="str">
        <f t="shared" si="61"/>
        <v>Educativo</v>
      </c>
      <c r="D484" s="323" t="s">
        <v>380</v>
      </c>
      <c r="E484" s="239" t="s">
        <v>38</v>
      </c>
      <c r="F484" s="582" t="str">
        <f t="shared" si="56"/>
        <v>EducativoA3C</v>
      </c>
      <c r="G484" s="587"/>
      <c r="H484" s="584"/>
      <c r="I484" s="360"/>
    </row>
    <row r="485" spans="3:9">
      <c r="C485" s="239" t="str">
        <f t="shared" si="61"/>
        <v>Educativo</v>
      </c>
      <c r="D485" s="323" t="s">
        <v>380</v>
      </c>
      <c r="E485" s="239" t="s">
        <v>41</v>
      </c>
      <c r="F485" s="582" t="str">
        <f t="shared" si="56"/>
        <v>EducativoA3D</v>
      </c>
      <c r="G485" s="587"/>
      <c r="H485" s="584"/>
      <c r="I485" s="360"/>
    </row>
    <row r="486" spans="3:9">
      <c r="C486" s="239" t="str">
        <f t="shared" si="61"/>
        <v>Educativo</v>
      </c>
      <c r="D486" s="323" t="s">
        <v>380</v>
      </c>
      <c r="E486" s="239" t="s">
        <v>44</v>
      </c>
      <c r="F486" s="582" t="str">
        <f t="shared" si="56"/>
        <v>EducativoA3E</v>
      </c>
      <c r="G486" s="587"/>
      <c r="H486" s="584"/>
      <c r="I486" s="360"/>
    </row>
    <row r="487" spans="3:9">
      <c r="C487" s="239" t="str">
        <f t="shared" si="61"/>
        <v>Educativo</v>
      </c>
      <c r="D487" s="323" t="s">
        <v>380</v>
      </c>
      <c r="E487" s="289" t="str">
        <f>IF(Idioma=Castellano,"Sin definir",IF(Idioma=Valencià,"Sense definir","Sin definir"))</f>
        <v>Sin definir</v>
      </c>
      <c r="F487" s="582" t="str">
        <f t="shared" si="56"/>
        <v>EducativoA3Sin definir</v>
      </c>
      <c r="G487" s="587"/>
      <c r="H487" s="584"/>
      <c r="I487" s="360"/>
    </row>
    <row r="488" spans="3:9">
      <c r="C488" s="239" t="str">
        <f t="shared" ref="C488:C494" si="62">IF(Idioma=Castellano,"Deportivo",IF(Idioma=Valencià,"Esportiu","Deportivo"))</f>
        <v>Deportivo</v>
      </c>
      <c r="D488" s="323" t="s">
        <v>380</v>
      </c>
      <c r="E488" s="289" t="str">
        <f>IF(Idioma=Castellano,"Existente",IF(Idioma=Valencià,"Existent","Existente"))</f>
        <v>Existente</v>
      </c>
      <c r="F488" s="582" t="str">
        <f t="shared" si="56"/>
        <v>DeportivoA3Existente</v>
      </c>
      <c r="G488" s="587"/>
      <c r="H488" s="584"/>
      <c r="I488" s="360"/>
    </row>
    <row r="489" spans="3:9">
      <c r="C489" s="239" t="str">
        <f t="shared" si="62"/>
        <v>Deportivo</v>
      </c>
      <c r="D489" s="323" t="s">
        <v>380</v>
      </c>
      <c r="E489" s="239" t="s">
        <v>29</v>
      </c>
      <c r="F489" s="582" t="str">
        <f t="shared" si="56"/>
        <v>DeportivoA3A</v>
      </c>
      <c r="G489" s="587"/>
      <c r="H489" s="584"/>
      <c r="I489" s="360"/>
    </row>
    <row r="490" spans="3:9">
      <c r="C490" s="239" t="str">
        <f t="shared" si="62"/>
        <v>Deportivo</v>
      </c>
      <c r="D490" s="323" t="s">
        <v>380</v>
      </c>
      <c r="E490" s="239" t="s">
        <v>35</v>
      </c>
      <c r="F490" s="582" t="str">
        <f t="shared" si="56"/>
        <v>DeportivoA3B</v>
      </c>
      <c r="G490" s="587"/>
      <c r="H490" s="584"/>
      <c r="I490" s="360"/>
    </row>
    <row r="491" spans="3:9">
      <c r="C491" s="239" t="str">
        <f t="shared" si="62"/>
        <v>Deportivo</v>
      </c>
      <c r="D491" s="323" t="s">
        <v>380</v>
      </c>
      <c r="E491" s="239" t="s">
        <v>38</v>
      </c>
      <c r="F491" s="582" t="str">
        <f t="shared" si="56"/>
        <v>DeportivoA3C</v>
      </c>
      <c r="G491" s="587"/>
      <c r="H491" s="584"/>
      <c r="I491" s="360"/>
    </row>
    <row r="492" spans="3:9">
      <c r="C492" s="239" t="str">
        <f t="shared" si="62"/>
        <v>Deportivo</v>
      </c>
      <c r="D492" s="323" t="s">
        <v>380</v>
      </c>
      <c r="E492" s="239" t="s">
        <v>41</v>
      </c>
      <c r="F492" s="582" t="str">
        <f t="shared" si="56"/>
        <v>DeportivoA3D</v>
      </c>
      <c r="G492" s="587"/>
      <c r="H492" s="584"/>
      <c r="I492" s="360"/>
    </row>
    <row r="493" spans="3:9">
      <c r="C493" s="239" t="str">
        <f t="shared" si="62"/>
        <v>Deportivo</v>
      </c>
      <c r="D493" s="323" t="s">
        <v>380</v>
      </c>
      <c r="E493" s="239" t="s">
        <v>44</v>
      </c>
      <c r="F493" s="582" t="str">
        <f t="shared" si="56"/>
        <v>DeportivoA3E</v>
      </c>
      <c r="G493" s="587"/>
      <c r="H493" s="584"/>
      <c r="I493" s="360"/>
    </row>
    <row r="494" spans="3:9">
      <c r="C494" s="239" t="str">
        <f t="shared" si="62"/>
        <v>Deportivo</v>
      </c>
      <c r="D494" s="323" t="s">
        <v>380</v>
      </c>
      <c r="E494" s="289" t="str">
        <f>IF(Idioma=Castellano,"Sin definir",IF(Idioma=Valencià,"Sense definir","Sin definir"))</f>
        <v>Sin definir</v>
      </c>
      <c r="F494" s="582" t="str">
        <f t="shared" si="56"/>
        <v>DeportivoA3Sin definir</v>
      </c>
      <c r="G494" s="587"/>
      <c r="H494" s="584"/>
      <c r="I494" s="360"/>
    </row>
    <row r="495" spans="3:9">
      <c r="C495" s="239" t="str">
        <f t="shared" ref="C495:C501" si="63">IF(Idioma=Castellano,"Sin especificar",IF(Idioma=Valencià,"Sense especificar ","Sin especificar"))</f>
        <v>Sin especificar</v>
      </c>
      <c r="D495" s="323" t="s">
        <v>380</v>
      </c>
      <c r="E495" s="289" t="str">
        <f>IF(Idioma=Castellano,"Existente",IF(Idioma=Valencià,"Existent","Existente"))</f>
        <v>Existente</v>
      </c>
      <c r="F495" s="582" t="str">
        <f t="shared" si="56"/>
        <v>Sin especificarA3Existente</v>
      </c>
      <c r="G495" s="587"/>
      <c r="H495" s="584"/>
      <c r="I495" s="360"/>
    </row>
    <row r="496" spans="3:9">
      <c r="C496" s="239" t="str">
        <f t="shared" si="63"/>
        <v>Sin especificar</v>
      </c>
      <c r="D496" s="323" t="s">
        <v>380</v>
      </c>
      <c r="E496" s="239" t="s">
        <v>29</v>
      </c>
      <c r="F496" s="582" t="str">
        <f t="shared" si="56"/>
        <v>Sin especificarA3A</v>
      </c>
      <c r="G496" s="587"/>
      <c r="H496" s="584"/>
      <c r="I496" s="360"/>
    </row>
    <row r="497" spans="3:9">
      <c r="C497" s="239" t="str">
        <f t="shared" si="63"/>
        <v>Sin especificar</v>
      </c>
      <c r="D497" s="323" t="s">
        <v>380</v>
      </c>
      <c r="E497" s="239" t="s">
        <v>35</v>
      </c>
      <c r="F497" s="582" t="str">
        <f t="shared" ref="F497:F546" si="64">C497&amp;D497&amp;E497</f>
        <v>Sin especificarA3B</v>
      </c>
      <c r="G497" s="587"/>
      <c r="H497" s="584"/>
      <c r="I497" s="360"/>
    </row>
    <row r="498" spans="3:9">
      <c r="C498" s="239" t="str">
        <f t="shared" si="63"/>
        <v>Sin especificar</v>
      </c>
      <c r="D498" s="323" t="s">
        <v>380</v>
      </c>
      <c r="E498" s="239" t="s">
        <v>38</v>
      </c>
      <c r="F498" s="582" t="str">
        <f t="shared" si="64"/>
        <v>Sin especificarA3C</v>
      </c>
      <c r="G498" s="587"/>
      <c r="H498" s="584"/>
      <c r="I498" s="360"/>
    </row>
    <row r="499" spans="3:9">
      <c r="C499" s="239" t="str">
        <f t="shared" si="63"/>
        <v>Sin especificar</v>
      </c>
      <c r="D499" s="323" t="s">
        <v>380</v>
      </c>
      <c r="E499" s="239" t="s">
        <v>41</v>
      </c>
      <c r="F499" s="582" t="str">
        <f t="shared" si="64"/>
        <v>Sin especificarA3D</v>
      </c>
      <c r="G499" s="587"/>
      <c r="H499" s="584"/>
      <c r="I499" s="360"/>
    </row>
    <row r="500" spans="3:9">
      <c r="C500" s="239" t="str">
        <f t="shared" si="63"/>
        <v>Sin especificar</v>
      </c>
      <c r="D500" s="323" t="s">
        <v>380</v>
      </c>
      <c r="E500" s="239" t="s">
        <v>44</v>
      </c>
      <c r="F500" s="582" t="str">
        <f t="shared" si="64"/>
        <v>Sin especificarA3E</v>
      </c>
      <c r="G500" s="587"/>
      <c r="H500" s="584"/>
      <c r="I500" s="360"/>
    </row>
    <row r="501" spans="3:9">
      <c r="C501" s="239" t="str">
        <f t="shared" si="63"/>
        <v>Sin especificar</v>
      </c>
      <c r="D501" s="323" t="s">
        <v>380</v>
      </c>
      <c r="E501" s="289" t="str">
        <f>IF(Idioma=Castellano,"Sin definir",IF(Idioma=Valencià,"Sense definir","Sin definir"))</f>
        <v>Sin definir</v>
      </c>
      <c r="F501" s="582" t="str">
        <f t="shared" si="64"/>
        <v>Sin especificarA3Sin definir</v>
      </c>
      <c r="G501" s="587"/>
      <c r="H501" s="584"/>
      <c r="I501" s="360"/>
    </row>
    <row r="502" spans="3:9">
      <c r="C502" s="239" t="str">
        <f t="shared" ref="C502:C508" si="65">IF(Idioma=Castellano,"Sanitario",IF(Idioma=Valencià,"Sanitari ","Sanitario"))</f>
        <v>Sanitario</v>
      </c>
      <c r="D502" s="323" t="s">
        <v>301</v>
      </c>
      <c r="E502" s="289" t="str">
        <f>IF(Idioma=Castellano,"Existente",IF(Idioma=Valencià,"Existent","Existente"))</f>
        <v>Existente</v>
      </c>
      <c r="F502" s="582" t="str">
        <f t="shared" si="64"/>
        <v>SanitarioA4Existente</v>
      </c>
      <c r="G502" s="587"/>
      <c r="H502" s="584"/>
      <c r="I502" s="360"/>
    </row>
    <row r="503" spans="3:9">
      <c r="C503" s="239" t="str">
        <f t="shared" si="65"/>
        <v>Sanitario</v>
      </c>
      <c r="D503" s="323" t="s">
        <v>301</v>
      </c>
      <c r="E503" s="239" t="s">
        <v>29</v>
      </c>
      <c r="F503" s="582" t="str">
        <f t="shared" si="64"/>
        <v>SanitarioA4A</v>
      </c>
      <c r="G503" s="587"/>
      <c r="H503" s="584"/>
      <c r="I503" s="360"/>
    </row>
    <row r="504" spans="3:9">
      <c r="C504" s="239" t="str">
        <f t="shared" si="65"/>
        <v>Sanitario</v>
      </c>
      <c r="D504" s="323" t="s">
        <v>301</v>
      </c>
      <c r="E504" s="239" t="s">
        <v>35</v>
      </c>
      <c r="F504" s="582" t="str">
        <f t="shared" si="64"/>
        <v>SanitarioA4B</v>
      </c>
      <c r="G504" s="587"/>
      <c r="H504" s="584"/>
      <c r="I504" s="360"/>
    </row>
    <row r="505" spans="3:9">
      <c r="C505" s="239" t="str">
        <f t="shared" si="65"/>
        <v>Sanitario</v>
      </c>
      <c r="D505" s="323" t="s">
        <v>301</v>
      </c>
      <c r="E505" s="239" t="s">
        <v>38</v>
      </c>
      <c r="F505" s="582" t="str">
        <f t="shared" si="64"/>
        <v>SanitarioA4C</v>
      </c>
      <c r="G505" s="587"/>
      <c r="H505" s="584"/>
      <c r="I505" s="360"/>
    </row>
    <row r="506" spans="3:9">
      <c r="C506" s="239" t="str">
        <f t="shared" si="65"/>
        <v>Sanitario</v>
      </c>
      <c r="D506" s="323" t="s">
        <v>301</v>
      </c>
      <c r="E506" s="239" t="s">
        <v>41</v>
      </c>
      <c r="F506" s="582" t="str">
        <f t="shared" si="64"/>
        <v>SanitarioA4D</v>
      </c>
      <c r="G506" s="587"/>
      <c r="H506" s="584"/>
      <c r="I506" s="360"/>
    </row>
    <row r="507" spans="3:9">
      <c r="C507" s="239" t="str">
        <f t="shared" si="65"/>
        <v>Sanitario</v>
      </c>
      <c r="D507" s="323" t="s">
        <v>301</v>
      </c>
      <c r="E507" s="239" t="s">
        <v>44</v>
      </c>
      <c r="F507" s="582" t="str">
        <f t="shared" si="64"/>
        <v>SanitarioA4E</v>
      </c>
      <c r="G507" s="587"/>
      <c r="H507" s="584"/>
      <c r="I507" s="360"/>
    </row>
    <row r="508" spans="3:9">
      <c r="C508" s="239" t="str">
        <f t="shared" si="65"/>
        <v>Sanitario</v>
      </c>
      <c r="D508" s="323" t="s">
        <v>301</v>
      </c>
      <c r="E508" s="289" t="str">
        <f>IF(Idioma=Castellano,"Sin definir",IF(Idioma=Valencià,"Sense definir","Sin definir"))</f>
        <v>Sin definir</v>
      </c>
      <c r="F508" s="582" t="str">
        <f t="shared" si="64"/>
        <v>SanitarioA4Sin definir</v>
      </c>
      <c r="G508" s="587"/>
      <c r="H508" s="584"/>
      <c r="I508" s="360"/>
    </row>
    <row r="509" spans="3:9">
      <c r="C509" s="239" t="str">
        <f t="shared" ref="C509:C515" si="66">IF(Idioma=Castellano,"Educativo",IF(Idioma=Valencià,"Educatiu","Educativo"))</f>
        <v>Educativo</v>
      </c>
      <c r="D509" s="323" t="s">
        <v>301</v>
      </c>
      <c r="E509" s="289" t="str">
        <f>IF(Idioma=Castellano,"Existente",IF(Idioma=Valencià,"Existent","Existente"))</f>
        <v>Existente</v>
      </c>
      <c r="F509" s="582" t="str">
        <f t="shared" si="64"/>
        <v>EducativoA4Existente</v>
      </c>
      <c r="G509" s="587"/>
      <c r="H509" s="584"/>
      <c r="I509" s="360"/>
    </row>
    <row r="510" spans="3:9">
      <c r="C510" s="239" t="str">
        <f t="shared" si="66"/>
        <v>Educativo</v>
      </c>
      <c r="D510" s="323" t="s">
        <v>301</v>
      </c>
      <c r="E510" s="239" t="s">
        <v>29</v>
      </c>
      <c r="F510" s="582" t="str">
        <f t="shared" si="64"/>
        <v>EducativoA4A</v>
      </c>
      <c r="G510" s="587"/>
      <c r="H510" s="584"/>
      <c r="I510" s="360"/>
    </row>
    <row r="511" spans="3:9">
      <c r="C511" s="239" t="str">
        <f t="shared" si="66"/>
        <v>Educativo</v>
      </c>
      <c r="D511" s="323" t="s">
        <v>301</v>
      </c>
      <c r="E511" s="239" t="s">
        <v>35</v>
      </c>
      <c r="F511" s="582" t="str">
        <f t="shared" si="64"/>
        <v>EducativoA4B</v>
      </c>
      <c r="G511" s="587"/>
      <c r="H511" s="584"/>
      <c r="I511" s="360"/>
    </row>
    <row r="512" spans="3:9">
      <c r="C512" s="239" t="str">
        <f t="shared" si="66"/>
        <v>Educativo</v>
      </c>
      <c r="D512" s="323" t="s">
        <v>301</v>
      </c>
      <c r="E512" s="239" t="s">
        <v>38</v>
      </c>
      <c r="F512" s="582" t="str">
        <f t="shared" si="64"/>
        <v>EducativoA4C</v>
      </c>
      <c r="G512" s="587"/>
      <c r="H512" s="584"/>
      <c r="I512" s="360"/>
    </row>
    <row r="513" spans="3:9">
      <c r="C513" s="239" t="str">
        <f t="shared" si="66"/>
        <v>Educativo</v>
      </c>
      <c r="D513" s="323" t="s">
        <v>301</v>
      </c>
      <c r="E513" s="239" t="s">
        <v>41</v>
      </c>
      <c r="F513" s="582" t="str">
        <f t="shared" si="64"/>
        <v>EducativoA4D</v>
      </c>
      <c r="G513" s="587"/>
      <c r="H513" s="584"/>
      <c r="I513" s="360"/>
    </row>
    <row r="514" spans="3:9">
      <c r="C514" s="239" t="str">
        <f t="shared" si="66"/>
        <v>Educativo</v>
      </c>
      <c r="D514" s="323" t="s">
        <v>301</v>
      </c>
      <c r="E514" s="239" t="s">
        <v>44</v>
      </c>
      <c r="F514" s="582" t="str">
        <f t="shared" si="64"/>
        <v>EducativoA4E</v>
      </c>
      <c r="G514" s="587"/>
      <c r="H514" s="584"/>
      <c r="I514" s="360"/>
    </row>
    <row r="515" spans="3:9">
      <c r="C515" s="239" t="str">
        <f t="shared" si="66"/>
        <v>Educativo</v>
      </c>
      <c r="D515" s="323" t="s">
        <v>301</v>
      </c>
      <c r="E515" s="289" t="str">
        <f>IF(Idioma=Castellano,"Sin definir",IF(Idioma=Valencià,"Sense definir","Sin definir"))</f>
        <v>Sin definir</v>
      </c>
      <c r="F515" s="582" t="str">
        <f t="shared" si="64"/>
        <v>EducativoA4Sin definir</v>
      </c>
      <c r="G515" s="587"/>
      <c r="H515" s="584"/>
      <c r="I515" s="360"/>
    </row>
    <row r="516" spans="3:9">
      <c r="C516" s="239" t="str">
        <f t="shared" ref="C516:C522" si="67">IF(Idioma=Castellano,"Deportivo",IF(Idioma=Valencià,"Esportiu","Deportivo"))</f>
        <v>Deportivo</v>
      </c>
      <c r="D516" s="323" t="s">
        <v>301</v>
      </c>
      <c r="E516" s="289" t="str">
        <f>IF(Idioma=Castellano,"Existente",IF(Idioma=Valencià,"Existent","Existente"))</f>
        <v>Existente</v>
      </c>
      <c r="F516" s="582" t="str">
        <f t="shared" si="64"/>
        <v>DeportivoA4Existente</v>
      </c>
      <c r="G516" s="587"/>
      <c r="H516" s="584"/>
      <c r="I516" s="360"/>
    </row>
    <row r="517" spans="3:9">
      <c r="C517" s="239" t="str">
        <f t="shared" si="67"/>
        <v>Deportivo</v>
      </c>
      <c r="D517" s="323" t="s">
        <v>301</v>
      </c>
      <c r="E517" s="239" t="s">
        <v>29</v>
      </c>
      <c r="F517" s="582" t="str">
        <f t="shared" si="64"/>
        <v>DeportivoA4A</v>
      </c>
      <c r="G517" s="587"/>
      <c r="H517" s="584"/>
      <c r="I517" s="360"/>
    </row>
    <row r="518" spans="3:9">
      <c r="C518" s="239" t="str">
        <f t="shared" si="67"/>
        <v>Deportivo</v>
      </c>
      <c r="D518" s="323" t="s">
        <v>301</v>
      </c>
      <c r="E518" s="239" t="s">
        <v>35</v>
      </c>
      <c r="F518" s="582" t="str">
        <f t="shared" si="64"/>
        <v>DeportivoA4B</v>
      </c>
      <c r="G518" s="587"/>
      <c r="H518" s="584"/>
      <c r="I518" s="360"/>
    </row>
    <row r="519" spans="3:9">
      <c r="C519" s="239" t="str">
        <f t="shared" si="67"/>
        <v>Deportivo</v>
      </c>
      <c r="D519" s="323" t="s">
        <v>301</v>
      </c>
      <c r="E519" s="239" t="s">
        <v>38</v>
      </c>
      <c r="F519" s="582" t="str">
        <f t="shared" si="64"/>
        <v>DeportivoA4C</v>
      </c>
      <c r="G519" s="587"/>
      <c r="H519" s="584"/>
      <c r="I519" s="360"/>
    </row>
    <row r="520" spans="3:9">
      <c r="C520" s="239" t="str">
        <f t="shared" si="67"/>
        <v>Deportivo</v>
      </c>
      <c r="D520" s="323" t="s">
        <v>301</v>
      </c>
      <c r="E520" s="239" t="s">
        <v>41</v>
      </c>
      <c r="F520" s="582" t="str">
        <f t="shared" si="64"/>
        <v>DeportivoA4D</v>
      </c>
      <c r="G520" s="587"/>
      <c r="H520" s="584"/>
      <c r="I520" s="360"/>
    </row>
    <row r="521" spans="3:9">
      <c r="C521" s="239" t="str">
        <f t="shared" si="67"/>
        <v>Deportivo</v>
      </c>
      <c r="D521" s="323" t="s">
        <v>301</v>
      </c>
      <c r="E521" s="239" t="s">
        <v>44</v>
      </c>
      <c r="F521" s="582" t="str">
        <f t="shared" si="64"/>
        <v>DeportivoA4E</v>
      </c>
      <c r="G521" s="587"/>
      <c r="H521" s="584"/>
      <c r="I521" s="360"/>
    </row>
    <row r="522" spans="3:9">
      <c r="C522" s="239" t="str">
        <f t="shared" si="67"/>
        <v>Deportivo</v>
      </c>
      <c r="D522" s="323" t="s">
        <v>301</v>
      </c>
      <c r="E522" s="289" t="str">
        <f>IF(Idioma=Castellano,"Sin definir",IF(Idioma=Valencià,"Sense definir","Sin definir"))</f>
        <v>Sin definir</v>
      </c>
      <c r="F522" s="582" t="str">
        <f t="shared" si="64"/>
        <v>DeportivoA4Sin definir</v>
      </c>
      <c r="G522" s="587"/>
      <c r="H522" s="584"/>
      <c r="I522" s="360"/>
    </row>
    <row r="523" spans="3:9">
      <c r="C523" s="239" t="str">
        <f t="shared" ref="C523:C529" si="68">IF(Idioma=Castellano,"Sin especificar",IF(Idioma=Valencià,"Sense especificar ","Sin especificar"))</f>
        <v>Sin especificar</v>
      </c>
      <c r="D523" s="323" t="s">
        <v>301</v>
      </c>
      <c r="E523" s="289" t="str">
        <f>IF(Idioma=Castellano,"Existente",IF(Idioma=Valencià,"Existent","Existente"))</f>
        <v>Existente</v>
      </c>
      <c r="F523" s="582" t="str">
        <f t="shared" si="64"/>
        <v>Sin especificarA4Existente</v>
      </c>
      <c r="G523" s="587"/>
      <c r="H523" s="584"/>
      <c r="I523" s="360"/>
    </row>
    <row r="524" spans="3:9">
      <c r="C524" s="239" t="str">
        <f t="shared" si="68"/>
        <v>Sin especificar</v>
      </c>
      <c r="D524" s="323" t="s">
        <v>301</v>
      </c>
      <c r="E524" s="239" t="s">
        <v>29</v>
      </c>
      <c r="F524" s="582" t="str">
        <f t="shared" si="64"/>
        <v>Sin especificarA4A</v>
      </c>
      <c r="G524" s="587"/>
      <c r="H524" s="584"/>
      <c r="I524" s="360"/>
    </row>
    <row r="525" spans="3:9">
      <c r="C525" s="239" t="str">
        <f t="shared" si="68"/>
        <v>Sin especificar</v>
      </c>
      <c r="D525" s="323" t="s">
        <v>301</v>
      </c>
      <c r="E525" s="239" t="s">
        <v>35</v>
      </c>
      <c r="F525" s="582" t="str">
        <f t="shared" si="64"/>
        <v>Sin especificarA4B</v>
      </c>
      <c r="G525" s="587"/>
      <c r="H525" s="584"/>
      <c r="I525" s="360"/>
    </row>
    <row r="526" spans="3:9">
      <c r="C526" s="239" t="str">
        <f t="shared" si="68"/>
        <v>Sin especificar</v>
      </c>
      <c r="D526" s="323" t="s">
        <v>301</v>
      </c>
      <c r="E526" s="239" t="s">
        <v>38</v>
      </c>
      <c r="F526" s="582" t="str">
        <f t="shared" si="64"/>
        <v>Sin especificarA4C</v>
      </c>
      <c r="G526" s="587"/>
      <c r="H526" s="584"/>
      <c r="I526" s="360"/>
    </row>
    <row r="527" spans="3:9">
      <c r="C527" s="239" t="str">
        <f t="shared" si="68"/>
        <v>Sin especificar</v>
      </c>
      <c r="D527" s="323" t="s">
        <v>301</v>
      </c>
      <c r="E527" s="239" t="s">
        <v>41</v>
      </c>
      <c r="F527" s="582" t="str">
        <f t="shared" si="64"/>
        <v>Sin especificarA4D</v>
      </c>
      <c r="G527" s="587"/>
      <c r="H527" s="584"/>
      <c r="I527" s="360"/>
    </row>
    <row r="528" spans="3:9">
      <c r="C528" s="239" t="str">
        <f t="shared" si="68"/>
        <v>Sin especificar</v>
      </c>
      <c r="D528" s="323" t="s">
        <v>301</v>
      </c>
      <c r="E528" s="239" t="s">
        <v>44</v>
      </c>
      <c r="F528" s="582" t="str">
        <f t="shared" si="64"/>
        <v>Sin especificarA4E</v>
      </c>
      <c r="G528" s="587"/>
      <c r="H528" s="584"/>
      <c r="I528" s="360"/>
    </row>
    <row r="529" spans="3:9">
      <c r="C529" s="239" t="str">
        <f t="shared" si="68"/>
        <v>Sin especificar</v>
      </c>
      <c r="D529" s="323" t="s">
        <v>301</v>
      </c>
      <c r="E529" s="289" t="str">
        <f>IF(Idioma=Castellano,"Sin definir",IF(Idioma=Valencià,"Sense definir","Sin definir"))</f>
        <v>Sin definir</v>
      </c>
      <c r="F529" s="582" t="str">
        <f t="shared" si="64"/>
        <v>Sin especificarA4Sin definir</v>
      </c>
      <c r="G529" s="587"/>
      <c r="H529" s="584"/>
      <c r="I529" s="360"/>
    </row>
    <row r="530" spans="3:9">
      <c r="C530" s="239" t="str">
        <f t="shared" ref="C530:C536" si="69">IF(Idioma=Castellano,"Sanitario",IF(Idioma=Valencià,"Sanitari ","Sanitario"))</f>
        <v>Sanitario</v>
      </c>
      <c r="D530" s="323" t="s">
        <v>34</v>
      </c>
      <c r="E530" s="289" t="str">
        <f>IF(Idioma=Castellano,"Existente",IF(Idioma=Valencià,"Existent","Existente"))</f>
        <v>Existente</v>
      </c>
      <c r="F530" s="582" t="str">
        <f t="shared" si="64"/>
        <v>SanitarioB3Existente</v>
      </c>
      <c r="G530" s="587"/>
      <c r="H530" s="584"/>
      <c r="I530" s="360"/>
    </row>
    <row r="531" spans="3:9">
      <c r="C531" s="239" t="str">
        <f t="shared" si="69"/>
        <v>Sanitario</v>
      </c>
      <c r="D531" s="323" t="s">
        <v>34</v>
      </c>
      <c r="E531" s="239" t="s">
        <v>29</v>
      </c>
      <c r="F531" s="582" t="str">
        <f t="shared" si="64"/>
        <v>SanitarioB3A</v>
      </c>
      <c r="G531" s="587"/>
      <c r="H531" s="584"/>
      <c r="I531" s="360"/>
    </row>
    <row r="532" spans="3:9">
      <c r="C532" s="239" t="str">
        <f t="shared" si="69"/>
        <v>Sanitario</v>
      </c>
      <c r="D532" s="323" t="s">
        <v>34</v>
      </c>
      <c r="E532" s="239" t="s">
        <v>35</v>
      </c>
      <c r="F532" s="582" t="str">
        <f t="shared" si="64"/>
        <v>SanitarioB3B</v>
      </c>
      <c r="G532" s="587"/>
      <c r="H532" s="584"/>
      <c r="I532" s="360"/>
    </row>
    <row r="533" spans="3:9">
      <c r="C533" s="239" t="str">
        <f t="shared" si="69"/>
        <v>Sanitario</v>
      </c>
      <c r="D533" s="323" t="s">
        <v>34</v>
      </c>
      <c r="E533" s="239" t="s">
        <v>38</v>
      </c>
      <c r="F533" s="582" t="str">
        <f t="shared" si="64"/>
        <v>SanitarioB3C</v>
      </c>
      <c r="G533" s="587"/>
      <c r="H533" s="584"/>
      <c r="I533" s="360"/>
    </row>
    <row r="534" spans="3:9">
      <c r="C534" s="239" t="str">
        <f t="shared" si="69"/>
        <v>Sanitario</v>
      </c>
      <c r="D534" s="323" t="s">
        <v>34</v>
      </c>
      <c r="E534" s="239" t="s">
        <v>41</v>
      </c>
      <c r="F534" s="582" t="str">
        <f t="shared" si="64"/>
        <v>SanitarioB3D</v>
      </c>
      <c r="G534" s="587"/>
      <c r="H534" s="584"/>
      <c r="I534" s="360"/>
    </row>
    <row r="535" spans="3:9">
      <c r="C535" s="239" t="str">
        <f t="shared" si="69"/>
        <v>Sanitario</v>
      </c>
      <c r="D535" s="323" t="s">
        <v>34</v>
      </c>
      <c r="E535" s="239" t="s">
        <v>44</v>
      </c>
      <c r="F535" s="582" t="str">
        <f t="shared" si="64"/>
        <v>SanitarioB3E</v>
      </c>
      <c r="G535" s="587"/>
      <c r="H535" s="584"/>
      <c r="I535" s="360"/>
    </row>
    <row r="536" spans="3:9">
      <c r="C536" s="239" t="str">
        <f t="shared" si="69"/>
        <v>Sanitario</v>
      </c>
      <c r="D536" s="323" t="s">
        <v>34</v>
      </c>
      <c r="E536" s="289" t="str">
        <f>IF(Idioma=Castellano,"Sin definir",IF(Idioma=Valencià,"Sense definir","Sin definir"))</f>
        <v>Sin definir</v>
      </c>
      <c r="F536" s="582" t="str">
        <f t="shared" si="64"/>
        <v>SanitarioB3Sin definir</v>
      </c>
      <c r="G536" s="587"/>
      <c r="H536" s="584"/>
      <c r="I536" s="360"/>
    </row>
    <row r="537" spans="3:9">
      <c r="C537" s="239" t="str">
        <f t="shared" ref="C537:C543" si="70">IF(Idioma=Castellano,"Educativo",IF(Idioma=Valencià,"Educatiu","Educativo"))</f>
        <v>Educativo</v>
      </c>
      <c r="D537" s="323" t="s">
        <v>34</v>
      </c>
      <c r="E537" s="289" t="str">
        <f>IF(Idioma=Castellano,"Existente",IF(Idioma=Valencià,"Existent","Existente"))</f>
        <v>Existente</v>
      </c>
      <c r="F537" s="582" t="str">
        <f t="shared" si="64"/>
        <v>EducativoB3Existente</v>
      </c>
      <c r="G537" s="587"/>
      <c r="H537" s="584"/>
      <c r="I537" s="360"/>
    </row>
    <row r="538" spans="3:9">
      <c r="C538" s="239" t="str">
        <f t="shared" si="70"/>
        <v>Educativo</v>
      </c>
      <c r="D538" s="323" t="s">
        <v>34</v>
      </c>
      <c r="E538" s="239" t="s">
        <v>29</v>
      </c>
      <c r="F538" s="582" t="str">
        <f t="shared" si="64"/>
        <v>EducativoB3A</v>
      </c>
      <c r="G538" s="587"/>
      <c r="H538" s="584"/>
      <c r="I538" s="360"/>
    </row>
    <row r="539" spans="3:9">
      <c r="C539" s="239" t="str">
        <f t="shared" si="70"/>
        <v>Educativo</v>
      </c>
      <c r="D539" s="323" t="s">
        <v>34</v>
      </c>
      <c r="E539" s="239" t="s">
        <v>35</v>
      </c>
      <c r="F539" s="582" t="str">
        <f t="shared" si="64"/>
        <v>EducativoB3B</v>
      </c>
      <c r="G539" s="587"/>
      <c r="H539" s="584"/>
      <c r="I539" s="360"/>
    </row>
    <row r="540" spans="3:9">
      <c r="C540" s="239" t="str">
        <f t="shared" si="70"/>
        <v>Educativo</v>
      </c>
      <c r="D540" s="323" t="s">
        <v>34</v>
      </c>
      <c r="E540" s="239" t="s">
        <v>38</v>
      </c>
      <c r="F540" s="582" t="str">
        <f t="shared" si="64"/>
        <v>EducativoB3C</v>
      </c>
      <c r="G540" s="587"/>
      <c r="H540" s="584"/>
      <c r="I540" s="360"/>
    </row>
    <row r="541" spans="3:9">
      <c r="C541" s="239" t="str">
        <f t="shared" si="70"/>
        <v>Educativo</v>
      </c>
      <c r="D541" s="323" t="s">
        <v>34</v>
      </c>
      <c r="E541" s="239" t="s">
        <v>41</v>
      </c>
      <c r="F541" s="582" t="str">
        <f t="shared" si="64"/>
        <v>EducativoB3D</v>
      </c>
      <c r="G541" s="587"/>
      <c r="H541" s="584"/>
      <c r="I541" s="360"/>
    </row>
    <row r="542" spans="3:9">
      <c r="C542" s="239" t="str">
        <f t="shared" si="70"/>
        <v>Educativo</v>
      </c>
      <c r="D542" s="323" t="s">
        <v>34</v>
      </c>
      <c r="E542" s="239" t="s">
        <v>44</v>
      </c>
      <c r="F542" s="582" t="str">
        <f t="shared" si="64"/>
        <v>EducativoB3E</v>
      </c>
      <c r="G542" s="587"/>
      <c r="H542" s="584"/>
      <c r="I542" s="360"/>
    </row>
    <row r="543" spans="3:9">
      <c r="C543" s="239" t="str">
        <f t="shared" si="70"/>
        <v>Educativo</v>
      </c>
      <c r="D543" s="323" t="s">
        <v>34</v>
      </c>
      <c r="E543" s="289" t="str">
        <f>IF(Idioma=Castellano,"Sin definir",IF(Idioma=Valencià,"Sense definir","Sin definir"))</f>
        <v>Sin definir</v>
      </c>
      <c r="F543" s="582" t="str">
        <f t="shared" si="64"/>
        <v>EducativoB3Sin definir</v>
      </c>
      <c r="G543" s="587"/>
      <c r="H543" s="584"/>
      <c r="I543" s="360"/>
    </row>
    <row r="544" spans="3:9">
      <c r="C544" s="239" t="str">
        <f t="shared" ref="C544:C550" si="71">IF(Idioma=Castellano,"Deportivo",IF(Idioma=Valencià,"Esportiu","Deportivo"))</f>
        <v>Deportivo</v>
      </c>
      <c r="D544" s="323" t="s">
        <v>34</v>
      </c>
      <c r="E544" s="289" t="str">
        <f>IF(Idioma=Castellano,"Existente",IF(Idioma=Valencià,"Existent","Existente"))</f>
        <v>Existente</v>
      </c>
      <c r="F544" s="582" t="str">
        <f t="shared" si="64"/>
        <v>DeportivoB3Existente</v>
      </c>
      <c r="G544" s="587"/>
      <c r="H544" s="584"/>
      <c r="I544" s="360"/>
    </row>
    <row r="545" spans="3:9">
      <c r="C545" s="239" t="str">
        <f t="shared" si="71"/>
        <v>Deportivo</v>
      </c>
      <c r="D545" s="323" t="s">
        <v>34</v>
      </c>
      <c r="E545" s="239" t="s">
        <v>29</v>
      </c>
      <c r="F545" s="582" t="str">
        <f t="shared" si="64"/>
        <v>DeportivoB3A</v>
      </c>
      <c r="G545" s="587"/>
      <c r="H545" s="584"/>
      <c r="I545" s="360"/>
    </row>
    <row r="546" spans="3:9">
      <c r="C546" s="239" t="str">
        <f t="shared" si="71"/>
        <v>Deportivo</v>
      </c>
      <c r="D546" s="323" t="s">
        <v>34</v>
      </c>
      <c r="E546" s="239" t="s">
        <v>35</v>
      </c>
      <c r="F546" s="582" t="str">
        <f t="shared" si="64"/>
        <v>DeportivoB3B</v>
      </c>
      <c r="G546" s="587"/>
      <c r="H546" s="584"/>
      <c r="I546" s="360"/>
    </row>
    <row r="547" spans="3:9">
      <c r="C547" s="239" t="str">
        <f t="shared" si="71"/>
        <v>Deportivo</v>
      </c>
      <c r="D547" s="323" t="s">
        <v>34</v>
      </c>
      <c r="E547" s="239" t="s">
        <v>38</v>
      </c>
      <c r="F547" s="582" t="str">
        <f t="shared" ref="F547:F610" si="72">C547&amp;D547&amp;E547</f>
        <v>DeportivoB3C</v>
      </c>
      <c r="G547" s="587"/>
      <c r="H547" s="584"/>
      <c r="I547" s="360"/>
    </row>
    <row r="548" spans="3:9">
      <c r="C548" s="239" t="str">
        <f t="shared" si="71"/>
        <v>Deportivo</v>
      </c>
      <c r="D548" s="323" t="s">
        <v>34</v>
      </c>
      <c r="E548" s="239" t="s">
        <v>41</v>
      </c>
      <c r="F548" s="582" t="str">
        <f t="shared" si="72"/>
        <v>DeportivoB3D</v>
      </c>
      <c r="G548" s="587"/>
      <c r="H548" s="584"/>
      <c r="I548" s="360"/>
    </row>
    <row r="549" spans="3:9">
      <c r="C549" s="239" t="str">
        <f t="shared" si="71"/>
        <v>Deportivo</v>
      </c>
      <c r="D549" s="323" t="s">
        <v>34</v>
      </c>
      <c r="E549" s="239" t="s">
        <v>44</v>
      </c>
      <c r="F549" s="582" t="str">
        <f t="shared" si="72"/>
        <v>DeportivoB3E</v>
      </c>
      <c r="G549" s="587"/>
      <c r="H549" s="584"/>
      <c r="I549" s="360"/>
    </row>
    <row r="550" spans="3:9">
      <c r="C550" s="239" t="str">
        <f t="shared" si="71"/>
        <v>Deportivo</v>
      </c>
      <c r="D550" s="323" t="s">
        <v>34</v>
      </c>
      <c r="E550" s="289" t="str">
        <f>IF(Idioma=Castellano,"Sin definir",IF(Idioma=Valencià,"Sense definir","Sin definir"))</f>
        <v>Sin definir</v>
      </c>
      <c r="F550" s="582" t="str">
        <f t="shared" si="72"/>
        <v>DeportivoB3Sin definir</v>
      </c>
      <c r="G550" s="587"/>
      <c r="H550" s="584"/>
      <c r="I550" s="360"/>
    </row>
    <row r="551" spans="3:9">
      <c r="C551" s="239" t="str">
        <f t="shared" ref="C551:C557" si="73">IF(Idioma=Castellano,"Sin especificar",IF(Idioma=Valencià,"Sense especificar ","Sin especificar"))</f>
        <v>Sin especificar</v>
      </c>
      <c r="D551" s="323" t="s">
        <v>34</v>
      </c>
      <c r="E551" s="289" t="str">
        <f>IF(Idioma=Castellano,"Existente",IF(Idioma=Valencià,"Existent","Existente"))</f>
        <v>Existente</v>
      </c>
      <c r="F551" s="582" t="str">
        <f t="shared" si="72"/>
        <v>Sin especificarB3Existente</v>
      </c>
      <c r="G551" s="587"/>
      <c r="H551" s="584"/>
      <c r="I551" s="360"/>
    </row>
    <row r="552" spans="3:9">
      <c r="C552" s="239" t="str">
        <f t="shared" si="73"/>
        <v>Sin especificar</v>
      </c>
      <c r="D552" s="323" t="s">
        <v>34</v>
      </c>
      <c r="E552" s="239" t="s">
        <v>29</v>
      </c>
      <c r="F552" s="582" t="str">
        <f t="shared" si="72"/>
        <v>Sin especificarB3A</v>
      </c>
      <c r="G552" s="587"/>
      <c r="H552" s="584"/>
      <c r="I552" s="360"/>
    </row>
    <row r="553" spans="3:9">
      <c r="C553" s="239" t="str">
        <f t="shared" si="73"/>
        <v>Sin especificar</v>
      </c>
      <c r="D553" s="323" t="s">
        <v>34</v>
      </c>
      <c r="E553" s="239" t="s">
        <v>35</v>
      </c>
      <c r="F553" s="582" t="str">
        <f t="shared" si="72"/>
        <v>Sin especificarB3B</v>
      </c>
      <c r="G553" s="587"/>
      <c r="H553" s="584"/>
      <c r="I553" s="360"/>
    </row>
    <row r="554" spans="3:9">
      <c r="C554" s="239" t="str">
        <f t="shared" si="73"/>
        <v>Sin especificar</v>
      </c>
      <c r="D554" s="323" t="s">
        <v>34</v>
      </c>
      <c r="E554" s="239" t="s">
        <v>38</v>
      </c>
      <c r="F554" s="582" t="str">
        <f t="shared" si="72"/>
        <v>Sin especificarB3C</v>
      </c>
      <c r="G554" s="587"/>
      <c r="H554" s="584"/>
      <c r="I554" s="360"/>
    </row>
    <row r="555" spans="3:9">
      <c r="C555" s="239" t="str">
        <f t="shared" si="73"/>
        <v>Sin especificar</v>
      </c>
      <c r="D555" s="323" t="s">
        <v>34</v>
      </c>
      <c r="E555" s="239" t="s">
        <v>41</v>
      </c>
      <c r="F555" s="582" t="str">
        <f t="shared" si="72"/>
        <v>Sin especificarB3D</v>
      </c>
      <c r="G555" s="587"/>
      <c r="H555" s="584"/>
      <c r="I555" s="360"/>
    </row>
    <row r="556" spans="3:9">
      <c r="C556" s="239" t="str">
        <f t="shared" si="73"/>
        <v>Sin especificar</v>
      </c>
      <c r="D556" s="323" t="s">
        <v>34</v>
      </c>
      <c r="E556" s="239" t="s">
        <v>44</v>
      </c>
      <c r="F556" s="582" t="str">
        <f t="shared" si="72"/>
        <v>Sin especificarB3E</v>
      </c>
      <c r="G556" s="587"/>
      <c r="H556" s="584"/>
      <c r="I556" s="360"/>
    </row>
    <row r="557" spans="3:9">
      <c r="C557" s="239" t="str">
        <f t="shared" si="73"/>
        <v>Sin especificar</v>
      </c>
      <c r="D557" s="323" t="s">
        <v>34</v>
      </c>
      <c r="E557" s="289" t="str">
        <f>IF(Idioma=Castellano,"Sin definir",IF(Idioma=Valencià,"Sense definir","Sin definir"))</f>
        <v>Sin definir</v>
      </c>
      <c r="F557" s="582" t="str">
        <f t="shared" si="72"/>
        <v>Sin especificarB3Sin definir</v>
      </c>
      <c r="G557" s="587"/>
      <c r="H557" s="584"/>
      <c r="I557" s="360"/>
    </row>
    <row r="558" spans="3:9">
      <c r="C558" s="239" t="str">
        <f t="shared" ref="C558:C564" si="74">IF(Idioma=Castellano,"Sanitario",IF(Idioma=Valencià,"Sanitari ","Sanitario"))</f>
        <v>Sanitario</v>
      </c>
      <c r="D558" s="323" t="s">
        <v>182</v>
      </c>
      <c r="E558" s="289" t="str">
        <f>IF(Idioma=Castellano,"Existente",IF(Idioma=Valencià,"Existent","Existente"))</f>
        <v>Existente</v>
      </c>
      <c r="F558" s="582" t="str">
        <f t="shared" si="72"/>
        <v>SanitarioB4Existente</v>
      </c>
      <c r="G558" s="587"/>
      <c r="H558" s="584"/>
      <c r="I558" s="360"/>
    </row>
    <row r="559" spans="3:9">
      <c r="C559" s="239" t="str">
        <f t="shared" si="74"/>
        <v>Sanitario</v>
      </c>
      <c r="D559" s="323" t="s">
        <v>182</v>
      </c>
      <c r="E559" s="239" t="s">
        <v>29</v>
      </c>
      <c r="F559" s="582" t="str">
        <f t="shared" si="72"/>
        <v>SanitarioB4A</v>
      </c>
      <c r="G559" s="587"/>
      <c r="H559" s="584"/>
      <c r="I559" s="360"/>
    </row>
    <row r="560" spans="3:9">
      <c r="C560" s="239" t="str">
        <f t="shared" si="74"/>
        <v>Sanitario</v>
      </c>
      <c r="D560" s="323" t="s">
        <v>182</v>
      </c>
      <c r="E560" s="239" t="s">
        <v>35</v>
      </c>
      <c r="F560" s="582" t="str">
        <f t="shared" si="72"/>
        <v>SanitarioB4B</v>
      </c>
      <c r="G560" s="587"/>
      <c r="H560" s="584"/>
      <c r="I560" s="360"/>
    </row>
    <row r="561" spans="3:9">
      <c r="C561" s="239" t="str">
        <f t="shared" si="74"/>
        <v>Sanitario</v>
      </c>
      <c r="D561" s="323" t="s">
        <v>182</v>
      </c>
      <c r="E561" s="239" t="s">
        <v>38</v>
      </c>
      <c r="F561" s="582" t="str">
        <f t="shared" si="72"/>
        <v>SanitarioB4C</v>
      </c>
      <c r="G561" s="587"/>
      <c r="H561" s="584"/>
      <c r="I561" s="360"/>
    </row>
    <row r="562" spans="3:9">
      <c r="C562" s="239" t="str">
        <f t="shared" si="74"/>
        <v>Sanitario</v>
      </c>
      <c r="D562" s="323" t="s">
        <v>182</v>
      </c>
      <c r="E562" s="239" t="s">
        <v>41</v>
      </c>
      <c r="F562" s="582" t="str">
        <f t="shared" si="72"/>
        <v>SanitarioB4D</v>
      </c>
      <c r="G562" s="587"/>
      <c r="H562" s="584"/>
      <c r="I562" s="360"/>
    </row>
    <row r="563" spans="3:9">
      <c r="C563" s="239" t="str">
        <f t="shared" si="74"/>
        <v>Sanitario</v>
      </c>
      <c r="D563" s="323" t="s">
        <v>182</v>
      </c>
      <c r="E563" s="239" t="s">
        <v>44</v>
      </c>
      <c r="F563" s="582" t="str">
        <f t="shared" si="72"/>
        <v>SanitarioB4E</v>
      </c>
      <c r="G563" s="587"/>
      <c r="H563" s="584"/>
      <c r="I563" s="360"/>
    </row>
    <row r="564" spans="3:9">
      <c r="C564" s="239" t="str">
        <f t="shared" si="74"/>
        <v>Sanitario</v>
      </c>
      <c r="D564" s="323" t="s">
        <v>182</v>
      </c>
      <c r="E564" s="289" t="str">
        <f>IF(Idioma=Castellano,"Sin definir",IF(Idioma=Valencià,"Sense definir","Sin definir"))</f>
        <v>Sin definir</v>
      </c>
      <c r="F564" s="582" t="str">
        <f t="shared" si="72"/>
        <v>SanitarioB4Sin definir</v>
      </c>
      <c r="G564" s="587"/>
      <c r="H564" s="584"/>
      <c r="I564" s="360"/>
    </row>
    <row r="565" spans="3:9">
      <c r="C565" s="239" t="str">
        <f t="shared" ref="C565:C571" si="75">IF(Idioma=Castellano,"Educativo",IF(Idioma=Valencià,"Educatiu","Educativo"))</f>
        <v>Educativo</v>
      </c>
      <c r="D565" s="323" t="s">
        <v>182</v>
      </c>
      <c r="E565" s="289" t="str">
        <f>IF(Idioma=Castellano,"Existente",IF(Idioma=Valencià,"Existent","Existente"))</f>
        <v>Existente</v>
      </c>
      <c r="F565" s="582" t="str">
        <f t="shared" si="72"/>
        <v>EducativoB4Existente</v>
      </c>
      <c r="G565" s="587"/>
      <c r="H565" s="584"/>
      <c r="I565" s="360"/>
    </row>
    <row r="566" spans="3:9">
      <c r="C566" s="239" t="str">
        <f t="shared" si="75"/>
        <v>Educativo</v>
      </c>
      <c r="D566" s="323" t="s">
        <v>182</v>
      </c>
      <c r="E566" s="239" t="s">
        <v>29</v>
      </c>
      <c r="F566" s="582" t="str">
        <f t="shared" si="72"/>
        <v>EducativoB4A</v>
      </c>
      <c r="G566" s="587"/>
      <c r="H566" s="584"/>
      <c r="I566" s="360"/>
    </row>
    <row r="567" spans="3:9">
      <c r="C567" s="239" t="str">
        <f t="shared" si="75"/>
        <v>Educativo</v>
      </c>
      <c r="D567" s="323" t="s">
        <v>182</v>
      </c>
      <c r="E567" s="239" t="s">
        <v>35</v>
      </c>
      <c r="F567" s="582" t="str">
        <f t="shared" si="72"/>
        <v>EducativoB4B</v>
      </c>
      <c r="G567" s="587"/>
      <c r="H567" s="584"/>
      <c r="I567" s="360"/>
    </row>
    <row r="568" spans="3:9">
      <c r="C568" s="239" t="str">
        <f t="shared" si="75"/>
        <v>Educativo</v>
      </c>
      <c r="D568" s="323" t="s">
        <v>182</v>
      </c>
      <c r="E568" s="239" t="s">
        <v>38</v>
      </c>
      <c r="F568" s="582" t="str">
        <f t="shared" si="72"/>
        <v>EducativoB4C</v>
      </c>
      <c r="G568" s="587"/>
      <c r="H568" s="584"/>
      <c r="I568" s="360"/>
    </row>
    <row r="569" spans="3:9">
      <c r="C569" s="239" t="str">
        <f t="shared" si="75"/>
        <v>Educativo</v>
      </c>
      <c r="D569" s="323" t="s">
        <v>182</v>
      </c>
      <c r="E569" s="239" t="s">
        <v>41</v>
      </c>
      <c r="F569" s="582" t="str">
        <f t="shared" si="72"/>
        <v>EducativoB4D</v>
      </c>
      <c r="G569" s="587"/>
      <c r="H569" s="584"/>
      <c r="I569" s="360"/>
    </row>
    <row r="570" spans="3:9">
      <c r="C570" s="239" t="str">
        <f t="shared" si="75"/>
        <v>Educativo</v>
      </c>
      <c r="D570" s="323" t="s">
        <v>182</v>
      </c>
      <c r="E570" s="239" t="s">
        <v>44</v>
      </c>
      <c r="F570" s="582" t="str">
        <f t="shared" si="72"/>
        <v>EducativoB4E</v>
      </c>
      <c r="G570" s="587"/>
      <c r="H570" s="584"/>
      <c r="I570" s="360"/>
    </row>
    <row r="571" spans="3:9">
      <c r="C571" s="239" t="str">
        <f t="shared" si="75"/>
        <v>Educativo</v>
      </c>
      <c r="D571" s="323" t="s">
        <v>182</v>
      </c>
      <c r="E571" s="289" t="str">
        <f>IF(Idioma=Castellano,"Sin definir",IF(Idioma=Valencià,"Sense definir","Sin definir"))</f>
        <v>Sin definir</v>
      </c>
      <c r="F571" s="582" t="str">
        <f t="shared" si="72"/>
        <v>EducativoB4Sin definir</v>
      </c>
      <c r="G571" s="587"/>
      <c r="H571" s="584"/>
      <c r="I571" s="360"/>
    </row>
    <row r="572" spans="3:9">
      <c r="C572" s="239" t="str">
        <f t="shared" ref="C572:C578" si="76">IF(Idioma=Castellano,"Deportivo",IF(Idioma=Valencià,"Esportiu","Deportivo"))</f>
        <v>Deportivo</v>
      </c>
      <c r="D572" s="323" t="s">
        <v>182</v>
      </c>
      <c r="E572" s="289" t="str">
        <f>IF(Idioma=Castellano,"Existente",IF(Idioma=Valencià,"Existent","Existente"))</f>
        <v>Existente</v>
      </c>
      <c r="F572" s="582" t="str">
        <f t="shared" si="72"/>
        <v>DeportivoB4Existente</v>
      </c>
      <c r="G572" s="587"/>
      <c r="H572" s="584"/>
      <c r="I572" s="360"/>
    </row>
    <row r="573" spans="3:9">
      <c r="C573" s="239" t="str">
        <f t="shared" si="76"/>
        <v>Deportivo</v>
      </c>
      <c r="D573" s="323" t="s">
        <v>182</v>
      </c>
      <c r="E573" s="239" t="s">
        <v>29</v>
      </c>
      <c r="F573" s="582" t="str">
        <f t="shared" si="72"/>
        <v>DeportivoB4A</v>
      </c>
      <c r="G573" s="587"/>
      <c r="H573" s="584"/>
      <c r="I573" s="360"/>
    </row>
    <row r="574" spans="3:9">
      <c r="C574" s="239" t="str">
        <f t="shared" si="76"/>
        <v>Deportivo</v>
      </c>
      <c r="D574" s="323" t="s">
        <v>182</v>
      </c>
      <c r="E574" s="239" t="s">
        <v>35</v>
      </c>
      <c r="F574" s="582" t="str">
        <f t="shared" si="72"/>
        <v>DeportivoB4B</v>
      </c>
      <c r="G574" s="587"/>
      <c r="H574" s="584"/>
      <c r="I574" s="360"/>
    </row>
    <row r="575" spans="3:9">
      <c r="C575" s="239" t="str">
        <f t="shared" si="76"/>
        <v>Deportivo</v>
      </c>
      <c r="D575" s="323" t="s">
        <v>182</v>
      </c>
      <c r="E575" s="239" t="s">
        <v>38</v>
      </c>
      <c r="F575" s="582" t="str">
        <f t="shared" si="72"/>
        <v>DeportivoB4C</v>
      </c>
      <c r="G575" s="587"/>
      <c r="H575" s="584"/>
      <c r="I575" s="360"/>
    </row>
    <row r="576" spans="3:9">
      <c r="C576" s="239" t="str">
        <f t="shared" si="76"/>
        <v>Deportivo</v>
      </c>
      <c r="D576" s="323" t="s">
        <v>182</v>
      </c>
      <c r="E576" s="239" t="s">
        <v>41</v>
      </c>
      <c r="F576" s="582" t="str">
        <f t="shared" si="72"/>
        <v>DeportivoB4D</v>
      </c>
      <c r="G576" s="587"/>
      <c r="H576" s="584"/>
      <c r="I576" s="360"/>
    </row>
    <row r="577" spans="3:9">
      <c r="C577" s="239" t="str">
        <f t="shared" si="76"/>
        <v>Deportivo</v>
      </c>
      <c r="D577" s="323" t="s">
        <v>182</v>
      </c>
      <c r="E577" s="239" t="s">
        <v>44</v>
      </c>
      <c r="F577" s="582" t="str">
        <f t="shared" si="72"/>
        <v>DeportivoB4E</v>
      </c>
      <c r="G577" s="587"/>
      <c r="H577" s="584"/>
      <c r="I577" s="360"/>
    </row>
    <row r="578" spans="3:9">
      <c r="C578" s="239" t="str">
        <f t="shared" si="76"/>
        <v>Deportivo</v>
      </c>
      <c r="D578" s="323" t="s">
        <v>182</v>
      </c>
      <c r="E578" s="289" t="str">
        <f>IF(Idioma=Castellano,"Sin definir",IF(Idioma=Valencià,"Sense definir","Sin definir"))</f>
        <v>Sin definir</v>
      </c>
      <c r="F578" s="582" t="str">
        <f t="shared" si="72"/>
        <v>DeportivoB4Sin definir</v>
      </c>
      <c r="G578" s="587"/>
      <c r="H578" s="584"/>
      <c r="I578" s="360"/>
    </row>
    <row r="579" spans="3:9">
      <c r="C579" s="239" t="str">
        <f t="shared" ref="C579:C585" si="77">IF(Idioma=Castellano,"Sin especificar",IF(Idioma=Valencià,"Sense especificar ","Sin especificar"))</f>
        <v>Sin especificar</v>
      </c>
      <c r="D579" s="323" t="s">
        <v>182</v>
      </c>
      <c r="E579" s="289" t="str">
        <f>IF(Idioma=Castellano,"Existente",IF(Idioma=Valencià,"Existent","Existente"))</f>
        <v>Existente</v>
      </c>
      <c r="F579" s="582" t="str">
        <f t="shared" si="72"/>
        <v>Sin especificarB4Existente</v>
      </c>
      <c r="G579" s="587"/>
      <c r="H579" s="584"/>
      <c r="I579" s="360"/>
    </row>
    <row r="580" spans="3:9">
      <c r="C580" s="239" t="str">
        <f t="shared" si="77"/>
        <v>Sin especificar</v>
      </c>
      <c r="D580" s="323" t="s">
        <v>182</v>
      </c>
      <c r="E580" s="239" t="s">
        <v>29</v>
      </c>
      <c r="F580" s="582" t="str">
        <f t="shared" si="72"/>
        <v>Sin especificarB4A</v>
      </c>
      <c r="G580" s="587"/>
      <c r="H580" s="584"/>
      <c r="I580" s="360"/>
    </row>
    <row r="581" spans="3:9">
      <c r="C581" s="239" t="str">
        <f t="shared" si="77"/>
        <v>Sin especificar</v>
      </c>
      <c r="D581" s="323" t="s">
        <v>182</v>
      </c>
      <c r="E581" s="239" t="s">
        <v>35</v>
      </c>
      <c r="F581" s="582" t="str">
        <f t="shared" si="72"/>
        <v>Sin especificarB4B</v>
      </c>
      <c r="G581" s="587"/>
      <c r="H581" s="584"/>
      <c r="I581" s="360"/>
    </row>
    <row r="582" spans="3:9">
      <c r="C582" s="239" t="str">
        <f t="shared" si="77"/>
        <v>Sin especificar</v>
      </c>
      <c r="D582" s="323" t="s">
        <v>182</v>
      </c>
      <c r="E582" s="239" t="s">
        <v>38</v>
      </c>
      <c r="F582" s="582" t="str">
        <f t="shared" si="72"/>
        <v>Sin especificarB4C</v>
      </c>
      <c r="G582" s="587"/>
      <c r="H582" s="584"/>
      <c r="I582" s="360"/>
    </row>
    <row r="583" spans="3:9">
      <c r="C583" s="239" t="str">
        <f t="shared" si="77"/>
        <v>Sin especificar</v>
      </c>
      <c r="D583" s="323" t="s">
        <v>182</v>
      </c>
      <c r="E583" s="239" t="s">
        <v>41</v>
      </c>
      <c r="F583" s="582" t="str">
        <f t="shared" si="72"/>
        <v>Sin especificarB4D</v>
      </c>
      <c r="G583" s="587"/>
      <c r="H583" s="584"/>
      <c r="I583" s="360"/>
    </row>
    <row r="584" spans="3:9">
      <c r="C584" s="239" t="str">
        <f t="shared" si="77"/>
        <v>Sin especificar</v>
      </c>
      <c r="D584" s="323" t="s">
        <v>182</v>
      </c>
      <c r="E584" s="239" t="s">
        <v>44</v>
      </c>
      <c r="F584" s="582" t="str">
        <f t="shared" si="72"/>
        <v>Sin especificarB4E</v>
      </c>
      <c r="G584" s="587"/>
      <c r="H584" s="584"/>
      <c r="I584" s="360"/>
    </row>
    <row r="585" spans="3:9">
      <c r="C585" s="239" t="str">
        <f t="shared" si="77"/>
        <v>Sin especificar</v>
      </c>
      <c r="D585" s="323" t="s">
        <v>182</v>
      </c>
      <c r="E585" s="289" t="str">
        <f>IF(Idioma=Castellano,"Sin definir",IF(Idioma=Valencià,"Sense definir","Sin definir"))</f>
        <v>Sin definir</v>
      </c>
      <c r="F585" s="582" t="str">
        <f t="shared" si="72"/>
        <v>Sin especificarB4Sin definir</v>
      </c>
      <c r="G585" s="587"/>
      <c r="H585" s="584"/>
      <c r="I585" s="360"/>
    </row>
    <row r="586" spans="3:9">
      <c r="C586" s="239" t="str">
        <f t="shared" ref="C586:C592" si="78">IF(Idioma=Castellano,"Sanitario",IF(Idioma=Valencià,"Sanitari ","Sanitario"))</f>
        <v>Sanitario</v>
      </c>
      <c r="D586" s="323" t="s">
        <v>126</v>
      </c>
      <c r="E586" s="289" t="str">
        <f>IF(Idioma=Castellano,"Existente",IF(Idioma=Valencià,"Existent","Existente"))</f>
        <v>Existente</v>
      </c>
      <c r="F586" s="582" t="str">
        <f t="shared" si="72"/>
        <v>SanitarioC1Existente</v>
      </c>
      <c r="G586" s="587"/>
      <c r="H586" s="584"/>
      <c r="I586" s="360"/>
    </row>
    <row r="587" spans="3:9">
      <c r="C587" s="239" t="str">
        <f t="shared" si="78"/>
        <v>Sanitario</v>
      </c>
      <c r="D587" s="323" t="s">
        <v>126</v>
      </c>
      <c r="E587" s="239" t="s">
        <v>29</v>
      </c>
      <c r="F587" s="582" t="str">
        <f t="shared" si="72"/>
        <v>SanitarioC1A</v>
      </c>
      <c r="G587" s="587"/>
      <c r="H587" s="584"/>
      <c r="I587" s="360"/>
    </row>
    <row r="588" spans="3:9">
      <c r="C588" s="239" t="str">
        <f t="shared" si="78"/>
        <v>Sanitario</v>
      </c>
      <c r="D588" s="323" t="s">
        <v>126</v>
      </c>
      <c r="E588" s="239" t="s">
        <v>35</v>
      </c>
      <c r="F588" s="582" t="str">
        <f t="shared" si="72"/>
        <v>SanitarioC1B</v>
      </c>
      <c r="G588" s="587"/>
      <c r="H588" s="584"/>
      <c r="I588" s="360"/>
    </row>
    <row r="589" spans="3:9">
      <c r="C589" s="239" t="str">
        <f t="shared" si="78"/>
        <v>Sanitario</v>
      </c>
      <c r="D589" s="323" t="s">
        <v>126</v>
      </c>
      <c r="E589" s="239" t="s">
        <v>38</v>
      </c>
      <c r="F589" s="582" t="str">
        <f t="shared" si="72"/>
        <v>SanitarioC1C</v>
      </c>
      <c r="G589" s="587"/>
      <c r="H589" s="584"/>
      <c r="I589" s="360"/>
    </row>
    <row r="590" spans="3:9">
      <c r="C590" s="239" t="str">
        <f t="shared" si="78"/>
        <v>Sanitario</v>
      </c>
      <c r="D590" s="323" t="s">
        <v>126</v>
      </c>
      <c r="E590" s="239" t="s">
        <v>41</v>
      </c>
      <c r="F590" s="582" t="str">
        <f t="shared" si="72"/>
        <v>SanitarioC1D</v>
      </c>
      <c r="G590" s="587"/>
      <c r="H590" s="584"/>
      <c r="I590" s="360"/>
    </row>
    <row r="591" spans="3:9">
      <c r="C591" s="239" t="str">
        <f t="shared" si="78"/>
        <v>Sanitario</v>
      </c>
      <c r="D591" s="323" t="s">
        <v>126</v>
      </c>
      <c r="E591" s="239" t="s">
        <v>44</v>
      </c>
      <c r="F591" s="582" t="str">
        <f t="shared" si="72"/>
        <v>SanitarioC1E</v>
      </c>
      <c r="G591" s="587"/>
      <c r="H591" s="584"/>
      <c r="I591" s="360"/>
    </row>
    <row r="592" spans="3:9">
      <c r="C592" s="239" t="str">
        <f t="shared" si="78"/>
        <v>Sanitario</v>
      </c>
      <c r="D592" s="323" t="s">
        <v>126</v>
      </c>
      <c r="E592" s="289" t="str">
        <f>IF(Idioma=Castellano,"Sin definir",IF(Idioma=Valencià,"Sense definir","Sin definir"))</f>
        <v>Sin definir</v>
      </c>
      <c r="F592" s="582" t="str">
        <f t="shared" si="72"/>
        <v>SanitarioC1Sin definir</v>
      </c>
      <c r="G592" s="587"/>
      <c r="H592" s="584"/>
      <c r="I592" s="360"/>
    </row>
    <row r="593" spans="3:9">
      <c r="C593" s="239" t="str">
        <f t="shared" ref="C593:C599" si="79">IF(Idioma=Castellano,"Educativo",IF(Idioma=Valencià,"Educatiu","Educativo"))</f>
        <v>Educativo</v>
      </c>
      <c r="D593" s="323" t="s">
        <v>126</v>
      </c>
      <c r="E593" s="289" t="str">
        <f>IF(Idioma=Castellano,"Existente",IF(Idioma=Valencià,"Existent","Existente"))</f>
        <v>Existente</v>
      </c>
      <c r="F593" s="582" t="str">
        <f t="shared" si="72"/>
        <v>EducativoC1Existente</v>
      </c>
      <c r="G593" s="587"/>
      <c r="H593" s="584"/>
      <c r="I593" s="360"/>
    </row>
    <row r="594" spans="3:9">
      <c r="C594" s="239" t="str">
        <f t="shared" si="79"/>
        <v>Educativo</v>
      </c>
      <c r="D594" s="323" t="s">
        <v>126</v>
      </c>
      <c r="E594" s="239" t="s">
        <v>29</v>
      </c>
      <c r="F594" s="582" t="str">
        <f t="shared" si="72"/>
        <v>EducativoC1A</v>
      </c>
      <c r="G594" s="587"/>
      <c r="H594" s="584"/>
      <c r="I594" s="360"/>
    </row>
    <row r="595" spans="3:9">
      <c r="C595" s="239" t="str">
        <f t="shared" si="79"/>
        <v>Educativo</v>
      </c>
      <c r="D595" s="323" t="s">
        <v>126</v>
      </c>
      <c r="E595" s="239" t="s">
        <v>35</v>
      </c>
      <c r="F595" s="582" t="str">
        <f t="shared" si="72"/>
        <v>EducativoC1B</v>
      </c>
      <c r="G595" s="587"/>
      <c r="H595" s="584"/>
      <c r="I595" s="360"/>
    </row>
    <row r="596" spans="3:9">
      <c r="C596" s="239" t="str">
        <f t="shared" si="79"/>
        <v>Educativo</v>
      </c>
      <c r="D596" s="323" t="s">
        <v>126</v>
      </c>
      <c r="E596" s="239" t="s">
        <v>38</v>
      </c>
      <c r="F596" s="582" t="str">
        <f t="shared" si="72"/>
        <v>EducativoC1C</v>
      </c>
      <c r="G596" s="587"/>
      <c r="H596" s="584"/>
      <c r="I596" s="360"/>
    </row>
    <row r="597" spans="3:9">
      <c r="C597" s="239" t="str">
        <f t="shared" si="79"/>
        <v>Educativo</v>
      </c>
      <c r="D597" s="323" t="s">
        <v>126</v>
      </c>
      <c r="E597" s="239" t="s">
        <v>41</v>
      </c>
      <c r="F597" s="582" t="str">
        <f t="shared" si="72"/>
        <v>EducativoC1D</v>
      </c>
      <c r="G597" s="587"/>
      <c r="H597" s="584"/>
      <c r="I597" s="360"/>
    </row>
    <row r="598" spans="3:9">
      <c r="C598" s="239" t="str">
        <f t="shared" si="79"/>
        <v>Educativo</v>
      </c>
      <c r="D598" s="323" t="s">
        <v>126</v>
      </c>
      <c r="E598" s="239" t="s">
        <v>44</v>
      </c>
      <c r="F598" s="582" t="str">
        <f t="shared" si="72"/>
        <v>EducativoC1E</v>
      </c>
      <c r="G598" s="587"/>
      <c r="H598" s="584"/>
      <c r="I598" s="360"/>
    </row>
    <row r="599" spans="3:9">
      <c r="C599" s="239" t="str">
        <f t="shared" si="79"/>
        <v>Educativo</v>
      </c>
      <c r="D599" s="323" t="s">
        <v>126</v>
      </c>
      <c r="E599" s="289" t="str">
        <f>IF(Idioma=Castellano,"Sin definir",IF(Idioma=Valencià,"Sense definir","Sin definir"))</f>
        <v>Sin definir</v>
      </c>
      <c r="F599" s="582" t="str">
        <f t="shared" si="72"/>
        <v>EducativoC1Sin definir</v>
      </c>
      <c r="G599" s="587"/>
      <c r="H599" s="584"/>
      <c r="I599" s="360"/>
    </row>
    <row r="600" spans="3:9">
      <c r="C600" s="239" t="str">
        <f t="shared" ref="C600:C606" si="80">IF(Idioma=Castellano,"Deportivo",IF(Idioma=Valencià,"Esportiu","Deportivo"))</f>
        <v>Deportivo</v>
      </c>
      <c r="D600" s="323" t="s">
        <v>126</v>
      </c>
      <c r="E600" s="289" t="str">
        <f>IF(Idioma=Castellano,"Existente",IF(Idioma=Valencià,"Existent","Existente"))</f>
        <v>Existente</v>
      </c>
      <c r="F600" s="582" t="str">
        <f t="shared" si="72"/>
        <v>DeportivoC1Existente</v>
      </c>
      <c r="G600" s="587"/>
      <c r="H600" s="584"/>
      <c r="I600" s="360"/>
    </row>
    <row r="601" spans="3:9">
      <c r="C601" s="239" t="str">
        <f t="shared" si="80"/>
        <v>Deportivo</v>
      </c>
      <c r="D601" s="323" t="s">
        <v>126</v>
      </c>
      <c r="E601" s="239" t="s">
        <v>29</v>
      </c>
      <c r="F601" s="582" t="str">
        <f t="shared" si="72"/>
        <v>DeportivoC1A</v>
      </c>
      <c r="G601" s="587"/>
      <c r="H601" s="584"/>
      <c r="I601" s="360"/>
    </row>
    <row r="602" spans="3:9">
      <c r="C602" s="239" t="str">
        <f t="shared" si="80"/>
        <v>Deportivo</v>
      </c>
      <c r="D602" s="323" t="s">
        <v>126</v>
      </c>
      <c r="E602" s="239" t="s">
        <v>35</v>
      </c>
      <c r="F602" s="582" t="str">
        <f t="shared" si="72"/>
        <v>DeportivoC1B</v>
      </c>
      <c r="G602" s="587"/>
      <c r="H602" s="584"/>
      <c r="I602" s="360"/>
    </row>
    <row r="603" spans="3:9">
      <c r="C603" s="239" t="str">
        <f t="shared" si="80"/>
        <v>Deportivo</v>
      </c>
      <c r="D603" s="323" t="s">
        <v>126</v>
      </c>
      <c r="E603" s="239" t="s">
        <v>38</v>
      </c>
      <c r="F603" s="582" t="str">
        <f t="shared" si="72"/>
        <v>DeportivoC1C</v>
      </c>
      <c r="G603" s="587"/>
      <c r="H603" s="584"/>
      <c r="I603" s="360"/>
    </row>
    <row r="604" spans="3:9">
      <c r="C604" s="239" t="str">
        <f t="shared" si="80"/>
        <v>Deportivo</v>
      </c>
      <c r="D604" s="323" t="s">
        <v>126</v>
      </c>
      <c r="E604" s="239" t="s">
        <v>41</v>
      </c>
      <c r="F604" s="582" t="str">
        <f t="shared" si="72"/>
        <v>DeportivoC1D</v>
      </c>
      <c r="G604" s="587"/>
      <c r="H604" s="584"/>
      <c r="I604" s="360"/>
    </row>
    <row r="605" spans="3:9">
      <c r="C605" s="239" t="str">
        <f t="shared" si="80"/>
        <v>Deportivo</v>
      </c>
      <c r="D605" s="323" t="s">
        <v>126</v>
      </c>
      <c r="E605" s="239" t="s">
        <v>44</v>
      </c>
      <c r="F605" s="582" t="str">
        <f t="shared" si="72"/>
        <v>DeportivoC1E</v>
      </c>
      <c r="G605" s="587"/>
      <c r="H605" s="584"/>
      <c r="I605" s="360"/>
    </row>
    <row r="606" spans="3:9">
      <c r="C606" s="239" t="str">
        <f t="shared" si="80"/>
        <v>Deportivo</v>
      </c>
      <c r="D606" s="323" t="s">
        <v>126</v>
      </c>
      <c r="E606" s="289" t="str">
        <f>IF(Idioma=Castellano,"Sin definir",IF(Idioma=Valencià,"Sense definir","Sin definir"))</f>
        <v>Sin definir</v>
      </c>
      <c r="F606" s="582" t="str">
        <f t="shared" si="72"/>
        <v>DeportivoC1Sin definir</v>
      </c>
      <c r="G606" s="587"/>
      <c r="H606" s="584"/>
      <c r="I606" s="360"/>
    </row>
    <row r="607" spans="3:9">
      <c r="C607" s="239" t="str">
        <f t="shared" ref="C607:C613" si="81">IF(Idioma=Castellano,"Sin especificar",IF(Idioma=Valencià,"Sense especificar ","Sin especificar"))</f>
        <v>Sin especificar</v>
      </c>
      <c r="D607" s="323" t="s">
        <v>126</v>
      </c>
      <c r="E607" s="289" t="str">
        <f>IF(Idioma=Castellano,"Existente",IF(Idioma=Valencià,"Existent","Existente"))</f>
        <v>Existente</v>
      </c>
      <c r="F607" s="582" t="str">
        <f t="shared" si="72"/>
        <v>Sin especificarC1Existente</v>
      </c>
      <c r="G607" s="587"/>
      <c r="H607" s="584"/>
      <c r="I607" s="360"/>
    </row>
    <row r="608" spans="3:9">
      <c r="C608" s="239" t="str">
        <f t="shared" si="81"/>
        <v>Sin especificar</v>
      </c>
      <c r="D608" s="323" t="s">
        <v>126</v>
      </c>
      <c r="E608" s="239" t="s">
        <v>29</v>
      </c>
      <c r="F608" s="582" t="str">
        <f t="shared" si="72"/>
        <v>Sin especificarC1A</v>
      </c>
      <c r="G608" s="587"/>
      <c r="H608" s="584"/>
      <c r="I608" s="360"/>
    </row>
    <row r="609" spans="3:9">
      <c r="C609" s="239" t="str">
        <f t="shared" si="81"/>
        <v>Sin especificar</v>
      </c>
      <c r="D609" s="323" t="s">
        <v>126</v>
      </c>
      <c r="E609" s="239" t="s">
        <v>35</v>
      </c>
      <c r="F609" s="582" t="str">
        <f t="shared" si="72"/>
        <v>Sin especificarC1B</v>
      </c>
      <c r="G609" s="587"/>
      <c r="H609" s="584"/>
      <c r="I609" s="360"/>
    </row>
    <row r="610" spans="3:9">
      <c r="C610" s="239" t="str">
        <f t="shared" si="81"/>
        <v>Sin especificar</v>
      </c>
      <c r="D610" s="323" t="s">
        <v>126</v>
      </c>
      <c r="E610" s="239" t="s">
        <v>38</v>
      </c>
      <c r="F610" s="582" t="str">
        <f t="shared" si="72"/>
        <v>Sin especificarC1C</v>
      </c>
      <c r="G610" s="587"/>
      <c r="H610" s="584"/>
      <c r="I610" s="360"/>
    </row>
    <row r="611" spans="3:9">
      <c r="C611" s="239" t="str">
        <f t="shared" si="81"/>
        <v>Sin especificar</v>
      </c>
      <c r="D611" s="323" t="s">
        <v>126</v>
      </c>
      <c r="E611" s="239" t="s">
        <v>41</v>
      </c>
      <c r="F611" s="582" t="str">
        <f t="shared" ref="F611:F702" si="82">C611&amp;D611&amp;E611</f>
        <v>Sin especificarC1D</v>
      </c>
      <c r="G611" s="587"/>
      <c r="H611" s="584"/>
      <c r="I611" s="360"/>
    </row>
    <row r="612" spans="3:9">
      <c r="C612" s="239" t="str">
        <f t="shared" si="81"/>
        <v>Sin especificar</v>
      </c>
      <c r="D612" s="323" t="s">
        <v>126</v>
      </c>
      <c r="E612" s="239" t="s">
        <v>44</v>
      </c>
      <c r="F612" s="582" t="str">
        <f t="shared" si="82"/>
        <v>Sin especificarC1E</v>
      </c>
      <c r="G612" s="587"/>
      <c r="H612" s="584"/>
      <c r="I612" s="360"/>
    </row>
    <row r="613" spans="3:9">
      <c r="C613" s="239" t="str">
        <f t="shared" si="81"/>
        <v>Sin especificar</v>
      </c>
      <c r="D613" s="323" t="s">
        <v>126</v>
      </c>
      <c r="E613" s="289" t="str">
        <f>IF(Idioma=Castellano,"Sin definir",IF(Idioma=Valencià,"Sense definir","Sin definir"))</f>
        <v>Sin definir</v>
      </c>
      <c r="F613" s="582" t="str">
        <f t="shared" si="82"/>
        <v>Sin especificarC1Sin definir</v>
      </c>
      <c r="G613" s="587"/>
      <c r="H613" s="584"/>
      <c r="I613" s="360"/>
    </row>
    <row r="614" spans="3:9">
      <c r="C614" s="239" t="str">
        <f t="shared" ref="C614:C620" si="83">IF(Idioma=Castellano,"Sanitario",IF(Idioma=Valencià,"Sanitari ","Sanitario"))</f>
        <v>Sanitario</v>
      </c>
      <c r="D614" s="323" t="s">
        <v>26</v>
      </c>
      <c r="E614" s="289" t="str">
        <f>IF(Idioma=Castellano,"Existente",IF(Idioma=Valencià,"Existent","Existente"))</f>
        <v>Existente</v>
      </c>
      <c r="F614" s="582" t="str">
        <f t="shared" si="82"/>
        <v>SanitarioC2Existente</v>
      </c>
      <c r="G614" s="587"/>
      <c r="H614" s="584"/>
      <c r="I614" s="360"/>
    </row>
    <row r="615" spans="3:9">
      <c r="C615" s="239" t="str">
        <f t="shared" si="83"/>
        <v>Sanitario</v>
      </c>
      <c r="D615" s="323" t="s">
        <v>26</v>
      </c>
      <c r="E615" s="239" t="s">
        <v>29</v>
      </c>
      <c r="F615" s="582" t="str">
        <f t="shared" si="82"/>
        <v>SanitarioC2A</v>
      </c>
      <c r="G615" s="587"/>
      <c r="H615" s="584"/>
      <c r="I615" s="360"/>
    </row>
    <row r="616" spans="3:9">
      <c r="C616" s="239" t="str">
        <f t="shared" si="83"/>
        <v>Sanitario</v>
      </c>
      <c r="D616" s="323" t="s">
        <v>26</v>
      </c>
      <c r="E616" s="239" t="s">
        <v>35</v>
      </c>
      <c r="F616" s="582" t="str">
        <f t="shared" si="82"/>
        <v>SanitarioC2B</v>
      </c>
      <c r="G616" s="587"/>
      <c r="H616" s="584"/>
      <c r="I616" s="360"/>
    </row>
    <row r="617" spans="3:9">
      <c r="C617" s="239" t="str">
        <f t="shared" si="83"/>
        <v>Sanitario</v>
      </c>
      <c r="D617" s="323" t="s">
        <v>26</v>
      </c>
      <c r="E617" s="239" t="s">
        <v>38</v>
      </c>
      <c r="F617" s="582" t="str">
        <f t="shared" si="82"/>
        <v>SanitarioC2C</v>
      </c>
      <c r="G617" s="587"/>
      <c r="H617" s="584"/>
      <c r="I617" s="360"/>
    </row>
    <row r="618" spans="3:9">
      <c r="C618" s="239" t="str">
        <f t="shared" si="83"/>
        <v>Sanitario</v>
      </c>
      <c r="D618" s="323" t="s">
        <v>26</v>
      </c>
      <c r="E618" s="239" t="s">
        <v>41</v>
      </c>
      <c r="F618" s="582" t="str">
        <f t="shared" si="82"/>
        <v>SanitarioC2D</v>
      </c>
      <c r="G618" s="587"/>
      <c r="H618" s="584"/>
      <c r="I618" s="360"/>
    </row>
    <row r="619" spans="3:9">
      <c r="C619" s="239" t="str">
        <f t="shared" si="83"/>
        <v>Sanitario</v>
      </c>
      <c r="D619" s="323" t="s">
        <v>26</v>
      </c>
      <c r="E619" s="239" t="s">
        <v>44</v>
      </c>
      <c r="F619" s="582" t="str">
        <f t="shared" si="82"/>
        <v>SanitarioC2E</v>
      </c>
      <c r="G619" s="587"/>
      <c r="H619" s="584"/>
      <c r="I619" s="360"/>
    </row>
    <row r="620" spans="3:9">
      <c r="C620" s="239" t="str">
        <f t="shared" si="83"/>
        <v>Sanitario</v>
      </c>
      <c r="D620" s="323" t="s">
        <v>26</v>
      </c>
      <c r="E620" s="289" t="str">
        <f>IF(Idioma=Castellano,"Sin definir",IF(Idioma=Valencià,"Sense definir","Sin definir"))</f>
        <v>Sin definir</v>
      </c>
      <c r="F620" s="582" t="str">
        <f t="shared" si="82"/>
        <v>SanitarioC2Sin definir</v>
      </c>
      <c r="G620" s="587"/>
      <c r="H620" s="584"/>
      <c r="I620" s="360"/>
    </row>
    <row r="621" spans="3:9">
      <c r="C621" s="239" t="str">
        <f t="shared" ref="C621:C627" si="84">IF(Idioma=Castellano,"Educativo",IF(Idioma=Valencià,"Educatiu","Educativo"))</f>
        <v>Educativo</v>
      </c>
      <c r="D621" s="323" t="s">
        <v>26</v>
      </c>
      <c r="E621" s="289" t="str">
        <f>IF(Idioma=Castellano,"Existente",IF(Idioma=Valencià,"Existent","Existente"))</f>
        <v>Existente</v>
      </c>
      <c r="F621" s="582" t="str">
        <f t="shared" si="82"/>
        <v>EducativoC2Existente</v>
      </c>
      <c r="G621" s="587"/>
      <c r="H621" s="584"/>
      <c r="I621" s="360"/>
    </row>
    <row r="622" spans="3:9">
      <c r="C622" s="239" t="str">
        <f t="shared" si="84"/>
        <v>Educativo</v>
      </c>
      <c r="D622" s="323" t="s">
        <v>26</v>
      </c>
      <c r="E622" s="239" t="s">
        <v>29</v>
      </c>
      <c r="F622" s="582" t="str">
        <f t="shared" si="82"/>
        <v>EducativoC2A</v>
      </c>
      <c r="G622" s="587"/>
      <c r="H622" s="584"/>
      <c r="I622" s="360"/>
    </row>
    <row r="623" spans="3:9">
      <c r="C623" s="239" t="str">
        <f t="shared" si="84"/>
        <v>Educativo</v>
      </c>
      <c r="D623" s="323" t="s">
        <v>26</v>
      </c>
      <c r="E623" s="239" t="s">
        <v>35</v>
      </c>
      <c r="F623" s="582" t="str">
        <f t="shared" si="82"/>
        <v>EducativoC2B</v>
      </c>
      <c r="G623" s="587"/>
      <c r="H623" s="584"/>
      <c r="I623" s="360"/>
    </row>
    <row r="624" spans="3:9">
      <c r="C624" s="239" t="str">
        <f t="shared" si="84"/>
        <v>Educativo</v>
      </c>
      <c r="D624" s="323" t="s">
        <v>26</v>
      </c>
      <c r="E624" s="239" t="s">
        <v>38</v>
      </c>
      <c r="F624" s="582" t="str">
        <f t="shared" si="82"/>
        <v>EducativoC2C</v>
      </c>
      <c r="G624" s="587"/>
      <c r="H624" s="584"/>
      <c r="I624" s="360"/>
    </row>
    <row r="625" spans="3:9">
      <c r="C625" s="239" t="str">
        <f t="shared" si="84"/>
        <v>Educativo</v>
      </c>
      <c r="D625" s="323" t="s">
        <v>26</v>
      </c>
      <c r="E625" s="239" t="s">
        <v>41</v>
      </c>
      <c r="F625" s="582" t="str">
        <f t="shared" si="82"/>
        <v>EducativoC2D</v>
      </c>
      <c r="G625" s="587"/>
      <c r="H625" s="584"/>
      <c r="I625" s="360"/>
    </row>
    <row r="626" spans="3:9">
      <c r="C626" s="239" t="str">
        <f t="shared" si="84"/>
        <v>Educativo</v>
      </c>
      <c r="D626" s="323" t="s">
        <v>26</v>
      </c>
      <c r="E626" s="239" t="s">
        <v>44</v>
      </c>
      <c r="F626" s="582" t="str">
        <f t="shared" si="82"/>
        <v>EducativoC2E</v>
      </c>
      <c r="G626" s="587"/>
      <c r="H626" s="584"/>
      <c r="I626" s="360"/>
    </row>
    <row r="627" spans="3:9">
      <c r="C627" s="239" t="str">
        <f t="shared" si="84"/>
        <v>Educativo</v>
      </c>
      <c r="D627" s="323" t="s">
        <v>26</v>
      </c>
      <c r="E627" s="289" t="str">
        <f>IF(Idioma=Castellano,"Sin definir",IF(Idioma=Valencià,"Sense definir","Sin definir"))</f>
        <v>Sin definir</v>
      </c>
      <c r="F627" s="582" t="str">
        <f t="shared" si="82"/>
        <v>EducativoC2Sin definir</v>
      </c>
      <c r="G627" s="587"/>
      <c r="H627" s="584"/>
      <c r="I627" s="360"/>
    </row>
    <row r="628" spans="3:9">
      <c r="C628" s="239" t="str">
        <f t="shared" ref="C628:C634" si="85">IF(Idioma=Castellano,"Deportivo",IF(Idioma=Valencià,"Esportiu","Deportivo"))</f>
        <v>Deportivo</v>
      </c>
      <c r="D628" s="323" t="s">
        <v>26</v>
      </c>
      <c r="E628" s="289" t="str">
        <f>IF(Idioma=Castellano,"Existente",IF(Idioma=Valencià,"Existent","Existente"))</f>
        <v>Existente</v>
      </c>
      <c r="F628" s="582" t="str">
        <f t="shared" si="82"/>
        <v>DeportivoC2Existente</v>
      </c>
      <c r="G628" s="587"/>
      <c r="H628" s="584"/>
      <c r="I628" s="360"/>
    </row>
    <row r="629" spans="3:9">
      <c r="C629" s="239" t="str">
        <f t="shared" si="85"/>
        <v>Deportivo</v>
      </c>
      <c r="D629" s="323" t="s">
        <v>26</v>
      </c>
      <c r="E629" s="239" t="s">
        <v>29</v>
      </c>
      <c r="F629" s="582" t="str">
        <f t="shared" si="82"/>
        <v>DeportivoC2A</v>
      </c>
      <c r="G629" s="587"/>
      <c r="H629" s="584"/>
      <c r="I629" s="360"/>
    </row>
    <row r="630" spans="3:9">
      <c r="C630" s="239" t="str">
        <f t="shared" si="85"/>
        <v>Deportivo</v>
      </c>
      <c r="D630" s="323" t="s">
        <v>26</v>
      </c>
      <c r="E630" s="239" t="s">
        <v>35</v>
      </c>
      <c r="F630" s="582" t="str">
        <f t="shared" si="82"/>
        <v>DeportivoC2B</v>
      </c>
      <c r="G630" s="587"/>
      <c r="H630" s="584"/>
      <c r="I630" s="360"/>
    </row>
    <row r="631" spans="3:9">
      <c r="C631" s="239" t="str">
        <f t="shared" si="85"/>
        <v>Deportivo</v>
      </c>
      <c r="D631" s="323" t="s">
        <v>26</v>
      </c>
      <c r="E631" s="239" t="s">
        <v>38</v>
      </c>
      <c r="F631" s="582" t="str">
        <f t="shared" si="82"/>
        <v>DeportivoC2C</v>
      </c>
      <c r="G631" s="587"/>
      <c r="H631" s="584"/>
      <c r="I631" s="360"/>
    </row>
    <row r="632" spans="3:9">
      <c r="C632" s="239" t="str">
        <f t="shared" si="85"/>
        <v>Deportivo</v>
      </c>
      <c r="D632" s="323" t="s">
        <v>26</v>
      </c>
      <c r="E632" s="239" t="s">
        <v>41</v>
      </c>
      <c r="F632" s="582" t="str">
        <f t="shared" si="82"/>
        <v>DeportivoC2D</v>
      </c>
      <c r="G632" s="587"/>
      <c r="H632" s="584"/>
      <c r="I632" s="360"/>
    </row>
    <row r="633" spans="3:9">
      <c r="C633" s="239" t="str">
        <f t="shared" si="85"/>
        <v>Deportivo</v>
      </c>
      <c r="D633" s="323" t="s">
        <v>26</v>
      </c>
      <c r="E633" s="239" t="s">
        <v>44</v>
      </c>
      <c r="F633" s="582" t="str">
        <f t="shared" si="82"/>
        <v>DeportivoC2E</v>
      </c>
      <c r="G633" s="587"/>
      <c r="H633" s="584"/>
      <c r="I633" s="360"/>
    </row>
    <row r="634" spans="3:9">
      <c r="C634" s="239" t="str">
        <f t="shared" si="85"/>
        <v>Deportivo</v>
      </c>
      <c r="D634" s="323" t="s">
        <v>26</v>
      </c>
      <c r="E634" s="289" t="str">
        <f>IF(Idioma=Castellano,"Sin definir",IF(Idioma=Valencià,"Sense definir","Sin definir"))</f>
        <v>Sin definir</v>
      </c>
      <c r="F634" s="582" t="str">
        <f t="shared" si="82"/>
        <v>DeportivoC2Sin definir</v>
      </c>
      <c r="G634" s="587"/>
      <c r="H634" s="584"/>
      <c r="I634" s="360"/>
    </row>
    <row r="635" spans="3:9">
      <c r="C635" s="239" t="str">
        <f t="shared" ref="C635:C641" si="86">IF(Idioma=Castellano,"Sin especificar",IF(Idioma=Valencià,"Sense especificar ","Sin especificar"))</f>
        <v>Sin especificar</v>
      </c>
      <c r="D635" s="323" t="s">
        <v>26</v>
      </c>
      <c r="E635" s="289" t="str">
        <f>IF(Idioma=Castellano,"Existente",IF(Idioma=Valencià,"Existent","Existente"))</f>
        <v>Existente</v>
      </c>
      <c r="F635" s="582" t="str">
        <f t="shared" si="82"/>
        <v>Sin especificarC2Existente</v>
      </c>
      <c r="G635" s="587"/>
      <c r="H635" s="584"/>
      <c r="I635" s="360"/>
    </row>
    <row r="636" spans="3:9">
      <c r="C636" s="239" t="str">
        <f t="shared" si="86"/>
        <v>Sin especificar</v>
      </c>
      <c r="D636" s="323" t="s">
        <v>26</v>
      </c>
      <c r="E636" s="239" t="s">
        <v>29</v>
      </c>
      <c r="F636" s="582" t="str">
        <f t="shared" si="82"/>
        <v>Sin especificarC2A</v>
      </c>
      <c r="G636" s="587"/>
      <c r="H636" s="584"/>
      <c r="I636" s="360"/>
    </row>
    <row r="637" spans="3:9">
      <c r="C637" s="239" t="str">
        <f t="shared" si="86"/>
        <v>Sin especificar</v>
      </c>
      <c r="D637" s="323" t="s">
        <v>26</v>
      </c>
      <c r="E637" s="239" t="s">
        <v>35</v>
      </c>
      <c r="F637" s="582" t="str">
        <f t="shared" si="82"/>
        <v>Sin especificarC2B</v>
      </c>
      <c r="G637" s="587"/>
      <c r="H637" s="584"/>
      <c r="I637" s="360"/>
    </row>
    <row r="638" spans="3:9">
      <c r="C638" s="239" t="str">
        <f t="shared" si="86"/>
        <v>Sin especificar</v>
      </c>
      <c r="D638" s="323" t="s">
        <v>26</v>
      </c>
      <c r="E638" s="239" t="s">
        <v>38</v>
      </c>
      <c r="F638" s="582" t="str">
        <f t="shared" si="82"/>
        <v>Sin especificarC2C</v>
      </c>
      <c r="G638" s="587"/>
      <c r="H638" s="584"/>
      <c r="I638" s="360"/>
    </row>
    <row r="639" spans="3:9">
      <c r="C639" s="239" t="str">
        <f t="shared" si="86"/>
        <v>Sin especificar</v>
      </c>
      <c r="D639" s="323" t="s">
        <v>26</v>
      </c>
      <c r="E639" s="239" t="s">
        <v>41</v>
      </c>
      <c r="F639" s="582" t="str">
        <f t="shared" si="82"/>
        <v>Sin especificarC2D</v>
      </c>
      <c r="G639" s="587"/>
      <c r="H639" s="584"/>
      <c r="I639" s="360"/>
    </row>
    <row r="640" spans="3:9">
      <c r="C640" s="239" t="str">
        <f t="shared" si="86"/>
        <v>Sin especificar</v>
      </c>
      <c r="D640" s="323" t="s">
        <v>26</v>
      </c>
      <c r="E640" s="239" t="s">
        <v>44</v>
      </c>
      <c r="F640" s="582" t="str">
        <f t="shared" si="82"/>
        <v>Sin especificarC2E</v>
      </c>
      <c r="G640" s="587"/>
      <c r="H640" s="584"/>
      <c r="I640" s="360"/>
    </row>
    <row r="641" spans="3:9">
      <c r="C641" s="239" t="str">
        <f t="shared" si="86"/>
        <v>Sin especificar</v>
      </c>
      <c r="D641" s="323" t="s">
        <v>26</v>
      </c>
      <c r="E641" s="289" t="str">
        <f>IF(Idioma=Castellano,"Sin definir",IF(Idioma=Valencià,"Sense definir","Sin definir"))</f>
        <v>Sin definir</v>
      </c>
      <c r="F641" s="582" t="str">
        <f t="shared" si="82"/>
        <v>Sin especificarC2Sin definir</v>
      </c>
      <c r="G641" s="587"/>
      <c r="H641" s="584"/>
      <c r="I641" s="360"/>
    </row>
    <row r="642" spans="3:9">
      <c r="C642" s="239" t="str">
        <f t="shared" ref="C642:C648" si="87">IF(Idioma=Castellano,"Sanitario",IF(Idioma=Valencià,"Sanitari ","Sanitario"))</f>
        <v>Sanitario</v>
      </c>
      <c r="D642" s="323" t="s">
        <v>19</v>
      </c>
      <c r="E642" s="289" t="str">
        <f>IF(Idioma=Castellano,"Existente",IF(Idioma=Valencià,"Existent","Existente"))</f>
        <v>Existente</v>
      </c>
      <c r="F642" s="582" t="str">
        <f t="shared" si="82"/>
        <v>SanitarioC3Existente</v>
      </c>
      <c r="G642" s="587"/>
      <c r="H642" s="584"/>
      <c r="I642" s="360"/>
    </row>
    <row r="643" spans="3:9">
      <c r="C643" s="239" t="str">
        <f t="shared" si="87"/>
        <v>Sanitario</v>
      </c>
      <c r="D643" s="323" t="s">
        <v>19</v>
      </c>
      <c r="E643" s="239" t="s">
        <v>29</v>
      </c>
      <c r="F643" s="582" t="str">
        <f t="shared" si="82"/>
        <v>SanitarioC3A</v>
      </c>
      <c r="G643" s="587"/>
      <c r="H643" s="584"/>
      <c r="I643" s="360"/>
    </row>
    <row r="644" spans="3:9">
      <c r="C644" s="239" t="str">
        <f t="shared" si="87"/>
        <v>Sanitario</v>
      </c>
      <c r="D644" s="323" t="s">
        <v>19</v>
      </c>
      <c r="E644" s="239" t="s">
        <v>35</v>
      </c>
      <c r="F644" s="582" t="str">
        <f t="shared" si="82"/>
        <v>SanitarioC3B</v>
      </c>
      <c r="G644" s="587"/>
      <c r="H644" s="584"/>
      <c r="I644" s="360"/>
    </row>
    <row r="645" spans="3:9">
      <c r="C645" s="239" t="str">
        <f t="shared" si="87"/>
        <v>Sanitario</v>
      </c>
      <c r="D645" s="323" t="s">
        <v>19</v>
      </c>
      <c r="E645" s="239" t="s">
        <v>38</v>
      </c>
      <c r="F645" s="582" t="str">
        <f t="shared" si="82"/>
        <v>SanitarioC3C</v>
      </c>
      <c r="G645" s="587"/>
      <c r="H645" s="584"/>
      <c r="I645" s="360"/>
    </row>
    <row r="646" spans="3:9">
      <c r="C646" s="239" t="str">
        <f t="shared" si="87"/>
        <v>Sanitario</v>
      </c>
      <c r="D646" s="323" t="s">
        <v>19</v>
      </c>
      <c r="E646" s="239" t="s">
        <v>41</v>
      </c>
      <c r="F646" s="582" t="str">
        <f t="shared" si="82"/>
        <v>SanitarioC3D</v>
      </c>
      <c r="G646" s="587"/>
      <c r="H646" s="584"/>
      <c r="I646" s="360"/>
    </row>
    <row r="647" spans="3:9">
      <c r="C647" s="239" t="str">
        <f t="shared" si="87"/>
        <v>Sanitario</v>
      </c>
      <c r="D647" s="323" t="s">
        <v>19</v>
      </c>
      <c r="E647" s="239" t="s">
        <v>44</v>
      </c>
      <c r="F647" s="582" t="str">
        <f t="shared" si="82"/>
        <v>SanitarioC3E</v>
      </c>
      <c r="G647" s="587"/>
      <c r="H647" s="584"/>
      <c r="I647" s="360"/>
    </row>
    <row r="648" spans="3:9">
      <c r="C648" s="239" t="str">
        <f t="shared" si="87"/>
        <v>Sanitario</v>
      </c>
      <c r="D648" s="323" t="s">
        <v>19</v>
      </c>
      <c r="E648" s="289" t="str">
        <f>IF(Idioma=Castellano,"Sin definir",IF(Idioma=Valencià,"Sense definir","Sin definir"))</f>
        <v>Sin definir</v>
      </c>
      <c r="F648" s="582" t="str">
        <f t="shared" si="82"/>
        <v>SanitarioC3Sin definir</v>
      </c>
      <c r="G648" s="587"/>
      <c r="H648" s="584"/>
      <c r="I648" s="360"/>
    </row>
    <row r="649" spans="3:9">
      <c r="C649" s="239" t="str">
        <f t="shared" ref="C649:C655" si="88">IF(Idioma=Castellano,"Educativo",IF(Idioma=Valencià,"Educatiu","Educativo"))</f>
        <v>Educativo</v>
      </c>
      <c r="D649" s="323" t="s">
        <v>19</v>
      </c>
      <c r="E649" s="289" t="str">
        <f>IF(Idioma=Castellano,"Existente",IF(Idioma=Valencià,"Existent","Existente"))</f>
        <v>Existente</v>
      </c>
      <c r="F649" s="582" t="str">
        <f t="shared" si="82"/>
        <v>EducativoC3Existente</v>
      </c>
      <c r="G649" s="587"/>
      <c r="H649" s="584"/>
      <c r="I649" s="360"/>
    </row>
    <row r="650" spans="3:9">
      <c r="C650" s="239" t="str">
        <f t="shared" si="88"/>
        <v>Educativo</v>
      </c>
      <c r="D650" s="323" t="s">
        <v>19</v>
      </c>
      <c r="E650" s="239" t="s">
        <v>29</v>
      </c>
      <c r="F650" s="582" t="str">
        <f t="shared" si="82"/>
        <v>EducativoC3A</v>
      </c>
      <c r="G650" s="587"/>
      <c r="H650" s="584"/>
      <c r="I650" s="360"/>
    </row>
    <row r="651" spans="3:9">
      <c r="C651" s="239" t="str">
        <f t="shared" si="88"/>
        <v>Educativo</v>
      </c>
      <c r="D651" s="323" t="s">
        <v>19</v>
      </c>
      <c r="E651" s="239" t="s">
        <v>35</v>
      </c>
      <c r="F651" s="582" t="str">
        <f t="shared" si="82"/>
        <v>EducativoC3B</v>
      </c>
      <c r="G651" s="587"/>
      <c r="H651" s="584"/>
      <c r="I651" s="360"/>
    </row>
    <row r="652" spans="3:9">
      <c r="C652" s="239" t="str">
        <f t="shared" si="88"/>
        <v>Educativo</v>
      </c>
      <c r="D652" s="323" t="s">
        <v>19</v>
      </c>
      <c r="E652" s="239" t="s">
        <v>38</v>
      </c>
      <c r="F652" s="582" t="str">
        <f t="shared" si="82"/>
        <v>EducativoC3C</v>
      </c>
      <c r="G652" s="587"/>
      <c r="H652" s="584"/>
      <c r="I652" s="360"/>
    </row>
    <row r="653" spans="3:9">
      <c r="C653" s="239" t="str">
        <f t="shared" si="88"/>
        <v>Educativo</v>
      </c>
      <c r="D653" s="323" t="s">
        <v>19</v>
      </c>
      <c r="E653" s="239" t="s">
        <v>41</v>
      </c>
      <c r="F653" s="582" t="str">
        <f t="shared" si="82"/>
        <v>EducativoC3D</v>
      </c>
      <c r="G653" s="587"/>
      <c r="H653" s="584"/>
      <c r="I653" s="360"/>
    </row>
    <row r="654" spans="3:9">
      <c r="C654" s="239" t="str">
        <f t="shared" si="88"/>
        <v>Educativo</v>
      </c>
      <c r="D654" s="323" t="s">
        <v>19</v>
      </c>
      <c r="E654" s="239" t="s">
        <v>44</v>
      </c>
      <c r="F654" s="582" t="str">
        <f t="shared" si="82"/>
        <v>EducativoC3E</v>
      </c>
      <c r="G654" s="587"/>
      <c r="H654" s="584"/>
      <c r="I654" s="360"/>
    </row>
    <row r="655" spans="3:9">
      <c r="C655" s="239" t="str">
        <f t="shared" si="88"/>
        <v>Educativo</v>
      </c>
      <c r="D655" s="323" t="s">
        <v>19</v>
      </c>
      <c r="E655" s="289" t="str">
        <f>IF(Idioma=Castellano,"Sin definir",IF(Idioma=Valencià,"Sense definir","Sin definir"))</f>
        <v>Sin definir</v>
      </c>
      <c r="F655" s="582" t="str">
        <f t="shared" si="82"/>
        <v>EducativoC3Sin definir</v>
      </c>
      <c r="G655" s="587"/>
      <c r="H655" s="584"/>
      <c r="I655" s="360"/>
    </row>
    <row r="656" spans="3:9">
      <c r="C656" s="239" t="str">
        <f t="shared" ref="C656:C662" si="89">IF(Idioma=Castellano,"Deportivo",IF(Idioma=Valencià,"Esportiu","Deportivo"))</f>
        <v>Deportivo</v>
      </c>
      <c r="D656" s="323" t="s">
        <v>19</v>
      </c>
      <c r="E656" s="289" t="str">
        <f>IF(Idioma=Castellano,"Existente",IF(Idioma=Valencià,"Existent","Existente"))</f>
        <v>Existente</v>
      </c>
      <c r="F656" s="582" t="str">
        <f t="shared" si="82"/>
        <v>DeportivoC3Existente</v>
      </c>
      <c r="G656" s="587"/>
      <c r="H656" s="584"/>
      <c r="I656" s="360"/>
    </row>
    <row r="657" spans="3:9">
      <c r="C657" s="239" t="str">
        <f t="shared" si="89"/>
        <v>Deportivo</v>
      </c>
      <c r="D657" s="323" t="s">
        <v>19</v>
      </c>
      <c r="E657" s="239" t="s">
        <v>29</v>
      </c>
      <c r="F657" s="582" t="str">
        <f t="shared" si="82"/>
        <v>DeportivoC3A</v>
      </c>
      <c r="G657" s="587"/>
      <c r="H657" s="584"/>
      <c r="I657" s="360"/>
    </row>
    <row r="658" spans="3:9">
      <c r="C658" s="239" t="str">
        <f t="shared" si="89"/>
        <v>Deportivo</v>
      </c>
      <c r="D658" s="323" t="s">
        <v>19</v>
      </c>
      <c r="E658" s="239" t="s">
        <v>35</v>
      </c>
      <c r="F658" s="582" t="str">
        <f t="shared" si="82"/>
        <v>DeportivoC3B</v>
      </c>
      <c r="G658" s="587"/>
      <c r="H658" s="584"/>
      <c r="I658" s="360"/>
    </row>
    <row r="659" spans="3:9">
      <c r="C659" s="239" t="str">
        <f t="shared" si="89"/>
        <v>Deportivo</v>
      </c>
      <c r="D659" s="323" t="s">
        <v>19</v>
      </c>
      <c r="E659" s="239" t="s">
        <v>38</v>
      </c>
      <c r="F659" s="582" t="str">
        <f t="shared" si="82"/>
        <v>DeportivoC3C</v>
      </c>
      <c r="G659" s="587"/>
      <c r="H659" s="584"/>
      <c r="I659" s="360"/>
    </row>
    <row r="660" spans="3:9">
      <c r="C660" s="239" t="str">
        <f t="shared" si="89"/>
        <v>Deportivo</v>
      </c>
      <c r="D660" s="323" t="s">
        <v>19</v>
      </c>
      <c r="E660" s="239" t="s">
        <v>41</v>
      </c>
      <c r="F660" s="582" t="str">
        <f t="shared" si="82"/>
        <v>DeportivoC3D</v>
      </c>
      <c r="G660" s="587"/>
      <c r="H660" s="584"/>
      <c r="I660" s="360"/>
    </row>
    <row r="661" spans="3:9">
      <c r="C661" s="239" t="str">
        <f t="shared" si="89"/>
        <v>Deportivo</v>
      </c>
      <c r="D661" s="323" t="s">
        <v>19</v>
      </c>
      <c r="E661" s="239" t="s">
        <v>44</v>
      </c>
      <c r="F661" s="582" t="str">
        <f t="shared" si="82"/>
        <v>DeportivoC3E</v>
      </c>
      <c r="G661" s="587"/>
      <c r="H661" s="584"/>
      <c r="I661" s="360"/>
    </row>
    <row r="662" spans="3:9">
      <c r="C662" s="239" t="str">
        <f t="shared" si="89"/>
        <v>Deportivo</v>
      </c>
      <c r="D662" s="323" t="s">
        <v>19</v>
      </c>
      <c r="E662" s="289" t="str">
        <f>IF(Idioma=Castellano,"Sin definir",IF(Idioma=Valencià,"Sense definir","Sin definir"))</f>
        <v>Sin definir</v>
      </c>
      <c r="F662" s="582" t="str">
        <f t="shared" si="82"/>
        <v>DeportivoC3Sin definir</v>
      </c>
      <c r="G662" s="587"/>
      <c r="H662" s="584"/>
      <c r="I662" s="360"/>
    </row>
    <row r="663" spans="3:9">
      <c r="C663" s="239" t="str">
        <f t="shared" ref="C663:C669" si="90">IF(Idioma=Castellano,"Sin especificar",IF(Idioma=Valencià,"Sense especificar ","Sin especificar"))</f>
        <v>Sin especificar</v>
      </c>
      <c r="D663" s="323" t="s">
        <v>19</v>
      </c>
      <c r="E663" s="289" t="str">
        <f>IF(Idioma=Castellano,"Existente",IF(Idioma=Valencià,"Existent","Existente"))</f>
        <v>Existente</v>
      </c>
      <c r="F663" s="582" t="str">
        <f t="shared" si="82"/>
        <v>Sin especificarC3Existente</v>
      </c>
      <c r="G663" s="587">
        <v>500000</v>
      </c>
      <c r="H663" s="584"/>
      <c r="I663" s="360"/>
    </row>
    <row r="664" spans="3:9">
      <c r="C664" s="239" t="str">
        <f t="shared" si="90"/>
        <v>Sin especificar</v>
      </c>
      <c r="D664" s="323" t="s">
        <v>19</v>
      </c>
      <c r="E664" s="239" t="s">
        <v>29</v>
      </c>
      <c r="F664" s="582" t="str">
        <f t="shared" si="82"/>
        <v>Sin especificarC3A</v>
      </c>
      <c r="G664" s="587">
        <v>500000</v>
      </c>
      <c r="H664" s="584"/>
      <c r="I664" s="360"/>
    </row>
    <row r="665" spans="3:9">
      <c r="C665" s="239" t="str">
        <f t="shared" si="90"/>
        <v>Sin especificar</v>
      </c>
      <c r="D665" s="323" t="s">
        <v>19</v>
      </c>
      <c r="E665" s="239" t="s">
        <v>35</v>
      </c>
      <c r="F665" s="582" t="str">
        <f t="shared" si="82"/>
        <v>Sin especificarC3B</v>
      </c>
      <c r="G665" s="587">
        <v>500000</v>
      </c>
      <c r="H665" s="584"/>
      <c r="I665" s="360"/>
    </row>
    <row r="666" spans="3:9">
      <c r="C666" s="239" t="str">
        <f t="shared" si="90"/>
        <v>Sin especificar</v>
      </c>
      <c r="D666" s="323" t="s">
        <v>19</v>
      </c>
      <c r="E666" s="239" t="s">
        <v>38</v>
      </c>
      <c r="F666" s="582" t="str">
        <f t="shared" si="82"/>
        <v>Sin especificarC3C</v>
      </c>
      <c r="G666" s="587">
        <v>50000</v>
      </c>
      <c r="H666" s="584"/>
      <c r="I666" s="360"/>
    </row>
    <row r="667" spans="3:9">
      <c r="C667" s="239" t="str">
        <f t="shared" si="90"/>
        <v>Sin especificar</v>
      </c>
      <c r="D667" s="323" t="s">
        <v>19</v>
      </c>
      <c r="E667" s="239" t="s">
        <v>41</v>
      </c>
      <c r="F667" s="582" t="str">
        <f t="shared" si="82"/>
        <v>Sin especificarC3D</v>
      </c>
      <c r="G667" s="587">
        <v>50000</v>
      </c>
      <c r="H667" s="584"/>
      <c r="I667" s="360"/>
    </row>
    <row r="668" spans="3:9">
      <c r="C668" s="239" t="str">
        <f t="shared" si="90"/>
        <v>Sin especificar</v>
      </c>
      <c r="D668" s="323" t="s">
        <v>19</v>
      </c>
      <c r="E668" s="239" t="s">
        <v>44</v>
      </c>
      <c r="F668" s="582" t="str">
        <f t="shared" si="82"/>
        <v>Sin especificarC3E</v>
      </c>
      <c r="G668" s="587"/>
      <c r="H668" s="584"/>
      <c r="I668" s="360"/>
    </row>
    <row r="669" spans="3:9">
      <c r="C669" s="239" t="str">
        <f t="shared" si="90"/>
        <v>Sin especificar</v>
      </c>
      <c r="D669" s="323" t="s">
        <v>19</v>
      </c>
      <c r="E669" s="289" t="str">
        <f>IF(Idioma=Castellano,"Sin definir",IF(Idioma=Valencià,"Sense definir","Sin definir"))</f>
        <v>Sin definir</v>
      </c>
      <c r="F669" s="582" t="str">
        <f t="shared" si="82"/>
        <v>Sin especificarC3Sin definir</v>
      </c>
      <c r="G669" s="587"/>
      <c r="H669" s="584"/>
      <c r="I669" s="360"/>
    </row>
    <row r="670" spans="3:9">
      <c r="C670" s="239" t="str">
        <f t="shared" ref="C670:C676" si="91">IF(Idioma=Castellano,"Sanitario",IF(Idioma=Valencià,"Sanitari ","Sanitario"))</f>
        <v>Sanitario</v>
      </c>
      <c r="D670" s="323" t="s">
        <v>55</v>
      </c>
      <c r="E670" s="289" t="str">
        <f>IF(Idioma=Castellano,"Existente",IF(Idioma=Valencià,"Existent","Existente"))</f>
        <v>Existente</v>
      </c>
      <c r="F670" s="582" t="str">
        <f t="shared" si="82"/>
        <v>SanitarioD1Existente</v>
      </c>
      <c r="G670" s="587"/>
      <c r="H670" s="584"/>
      <c r="I670" s="360"/>
    </row>
    <row r="671" spans="3:9">
      <c r="C671" s="239" t="str">
        <f t="shared" si="91"/>
        <v>Sanitario</v>
      </c>
      <c r="D671" s="323" t="s">
        <v>55</v>
      </c>
      <c r="E671" s="239" t="s">
        <v>29</v>
      </c>
      <c r="F671" s="582" t="str">
        <f t="shared" si="82"/>
        <v>SanitarioD1A</v>
      </c>
      <c r="G671" s="587"/>
      <c r="H671" s="584"/>
      <c r="I671" s="360"/>
    </row>
    <row r="672" spans="3:9">
      <c r="C672" s="239" t="str">
        <f t="shared" si="91"/>
        <v>Sanitario</v>
      </c>
      <c r="D672" s="323" t="s">
        <v>55</v>
      </c>
      <c r="E672" s="239" t="s">
        <v>35</v>
      </c>
      <c r="F672" s="582" t="str">
        <f t="shared" si="82"/>
        <v>SanitarioD1B</v>
      </c>
      <c r="G672" s="587"/>
      <c r="H672" s="584"/>
      <c r="I672" s="360"/>
    </row>
    <row r="673" spans="3:9">
      <c r="C673" s="239" t="str">
        <f t="shared" si="91"/>
        <v>Sanitario</v>
      </c>
      <c r="D673" s="323" t="s">
        <v>55</v>
      </c>
      <c r="E673" s="239" t="s">
        <v>38</v>
      </c>
      <c r="F673" s="582" t="str">
        <f t="shared" si="82"/>
        <v>SanitarioD1C</v>
      </c>
      <c r="G673" s="587"/>
      <c r="H673" s="584"/>
      <c r="I673" s="360"/>
    </row>
    <row r="674" spans="3:9">
      <c r="C674" s="239" t="str">
        <f t="shared" si="91"/>
        <v>Sanitario</v>
      </c>
      <c r="D674" s="323" t="s">
        <v>55</v>
      </c>
      <c r="E674" s="239" t="s">
        <v>41</v>
      </c>
      <c r="F674" s="582" t="str">
        <f t="shared" si="82"/>
        <v>SanitarioD1D</v>
      </c>
      <c r="G674" s="587"/>
      <c r="H674" s="584"/>
      <c r="I674" s="360"/>
    </row>
    <row r="675" spans="3:9">
      <c r="C675" s="239" t="str">
        <f t="shared" si="91"/>
        <v>Sanitario</v>
      </c>
      <c r="D675" s="323" t="s">
        <v>55</v>
      </c>
      <c r="E675" s="239" t="s">
        <v>44</v>
      </c>
      <c r="F675" s="582" t="str">
        <f t="shared" si="82"/>
        <v>SanitarioD1E</v>
      </c>
      <c r="G675" s="587"/>
      <c r="H675" s="584"/>
      <c r="I675" s="360"/>
    </row>
    <row r="676" spans="3:9">
      <c r="C676" s="239" t="str">
        <f t="shared" si="91"/>
        <v>Sanitario</v>
      </c>
      <c r="D676" s="323" t="s">
        <v>55</v>
      </c>
      <c r="E676" s="289" t="str">
        <f>IF(Idioma=Castellano,"Sin definir",IF(Idioma=Valencià,"Sense definir","Sin definir"))</f>
        <v>Sin definir</v>
      </c>
      <c r="F676" s="582" t="str">
        <f t="shared" si="82"/>
        <v>SanitarioD1Sin definir</v>
      </c>
      <c r="G676" s="587"/>
      <c r="H676" s="584"/>
      <c r="I676" s="360"/>
    </row>
    <row r="677" spans="3:9">
      <c r="C677" s="239" t="str">
        <f t="shared" ref="C677:C683" si="92">IF(Idioma=Castellano,"Educativo",IF(Idioma=Valencià,"Educatiu","Educativo"))</f>
        <v>Educativo</v>
      </c>
      <c r="D677" s="323" t="s">
        <v>55</v>
      </c>
      <c r="E677" s="289" t="str">
        <f>IF(Idioma=Castellano,"Existente",IF(Idioma=Valencià,"Existent","Existente"))</f>
        <v>Existente</v>
      </c>
      <c r="F677" s="582" t="str">
        <f t="shared" si="82"/>
        <v>EducativoD1Existente</v>
      </c>
      <c r="G677" s="587"/>
      <c r="H677" s="584"/>
      <c r="I677" s="360"/>
    </row>
    <row r="678" spans="3:9">
      <c r="C678" s="239" t="str">
        <f t="shared" si="92"/>
        <v>Educativo</v>
      </c>
      <c r="D678" s="323" t="s">
        <v>55</v>
      </c>
      <c r="E678" s="239" t="s">
        <v>29</v>
      </c>
      <c r="F678" s="582" t="str">
        <f t="shared" si="82"/>
        <v>EducativoD1A</v>
      </c>
      <c r="G678" s="587"/>
      <c r="H678" s="584"/>
      <c r="I678" s="360"/>
    </row>
    <row r="679" spans="3:9">
      <c r="C679" s="239" t="str">
        <f t="shared" si="92"/>
        <v>Educativo</v>
      </c>
      <c r="D679" s="323" t="s">
        <v>55</v>
      </c>
      <c r="E679" s="239" t="s">
        <v>35</v>
      </c>
      <c r="F679" s="582" t="str">
        <f t="shared" si="82"/>
        <v>EducativoD1B</v>
      </c>
      <c r="G679" s="587"/>
      <c r="H679" s="584"/>
      <c r="I679" s="360"/>
    </row>
    <row r="680" spans="3:9">
      <c r="C680" s="239" t="str">
        <f t="shared" si="92"/>
        <v>Educativo</v>
      </c>
      <c r="D680" s="323" t="s">
        <v>55</v>
      </c>
      <c r="E680" s="239" t="s">
        <v>38</v>
      </c>
      <c r="F680" s="582" t="str">
        <f t="shared" si="82"/>
        <v>EducativoD1C</v>
      </c>
      <c r="G680" s="587"/>
      <c r="H680" s="584"/>
      <c r="I680" s="360"/>
    </row>
    <row r="681" spans="3:9">
      <c r="C681" s="239" t="str">
        <f t="shared" si="92"/>
        <v>Educativo</v>
      </c>
      <c r="D681" s="323" t="s">
        <v>55</v>
      </c>
      <c r="E681" s="239" t="s">
        <v>41</v>
      </c>
      <c r="F681" s="582" t="str">
        <f t="shared" si="82"/>
        <v>EducativoD1D</v>
      </c>
      <c r="G681" s="587"/>
      <c r="H681" s="584"/>
      <c r="I681" s="360"/>
    </row>
    <row r="682" spans="3:9">
      <c r="C682" s="239" t="str">
        <f t="shared" si="92"/>
        <v>Educativo</v>
      </c>
      <c r="D682" s="323" t="s">
        <v>55</v>
      </c>
      <c r="E682" s="239" t="s">
        <v>44</v>
      </c>
      <c r="F682" s="582" t="str">
        <f t="shared" si="82"/>
        <v>EducativoD1E</v>
      </c>
      <c r="G682" s="587"/>
      <c r="H682" s="584"/>
      <c r="I682" s="360"/>
    </row>
    <row r="683" spans="3:9">
      <c r="C683" s="239" t="str">
        <f t="shared" si="92"/>
        <v>Educativo</v>
      </c>
      <c r="D683" s="323" t="s">
        <v>55</v>
      </c>
      <c r="E683" s="289" t="str">
        <f>IF(Idioma=Castellano,"Sin definir",IF(Idioma=Valencià,"Sense definir","Sin definir"))</f>
        <v>Sin definir</v>
      </c>
      <c r="F683" s="582" t="str">
        <f t="shared" si="82"/>
        <v>EducativoD1Sin definir</v>
      </c>
      <c r="G683" s="587"/>
      <c r="H683" s="584"/>
      <c r="I683" s="360"/>
    </row>
    <row r="684" spans="3:9">
      <c r="C684" s="239" t="str">
        <f t="shared" ref="C684:C690" si="93">IF(Idioma=Castellano,"Deportivo",IF(Idioma=Valencià,"Esportiu","Deportivo"))</f>
        <v>Deportivo</v>
      </c>
      <c r="D684" s="323" t="s">
        <v>55</v>
      </c>
      <c r="E684" s="289" t="str">
        <f>IF(Idioma=Castellano,"Existente",IF(Idioma=Valencià,"Existent","Existente"))</f>
        <v>Existente</v>
      </c>
      <c r="F684" s="582" t="str">
        <f t="shared" si="82"/>
        <v>DeportivoD1Existente</v>
      </c>
      <c r="G684" s="587"/>
      <c r="H684" s="584"/>
      <c r="I684" s="360"/>
    </row>
    <row r="685" spans="3:9">
      <c r="C685" s="239" t="str">
        <f t="shared" si="93"/>
        <v>Deportivo</v>
      </c>
      <c r="D685" s="323" t="s">
        <v>55</v>
      </c>
      <c r="E685" s="239" t="s">
        <v>29</v>
      </c>
      <c r="F685" s="582" t="str">
        <f t="shared" si="82"/>
        <v>DeportivoD1A</v>
      </c>
      <c r="G685" s="587"/>
      <c r="H685" s="584"/>
      <c r="I685" s="360"/>
    </row>
    <row r="686" spans="3:9">
      <c r="C686" s="239" t="str">
        <f t="shared" si="93"/>
        <v>Deportivo</v>
      </c>
      <c r="D686" s="323" t="s">
        <v>55</v>
      </c>
      <c r="E686" s="239" t="s">
        <v>35</v>
      </c>
      <c r="F686" s="582" t="str">
        <f t="shared" si="82"/>
        <v>DeportivoD1B</v>
      </c>
      <c r="G686" s="587"/>
      <c r="H686" s="584"/>
      <c r="I686" s="360"/>
    </row>
    <row r="687" spans="3:9">
      <c r="C687" s="239" t="str">
        <f t="shared" si="93"/>
        <v>Deportivo</v>
      </c>
      <c r="D687" s="323" t="s">
        <v>55</v>
      </c>
      <c r="E687" s="239" t="s">
        <v>38</v>
      </c>
      <c r="F687" s="582" t="str">
        <f t="shared" si="82"/>
        <v>DeportivoD1C</v>
      </c>
      <c r="G687" s="587"/>
      <c r="H687" s="584"/>
      <c r="I687" s="360"/>
    </row>
    <row r="688" spans="3:9">
      <c r="C688" s="239" t="str">
        <f t="shared" si="93"/>
        <v>Deportivo</v>
      </c>
      <c r="D688" s="323" t="s">
        <v>55</v>
      </c>
      <c r="E688" s="239" t="s">
        <v>41</v>
      </c>
      <c r="F688" s="582" t="str">
        <f t="shared" si="82"/>
        <v>DeportivoD1D</v>
      </c>
      <c r="G688" s="587"/>
      <c r="H688" s="584"/>
      <c r="I688" s="360"/>
    </row>
    <row r="689" spans="3:9">
      <c r="C689" s="239" t="str">
        <f t="shared" si="93"/>
        <v>Deportivo</v>
      </c>
      <c r="D689" s="323" t="s">
        <v>55</v>
      </c>
      <c r="E689" s="239" t="s">
        <v>44</v>
      </c>
      <c r="F689" s="582" t="str">
        <f t="shared" si="82"/>
        <v>DeportivoD1E</v>
      </c>
      <c r="G689" s="587"/>
      <c r="H689" s="584"/>
      <c r="I689" s="360"/>
    </row>
    <row r="690" spans="3:9">
      <c r="C690" s="239" t="str">
        <f t="shared" si="93"/>
        <v>Deportivo</v>
      </c>
      <c r="D690" s="323" t="s">
        <v>55</v>
      </c>
      <c r="E690" s="289" t="str">
        <f>IF(Idioma=Castellano,"Sin definir",IF(Idioma=Valencià,"Sense definir","Sin definir"))</f>
        <v>Sin definir</v>
      </c>
      <c r="F690" s="582" t="str">
        <f t="shared" si="82"/>
        <v>DeportivoD1Sin definir</v>
      </c>
      <c r="G690" s="587"/>
      <c r="H690" s="584"/>
      <c r="I690" s="360"/>
    </row>
    <row r="691" spans="3:9">
      <c r="C691" s="239" t="str">
        <f t="shared" ref="C691:C697" si="94">IF(Idioma=Castellano,"Sin especificar",IF(Idioma=Valencià,"Sense especificar ","Sin especificar"))</f>
        <v>Sin especificar</v>
      </c>
      <c r="D691" s="323" t="s">
        <v>55</v>
      </c>
      <c r="E691" s="289" t="str">
        <f>IF(Idioma=Castellano,"Existente",IF(Idioma=Valencià,"Existent","Existente"))</f>
        <v>Existente</v>
      </c>
      <c r="F691" s="582" t="str">
        <f t="shared" si="82"/>
        <v>Sin especificarD1Existente</v>
      </c>
      <c r="G691" s="587"/>
      <c r="H691" s="584"/>
      <c r="I691" s="360"/>
    </row>
    <row r="692" spans="3:9">
      <c r="C692" s="239" t="str">
        <f t="shared" si="94"/>
        <v>Sin especificar</v>
      </c>
      <c r="D692" s="323" t="s">
        <v>55</v>
      </c>
      <c r="E692" s="239" t="s">
        <v>29</v>
      </c>
      <c r="F692" s="582" t="str">
        <f t="shared" si="82"/>
        <v>Sin especificarD1A</v>
      </c>
      <c r="G692" s="587"/>
      <c r="H692" s="584"/>
      <c r="I692" s="360"/>
    </row>
    <row r="693" spans="3:9">
      <c r="C693" s="239" t="str">
        <f t="shared" si="94"/>
        <v>Sin especificar</v>
      </c>
      <c r="D693" s="323" t="s">
        <v>55</v>
      </c>
      <c r="E693" s="239" t="s">
        <v>35</v>
      </c>
      <c r="F693" s="582" t="str">
        <f t="shared" si="82"/>
        <v>Sin especificarD1B</v>
      </c>
      <c r="G693" s="587"/>
      <c r="H693" s="584"/>
      <c r="I693" s="360"/>
    </row>
    <row r="694" spans="3:9">
      <c r="C694" s="239" t="str">
        <f t="shared" si="94"/>
        <v>Sin especificar</v>
      </c>
      <c r="D694" s="323" t="s">
        <v>55</v>
      </c>
      <c r="E694" s="239" t="s">
        <v>38</v>
      </c>
      <c r="F694" s="582" t="str">
        <f t="shared" si="82"/>
        <v>Sin especificarD1C</v>
      </c>
      <c r="G694" s="587"/>
      <c r="H694" s="584"/>
      <c r="I694" s="360"/>
    </row>
    <row r="695" spans="3:9">
      <c r="C695" s="239" t="str">
        <f t="shared" si="94"/>
        <v>Sin especificar</v>
      </c>
      <c r="D695" s="323" t="s">
        <v>55</v>
      </c>
      <c r="E695" s="239" t="s">
        <v>41</v>
      </c>
      <c r="F695" s="582" t="str">
        <f t="shared" si="82"/>
        <v>Sin especificarD1D</v>
      </c>
      <c r="G695" s="587"/>
      <c r="H695" s="584"/>
      <c r="I695" s="360"/>
    </row>
    <row r="696" spans="3:9">
      <c r="C696" s="239" t="str">
        <f t="shared" si="94"/>
        <v>Sin especificar</v>
      </c>
      <c r="D696" s="323" t="s">
        <v>55</v>
      </c>
      <c r="E696" s="239" t="s">
        <v>44</v>
      </c>
      <c r="F696" s="582" t="str">
        <f t="shared" si="82"/>
        <v>Sin especificarD1E</v>
      </c>
      <c r="G696" s="587"/>
      <c r="H696" s="584"/>
      <c r="I696" s="360"/>
    </row>
    <row r="697" spans="3:9">
      <c r="C697" s="239" t="str">
        <f t="shared" si="94"/>
        <v>Sin especificar</v>
      </c>
      <c r="D697" s="323" t="s">
        <v>55</v>
      </c>
      <c r="E697" s="289" t="str">
        <f>IF(Idioma=Castellano,"Sin definir",IF(Idioma=Valencià,"Sense definir","Sin definir"))</f>
        <v>Sin definir</v>
      </c>
      <c r="F697" s="582" t="str">
        <f t="shared" si="82"/>
        <v>Sin especificarD1Sin definir</v>
      </c>
      <c r="G697" s="587"/>
      <c r="H697" s="584"/>
      <c r="I697" s="360"/>
    </row>
    <row r="698" spans="3:9">
      <c r="C698" s="239" t="str">
        <f t="shared" ref="C698:C704" si="95">IF(Idioma=Castellano,"Sanitario",IF(Idioma=Valencià,"Sanitari ","Sanitario"))</f>
        <v>Sanitario</v>
      </c>
      <c r="D698" s="323" t="s">
        <v>63</v>
      </c>
      <c r="E698" s="289" t="str">
        <f>IF(Idioma=Castellano,"Existente",IF(Idioma=Valencià,"Existent","Existente"))</f>
        <v>Existente</v>
      </c>
      <c r="F698" s="582" t="str">
        <f t="shared" si="82"/>
        <v>SanitarioD2Existente</v>
      </c>
      <c r="G698" s="587"/>
      <c r="H698" s="584"/>
      <c r="I698" s="360"/>
    </row>
    <row r="699" spans="3:9">
      <c r="C699" s="239" t="str">
        <f t="shared" si="95"/>
        <v>Sanitario</v>
      </c>
      <c r="D699" s="323" t="s">
        <v>63</v>
      </c>
      <c r="E699" s="239" t="s">
        <v>29</v>
      </c>
      <c r="F699" s="582" t="str">
        <f t="shared" si="82"/>
        <v>SanitarioD2A</v>
      </c>
      <c r="G699" s="587"/>
      <c r="H699" s="584"/>
      <c r="I699" s="360"/>
    </row>
    <row r="700" spans="3:9">
      <c r="C700" s="239" t="str">
        <f t="shared" si="95"/>
        <v>Sanitario</v>
      </c>
      <c r="D700" s="323" t="s">
        <v>63</v>
      </c>
      <c r="E700" s="239" t="s">
        <v>35</v>
      </c>
      <c r="F700" s="582" t="str">
        <f t="shared" si="82"/>
        <v>SanitarioD2B</v>
      </c>
      <c r="G700" s="587"/>
      <c r="H700" s="584"/>
      <c r="I700" s="360"/>
    </row>
    <row r="701" spans="3:9">
      <c r="C701" s="239" t="str">
        <f t="shared" si="95"/>
        <v>Sanitario</v>
      </c>
      <c r="D701" s="323" t="s">
        <v>63</v>
      </c>
      <c r="E701" s="239" t="s">
        <v>38</v>
      </c>
      <c r="F701" s="582" t="str">
        <f t="shared" si="82"/>
        <v>SanitarioD2C</v>
      </c>
      <c r="G701" s="587"/>
      <c r="H701" s="584"/>
      <c r="I701" s="360"/>
    </row>
    <row r="702" spans="3:9">
      <c r="C702" s="239" t="str">
        <f t="shared" si="95"/>
        <v>Sanitario</v>
      </c>
      <c r="D702" s="323" t="s">
        <v>63</v>
      </c>
      <c r="E702" s="239" t="s">
        <v>41</v>
      </c>
      <c r="F702" s="582" t="str">
        <f t="shared" si="82"/>
        <v>SanitarioD2D</v>
      </c>
      <c r="G702" s="587"/>
      <c r="H702" s="584"/>
      <c r="I702" s="360"/>
    </row>
    <row r="703" spans="3:9">
      <c r="C703" s="239" t="str">
        <f t="shared" si="95"/>
        <v>Sanitario</v>
      </c>
      <c r="D703" s="323" t="s">
        <v>63</v>
      </c>
      <c r="E703" s="239" t="s">
        <v>44</v>
      </c>
      <c r="F703" s="582" t="str">
        <f t="shared" ref="F703:F766" si="96">C703&amp;D703&amp;E703</f>
        <v>SanitarioD2E</v>
      </c>
      <c r="G703" s="587"/>
      <c r="H703" s="584"/>
      <c r="I703" s="360"/>
    </row>
    <row r="704" spans="3:9">
      <c r="C704" s="239" t="str">
        <f t="shared" si="95"/>
        <v>Sanitario</v>
      </c>
      <c r="D704" s="323" t="s">
        <v>63</v>
      </c>
      <c r="E704" s="289" t="str">
        <f>IF(Idioma=Castellano,"Sin definir",IF(Idioma=Valencià,"Sense definir","Sin definir"))</f>
        <v>Sin definir</v>
      </c>
      <c r="F704" s="582" t="str">
        <f t="shared" si="96"/>
        <v>SanitarioD2Sin definir</v>
      </c>
      <c r="G704" s="587"/>
      <c r="H704" s="584"/>
      <c r="I704" s="360"/>
    </row>
    <row r="705" spans="3:9">
      <c r="C705" s="239" t="str">
        <f t="shared" ref="C705:C711" si="97">IF(Idioma=Castellano,"Educativo",IF(Idioma=Valencià,"Educatiu","Educativo"))</f>
        <v>Educativo</v>
      </c>
      <c r="D705" s="323" t="s">
        <v>63</v>
      </c>
      <c r="E705" s="289" t="str">
        <f>IF(Idioma=Castellano,"Existente",IF(Idioma=Valencià,"Existent","Existente"))</f>
        <v>Existente</v>
      </c>
      <c r="F705" s="582" t="str">
        <f t="shared" si="96"/>
        <v>EducativoD2Existente</v>
      </c>
      <c r="G705" s="587"/>
      <c r="H705" s="584"/>
      <c r="I705" s="360"/>
    </row>
    <row r="706" spans="3:9">
      <c r="C706" s="239" t="str">
        <f t="shared" si="97"/>
        <v>Educativo</v>
      </c>
      <c r="D706" s="323" t="s">
        <v>63</v>
      </c>
      <c r="E706" s="239" t="s">
        <v>29</v>
      </c>
      <c r="F706" s="582" t="str">
        <f t="shared" si="96"/>
        <v>EducativoD2A</v>
      </c>
      <c r="G706" s="587"/>
      <c r="H706" s="584"/>
      <c r="I706" s="360"/>
    </row>
    <row r="707" spans="3:9">
      <c r="C707" s="239" t="str">
        <f t="shared" si="97"/>
        <v>Educativo</v>
      </c>
      <c r="D707" s="323" t="s">
        <v>63</v>
      </c>
      <c r="E707" s="239" t="s">
        <v>35</v>
      </c>
      <c r="F707" s="582" t="str">
        <f t="shared" si="96"/>
        <v>EducativoD2B</v>
      </c>
      <c r="G707" s="587"/>
      <c r="H707" s="584"/>
      <c r="I707" s="360"/>
    </row>
    <row r="708" spans="3:9">
      <c r="C708" s="239" t="str">
        <f t="shared" si="97"/>
        <v>Educativo</v>
      </c>
      <c r="D708" s="323" t="s">
        <v>63</v>
      </c>
      <c r="E708" s="239" t="s">
        <v>38</v>
      </c>
      <c r="F708" s="582" t="str">
        <f t="shared" si="96"/>
        <v>EducativoD2C</v>
      </c>
      <c r="G708" s="587"/>
      <c r="H708" s="584"/>
      <c r="I708" s="360"/>
    </row>
    <row r="709" spans="3:9">
      <c r="C709" s="239" t="str">
        <f t="shared" si="97"/>
        <v>Educativo</v>
      </c>
      <c r="D709" s="323" t="s">
        <v>63</v>
      </c>
      <c r="E709" s="239" t="s">
        <v>41</v>
      </c>
      <c r="F709" s="582" t="str">
        <f t="shared" si="96"/>
        <v>EducativoD2D</v>
      </c>
      <c r="G709" s="587"/>
      <c r="H709" s="584"/>
      <c r="I709" s="360"/>
    </row>
    <row r="710" spans="3:9">
      <c r="C710" s="239" t="str">
        <f t="shared" si="97"/>
        <v>Educativo</v>
      </c>
      <c r="D710" s="323" t="s">
        <v>63</v>
      </c>
      <c r="E710" s="239" t="s">
        <v>44</v>
      </c>
      <c r="F710" s="582" t="str">
        <f t="shared" si="96"/>
        <v>EducativoD2E</v>
      </c>
      <c r="G710" s="587"/>
      <c r="H710" s="584"/>
      <c r="I710" s="360"/>
    </row>
    <row r="711" spans="3:9">
      <c r="C711" s="239" t="str">
        <f t="shared" si="97"/>
        <v>Educativo</v>
      </c>
      <c r="D711" s="323" t="s">
        <v>63</v>
      </c>
      <c r="E711" s="289" t="str">
        <f>IF(Idioma=Castellano,"Sin definir",IF(Idioma=Valencià,"Sense definir","Sin definir"))</f>
        <v>Sin definir</v>
      </c>
      <c r="F711" s="582" t="str">
        <f t="shared" si="96"/>
        <v>EducativoD2Sin definir</v>
      </c>
      <c r="G711" s="587"/>
      <c r="H711" s="584"/>
      <c r="I711" s="360"/>
    </row>
    <row r="712" spans="3:9">
      <c r="C712" s="239" t="str">
        <f t="shared" ref="C712:C718" si="98">IF(Idioma=Castellano,"Deportivo",IF(Idioma=Valencià,"Esportiu","Deportivo"))</f>
        <v>Deportivo</v>
      </c>
      <c r="D712" s="323" t="s">
        <v>63</v>
      </c>
      <c r="E712" s="289" t="str">
        <f>IF(Idioma=Castellano,"Existente",IF(Idioma=Valencià,"Existent","Existente"))</f>
        <v>Existente</v>
      </c>
      <c r="F712" s="582" t="str">
        <f t="shared" si="96"/>
        <v>DeportivoD2Existente</v>
      </c>
      <c r="G712" s="587"/>
      <c r="H712" s="584"/>
      <c r="I712" s="360"/>
    </row>
    <row r="713" spans="3:9">
      <c r="C713" s="239" t="str">
        <f t="shared" si="98"/>
        <v>Deportivo</v>
      </c>
      <c r="D713" s="323" t="s">
        <v>63</v>
      </c>
      <c r="E713" s="239" t="s">
        <v>29</v>
      </c>
      <c r="F713" s="582" t="str">
        <f t="shared" si="96"/>
        <v>DeportivoD2A</v>
      </c>
      <c r="G713" s="587"/>
      <c r="H713" s="584"/>
      <c r="I713" s="360"/>
    </row>
    <row r="714" spans="3:9">
      <c r="C714" s="239" t="str">
        <f t="shared" si="98"/>
        <v>Deportivo</v>
      </c>
      <c r="D714" s="323" t="s">
        <v>63</v>
      </c>
      <c r="E714" s="239" t="s">
        <v>35</v>
      </c>
      <c r="F714" s="582" t="str">
        <f t="shared" si="96"/>
        <v>DeportivoD2B</v>
      </c>
      <c r="G714" s="587"/>
      <c r="H714" s="584"/>
      <c r="I714" s="360"/>
    </row>
    <row r="715" spans="3:9">
      <c r="C715" s="239" t="str">
        <f t="shared" si="98"/>
        <v>Deportivo</v>
      </c>
      <c r="D715" s="323" t="s">
        <v>63</v>
      </c>
      <c r="E715" s="239" t="s">
        <v>38</v>
      </c>
      <c r="F715" s="582" t="str">
        <f t="shared" si="96"/>
        <v>DeportivoD2C</v>
      </c>
      <c r="G715" s="587"/>
      <c r="H715" s="584"/>
      <c r="I715" s="360"/>
    </row>
    <row r="716" spans="3:9">
      <c r="C716" s="239" t="str">
        <f t="shared" si="98"/>
        <v>Deportivo</v>
      </c>
      <c r="D716" s="323" t="s">
        <v>63</v>
      </c>
      <c r="E716" s="239" t="s">
        <v>41</v>
      </c>
      <c r="F716" s="582" t="str">
        <f t="shared" si="96"/>
        <v>DeportivoD2D</v>
      </c>
      <c r="G716" s="587"/>
      <c r="H716" s="584"/>
      <c r="I716" s="360"/>
    </row>
    <row r="717" spans="3:9">
      <c r="C717" s="239" t="str">
        <f t="shared" si="98"/>
        <v>Deportivo</v>
      </c>
      <c r="D717" s="323" t="s">
        <v>63</v>
      </c>
      <c r="E717" s="239" t="s">
        <v>44</v>
      </c>
      <c r="F717" s="582" t="str">
        <f t="shared" si="96"/>
        <v>DeportivoD2E</v>
      </c>
      <c r="G717" s="587"/>
      <c r="H717" s="584"/>
      <c r="I717" s="360"/>
    </row>
    <row r="718" spans="3:9">
      <c r="C718" s="239" t="str">
        <f t="shared" si="98"/>
        <v>Deportivo</v>
      </c>
      <c r="D718" s="323" t="s">
        <v>63</v>
      </c>
      <c r="E718" s="289" t="str">
        <f>IF(Idioma=Castellano,"Sin definir",IF(Idioma=Valencià,"Sense definir","Sin definir"))</f>
        <v>Sin definir</v>
      </c>
      <c r="F718" s="582" t="str">
        <f t="shared" si="96"/>
        <v>DeportivoD2Sin definir</v>
      </c>
      <c r="G718" s="587"/>
      <c r="H718" s="584"/>
      <c r="I718" s="360"/>
    </row>
    <row r="719" spans="3:9">
      <c r="C719" s="239" t="str">
        <f t="shared" ref="C719:C725" si="99">IF(Idioma=Castellano,"Sin especificar",IF(Idioma=Valencià,"Sense especificar ","Sin especificar"))</f>
        <v>Sin especificar</v>
      </c>
      <c r="D719" s="323" t="s">
        <v>63</v>
      </c>
      <c r="E719" s="289" t="str">
        <f>IF(Idioma=Castellano,"Existente",IF(Idioma=Valencià,"Existent","Existente"))</f>
        <v>Existente</v>
      </c>
      <c r="F719" s="582" t="str">
        <f t="shared" si="96"/>
        <v>Sin especificarD2Existente</v>
      </c>
      <c r="G719" s="587"/>
      <c r="H719" s="584"/>
      <c r="I719" s="360"/>
    </row>
    <row r="720" spans="3:9">
      <c r="C720" s="239" t="str">
        <f t="shared" si="99"/>
        <v>Sin especificar</v>
      </c>
      <c r="D720" s="323" t="s">
        <v>63</v>
      </c>
      <c r="E720" s="239" t="s">
        <v>29</v>
      </c>
      <c r="F720" s="582" t="str">
        <f t="shared" si="96"/>
        <v>Sin especificarD2A</v>
      </c>
      <c r="G720" s="587"/>
      <c r="H720" s="584"/>
      <c r="I720" s="360"/>
    </row>
    <row r="721" spans="3:9">
      <c r="C721" s="239" t="str">
        <f t="shared" si="99"/>
        <v>Sin especificar</v>
      </c>
      <c r="D721" s="323" t="s">
        <v>63</v>
      </c>
      <c r="E721" s="239" t="s">
        <v>35</v>
      </c>
      <c r="F721" s="582" t="str">
        <f t="shared" si="96"/>
        <v>Sin especificarD2B</v>
      </c>
      <c r="G721" s="587"/>
      <c r="H721" s="584"/>
      <c r="I721" s="360"/>
    </row>
    <row r="722" spans="3:9">
      <c r="C722" s="239" t="str">
        <f t="shared" si="99"/>
        <v>Sin especificar</v>
      </c>
      <c r="D722" s="323" t="s">
        <v>63</v>
      </c>
      <c r="E722" s="239" t="s">
        <v>38</v>
      </c>
      <c r="F722" s="582" t="str">
        <f t="shared" si="96"/>
        <v>Sin especificarD2C</v>
      </c>
      <c r="G722" s="587"/>
      <c r="H722" s="584"/>
      <c r="I722" s="360"/>
    </row>
    <row r="723" spans="3:9">
      <c r="C723" s="239" t="str">
        <f t="shared" si="99"/>
        <v>Sin especificar</v>
      </c>
      <c r="D723" s="323" t="s">
        <v>63</v>
      </c>
      <c r="E723" s="239" t="s">
        <v>41</v>
      </c>
      <c r="F723" s="582" t="str">
        <f t="shared" si="96"/>
        <v>Sin especificarD2D</v>
      </c>
      <c r="G723" s="587"/>
      <c r="H723" s="584"/>
      <c r="I723" s="360"/>
    </row>
    <row r="724" spans="3:9">
      <c r="C724" s="239" t="str">
        <f t="shared" si="99"/>
        <v>Sin especificar</v>
      </c>
      <c r="D724" s="323" t="s">
        <v>63</v>
      </c>
      <c r="E724" s="239" t="s">
        <v>44</v>
      </c>
      <c r="F724" s="582" t="str">
        <f t="shared" si="96"/>
        <v>Sin especificarD2E</v>
      </c>
      <c r="G724" s="587"/>
      <c r="H724" s="584"/>
      <c r="I724" s="360"/>
    </row>
    <row r="725" spans="3:9">
      <c r="C725" s="239" t="str">
        <f t="shared" si="99"/>
        <v>Sin especificar</v>
      </c>
      <c r="D725" s="323" t="s">
        <v>63</v>
      </c>
      <c r="E725" s="289" t="str">
        <f>IF(Idioma=Castellano,"Sin definir",IF(Idioma=Valencià,"Sense definir","Sin definir"))</f>
        <v>Sin definir</v>
      </c>
      <c r="F725" s="582" t="str">
        <f t="shared" si="96"/>
        <v>Sin especificarD2Sin definir</v>
      </c>
      <c r="G725" s="587"/>
      <c r="H725" s="584"/>
      <c r="I725" s="360"/>
    </row>
    <row r="726" spans="3:9">
      <c r="C726" s="239" t="str">
        <f t="shared" ref="C726:C732" si="100">IF(Idioma=Castellano,"Sanitario",IF(Idioma=Valencià,"Sanitari ","Sanitario"))</f>
        <v>Sanitario</v>
      </c>
      <c r="D726" s="323" t="s">
        <v>231</v>
      </c>
      <c r="E726" s="289" t="str">
        <f>IF(Idioma=Castellano,"Existente",IF(Idioma=Valencià,"Existent","Existente"))</f>
        <v>Existente</v>
      </c>
      <c r="F726" s="582" t="str">
        <f t="shared" si="96"/>
        <v>SanitarioD3Existente</v>
      </c>
      <c r="G726" s="587"/>
      <c r="H726" s="584"/>
      <c r="I726" s="360"/>
    </row>
    <row r="727" spans="3:9">
      <c r="C727" s="239" t="str">
        <f t="shared" si="100"/>
        <v>Sanitario</v>
      </c>
      <c r="D727" s="323" t="s">
        <v>231</v>
      </c>
      <c r="E727" s="239" t="s">
        <v>29</v>
      </c>
      <c r="F727" s="582" t="str">
        <f t="shared" si="96"/>
        <v>SanitarioD3A</v>
      </c>
      <c r="G727" s="587"/>
      <c r="H727" s="584"/>
      <c r="I727" s="360"/>
    </row>
    <row r="728" spans="3:9">
      <c r="C728" s="239" t="str">
        <f t="shared" si="100"/>
        <v>Sanitario</v>
      </c>
      <c r="D728" s="323" t="s">
        <v>231</v>
      </c>
      <c r="E728" s="239" t="s">
        <v>35</v>
      </c>
      <c r="F728" s="582" t="str">
        <f t="shared" si="96"/>
        <v>SanitarioD3B</v>
      </c>
      <c r="G728" s="587"/>
      <c r="H728" s="584"/>
      <c r="I728" s="360"/>
    </row>
    <row r="729" spans="3:9">
      <c r="C729" s="239" t="str">
        <f t="shared" si="100"/>
        <v>Sanitario</v>
      </c>
      <c r="D729" s="323" t="s">
        <v>231</v>
      </c>
      <c r="E729" s="239" t="s">
        <v>38</v>
      </c>
      <c r="F729" s="582" t="str">
        <f t="shared" si="96"/>
        <v>SanitarioD3C</v>
      </c>
      <c r="G729" s="587"/>
      <c r="H729" s="584"/>
      <c r="I729" s="360"/>
    </row>
    <row r="730" spans="3:9">
      <c r="C730" s="239" t="str">
        <f t="shared" si="100"/>
        <v>Sanitario</v>
      </c>
      <c r="D730" s="323" t="s">
        <v>231</v>
      </c>
      <c r="E730" s="239" t="s">
        <v>41</v>
      </c>
      <c r="F730" s="582" t="str">
        <f t="shared" si="96"/>
        <v>SanitarioD3D</v>
      </c>
      <c r="G730" s="587"/>
      <c r="H730" s="584"/>
      <c r="I730" s="360"/>
    </row>
    <row r="731" spans="3:9">
      <c r="C731" s="239" t="str">
        <f t="shared" si="100"/>
        <v>Sanitario</v>
      </c>
      <c r="D731" s="323" t="s">
        <v>231</v>
      </c>
      <c r="E731" s="239" t="s">
        <v>44</v>
      </c>
      <c r="F731" s="582" t="str">
        <f t="shared" si="96"/>
        <v>SanitarioD3E</v>
      </c>
      <c r="G731" s="587"/>
      <c r="H731" s="584"/>
      <c r="I731" s="360"/>
    </row>
    <row r="732" spans="3:9">
      <c r="C732" s="239" t="str">
        <f t="shared" si="100"/>
        <v>Sanitario</v>
      </c>
      <c r="D732" s="323" t="s">
        <v>231</v>
      </c>
      <c r="E732" s="289" t="str">
        <f>IF(Idioma=Castellano,"Sin definir",IF(Idioma=Valencià,"Sense definir","Sin definir"))</f>
        <v>Sin definir</v>
      </c>
      <c r="F732" s="582" t="str">
        <f t="shared" si="96"/>
        <v>SanitarioD3Sin definir</v>
      </c>
      <c r="G732" s="587"/>
      <c r="H732" s="584"/>
      <c r="I732" s="360"/>
    </row>
    <row r="733" spans="3:9">
      <c r="C733" s="239" t="str">
        <f t="shared" ref="C733:C739" si="101">IF(Idioma=Castellano,"Educativo",IF(Idioma=Valencià,"Educatiu","Educativo"))</f>
        <v>Educativo</v>
      </c>
      <c r="D733" s="323" t="s">
        <v>231</v>
      </c>
      <c r="E733" s="289" t="str">
        <f>IF(Idioma=Castellano,"Existente",IF(Idioma=Valencià,"Existent","Existente"))</f>
        <v>Existente</v>
      </c>
      <c r="F733" s="582" t="str">
        <f t="shared" si="96"/>
        <v>EducativoD3Existente</v>
      </c>
      <c r="G733" s="587"/>
      <c r="H733" s="584"/>
      <c r="I733" s="360"/>
    </row>
    <row r="734" spans="3:9">
      <c r="C734" s="239" t="str">
        <f t="shared" si="101"/>
        <v>Educativo</v>
      </c>
      <c r="D734" s="323" t="s">
        <v>231</v>
      </c>
      <c r="E734" s="239" t="s">
        <v>29</v>
      </c>
      <c r="F734" s="582" t="str">
        <f t="shared" si="96"/>
        <v>EducativoD3A</v>
      </c>
      <c r="G734" s="587"/>
      <c r="H734" s="584"/>
      <c r="I734" s="360"/>
    </row>
    <row r="735" spans="3:9">
      <c r="C735" s="239" t="str">
        <f t="shared" si="101"/>
        <v>Educativo</v>
      </c>
      <c r="D735" s="323" t="s">
        <v>231</v>
      </c>
      <c r="E735" s="239" t="s">
        <v>35</v>
      </c>
      <c r="F735" s="582" t="str">
        <f t="shared" si="96"/>
        <v>EducativoD3B</v>
      </c>
      <c r="G735" s="587"/>
      <c r="H735" s="584"/>
      <c r="I735" s="360"/>
    </row>
    <row r="736" spans="3:9">
      <c r="C736" s="239" t="str">
        <f t="shared" si="101"/>
        <v>Educativo</v>
      </c>
      <c r="D736" s="323" t="s">
        <v>231</v>
      </c>
      <c r="E736" s="239" t="s">
        <v>38</v>
      </c>
      <c r="F736" s="582" t="str">
        <f t="shared" si="96"/>
        <v>EducativoD3C</v>
      </c>
      <c r="G736" s="587"/>
      <c r="H736" s="584"/>
      <c r="I736" s="360"/>
    </row>
    <row r="737" spans="3:9">
      <c r="C737" s="239" t="str">
        <f t="shared" si="101"/>
        <v>Educativo</v>
      </c>
      <c r="D737" s="323" t="s">
        <v>231</v>
      </c>
      <c r="E737" s="239" t="s">
        <v>41</v>
      </c>
      <c r="F737" s="582" t="str">
        <f t="shared" si="96"/>
        <v>EducativoD3D</v>
      </c>
      <c r="G737" s="587"/>
      <c r="H737" s="584"/>
      <c r="I737" s="360"/>
    </row>
    <row r="738" spans="3:9">
      <c r="C738" s="239" t="str">
        <f t="shared" si="101"/>
        <v>Educativo</v>
      </c>
      <c r="D738" s="323" t="s">
        <v>231</v>
      </c>
      <c r="E738" s="239" t="s">
        <v>44</v>
      </c>
      <c r="F738" s="582" t="str">
        <f t="shared" si="96"/>
        <v>EducativoD3E</v>
      </c>
      <c r="G738" s="587"/>
      <c r="H738" s="584"/>
      <c r="I738" s="360"/>
    </row>
    <row r="739" spans="3:9">
      <c r="C739" s="239" t="str">
        <f t="shared" si="101"/>
        <v>Educativo</v>
      </c>
      <c r="D739" s="323" t="s">
        <v>231</v>
      </c>
      <c r="E739" s="289" t="str">
        <f>IF(Idioma=Castellano,"Sin definir",IF(Idioma=Valencià,"Sense definir","Sin definir"))</f>
        <v>Sin definir</v>
      </c>
      <c r="F739" s="582" t="str">
        <f t="shared" si="96"/>
        <v>EducativoD3Sin definir</v>
      </c>
      <c r="G739" s="587"/>
      <c r="H739" s="584"/>
      <c r="I739" s="360"/>
    </row>
    <row r="740" spans="3:9">
      <c r="C740" s="239" t="str">
        <f t="shared" ref="C740:C746" si="102">IF(Idioma=Castellano,"Deportivo",IF(Idioma=Valencià,"Esportiu","Deportivo"))</f>
        <v>Deportivo</v>
      </c>
      <c r="D740" s="323" t="s">
        <v>231</v>
      </c>
      <c r="E740" s="289" t="str">
        <f>IF(Idioma=Castellano,"Existente",IF(Idioma=Valencià,"Existent","Existente"))</f>
        <v>Existente</v>
      </c>
      <c r="F740" s="582" t="str">
        <f t="shared" si="96"/>
        <v>DeportivoD3Existente</v>
      </c>
      <c r="G740" s="587"/>
      <c r="H740" s="584"/>
      <c r="I740" s="360"/>
    </row>
    <row r="741" spans="3:9">
      <c r="C741" s="239" t="str">
        <f t="shared" si="102"/>
        <v>Deportivo</v>
      </c>
      <c r="D741" s="323" t="s">
        <v>231</v>
      </c>
      <c r="E741" s="239" t="s">
        <v>29</v>
      </c>
      <c r="F741" s="582" t="str">
        <f t="shared" si="96"/>
        <v>DeportivoD3A</v>
      </c>
      <c r="G741" s="587"/>
      <c r="H741" s="584"/>
      <c r="I741" s="360"/>
    </row>
    <row r="742" spans="3:9">
      <c r="C742" s="239" t="str">
        <f t="shared" si="102"/>
        <v>Deportivo</v>
      </c>
      <c r="D742" s="323" t="s">
        <v>231</v>
      </c>
      <c r="E742" s="239" t="s">
        <v>35</v>
      </c>
      <c r="F742" s="582" t="str">
        <f t="shared" si="96"/>
        <v>DeportivoD3B</v>
      </c>
      <c r="G742" s="587"/>
      <c r="H742" s="584"/>
      <c r="I742" s="360"/>
    </row>
    <row r="743" spans="3:9">
      <c r="C743" s="239" t="str">
        <f t="shared" si="102"/>
        <v>Deportivo</v>
      </c>
      <c r="D743" s="323" t="s">
        <v>231</v>
      </c>
      <c r="E743" s="239" t="s">
        <v>38</v>
      </c>
      <c r="F743" s="582" t="str">
        <f t="shared" si="96"/>
        <v>DeportivoD3C</v>
      </c>
      <c r="G743" s="587"/>
      <c r="H743" s="584"/>
      <c r="I743" s="360"/>
    </row>
    <row r="744" spans="3:9">
      <c r="C744" s="239" t="str">
        <f t="shared" si="102"/>
        <v>Deportivo</v>
      </c>
      <c r="D744" s="323" t="s">
        <v>231</v>
      </c>
      <c r="E744" s="239" t="s">
        <v>41</v>
      </c>
      <c r="F744" s="582" t="str">
        <f t="shared" si="96"/>
        <v>DeportivoD3D</v>
      </c>
      <c r="G744" s="587"/>
      <c r="H744" s="584"/>
      <c r="I744" s="360"/>
    </row>
    <row r="745" spans="3:9">
      <c r="C745" s="239" t="str">
        <f t="shared" si="102"/>
        <v>Deportivo</v>
      </c>
      <c r="D745" s="323" t="s">
        <v>231</v>
      </c>
      <c r="E745" s="239" t="s">
        <v>44</v>
      </c>
      <c r="F745" s="582" t="str">
        <f t="shared" si="96"/>
        <v>DeportivoD3E</v>
      </c>
      <c r="G745" s="587"/>
      <c r="H745" s="584"/>
      <c r="I745" s="360"/>
    </row>
    <row r="746" spans="3:9">
      <c r="C746" s="239" t="str">
        <f t="shared" si="102"/>
        <v>Deportivo</v>
      </c>
      <c r="D746" s="323" t="s">
        <v>231</v>
      </c>
      <c r="E746" s="289" t="str">
        <f>IF(Idioma=Castellano,"Sin definir",IF(Idioma=Valencià,"Sense definir","Sin definir"))</f>
        <v>Sin definir</v>
      </c>
      <c r="F746" s="582" t="str">
        <f t="shared" si="96"/>
        <v>DeportivoD3Sin definir</v>
      </c>
      <c r="G746" s="587"/>
      <c r="H746" s="584"/>
      <c r="I746" s="360"/>
    </row>
    <row r="747" spans="3:9">
      <c r="C747" s="239" t="str">
        <f t="shared" ref="C747:C753" si="103">IF(Idioma=Castellano,"Sin especificar",IF(Idioma=Valencià,"Sense especificar ","Sin especificar"))</f>
        <v>Sin especificar</v>
      </c>
      <c r="D747" s="323" t="s">
        <v>231</v>
      </c>
      <c r="E747" s="289" t="str">
        <f>IF(Idioma=Castellano,"Existente",IF(Idioma=Valencià,"Existent","Existente"))</f>
        <v>Existente</v>
      </c>
      <c r="F747" s="582" t="str">
        <f t="shared" si="96"/>
        <v>Sin especificarD3Existente</v>
      </c>
      <c r="G747" s="587"/>
      <c r="H747" s="584"/>
      <c r="I747" s="360"/>
    </row>
    <row r="748" spans="3:9">
      <c r="C748" s="239" t="str">
        <f t="shared" si="103"/>
        <v>Sin especificar</v>
      </c>
      <c r="D748" s="323" t="s">
        <v>231</v>
      </c>
      <c r="E748" s="239" t="s">
        <v>29</v>
      </c>
      <c r="F748" s="582" t="str">
        <f t="shared" si="96"/>
        <v>Sin especificarD3A</v>
      </c>
      <c r="G748" s="587"/>
      <c r="H748" s="584"/>
      <c r="I748" s="360"/>
    </row>
    <row r="749" spans="3:9">
      <c r="C749" s="239" t="str">
        <f t="shared" si="103"/>
        <v>Sin especificar</v>
      </c>
      <c r="D749" s="323" t="s">
        <v>231</v>
      </c>
      <c r="E749" s="239" t="s">
        <v>35</v>
      </c>
      <c r="F749" s="582" t="str">
        <f t="shared" si="96"/>
        <v>Sin especificarD3B</v>
      </c>
      <c r="G749" s="587"/>
      <c r="H749" s="584"/>
      <c r="I749" s="360"/>
    </row>
    <row r="750" spans="3:9">
      <c r="C750" s="239" t="str">
        <f t="shared" si="103"/>
        <v>Sin especificar</v>
      </c>
      <c r="D750" s="323" t="s">
        <v>231</v>
      </c>
      <c r="E750" s="239" t="s">
        <v>38</v>
      </c>
      <c r="F750" s="582" t="str">
        <f t="shared" si="96"/>
        <v>Sin especificarD3C</v>
      </c>
      <c r="G750" s="587"/>
      <c r="H750" s="584"/>
      <c r="I750" s="360"/>
    </row>
    <row r="751" spans="3:9">
      <c r="C751" s="239" t="str">
        <f t="shared" si="103"/>
        <v>Sin especificar</v>
      </c>
      <c r="D751" s="323" t="s">
        <v>231</v>
      </c>
      <c r="E751" s="239" t="s">
        <v>41</v>
      </c>
      <c r="F751" s="582" t="str">
        <f t="shared" si="96"/>
        <v>Sin especificarD3D</v>
      </c>
      <c r="G751" s="587"/>
      <c r="H751" s="584"/>
      <c r="I751" s="360"/>
    </row>
    <row r="752" spans="3:9">
      <c r="C752" s="239" t="str">
        <f t="shared" si="103"/>
        <v>Sin especificar</v>
      </c>
      <c r="D752" s="323" t="s">
        <v>231</v>
      </c>
      <c r="E752" s="239" t="s">
        <v>44</v>
      </c>
      <c r="F752" s="582" t="str">
        <f t="shared" si="96"/>
        <v>Sin especificarD3E</v>
      </c>
      <c r="G752" s="587"/>
      <c r="H752" s="584"/>
      <c r="I752" s="360"/>
    </row>
    <row r="753" spans="3:9">
      <c r="C753" s="239" t="str">
        <f t="shared" si="103"/>
        <v>Sin especificar</v>
      </c>
      <c r="D753" s="323" t="s">
        <v>231</v>
      </c>
      <c r="E753" s="289" t="str">
        <f>IF(Idioma=Castellano,"Sin definir",IF(Idioma=Valencià,"Sense definir","Sin definir"))</f>
        <v>Sin definir</v>
      </c>
      <c r="F753" s="582" t="str">
        <f t="shared" si="96"/>
        <v>Sin especificarD3Sin definir</v>
      </c>
      <c r="G753" s="587"/>
      <c r="H753" s="584"/>
      <c r="I753" s="360"/>
    </row>
    <row r="754" spans="3:9">
      <c r="C754" s="239" t="str">
        <f t="shared" ref="C754:C760" si="104">IF(Idioma=Castellano,"Sanitario",IF(Idioma=Valencià,"Sanitari ","Sanitario"))</f>
        <v>Sanitario</v>
      </c>
      <c r="D754" s="323" t="s">
        <v>86</v>
      </c>
      <c r="E754" s="289" t="str">
        <f>IF(Idioma=Castellano,"Existente",IF(Idioma=Valencià,"Existent","Existente"))</f>
        <v>Existente</v>
      </c>
      <c r="F754" s="582" t="str">
        <f t="shared" si="96"/>
        <v>SanitarioE1Existente</v>
      </c>
      <c r="G754" s="587"/>
      <c r="H754" s="584"/>
      <c r="I754" s="360"/>
    </row>
    <row r="755" spans="3:9">
      <c r="C755" s="239" t="str">
        <f t="shared" si="104"/>
        <v>Sanitario</v>
      </c>
      <c r="D755" s="323" t="s">
        <v>86</v>
      </c>
      <c r="E755" s="239" t="s">
        <v>29</v>
      </c>
      <c r="F755" s="582" t="str">
        <f t="shared" si="96"/>
        <v>SanitarioE1A</v>
      </c>
      <c r="G755" s="587"/>
      <c r="H755" s="584"/>
      <c r="I755" s="360"/>
    </row>
    <row r="756" spans="3:9">
      <c r="C756" s="239" t="str">
        <f t="shared" si="104"/>
        <v>Sanitario</v>
      </c>
      <c r="D756" s="323" t="s">
        <v>86</v>
      </c>
      <c r="E756" s="239" t="s">
        <v>35</v>
      </c>
      <c r="F756" s="582" t="str">
        <f t="shared" si="96"/>
        <v>SanitarioE1B</v>
      </c>
      <c r="G756" s="587"/>
      <c r="H756" s="584"/>
      <c r="I756" s="360"/>
    </row>
    <row r="757" spans="3:9">
      <c r="C757" s="239" t="str">
        <f t="shared" si="104"/>
        <v>Sanitario</v>
      </c>
      <c r="D757" s="323" t="s">
        <v>86</v>
      </c>
      <c r="E757" s="239" t="s">
        <v>38</v>
      </c>
      <c r="F757" s="582" t="str">
        <f t="shared" si="96"/>
        <v>SanitarioE1C</v>
      </c>
      <c r="G757" s="587"/>
      <c r="H757" s="584"/>
      <c r="I757" s="360"/>
    </row>
    <row r="758" spans="3:9">
      <c r="C758" s="239" t="str">
        <f t="shared" si="104"/>
        <v>Sanitario</v>
      </c>
      <c r="D758" s="323" t="s">
        <v>86</v>
      </c>
      <c r="E758" s="239" t="s">
        <v>41</v>
      </c>
      <c r="F758" s="582" t="str">
        <f t="shared" si="96"/>
        <v>SanitarioE1D</v>
      </c>
      <c r="G758" s="587"/>
      <c r="H758" s="584"/>
      <c r="I758" s="360"/>
    </row>
    <row r="759" spans="3:9">
      <c r="C759" s="239" t="str">
        <f t="shared" si="104"/>
        <v>Sanitario</v>
      </c>
      <c r="D759" s="323" t="s">
        <v>86</v>
      </c>
      <c r="E759" s="239" t="s">
        <v>44</v>
      </c>
      <c r="F759" s="582" t="str">
        <f t="shared" si="96"/>
        <v>SanitarioE1E</v>
      </c>
      <c r="G759" s="587"/>
      <c r="H759" s="584"/>
      <c r="I759" s="360"/>
    </row>
    <row r="760" spans="3:9">
      <c r="C760" s="239" t="str">
        <f t="shared" si="104"/>
        <v>Sanitario</v>
      </c>
      <c r="D760" s="323" t="s">
        <v>86</v>
      </c>
      <c r="E760" s="289" t="str">
        <f>IF(Idioma=Castellano,"Sin definir",IF(Idioma=Valencià,"Sense definir","Sin definir"))</f>
        <v>Sin definir</v>
      </c>
      <c r="F760" s="582" t="str">
        <f t="shared" si="96"/>
        <v>SanitarioE1Sin definir</v>
      </c>
      <c r="G760" s="587"/>
      <c r="H760" s="584"/>
      <c r="I760" s="360"/>
    </row>
    <row r="761" spans="3:9">
      <c r="C761" s="239" t="str">
        <f t="shared" ref="C761:C767" si="105">IF(Idioma=Castellano,"Educativo",IF(Idioma=Valencià,"Educatiu","Educativo"))</f>
        <v>Educativo</v>
      </c>
      <c r="D761" s="323" t="s">
        <v>86</v>
      </c>
      <c r="E761" s="289" t="str">
        <f>IF(Idioma=Castellano,"Existente",IF(Idioma=Valencià,"Existent","Existente"))</f>
        <v>Existente</v>
      </c>
      <c r="F761" s="582" t="str">
        <f t="shared" si="96"/>
        <v>EducativoE1Existente</v>
      </c>
      <c r="G761" s="587"/>
      <c r="H761" s="584"/>
      <c r="I761" s="360"/>
    </row>
    <row r="762" spans="3:9">
      <c r="C762" s="239" t="str">
        <f t="shared" si="105"/>
        <v>Educativo</v>
      </c>
      <c r="D762" s="323" t="s">
        <v>86</v>
      </c>
      <c r="E762" s="239" t="s">
        <v>29</v>
      </c>
      <c r="F762" s="582" t="str">
        <f t="shared" si="96"/>
        <v>EducativoE1A</v>
      </c>
      <c r="G762" s="587"/>
      <c r="H762" s="584"/>
      <c r="I762" s="360"/>
    </row>
    <row r="763" spans="3:9">
      <c r="C763" s="239" t="str">
        <f t="shared" si="105"/>
        <v>Educativo</v>
      </c>
      <c r="D763" s="323" t="s">
        <v>86</v>
      </c>
      <c r="E763" s="239" t="s">
        <v>35</v>
      </c>
      <c r="F763" s="582" t="str">
        <f t="shared" si="96"/>
        <v>EducativoE1B</v>
      </c>
      <c r="G763" s="587"/>
      <c r="H763" s="584"/>
      <c r="I763" s="360"/>
    </row>
    <row r="764" spans="3:9">
      <c r="C764" s="239" t="str">
        <f t="shared" si="105"/>
        <v>Educativo</v>
      </c>
      <c r="D764" s="323" t="s">
        <v>86</v>
      </c>
      <c r="E764" s="239" t="s">
        <v>38</v>
      </c>
      <c r="F764" s="582" t="str">
        <f t="shared" si="96"/>
        <v>EducativoE1C</v>
      </c>
      <c r="G764" s="587"/>
      <c r="H764" s="584"/>
      <c r="I764" s="360"/>
    </row>
    <row r="765" spans="3:9">
      <c r="C765" s="239" t="str">
        <f t="shared" si="105"/>
        <v>Educativo</v>
      </c>
      <c r="D765" s="323" t="s">
        <v>86</v>
      </c>
      <c r="E765" s="239" t="s">
        <v>41</v>
      </c>
      <c r="F765" s="582" t="str">
        <f t="shared" si="96"/>
        <v>EducativoE1D</v>
      </c>
      <c r="G765" s="587"/>
      <c r="H765" s="584"/>
      <c r="I765" s="360"/>
    </row>
    <row r="766" spans="3:9">
      <c r="C766" s="239" t="str">
        <f t="shared" si="105"/>
        <v>Educativo</v>
      </c>
      <c r="D766" s="323" t="s">
        <v>86</v>
      </c>
      <c r="E766" s="239" t="s">
        <v>44</v>
      </c>
      <c r="F766" s="582" t="str">
        <f t="shared" si="96"/>
        <v>EducativoE1E</v>
      </c>
      <c r="G766" s="587"/>
      <c r="H766" s="584"/>
      <c r="I766" s="360"/>
    </row>
    <row r="767" spans="3:9">
      <c r="C767" s="239" t="str">
        <f t="shared" si="105"/>
        <v>Educativo</v>
      </c>
      <c r="D767" s="323" t="s">
        <v>86</v>
      </c>
      <c r="E767" s="289" t="str">
        <f>IF(Idioma=Castellano,"Sin definir",IF(Idioma=Valencià,"Sense definir","Sin definir"))</f>
        <v>Sin definir</v>
      </c>
      <c r="F767" s="582" t="str">
        <f t="shared" ref="F767:F781" si="106">C767&amp;D767&amp;E767</f>
        <v>EducativoE1Sin definir</v>
      </c>
      <c r="G767" s="587"/>
      <c r="H767" s="584"/>
      <c r="I767" s="360"/>
    </row>
    <row r="768" spans="3:9">
      <c r="C768" s="239" t="str">
        <f t="shared" ref="C768:C774" si="107">IF(Idioma=Castellano,"Deportivo",IF(Idioma=Valencià,"Esportiu","Deportivo"))</f>
        <v>Deportivo</v>
      </c>
      <c r="D768" s="323" t="s">
        <v>86</v>
      </c>
      <c r="E768" s="289" t="str">
        <f>IF(Idioma=Castellano,"Existente",IF(Idioma=Valencià,"Existent","Existente"))</f>
        <v>Existente</v>
      </c>
      <c r="F768" s="582" t="str">
        <f t="shared" si="106"/>
        <v>DeportivoE1Existente</v>
      </c>
      <c r="G768" s="587"/>
      <c r="H768" s="584"/>
      <c r="I768" s="360"/>
    </row>
    <row r="769" spans="3:9">
      <c r="C769" s="239" t="str">
        <f t="shared" si="107"/>
        <v>Deportivo</v>
      </c>
      <c r="D769" s="323" t="s">
        <v>86</v>
      </c>
      <c r="E769" s="239" t="s">
        <v>29</v>
      </c>
      <c r="F769" s="582" t="str">
        <f t="shared" si="106"/>
        <v>DeportivoE1A</v>
      </c>
      <c r="G769" s="587"/>
      <c r="H769" s="584"/>
      <c r="I769" s="360"/>
    </row>
    <row r="770" spans="3:9">
      <c r="C770" s="239" t="str">
        <f t="shared" si="107"/>
        <v>Deportivo</v>
      </c>
      <c r="D770" s="323" t="s">
        <v>86</v>
      </c>
      <c r="E770" s="239" t="s">
        <v>35</v>
      </c>
      <c r="F770" s="582" t="str">
        <f t="shared" si="106"/>
        <v>DeportivoE1B</v>
      </c>
      <c r="G770" s="587"/>
      <c r="H770" s="584"/>
      <c r="I770" s="360"/>
    </row>
    <row r="771" spans="3:9">
      <c r="C771" s="239" t="str">
        <f t="shared" si="107"/>
        <v>Deportivo</v>
      </c>
      <c r="D771" s="323" t="s">
        <v>86</v>
      </c>
      <c r="E771" s="239" t="s">
        <v>38</v>
      </c>
      <c r="F771" s="582" t="str">
        <f t="shared" si="106"/>
        <v>DeportivoE1C</v>
      </c>
      <c r="G771" s="587"/>
      <c r="H771" s="584"/>
      <c r="I771" s="360"/>
    </row>
    <row r="772" spans="3:9">
      <c r="C772" s="239" t="str">
        <f t="shared" si="107"/>
        <v>Deportivo</v>
      </c>
      <c r="D772" s="323" t="s">
        <v>86</v>
      </c>
      <c r="E772" s="239" t="s">
        <v>41</v>
      </c>
      <c r="F772" s="582" t="str">
        <f t="shared" si="106"/>
        <v>DeportivoE1D</v>
      </c>
      <c r="G772" s="587"/>
      <c r="H772" s="584"/>
      <c r="I772" s="360"/>
    </row>
    <row r="773" spans="3:9">
      <c r="C773" s="239" t="str">
        <f t="shared" si="107"/>
        <v>Deportivo</v>
      </c>
      <c r="D773" s="323" t="s">
        <v>86</v>
      </c>
      <c r="E773" s="239" t="s">
        <v>44</v>
      </c>
      <c r="F773" s="582" t="str">
        <f t="shared" si="106"/>
        <v>DeportivoE1E</v>
      </c>
      <c r="G773" s="587"/>
      <c r="H773" s="584"/>
      <c r="I773" s="360"/>
    </row>
    <row r="774" spans="3:9">
      <c r="C774" s="239" t="str">
        <f t="shared" si="107"/>
        <v>Deportivo</v>
      </c>
      <c r="D774" s="323" t="s">
        <v>86</v>
      </c>
      <c r="E774" s="289" t="str">
        <f>IF(Idioma=Castellano,"Sin definir",IF(Idioma=Valencià,"Sense definir","Sin definir"))</f>
        <v>Sin definir</v>
      </c>
      <c r="F774" s="582" t="str">
        <f t="shared" si="106"/>
        <v>DeportivoE1Sin definir</v>
      </c>
      <c r="G774" s="587"/>
      <c r="H774" s="584"/>
      <c r="I774" s="360"/>
    </row>
    <row r="775" spans="3:9">
      <c r="C775" s="239" t="str">
        <f t="shared" ref="C775:C781" si="108">IF(Idioma=Castellano,"Sin especificar",IF(Idioma=Valencià,"Sense especificar ","Sin especificar"))</f>
        <v>Sin especificar</v>
      </c>
      <c r="D775" s="323" t="s">
        <v>86</v>
      </c>
      <c r="E775" s="289" t="str">
        <f>IF(Idioma=Castellano,"Existente",IF(Idioma=Valencià,"Existent","Existente"))</f>
        <v>Existente</v>
      </c>
      <c r="F775" s="582" t="str">
        <f t="shared" si="106"/>
        <v>Sin especificarE1Existente</v>
      </c>
      <c r="G775" s="587"/>
      <c r="H775" s="584"/>
      <c r="I775" s="360"/>
    </row>
    <row r="776" spans="3:9">
      <c r="C776" s="239" t="str">
        <f t="shared" si="108"/>
        <v>Sin especificar</v>
      </c>
      <c r="D776" s="323" t="s">
        <v>86</v>
      </c>
      <c r="E776" s="239" t="s">
        <v>29</v>
      </c>
      <c r="F776" s="582" t="str">
        <f t="shared" si="106"/>
        <v>Sin especificarE1A</v>
      </c>
      <c r="G776" s="587"/>
      <c r="H776" s="584"/>
      <c r="I776" s="360"/>
    </row>
    <row r="777" spans="3:9">
      <c r="C777" s="239" t="str">
        <f t="shared" si="108"/>
        <v>Sin especificar</v>
      </c>
      <c r="D777" s="323" t="s">
        <v>86</v>
      </c>
      <c r="E777" s="239" t="s">
        <v>35</v>
      </c>
      <c r="F777" s="582" t="str">
        <f t="shared" si="106"/>
        <v>Sin especificarE1B</v>
      </c>
      <c r="G777" s="587"/>
      <c r="H777" s="584"/>
      <c r="I777" s="360"/>
    </row>
    <row r="778" spans="3:9">
      <c r="C778" s="239" t="str">
        <f t="shared" si="108"/>
        <v>Sin especificar</v>
      </c>
      <c r="D778" s="323" t="s">
        <v>86</v>
      </c>
      <c r="E778" s="239" t="s">
        <v>38</v>
      </c>
      <c r="F778" s="582" t="str">
        <f t="shared" si="106"/>
        <v>Sin especificarE1C</v>
      </c>
      <c r="G778" s="587"/>
      <c r="H778" s="584"/>
      <c r="I778" s="360"/>
    </row>
    <row r="779" spans="3:9">
      <c r="C779" s="239" t="str">
        <f t="shared" si="108"/>
        <v>Sin especificar</v>
      </c>
      <c r="D779" s="323" t="s">
        <v>86</v>
      </c>
      <c r="E779" s="239" t="s">
        <v>41</v>
      </c>
      <c r="F779" s="582" t="str">
        <f t="shared" si="106"/>
        <v>Sin especificarE1D</v>
      </c>
      <c r="G779" s="587"/>
      <c r="H779" s="584"/>
      <c r="I779" s="360"/>
    </row>
    <row r="780" spans="3:9">
      <c r="C780" s="239" t="str">
        <f t="shared" si="108"/>
        <v>Sin especificar</v>
      </c>
      <c r="D780" s="323" t="s">
        <v>86</v>
      </c>
      <c r="E780" s="239" t="s">
        <v>44</v>
      </c>
      <c r="F780" s="582" t="str">
        <f t="shared" si="106"/>
        <v>Sin especificarE1E</v>
      </c>
      <c r="G780" s="587"/>
      <c r="H780" s="584"/>
      <c r="I780" s="360"/>
    </row>
    <row r="781" spans="3:9">
      <c r="C781" s="239" t="str">
        <f t="shared" si="108"/>
        <v>Sin especificar</v>
      </c>
      <c r="D781" s="323" t="s">
        <v>86</v>
      </c>
      <c r="E781" s="289" t="str">
        <f>IF(Idioma=Castellano,"Sin definir",IF(Idioma=Valencià,"Sense definir","Sin definir"))</f>
        <v>Sin definir</v>
      </c>
      <c r="F781" s="582" t="str">
        <f t="shared" si="106"/>
        <v>Sin especificarE1Sin definir</v>
      </c>
      <c r="G781" s="587"/>
      <c r="H781" s="584"/>
      <c r="I781" s="360"/>
    </row>
    <row r="782" spans="3:9">
      <c r="C782" s="337"/>
      <c r="D782" s="493"/>
      <c r="E782" s="337"/>
      <c r="F782" s="11"/>
      <c r="G782" s="337"/>
      <c r="H782" s="494"/>
      <c r="I782" s="495"/>
    </row>
    <row r="783" spans="3:9">
      <c r="C783" s="337"/>
      <c r="D783" s="493"/>
      <c r="E783" s="337"/>
      <c r="F783" s="11"/>
      <c r="G783" s="337"/>
      <c r="H783" s="494"/>
      <c r="I783" s="495"/>
    </row>
    <row r="784" spans="3:9">
      <c r="C784" s="337"/>
      <c r="D784" s="493"/>
      <c r="E784" s="337"/>
      <c r="F784" s="11"/>
      <c r="G784" s="337"/>
      <c r="H784" s="494"/>
      <c r="I784" s="495"/>
    </row>
    <row r="785" spans="3:7">
      <c r="C785" s="81" t="str">
        <f>IF(Idioma=Castellano,"¿Se ha completado la tabla de demanda energética y factores de emisión para usos industriales del suelo?",IF(Idioma=Valencià,"S'ha completat la taula de demanda energètica i factors d'emissió per a usos industrials del sòl?"))</f>
        <v>¿Se ha completado la tabla de demanda energética y factores de emisión para usos industriales del suelo?</v>
      </c>
      <c r="D785" s="12"/>
      <c r="E785" s="12"/>
      <c r="F785" s="12"/>
      <c r="G785" s="492" t="s">
        <v>27</v>
      </c>
    </row>
    <row r="787" spans="3:7">
      <c r="C787" s="267" t="s">
        <v>632</v>
      </c>
      <c r="D787" s="267"/>
      <c r="E787" s="267"/>
      <c r="F787" s="267"/>
      <c r="G787" s="267"/>
    </row>
    <row r="788" spans="3:7">
      <c r="C788" s="324" t="str">
        <f>IF(Idioma=Castellano,"Concepto",IF(Idioma=Valencià,"Concepte"))</f>
        <v>Concepto</v>
      </c>
      <c r="D788" s="324" t="str">
        <f>IF(Idioma=Castellano,"Demanda energética (kWh/m2*año)",IF(Idioma=Valencià,"Demanda energètica (kWh/m²*any)"))</f>
        <v>Demanda energética (kWh/m2*año)</v>
      </c>
      <c r="E788" s="324" t="str">
        <f>IF(Idioma=Castellano,"Factor de emisión  CO2 (kg CO2e/m2*año)",IF(Idioma=Valencià,"Factor d'emissió CO₂ (kg *CO2e/m²*any)"))</f>
        <v>Factor de emisión  CO2 (kg CO2e/m2*año)</v>
      </c>
      <c r="F788" s="268"/>
      <c r="G788" s="572" t="str">
        <f>IF(Idioma=Castellano,"Fuente",IF(Idioma=Valencià,"Font"))</f>
        <v>Fuente</v>
      </c>
    </row>
    <row r="789" spans="3:7">
      <c r="C789" s="239" t="str">
        <f>IF(Idioma=Castellano,"Sin especificar",IF(Idioma=Valencià,"Sense especificar ","Sin especificar"))</f>
        <v>Sin especificar</v>
      </c>
      <c r="D789" s="165"/>
      <c r="E789" s="75"/>
      <c r="F789" s="75"/>
      <c r="G789" s="74"/>
    </row>
    <row r="790" spans="3:7">
      <c r="C790" s="13" t="str">
        <f>'M_Nuevos Desarrollos'!C74</f>
        <v>Cerámica</v>
      </c>
      <c r="D790" s="165"/>
      <c r="E790" s="75"/>
      <c r="F790" s="75"/>
      <c r="G790" s="74"/>
    </row>
    <row r="791" spans="3:7">
      <c r="C791" s="13" t="str">
        <f>'M_Nuevos Desarrollos'!C75</f>
        <v>Agroalimentaria</v>
      </c>
      <c r="D791" s="165"/>
      <c r="E791" s="75"/>
      <c r="F791" s="75"/>
      <c r="G791" s="74"/>
    </row>
    <row r="792" spans="3:7">
      <c r="C792" s="13" t="str">
        <f>'M_Nuevos Desarrollos'!C76</f>
        <v>Logística</v>
      </c>
      <c r="D792" s="165"/>
      <c r="E792" s="75"/>
      <c r="F792" s="75"/>
      <c r="G792" s="74"/>
    </row>
    <row r="793" spans="3:7">
      <c r="C793" s="13" t="str">
        <f>'M_Nuevos Desarrollos'!C77</f>
        <v>Textil</v>
      </c>
      <c r="D793" s="165"/>
      <c r="E793" s="75"/>
      <c r="F793" s="75"/>
      <c r="G793" s="74"/>
    </row>
  </sheetData>
  <sheetProtection algorithmName="SHA-512" hashValue="clFmj/70DmMkBppV41eO3J75x4hpwUN2opWubuWc1pO9WMkh1b9KntnM2t3rTNXwk4SVrlJErfo4e6k8ExZFBw==" saltValue="Dsy4XTxbOXzELW/vQozYqQ==" spinCount="100000" sheet="1" objects="1" scenarios="1"/>
  <autoFilter ref="C445:I781" xr:uid="{857E36B9-DA4C-4607-99A0-88C695A12C58}"/>
  <mergeCells count="6">
    <mergeCell ref="G13:H13"/>
    <mergeCell ref="G444:H444"/>
    <mergeCell ref="D444:D445"/>
    <mergeCell ref="E444:E445"/>
    <mergeCell ref="D13:D14"/>
    <mergeCell ref="E13:E14"/>
  </mergeCells>
  <phoneticPr fontId="71" type="noConversion"/>
  <hyperlinks>
    <hyperlink ref="A7" location="Instrucciones_Valencia!A1" display="Instrucciones_Valencia!A1" xr:uid="{2705C53E-ED08-40AB-90D0-90D0836EC5CA}"/>
    <hyperlink ref="A9" location="M_Datos_Valencia!A1" display="M_Datos_Valencia!A1" xr:uid="{565BFFD6-57B7-49E7-89EE-13375A6AC22D}"/>
    <hyperlink ref="A11" location="V_A0!A1" display="2.1. Alternativa 0 (A0)" xr:uid="{64D6B19A-2CA5-45F4-8436-ECA75C385C31}"/>
    <hyperlink ref="A12" location="V_A1!A1" display="2.2. Alternativa 1 (A1)" xr:uid="{023685F3-B0BB-447A-96CE-8FB334B9A910}"/>
    <hyperlink ref="A13" location="V_A2!A1" display="2.3. Alternativa 2 (A2)" xr:uid="{574AA324-9E37-4292-9809-5F323A4391E2}"/>
    <hyperlink ref="A14" location="V_A3!A1" display="2.4. Alternativa 3 (A3)" xr:uid="{F9F69131-23C6-4638-8E67-F239163418FF}"/>
    <hyperlink ref="A15" location="V_A4!A1" display="2.5. Alternativa 4 (A4)" xr:uid="{30A381BB-6F23-49E6-9B44-6800ADA408F2}"/>
    <hyperlink ref="A16" location="B_Resultados!A1" display="B_Resultados!A1" xr:uid="{FE12F33D-B355-4C08-ACD9-69E30DD7945F}"/>
    <hyperlink ref="A17" location="V_Factores!A1" display="V_Factores!A1" xr:uid="{ED38D379-6531-458C-9B30-3A97804CD6CF}"/>
    <hyperlink ref="A19" location="B_Alcance!A1" display="B_Alcance!A1" xr:uid="{91B4F0C8-B008-41E9-BF50-AD4A9CA9701E}"/>
    <hyperlink ref="A20" location="B_Checklist!A1" display="2. Checklist" xr:uid="{1BA38618-8D60-4E6F-8BB5-E8B82A67E05F}"/>
    <hyperlink ref="A21" location="Medidas_Propuestas!A1" display="Medidas_Propuestas!A1" xr:uid="{F5E1170E-2F95-4D68-8D0F-25C27FDD380A}"/>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D05764D-BC2D-4930-B994-73C724B9ACFE}">
          <x14:formula1>
            <xm:f>M_Lista!$E$3:$E$4</xm:f>
          </x14:formula1>
          <xm:sqref>G785 G6:G10 G439:G441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05985-AB4C-4054-B8C4-F14DFABAA7FF}">
  <sheetPr>
    <tabColor theme="5" tint="0.79998168889431442"/>
  </sheetPr>
  <dimension ref="A1:BE102"/>
  <sheetViews>
    <sheetView workbookViewId="0">
      <selection activeCell="O39" sqref="O39"/>
    </sheetView>
  </sheetViews>
  <sheetFormatPr baseColWidth="10" defaultColWidth="11.44140625" defaultRowHeight="15.6"/>
  <cols>
    <col min="1" max="1" width="29.5546875" style="145" customWidth="1"/>
    <col min="2" max="2" width="11.44140625" style="1"/>
    <col min="3" max="3" width="34.6640625" style="1" customWidth="1"/>
    <col min="4" max="4" width="15.5546875" style="1" customWidth="1"/>
    <col min="5" max="5" width="23.44140625" style="1" customWidth="1"/>
    <col min="6" max="6" width="21.109375" style="1" customWidth="1"/>
    <col min="7" max="7" width="19.109375" style="1" customWidth="1"/>
    <col min="8" max="8" width="21.33203125" style="1" customWidth="1"/>
    <col min="9" max="9" width="19.5546875" style="1" bestFit="1" customWidth="1"/>
    <col min="10" max="10" width="16.5546875" style="1" customWidth="1"/>
    <col min="11" max="11" width="24.5546875" style="1" bestFit="1" customWidth="1"/>
    <col min="12" max="12" width="19.5546875" style="1" bestFit="1" customWidth="1"/>
    <col min="13" max="13" width="15.44140625" style="1" customWidth="1"/>
    <col min="14" max="14" width="24.5546875" style="1" bestFit="1" customWidth="1"/>
    <col min="15" max="15" width="19.5546875" style="1" bestFit="1" customWidth="1"/>
    <col min="16" max="16384" width="11.44140625" style="1"/>
  </cols>
  <sheetData>
    <row r="1" spans="1:24" s="135" customFormat="1" ht="30" customHeight="1">
      <c r="A1" s="1"/>
      <c r="B1" s="137"/>
    </row>
    <row r="2" spans="1:24" s="135" customFormat="1" ht="30" customHeight="1">
      <c r="A2" s="1"/>
      <c r="B2" s="137"/>
      <c r="C2" s="136" t="str">
        <f>IF(Idioma=Castellano,"4. Nuevos desarrollos",IF(Idioma=Valencià,"4. Nous desenvolupaments   ","4. Nuevos desarrollos"))</f>
        <v>4. Nuevos desarrollos</v>
      </c>
    </row>
    <row r="3" spans="1:24" s="135" customFormat="1" ht="30" customHeight="1">
      <c r="A3" s="1"/>
      <c r="B3" s="137"/>
    </row>
    <row r="4" spans="1:24" ht="14.4">
      <c r="A4" s="143"/>
      <c r="O4" s="7"/>
      <c r="P4" s="7"/>
      <c r="Q4" s="7"/>
      <c r="R4" s="7"/>
      <c r="S4" s="7"/>
      <c r="T4" s="7"/>
      <c r="U4" s="7"/>
      <c r="V4" s="7"/>
      <c r="W4" s="7"/>
    </row>
    <row r="5" spans="1:24" ht="14.4">
      <c r="A5" s="143"/>
      <c r="O5" s="7"/>
      <c r="P5" s="3"/>
      <c r="Q5" s="9"/>
      <c r="R5" s="9"/>
      <c r="S5" s="9"/>
      <c r="T5" s="9"/>
      <c r="U5" s="9"/>
      <c r="V5" s="3"/>
      <c r="W5" s="3"/>
      <c r="X5" s="3"/>
    </row>
    <row r="6" spans="1:24">
      <c r="A6" s="201" t="str">
        <f>IF(Idioma=Castellano,"Índice",IF(Idioma=Valencià,"Índex","Índice"))</f>
        <v>Índice</v>
      </c>
      <c r="C6" s="62" t="str">
        <f>IF(Idioma=Castellano,"Nombre del plan",IF(Idioma=Valencià,"Nom del pla","Nombre del plan"))</f>
        <v>Nombre del plan</v>
      </c>
      <c r="D6" s="673">
        <f>M_Datos!E7</f>
        <v>0</v>
      </c>
      <c r="E6" s="674"/>
      <c r="F6" s="674"/>
      <c r="G6" s="674"/>
      <c r="H6" s="674"/>
      <c r="I6" s="674"/>
      <c r="J6" s="674"/>
      <c r="K6" s="674"/>
      <c r="O6" s="7"/>
      <c r="P6" s="3"/>
      <c r="Q6" s="9" t="e">
        <f>#REF!</f>
        <v>#REF!</v>
      </c>
      <c r="R6" s="9" t="str">
        <f>D18</f>
        <v>Alternativa 1</v>
      </c>
      <c r="S6" s="9" t="str">
        <f>F18</f>
        <v>Alternativa 2</v>
      </c>
      <c r="T6" s="9" t="str">
        <f>H18</f>
        <v>Alternativa 3</v>
      </c>
      <c r="U6" s="9" t="str">
        <f>J18</f>
        <v>Alternativa 4</v>
      </c>
      <c r="V6" s="3"/>
      <c r="W6" s="3"/>
      <c r="X6" s="3"/>
    </row>
    <row r="7" spans="1:24" ht="14.4">
      <c r="A7" s="202" t="str">
        <f>IF(Idioma=Castellano,"Instrucciones",IF(Idioma=Valencià,"Instruccions","Instrucciones"))</f>
        <v>Instrucciones</v>
      </c>
      <c r="C7" s="62" t="s">
        <v>10</v>
      </c>
      <c r="D7" s="673">
        <f>M_Datos!E8</f>
        <v>0</v>
      </c>
      <c r="E7" s="674"/>
      <c r="F7" s="674"/>
      <c r="G7" s="674"/>
      <c r="H7" s="674"/>
      <c r="I7" s="674"/>
      <c r="J7" s="674"/>
      <c r="K7" s="674"/>
      <c r="O7" s="7"/>
      <c r="P7" s="3"/>
      <c r="Q7" s="10" t="e">
        <f>#REF!</f>
        <v>#REF!</v>
      </c>
      <c r="R7" s="10" t="e">
        <f>D24</f>
        <v>#N/A</v>
      </c>
      <c r="S7" s="10" t="e">
        <f>F24</f>
        <v>#N/A</v>
      </c>
      <c r="T7" s="10" t="e">
        <f>H24</f>
        <v>#N/A</v>
      </c>
      <c r="U7" s="10" t="e">
        <f>J24</f>
        <v>#N/A</v>
      </c>
      <c r="V7" s="3"/>
      <c r="W7" s="3"/>
      <c r="X7" s="3"/>
    </row>
    <row r="8" spans="1:24" ht="14.4">
      <c r="A8" s="203" t="str">
        <f>IF(Idioma=Castellano,"Sección de Mitigación",IF(Idioma=Valencià,"Secció de Mitigació", "Sección de Mitigación"))</f>
        <v>Sección de Mitigación</v>
      </c>
      <c r="C8" s="62" t="str">
        <f>IF(Idioma=Castellano,"Municipio",IF(Idioma=Valencià,"Municipi","Municipio"))</f>
        <v>Municipio</v>
      </c>
      <c r="D8" s="673">
        <f>M_Datos!E9</f>
        <v>0</v>
      </c>
      <c r="E8" s="674"/>
      <c r="F8" s="674"/>
      <c r="G8" s="674"/>
      <c r="H8" s="674"/>
      <c r="I8" s="674"/>
      <c r="J8" s="674"/>
      <c r="K8" s="674"/>
      <c r="O8" s="7"/>
      <c r="P8" s="32"/>
      <c r="Q8" s="32"/>
      <c r="R8" s="32"/>
      <c r="S8" s="32"/>
      <c r="T8" s="32"/>
      <c r="U8" s="32"/>
      <c r="V8" s="32"/>
      <c r="W8" s="32"/>
      <c r="X8" s="32"/>
    </row>
    <row r="9" spans="1:24" ht="14.4">
      <c r="A9" s="204" t="str">
        <f>IF(Idioma=Castellano,"1. Datos de entrada",IF(Idioma=Valencià,"1.Dades d'entrada","1. Datos de entrada"))</f>
        <v>1. Datos de entrada</v>
      </c>
      <c r="C9" s="279"/>
      <c r="D9" s="280"/>
      <c r="E9" s="6"/>
      <c r="F9" s="6"/>
      <c r="G9" s="6"/>
      <c r="H9" s="6"/>
      <c r="I9" s="6"/>
      <c r="J9" s="6"/>
      <c r="K9" s="6"/>
      <c r="O9" s="7"/>
      <c r="P9" s="32"/>
      <c r="Q9" s="32"/>
      <c r="R9" s="32"/>
      <c r="S9" s="32"/>
      <c r="T9" s="32"/>
      <c r="U9" s="32"/>
      <c r="V9" s="32"/>
      <c r="W9" s="32"/>
      <c r="X9" s="32"/>
    </row>
    <row r="10" spans="1:24" ht="14.4">
      <c r="A10" s="204" t="str">
        <f>IF(Idioma=Castellano,"2. Cálculo de Alternativas:",IF(Idioma=Valencià,"2. Càlcul d'alternatives :","2. Cálculo de Alternativas:"))</f>
        <v>2. Cálculo de Alternativas:</v>
      </c>
      <c r="O10" s="7"/>
      <c r="P10" s="32"/>
      <c r="Q10" s="32"/>
      <c r="R10" s="32"/>
      <c r="S10" s="32"/>
      <c r="T10" s="32"/>
      <c r="U10" s="32"/>
      <c r="V10" s="32"/>
      <c r="W10" s="32"/>
      <c r="X10" s="32"/>
    </row>
    <row r="11" spans="1:24" s="281" customFormat="1" ht="21">
      <c r="A11" s="205" t="s">
        <v>1</v>
      </c>
      <c r="C11" s="282" t="str">
        <f>IF(Idioma=Castellano,"RESULTADOS DEMANDA ENERGÉTICA NUEVOS DESARROLLOS",IF(Idioma=Valencià,"RESULTATS DEMANDA ENERGÈTICA NOUS DESENVOLUPAMENTS","RESULTADOS DEMANDA ENERGÉTICA NUEVOS DESARROLLOS"))</f>
        <v>RESULTADOS DEMANDA ENERGÉTICA NUEVOS DESARROLLOS</v>
      </c>
    </row>
    <row r="12" spans="1:24" ht="14.4">
      <c r="A12" s="205" t="s">
        <v>2</v>
      </c>
      <c r="O12" s="7"/>
      <c r="P12" s="32"/>
      <c r="Q12" s="32"/>
      <c r="R12" s="32"/>
      <c r="S12" s="32"/>
      <c r="T12" s="32"/>
      <c r="U12" s="32"/>
      <c r="V12" s="32"/>
      <c r="W12" s="32"/>
      <c r="X12" s="32"/>
    </row>
    <row r="13" spans="1:24" ht="18">
      <c r="A13" s="205" t="s">
        <v>3</v>
      </c>
      <c r="O13" s="7"/>
      <c r="P13" s="32"/>
      <c r="Q13" s="32"/>
      <c r="R13" s="32"/>
      <c r="S13" s="547" t="str">
        <f>IF(Idioma=Castellano,"Demanda energética resultante por alternativa (MWh/año)",IF(Idioma=Valencià,"Demanda energètica resultant per alternativa (MWh/any)"))</f>
        <v>Demanda energética resultante por alternativa (MWh/año)</v>
      </c>
      <c r="T13" s="32"/>
      <c r="U13" s="32"/>
      <c r="V13" s="32"/>
      <c r="W13" s="32"/>
      <c r="X13" s="32"/>
    </row>
    <row r="14" spans="1:24" ht="14.4">
      <c r="A14" s="205" t="s">
        <v>4</v>
      </c>
    </row>
    <row r="15" spans="1:24" ht="14.4">
      <c r="A15" s="205" t="s">
        <v>5</v>
      </c>
      <c r="C15" s="250" t="str">
        <f>IF(Idioma=Castellano,"TABLA RESUMEN",IF(Idioma=Valencià,"TAULA RESUMEIXEN","TABLA RESUMEN"))</f>
        <v>TABLA RESUMEN</v>
      </c>
      <c r="I15" s="608"/>
      <c r="L15" s="7"/>
      <c r="M15" s="7"/>
      <c r="N15" s="7"/>
      <c r="O15" s="7"/>
    </row>
    <row r="16" spans="1:24" ht="14.4">
      <c r="A16" s="204" t="str">
        <f>IF(Idioma=Castellano,"3. Resultados",IF(Idioma=Valencià,"3. Resultats","3. Resultados"))</f>
        <v>3. Resultados</v>
      </c>
      <c r="C16" s="7"/>
      <c r="D16" s="7"/>
      <c r="E16" s="7"/>
      <c r="F16" s="7"/>
      <c r="G16" s="7"/>
      <c r="H16" s="7"/>
      <c r="I16" s="7"/>
      <c r="J16" s="7"/>
      <c r="K16" s="7"/>
    </row>
    <row r="17" spans="1:57" ht="14.4">
      <c r="A17" s="204" t="str">
        <f>IF(Idioma=Castellano,"4. Factores de emisión",IF(Idioma=Valencià,"4. Factors d'emissió","4. Factores de emisión"))</f>
        <v>4. Factores de emisión</v>
      </c>
      <c r="C17"/>
      <c r="E17" s="7"/>
      <c r="F17" s="7"/>
      <c r="G17" s="7"/>
      <c r="H17" s="7"/>
      <c r="I17" s="7"/>
      <c r="J17" s="7"/>
      <c r="K17" s="7"/>
      <c r="P17" s="7"/>
    </row>
    <row r="18" spans="1:57" ht="14.4">
      <c r="A18" s="203" t="str">
        <f>IF(Idioma=Castellano,"Sección de Adaptación",IF(Idioma=Valencià,"Secció d'Adaptació","Sección de Adaptación"))</f>
        <v>Sección de Adaptación</v>
      </c>
      <c r="C18" s="7"/>
      <c r="D18" s="684" t="s">
        <v>31</v>
      </c>
      <c r="E18" s="685"/>
      <c r="F18" s="686" t="s">
        <v>36</v>
      </c>
      <c r="G18" s="687"/>
      <c r="H18" s="688" t="s">
        <v>39</v>
      </c>
      <c r="I18" s="689"/>
      <c r="J18" s="690" t="s">
        <v>42</v>
      </c>
      <c r="K18" s="691"/>
      <c r="P18" s="7"/>
    </row>
    <row r="19" spans="1:57" ht="14.4">
      <c r="A19" s="204" t="str">
        <f>IF(Idioma=Castellano,"1. Alcance",IF(Idioma=Valencià,"1. Abast","1. Alcance"))</f>
        <v>1. Alcance</v>
      </c>
      <c r="D19" s="469" t="s">
        <v>631</v>
      </c>
      <c r="E19" s="469" t="s">
        <v>647</v>
      </c>
      <c r="F19" s="469" t="str">
        <f>D19</f>
        <v>Total</v>
      </c>
      <c r="G19" s="469" t="str">
        <f t="shared" ref="G19:J19" si="0">E19</f>
        <v>Per cápita</v>
      </c>
      <c r="H19" s="469" t="str">
        <f t="shared" si="0"/>
        <v>Total</v>
      </c>
      <c r="I19" s="469" t="str">
        <f t="shared" si="0"/>
        <v>Per cápita</v>
      </c>
      <c r="J19" s="469" t="str">
        <f t="shared" si="0"/>
        <v>Total</v>
      </c>
      <c r="K19" s="469" t="str">
        <f>I19</f>
        <v>Per cápita</v>
      </c>
      <c r="P19" s="7"/>
    </row>
    <row r="20" spans="1:57" ht="14.4">
      <c r="A20" s="204" t="s">
        <v>6</v>
      </c>
      <c r="C20" s="7" t="s">
        <v>652</v>
      </c>
      <c r="D20" s="251" t="e">
        <f>E66</f>
        <v>#N/A</v>
      </c>
      <c r="E20" s="251" t="e">
        <f>IF(D20=0,0,D20/M_Datos!$G$15)</f>
        <v>#N/A</v>
      </c>
      <c r="F20" s="251" t="e">
        <f>G66</f>
        <v>#N/A</v>
      </c>
      <c r="G20" s="251" t="e">
        <f>IF(F20=0,0,F20/M_Datos!$H$15)</f>
        <v>#N/A</v>
      </c>
      <c r="H20" s="251" t="e">
        <f>I66</f>
        <v>#N/A</v>
      </c>
      <c r="I20" s="251" t="e">
        <f>IF(H20=0,0,H20/M_Datos!$I$15)</f>
        <v>#N/A</v>
      </c>
      <c r="J20" s="251" t="e">
        <f>K66</f>
        <v>#N/A</v>
      </c>
      <c r="K20" s="251" t="e">
        <f>IF(J20=0,0,J20/M_Datos!$J$15)</f>
        <v>#N/A</v>
      </c>
      <c r="P20" s="7"/>
    </row>
    <row r="21" spans="1:57" ht="14.4">
      <c r="A21" s="204" t="str">
        <f>IF(Idioma=Castellano,"3. Resultados",IF(Idioma=Valencià,"3. Resultats","3. Resultados"))</f>
        <v>3. Resultados</v>
      </c>
      <c r="B21" s="3"/>
      <c r="C21" s="7" t="s">
        <v>653</v>
      </c>
      <c r="D21" s="251">
        <f>E78</f>
        <v>0</v>
      </c>
      <c r="E21" s="251">
        <f>IF(D21=0,0,D21/M_Datos!$G$15)</f>
        <v>0</v>
      </c>
      <c r="F21" s="251">
        <f>G78</f>
        <v>0</v>
      </c>
      <c r="G21" s="251">
        <f>IF(F21=0,0,F21/M_Datos!$H$15)</f>
        <v>0</v>
      </c>
      <c r="H21" s="251">
        <f>I78</f>
        <v>0</v>
      </c>
      <c r="I21" s="251">
        <f>IF(H21=0,0,H21/M_Datos!$I$15)</f>
        <v>0</v>
      </c>
      <c r="J21" s="251">
        <f>K78</f>
        <v>0</v>
      </c>
      <c r="K21" s="251">
        <f>IF(J21=0,0,J21/M_Datos!$J$15)</f>
        <v>0</v>
      </c>
      <c r="P21" s="7"/>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row>
    <row r="22" spans="1:57" ht="14.4">
      <c r="A22" s="203" t="str">
        <f>IF(Idioma=Castellano,"Resultados generales",IF(Idioma=Valencià,"Resultats generals","Resultados generales"))</f>
        <v>Resultados generales</v>
      </c>
      <c r="B22" s="3"/>
      <c r="C22" s="7" t="str">
        <f>M_Datos!L53</f>
        <v>Usos terciarios</v>
      </c>
      <c r="D22" s="251">
        <f>E88</f>
        <v>0</v>
      </c>
      <c r="E22" s="251">
        <f>IF(D22=0,0,D22/M_Datos!$G$15)</f>
        <v>0</v>
      </c>
      <c r="F22" s="251">
        <f>G88</f>
        <v>0</v>
      </c>
      <c r="G22" s="251">
        <f>IF(F22=0,0,F22/M_Datos!$H$15)</f>
        <v>0</v>
      </c>
      <c r="H22" s="251">
        <f>I88</f>
        <v>0</v>
      </c>
      <c r="I22" s="251">
        <f>IF(H22=0,0,H22/M_Datos!$I$15)</f>
        <v>0</v>
      </c>
      <c r="J22" s="251">
        <f>K88</f>
        <v>0</v>
      </c>
      <c r="K22" s="251">
        <f>IF(J22=0,0,J22/M_Datos!$J$15)</f>
        <v>0</v>
      </c>
      <c r="P22" s="7"/>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row>
    <row r="23" spans="1:57" ht="14.4">
      <c r="A23" s="203" t="str">
        <f>IF(Idioma=Castellano,"Medidas Propuestas",IF(Idioma=Valencià,"Mesures Proposades","Medidas Propuestas"))</f>
        <v>Medidas Propuestas</v>
      </c>
      <c r="C23" s="7" t="str">
        <f>M_Datos!L35</f>
        <v>Equipamientos</v>
      </c>
      <c r="D23" s="251" t="e">
        <f>E101</f>
        <v>#N/A</v>
      </c>
      <c r="E23" s="251" t="e">
        <f>IF(D23=0,0,D23/M_Datos!$G$15)</f>
        <v>#N/A</v>
      </c>
      <c r="F23" s="251" t="e">
        <f>G101</f>
        <v>#N/A</v>
      </c>
      <c r="G23" s="251" t="e">
        <f>IF(F23=0,0,F23/M_Datos!$H$15)</f>
        <v>#N/A</v>
      </c>
      <c r="H23" s="251" t="e">
        <f>I101</f>
        <v>#N/A</v>
      </c>
      <c r="I23" s="251" t="e">
        <f>IF(H23=0,0,H23/M_Datos!$I$15)</f>
        <v>#N/A</v>
      </c>
      <c r="J23" s="251" t="e">
        <f>K101</f>
        <v>#N/A</v>
      </c>
      <c r="K23" s="251" t="e">
        <f>IF(J23=0,0,J23/M_Datos!$J$15)</f>
        <v>#N/A</v>
      </c>
      <c r="P23" s="7"/>
    </row>
    <row r="24" spans="1:57">
      <c r="C24" s="8" t="str">
        <f>IF(Idioma=Castellano,"Total Demanda (MW/año)",IF(Idioma=Valencià,"Total Demanda (kW/any)","Total Demanda (MW/año)"))</f>
        <v>Total Demanda (MW/año)</v>
      </c>
      <c r="D24" s="354" t="e">
        <f t="shared" ref="D24:K24" si="1">SUM(D20:D23)</f>
        <v>#N/A</v>
      </c>
      <c r="E24" s="354" t="e">
        <f t="shared" si="1"/>
        <v>#N/A</v>
      </c>
      <c r="F24" s="354" t="e">
        <f t="shared" si="1"/>
        <v>#N/A</v>
      </c>
      <c r="G24" s="354" t="e">
        <f t="shared" si="1"/>
        <v>#N/A</v>
      </c>
      <c r="H24" s="354" t="e">
        <f t="shared" si="1"/>
        <v>#N/A</v>
      </c>
      <c r="I24" s="354" t="e">
        <f t="shared" si="1"/>
        <v>#N/A</v>
      </c>
      <c r="J24" s="354" t="e">
        <f t="shared" si="1"/>
        <v>#N/A</v>
      </c>
      <c r="K24" s="354" t="e">
        <f t="shared" si="1"/>
        <v>#N/A</v>
      </c>
      <c r="P24" s="7"/>
    </row>
    <row r="25" spans="1:57">
      <c r="B25" s="3"/>
      <c r="C25" s="7"/>
      <c r="D25" s="7"/>
      <c r="E25" s="357"/>
      <c r="F25" s="357"/>
      <c r="G25" s="357"/>
      <c r="H25" s="357"/>
      <c r="I25" s="357"/>
      <c r="J25" s="357"/>
      <c r="K25" s="357"/>
      <c r="P25" s="7"/>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row>
    <row r="26" spans="1:57">
      <c r="B26" s="7"/>
      <c r="C26" s="8"/>
      <c r="D26" s="7"/>
      <c r="E26" s="355"/>
      <c r="F26" s="355"/>
      <c r="G26" s="355"/>
      <c r="H26" s="355"/>
      <c r="I26" s="355"/>
      <c r="J26" s="355"/>
      <c r="K26" s="355"/>
      <c r="L26" s="355"/>
      <c r="M26" s="355"/>
      <c r="N26" s="355"/>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row>
    <row r="27" spans="1:57" ht="16.2" thickBot="1">
      <c r="B27" s="7"/>
      <c r="C27" s="8"/>
      <c r="D27" s="7"/>
      <c r="E27" s="356"/>
      <c r="F27" s="356"/>
      <c r="G27" s="356"/>
      <c r="H27" s="356"/>
      <c r="I27" s="356"/>
      <c r="J27" s="356"/>
      <c r="K27" s="356"/>
      <c r="L27" s="356"/>
      <c r="M27" s="356"/>
      <c r="N27" s="356"/>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row>
    <row r="28" spans="1:57" ht="21.6" thickBot="1">
      <c r="B28" s="3"/>
      <c r="C28" s="660" t="str">
        <f>IF(Idioma=Castellano,"COMPARATIVA POR ALTERNATIVAS",IF(Idioma=Valencià,"COMPARATIVA PER ALTERNATIVES","COMPARATIVA POR ALTERNATIVAS"))</f>
        <v>COMPARATIVA POR ALTERNATIVAS</v>
      </c>
      <c r="D28" s="661"/>
      <c r="E28" s="661"/>
      <c r="F28" s="661"/>
      <c r="G28" s="661"/>
      <c r="H28" s="661"/>
      <c r="I28" s="661"/>
      <c r="J28" s="661"/>
      <c r="K28" s="661"/>
      <c r="L28" s="661"/>
      <c r="M28" s="661"/>
      <c r="N28" s="661"/>
      <c r="O28" s="661"/>
      <c r="P28" s="661"/>
      <c r="Q28" s="661"/>
      <c r="R28" s="661"/>
      <c r="S28" s="661"/>
      <c r="T28" s="661"/>
      <c r="U28" s="661"/>
      <c r="V28" s="661"/>
      <c r="W28" s="661"/>
      <c r="X28" s="662"/>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row>
    <row r="29" spans="1:57">
      <c r="G29" s="7"/>
      <c r="H29" s="7"/>
      <c r="I29" s="7"/>
      <c r="J29" s="7"/>
      <c r="K29" s="7"/>
      <c r="L29" s="7"/>
      <c r="M29" s="7"/>
      <c r="N29" s="7"/>
      <c r="O29" s="7"/>
      <c r="P29" s="7"/>
      <c r="Q29" s="7"/>
      <c r="R29" s="7"/>
      <c r="S29" s="7"/>
      <c r="T29" s="7"/>
      <c r="U29" s="7"/>
      <c r="V29" s="7"/>
      <c r="W29" s="7"/>
      <c r="X29" s="7"/>
    </row>
    <row r="30" spans="1:57" ht="18">
      <c r="G30" s="7"/>
      <c r="H30" s="7"/>
      <c r="I30" s="7"/>
      <c r="J30" s="7"/>
      <c r="K30" s="7"/>
      <c r="L30" s="7"/>
      <c r="M30" s="7"/>
      <c r="N30" s="7"/>
      <c r="O30" s="7"/>
      <c r="P30" s="7"/>
      <c r="Q30" s="547" t="str">
        <f>IF(Idioma=Castellano,"Comparativa demanda energética desagregada por alternativa y categoría (MWh/año)",IF(Idioma=Valencià,"Comparativa demanda energètica desagregade per alternativa i categoria (MWh/any)"))</f>
        <v>Comparativa demanda energética desagregada por alternativa y categoría (MWh/año)</v>
      </c>
      <c r="T30" s="7"/>
      <c r="U30" s="7"/>
      <c r="V30" s="7"/>
      <c r="W30" s="7"/>
      <c r="X30" s="7"/>
      <c r="Y30" s="7"/>
      <c r="Z30" s="7"/>
      <c r="AA30" s="7"/>
      <c r="AB30" s="7"/>
      <c r="AC30" s="7"/>
      <c r="AD30" s="7"/>
      <c r="AE30" s="7"/>
    </row>
    <row r="31" spans="1:57">
      <c r="G31" s="7"/>
      <c r="H31" s="7"/>
      <c r="I31" s="7"/>
      <c r="J31" s="7"/>
      <c r="K31" s="7"/>
      <c r="L31" s="7"/>
      <c r="M31" s="7"/>
      <c r="N31" s="7"/>
      <c r="O31" s="7"/>
      <c r="P31" s="7"/>
      <c r="Q31" s="7"/>
      <c r="R31" s="7"/>
      <c r="S31" s="7"/>
      <c r="T31" s="7"/>
      <c r="U31" s="7"/>
      <c r="V31" s="7"/>
      <c r="W31" s="7"/>
      <c r="X31" s="7"/>
      <c r="Y31" s="7"/>
      <c r="Z31" s="7"/>
      <c r="AA31" s="7"/>
      <c r="AB31" s="7"/>
      <c r="AC31" s="7"/>
      <c r="AD31" s="7"/>
      <c r="AE31" s="7"/>
    </row>
    <row r="32" spans="1:57">
      <c r="G32" s="7"/>
      <c r="H32" s="7"/>
      <c r="I32" s="7"/>
      <c r="J32" s="7"/>
      <c r="K32" s="7"/>
      <c r="L32" s="7"/>
      <c r="M32" s="7"/>
      <c r="N32" s="7"/>
      <c r="O32" s="7"/>
      <c r="P32" s="7"/>
      <c r="Q32" s="7"/>
      <c r="R32" s="7"/>
      <c r="S32" s="7"/>
      <c r="T32" s="7"/>
      <c r="U32" s="7"/>
      <c r="V32" s="7"/>
      <c r="W32" s="7"/>
      <c r="X32" s="7"/>
      <c r="Y32" s="3"/>
      <c r="Z32" s="3"/>
      <c r="AA32" s="3"/>
      <c r="AB32" s="3"/>
      <c r="AC32" s="3"/>
      <c r="AD32" s="7"/>
      <c r="AE32" s="7"/>
    </row>
    <row r="33" spans="3:56">
      <c r="G33" s="7"/>
      <c r="H33" s="7"/>
      <c r="I33" s="7"/>
      <c r="J33" s="7"/>
      <c r="K33" s="7"/>
      <c r="L33" s="7"/>
      <c r="M33" s="7"/>
      <c r="N33" s="7"/>
      <c r="O33" s="7"/>
      <c r="P33" s="7"/>
      <c r="Q33" s="7"/>
      <c r="R33" s="7"/>
      <c r="S33" s="7"/>
      <c r="T33" s="7"/>
      <c r="U33" s="7"/>
      <c r="V33" s="7"/>
      <c r="W33" s="7"/>
      <c r="X33" s="7"/>
      <c r="Y33" s="3"/>
      <c r="Z33" s="3"/>
      <c r="AA33" s="3"/>
      <c r="AB33" s="3"/>
      <c r="AC33" s="3"/>
      <c r="AD33" s="7"/>
      <c r="AE33" s="7"/>
    </row>
    <row r="34" spans="3:56">
      <c r="C34" s="50"/>
      <c r="D34" s="50"/>
      <c r="E34" s="51"/>
      <c r="F34" s="51"/>
      <c r="G34" s="50"/>
      <c r="H34" s="50"/>
      <c r="I34" s="50"/>
      <c r="J34" s="50"/>
      <c r="K34" s="50"/>
      <c r="L34" s="7"/>
      <c r="M34" s="7"/>
      <c r="N34" s="7"/>
      <c r="O34" s="7"/>
      <c r="P34" s="7"/>
      <c r="Q34" s="7"/>
      <c r="R34" s="7"/>
      <c r="S34" s="7"/>
      <c r="T34" s="7"/>
      <c r="U34" s="7"/>
      <c r="V34" s="7"/>
      <c r="W34" s="7"/>
      <c r="X34" s="7"/>
      <c r="AD34" s="7"/>
      <c r="AE34" s="7"/>
    </row>
    <row r="35" spans="3:56">
      <c r="C35" s="65"/>
      <c r="D35" s="66"/>
      <c r="E35" s="51"/>
      <c r="F35" s="51"/>
      <c r="G35" s="663"/>
      <c r="H35" s="664"/>
      <c r="I35" s="664"/>
      <c r="J35" s="664"/>
      <c r="K35" s="664"/>
      <c r="L35" s="7"/>
      <c r="M35" s="7"/>
      <c r="N35" s="7"/>
      <c r="O35" s="7"/>
      <c r="P35" s="7"/>
      <c r="Q35" s="87"/>
      <c r="R35" s="87"/>
      <c r="S35" s="87"/>
      <c r="T35" s="87"/>
      <c r="U35" s="87"/>
      <c r="V35" s="7"/>
      <c r="W35" s="7"/>
      <c r="X35" s="7"/>
      <c r="AD35" s="7"/>
      <c r="AE35" s="7"/>
      <c r="BD35" s="67" t="s">
        <v>648</v>
      </c>
    </row>
    <row r="36" spans="3:56">
      <c r="C36" s="68"/>
      <c r="D36" s="69"/>
      <c r="E36" s="51"/>
      <c r="F36" s="51"/>
      <c r="G36" s="12"/>
      <c r="H36" s="12"/>
      <c r="I36" s="7"/>
      <c r="J36" s="7"/>
      <c r="K36" s="7"/>
      <c r="L36" s="7"/>
      <c r="M36" s="7"/>
      <c r="N36" s="7"/>
      <c r="O36" s="7"/>
      <c r="P36" s="7"/>
      <c r="Q36" s="87"/>
      <c r="R36" s="87"/>
      <c r="S36" s="87"/>
      <c r="T36" s="87"/>
      <c r="U36" s="87"/>
      <c r="V36" s="7"/>
      <c r="W36" s="7"/>
      <c r="X36" s="7"/>
      <c r="AD36" s="7"/>
      <c r="AE36" s="7"/>
      <c r="BD36" s="67" t="s">
        <v>649</v>
      </c>
    </row>
    <row r="37" spans="3:56">
      <c r="C37" s="65"/>
      <c r="D37" s="69"/>
      <c r="E37" s="51"/>
      <c r="F37" s="51"/>
      <c r="G37" s="665"/>
      <c r="H37" s="666"/>
      <c r="I37" s="7"/>
      <c r="J37" s="7"/>
      <c r="K37" s="7"/>
      <c r="L37" s="7"/>
      <c r="M37" s="7"/>
      <c r="N37" s="7"/>
      <c r="O37" s="7"/>
      <c r="P37" s="7"/>
      <c r="Q37" s="87"/>
      <c r="R37" s="87"/>
      <c r="S37" s="87"/>
      <c r="T37" s="87"/>
      <c r="U37" s="87"/>
      <c r="V37" s="7"/>
      <c r="W37" s="7"/>
      <c r="X37" s="7"/>
      <c r="AD37" s="7"/>
      <c r="AE37" s="7"/>
      <c r="BD37" s="67" t="s">
        <v>643</v>
      </c>
    </row>
    <row r="38" spans="3:56">
      <c r="C38" s="65"/>
      <c r="D38" s="69"/>
      <c r="E38" s="51"/>
      <c r="F38" s="51"/>
      <c r="G38" s="667"/>
      <c r="H38" s="666"/>
      <c r="I38" s="7"/>
      <c r="J38" s="7"/>
      <c r="K38" s="7"/>
      <c r="L38" s="7"/>
      <c r="M38" s="7"/>
      <c r="N38" s="7"/>
      <c r="O38" s="7"/>
      <c r="P38" s="7"/>
      <c r="Q38" s="87"/>
      <c r="R38" s="87"/>
      <c r="S38" s="87"/>
      <c r="T38" s="87"/>
      <c r="U38" s="87"/>
      <c r="V38" s="7"/>
      <c r="W38" s="7"/>
      <c r="X38" s="7"/>
      <c r="AD38" s="7"/>
      <c r="AE38" s="7"/>
      <c r="BD38" s="67" t="s">
        <v>650</v>
      </c>
    </row>
    <row r="39" spans="3:56">
      <c r="C39" s="70"/>
      <c r="D39" s="71"/>
      <c r="E39" s="50"/>
      <c r="F39" s="50"/>
      <c r="G39" s="50"/>
      <c r="H39" s="50"/>
      <c r="I39" s="50"/>
      <c r="J39" s="50"/>
      <c r="K39" s="50"/>
      <c r="L39" s="7"/>
      <c r="M39" s="7"/>
      <c r="N39" s="7"/>
      <c r="O39" s="7"/>
      <c r="P39" s="7"/>
      <c r="Q39" s="87"/>
      <c r="R39" s="87"/>
      <c r="S39" s="87"/>
      <c r="T39" s="87"/>
      <c r="U39" s="87"/>
      <c r="V39" s="7"/>
      <c r="W39" s="7"/>
      <c r="X39" s="7"/>
      <c r="AD39" s="7"/>
      <c r="AE39" s="7"/>
      <c r="BD39" s="67" t="s">
        <v>651</v>
      </c>
    </row>
    <row r="40" spans="3:56">
      <c r="C40" s="50"/>
      <c r="D40" s="50"/>
      <c r="E40" s="50"/>
      <c r="F40" s="50"/>
      <c r="G40" s="50"/>
      <c r="H40" s="50"/>
      <c r="I40" s="50"/>
      <c r="J40" s="50"/>
      <c r="K40" s="50"/>
      <c r="L40" s="7"/>
      <c r="M40" s="7"/>
      <c r="N40" s="7"/>
      <c r="O40" s="7"/>
      <c r="P40" s="7"/>
      <c r="Q40" s="87"/>
      <c r="R40" s="87"/>
      <c r="S40" s="87"/>
      <c r="T40" s="87"/>
      <c r="U40" s="87"/>
      <c r="V40" s="7"/>
      <c r="W40" s="7"/>
      <c r="X40" s="7"/>
      <c r="AD40" s="7"/>
      <c r="AE40" s="7"/>
    </row>
    <row r="41" spans="3:56">
      <c r="C41" s="50"/>
      <c r="D41" s="50"/>
      <c r="E41" s="50"/>
      <c r="F41" s="50"/>
      <c r="G41" s="50"/>
      <c r="H41" s="50"/>
      <c r="I41" s="50"/>
      <c r="J41" s="50"/>
      <c r="K41" s="50"/>
      <c r="L41" s="7"/>
      <c r="M41" s="7"/>
      <c r="N41" s="7"/>
      <c r="O41" s="7"/>
      <c r="P41" s="7"/>
      <c r="Q41" s="7"/>
      <c r="R41" s="7"/>
      <c r="S41" s="7"/>
      <c r="T41" s="7"/>
      <c r="U41" s="7"/>
      <c r="V41" s="7"/>
      <c r="W41" s="7"/>
      <c r="X41" s="7"/>
      <c r="AD41" s="7"/>
      <c r="AE41" s="7"/>
    </row>
    <row r="42" spans="3:56">
      <c r="C42" s="50"/>
      <c r="D42" s="50"/>
      <c r="E42" s="50"/>
      <c r="F42" s="50"/>
      <c r="G42" s="50"/>
      <c r="H42" s="50"/>
      <c r="I42" s="72"/>
      <c r="J42" s="50"/>
      <c r="K42" s="50"/>
      <c r="L42" s="7"/>
      <c r="M42" s="7"/>
      <c r="N42" s="7"/>
      <c r="O42" s="7"/>
      <c r="P42" s="7"/>
      <c r="Q42" s="7"/>
      <c r="R42" s="7"/>
      <c r="S42" s="7"/>
      <c r="T42" s="7"/>
      <c r="U42" s="7"/>
      <c r="V42" s="7"/>
      <c r="W42" s="7"/>
      <c r="X42" s="7"/>
      <c r="Y42" s="7"/>
      <c r="Z42" s="7"/>
      <c r="AA42" s="7"/>
      <c r="AB42" s="7"/>
      <c r="AC42" s="7"/>
      <c r="AD42" s="7"/>
      <c r="AE42" s="7"/>
    </row>
    <row r="43" spans="3:56">
      <c r="C43" s="50"/>
      <c r="D43" s="50"/>
      <c r="E43" s="50"/>
      <c r="F43" s="50"/>
      <c r="G43" s="50"/>
      <c r="H43" s="50"/>
      <c r="I43" s="50"/>
      <c r="J43" s="50"/>
      <c r="K43" s="50"/>
      <c r="L43" s="7"/>
      <c r="M43" s="7"/>
      <c r="N43" s="7"/>
      <c r="O43" s="7"/>
      <c r="P43" s="7"/>
      <c r="Q43" s="7"/>
      <c r="R43" s="7"/>
      <c r="S43" s="7"/>
      <c r="T43" s="7"/>
      <c r="U43" s="7"/>
      <c r="V43" s="7"/>
      <c r="W43" s="7"/>
      <c r="X43" s="7"/>
      <c r="Y43" s="7"/>
      <c r="Z43" s="7"/>
      <c r="AA43" s="7"/>
      <c r="AB43" s="7"/>
      <c r="AC43" s="7"/>
      <c r="AD43" s="7"/>
      <c r="AE43" s="7"/>
    </row>
    <row r="44" spans="3:56">
      <c r="C44" s="50"/>
      <c r="D44" s="50"/>
      <c r="E44" s="50"/>
      <c r="F44" s="50"/>
      <c r="G44" s="50"/>
      <c r="H44" s="50"/>
      <c r="I44" s="50"/>
      <c r="J44" s="50"/>
      <c r="K44" s="50"/>
      <c r="L44" s="7"/>
      <c r="M44" s="7"/>
      <c r="N44" s="7"/>
      <c r="O44" s="7"/>
      <c r="P44" s="7"/>
      <c r="Q44" s="7"/>
      <c r="R44" s="7"/>
      <c r="S44" s="7"/>
      <c r="T44" s="7"/>
      <c r="U44" s="7"/>
      <c r="V44" s="7"/>
      <c r="W44" s="7"/>
      <c r="X44" s="7"/>
      <c r="Y44" s="7"/>
      <c r="Z44" s="7"/>
      <c r="AA44" s="7"/>
      <c r="AB44" s="7"/>
      <c r="AC44" s="7"/>
      <c r="AD44" s="7"/>
      <c r="AE44" s="7"/>
    </row>
    <row r="45" spans="3:56">
      <c r="C45" s="50"/>
      <c r="D45" s="50"/>
      <c r="E45" s="50"/>
      <c r="F45" s="50"/>
      <c r="G45" s="50"/>
      <c r="H45" s="50"/>
      <c r="I45" s="50"/>
      <c r="J45" s="50"/>
      <c r="K45" s="50"/>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row>
    <row r="46" spans="3:56">
      <c r="E46" s="50"/>
      <c r="F46" s="50"/>
      <c r="G46" s="50"/>
      <c r="H46" s="50"/>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row>
    <row r="47" spans="3:56">
      <c r="E47" s="50"/>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row>
    <row r="48" spans="3:56">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row>
    <row r="49" spans="1:44">
      <c r="G49" s="7"/>
      <c r="H49" s="7"/>
      <c r="I49" s="7"/>
      <c r="J49" s="7"/>
      <c r="K49" s="7"/>
      <c r="L49" s="7"/>
      <c r="M49" s="7"/>
      <c r="N49" s="7"/>
      <c r="O49" s="7"/>
      <c r="P49" s="7"/>
      <c r="Q49" s="7"/>
      <c r="R49" s="7"/>
      <c r="S49" s="7"/>
      <c r="T49" s="7"/>
      <c r="U49" s="7"/>
      <c r="V49" s="7"/>
      <c r="W49" s="7"/>
      <c r="X49" s="7"/>
      <c r="AD49" s="7"/>
      <c r="AE49" s="7"/>
      <c r="AF49" s="7"/>
      <c r="AG49" s="7"/>
      <c r="AH49" s="7"/>
      <c r="AI49" s="7"/>
      <c r="AJ49" s="7"/>
      <c r="AK49" s="7"/>
      <c r="AL49" s="7"/>
      <c r="AM49" s="7"/>
      <c r="AN49" s="7"/>
      <c r="AO49" s="7"/>
      <c r="AP49" s="7"/>
      <c r="AQ49" s="7"/>
      <c r="AR49" s="7"/>
    </row>
    <row r="50" spans="1:44">
      <c r="AD50" s="7"/>
      <c r="AE50" s="7"/>
      <c r="AF50" s="7"/>
      <c r="AG50" s="7"/>
      <c r="AH50" s="7"/>
      <c r="AI50" s="7"/>
      <c r="AJ50" s="7"/>
      <c r="AK50" s="7"/>
      <c r="AL50" s="7"/>
      <c r="AM50" s="7"/>
      <c r="AN50" s="7"/>
      <c r="AO50" s="7"/>
      <c r="AP50" s="7"/>
      <c r="AQ50" s="7"/>
      <c r="AR50" s="7"/>
    </row>
    <row r="51" spans="1:44">
      <c r="AD51" s="7"/>
      <c r="AE51" s="7"/>
      <c r="AF51" s="7"/>
      <c r="AG51" s="7"/>
      <c r="AH51" s="7"/>
      <c r="AI51" s="7"/>
      <c r="AJ51" s="7"/>
      <c r="AK51" s="7"/>
      <c r="AL51" s="7"/>
      <c r="AM51" s="7"/>
      <c r="AN51" s="7"/>
      <c r="AO51" s="7"/>
      <c r="AP51" s="7"/>
      <c r="AQ51" s="7"/>
      <c r="AR51" s="7"/>
    </row>
    <row r="52" spans="1:44">
      <c r="AD52" s="7"/>
      <c r="AE52" s="7"/>
      <c r="AF52" s="7"/>
      <c r="AG52" s="7"/>
      <c r="AH52" s="7"/>
      <c r="AI52" s="7"/>
      <c r="AJ52" s="7"/>
      <c r="AK52" s="7"/>
      <c r="AL52" s="7"/>
      <c r="AM52" s="7"/>
      <c r="AN52" s="7"/>
      <c r="AO52" s="7"/>
      <c r="AP52" s="7"/>
      <c r="AQ52" s="7"/>
      <c r="AR52" s="7"/>
    </row>
    <row r="53" spans="1:44">
      <c r="AD53" s="7"/>
      <c r="AE53" s="7"/>
      <c r="AF53" s="7"/>
      <c r="AG53" s="7"/>
      <c r="AH53" s="7"/>
      <c r="AI53" s="7"/>
      <c r="AJ53" s="7"/>
      <c r="AK53" s="7"/>
      <c r="AL53" s="7"/>
      <c r="AM53" s="7"/>
      <c r="AN53" s="7"/>
      <c r="AO53" s="7"/>
      <c r="AP53" s="7"/>
      <c r="AQ53" s="7"/>
      <c r="AR53" s="7"/>
    </row>
    <row r="54" spans="1:44">
      <c r="P54" s="7"/>
      <c r="Q54" s="7"/>
      <c r="R54" s="7"/>
      <c r="S54" s="7"/>
      <c r="T54" s="7"/>
      <c r="U54" s="7"/>
      <c r="V54" s="7"/>
      <c r="AD54" s="7"/>
      <c r="AE54" s="7"/>
      <c r="AF54" s="7"/>
      <c r="AG54" s="7"/>
      <c r="AH54" s="7"/>
      <c r="AI54" s="7"/>
      <c r="AJ54" s="7"/>
      <c r="AK54" s="7"/>
      <c r="AL54" s="7"/>
      <c r="AM54" s="7"/>
      <c r="AN54" s="7"/>
      <c r="AO54" s="7"/>
      <c r="AP54" s="7"/>
      <c r="AQ54" s="7"/>
      <c r="AR54" s="7"/>
    </row>
    <row r="55" spans="1:44">
      <c r="P55" s="7"/>
      <c r="Q55" s="87"/>
      <c r="R55" s="87"/>
      <c r="S55" s="87"/>
      <c r="T55" s="87"/>
      <c r="U55" s="87"/>
      <c r="Y55" s="7"/>
      <c r="Z55" s="7"/>
      <c r="AA55" s="7"/>
      <c r="AB55" s="7"/>
      <c r="AC55" s="7"/>
      <c r="AD55" s="7"/>
      <c r="AE55" s="7"/>
      <c r="AF55" s="7"/>
      <c r="AG55" s="7"/>
      <c r="AH55" s="7"/>
      <c r="AI55" s="7"/>
      <c r="AJ55" s="7"/>
      <c r="AK55" s="7"/>
      <c r="AL55" s="7"/>
      <c r="AM55" s="7"/>
      <c r="AN55" s="7"/>
      <c r="AO55" s="7"/>
      <c r="AP55" s="7"/>
      <c r="AQ55" s="7"/>
      <c r="AR55" s="7"/>
    </row>
    <row r="56" spans="1:44" ht="81" customHeight="1">
      <c r="P56" s="7"/>
      <c r="Q56" s="87"/>
      <c r="R56" s="87"/>
      <c r="S56" s="87"/>
      <c r="T56" s="87"/>
      <c r="U56" s="87"/>
      <c r="Y56" s="7"/>
      <c r="Z56" s="7"/>
      <c r="AA56" s="7"/>
      <c r="AB56" s="7"/>
      <c r="AC56" s="7"/>
      <c r="AD56" s="7"/>
      <c r="AE56" s="7"/>
      <c r="AF56" s="7"/>
      <c r="AG56" s="7"/>
      <c r="AH56" s="7"/>
      <c r="AI56" s="7"/>
      <c r="AJ56" s="7"/>
      <c r="AK56" s="7"/>
      <c r="AL56" s="7"/>
      <c r="AM56" s="7"/>
      <c r="AN56" s="7"/>
      <c r="AO56" s="7"/>
      <c r="AP56" s="7"/>
      <c r="AQ56" s="7"/>
      <c r="AR56" s="7"/>
    </row>
    <row r="57" spans="1:44" s="470" customFormat="1" ht="24.6" customHeight="1">
      <c r="A57" s="145"/>
      <c r="C57" s="282" t="str">
        <f>IF(Idioma=Castellano,"DESGLOSE DE LA DEMANDA",IF(Idioma=Valencià,"DESGLOSSAMENT DE LA DEMANDA","DESGLOSE DE LA DEMANDA"))</f>
        <v>DESGLOSE DE LA DEMANDA</v>
      </c>
      <c r="P57" s="471"/>
      <c r="Q57" s="472"/>
      <c r="R57" s="472"/>
      <c r="S57" s="472"/>
      <c r="T57" s="472"/>
      <c r="U57" s="472"/>
      <c r="Y57" s="471"/>
      <c r="Z57" s="471"/>
      <c r="AA57" s="471"/>
      <c r="AB57" s="471"/>
      <c r="AC57" s="471"/>
      <c r="AD57" s="471"/>
      <c r="AE57" s="471"/>
      <c r="AF57" s="471"/>
      <c r="AG57" s="471"/>
      <c r="AH57" s="471"/>
      <c r="AI57" s="471"/>
      <c r="AJ57" s="471"/>
      <c r="AK57" s="471"/>
      <c r="AL57" s="471"/>
      <c r="AM57" s="471"/>
      <c r="AN57" s="471"/>
      <c r="AO57" s="471"/>
      <c r="AP57" s="471"/>
      <c r="AQ57" s="471"/>
      <c r="AR57" s="471"/>
    </row>
    <row r="58" spans="1:44">
      <c r="P58" s="7"/>
      <c r="Q58" s="87"/>
      <c r="R58" s="87"/>
      <c r="S58" s="87"/>
      <c r="T58" s="87"/>
      <c r="U58" s="87"/>
    </row>
    <row r="59" spans="1:44">
      <c r="P59" s="7"/>
      <c r="Q59" s="87"/>
      <c r="R59" s="87"/>
      <c r="S59" s="87"/>
      <c r="T59" s="87"/>
      <c r="U59" s="87"/>
    </row>
    <row r="60" spans="1:44">
      <c r="U60" s="87"/>
    </row>
    <row r="61" spans="1:44">
      <c r="C61" s="246" t="str">
        <f>M_A0!C10</f>
        <v>A.1. Uso de la vivienda</v>
      </c>
    </row>
    <row r="62" spans="1:44">
      <c r="C62" s="487"/>
      <c r="D62" s="683" t="s">
        <v>915</v>
      </c>
      <c r="E62" s="683"/>
      <c r="F62" s="683" t="s">
        <v>916</v>
      </c>
      <c r="G62" s="683"/>
      <c r="H62" s="683" t="s">
        <v>917</v>
      </c>
      <c r="I62" s="683"/>
      <c r="J62" s="683" t="s">
        <v>918</v>
      </c>
      <c r="K62" s="683"/>
    </row>
    <row r="63" spans="1:44">
      <c r="C63" s="289" t="s">
        <v>622</v>
      </c>
      <c r="D63" s="309" t="s">
        <v>623</v>
      </c>
      <c r="E63" s="309" t="s">
        <v>948</v>
      </c>
      <c r="F63" s="309" t="s">
        <v>623</v>
      </c>
      <c r="G63" s="503" t="s">
        <v>948</v>
      </c>
      <c r="H63" s="309" t="s">
        <v>623</v>
      </c>
      <c r="I63" s="503" t="s">
        <v>948</v>
      </c>
      <c r="J63" s="309" t="s">
        <v>623</v>
      </c>
      <c r="K63" s="503" t="s">
        <v>948</v>
      </c>
    </row>
    <row r="64" spans="1:44">
      <c r="C64" s="289" t="str">
        <f>M_A0!D11</f>
        <v>Vivienda Unifamiliar</v>
      </c>
      <c r="D64" s="313">
        <f>SUMIFS(M_Datos!$G$30:$G$32,M_Datos!$F$30:$F$32,M_Lista!$J$3)</f>
        <v>0</v>
      </c>
      <c r="E64" s="312" t="e">
        <f>SUMIFS(M_Datos!$G$30:$G$32,M_Datos!$F$30:$F$32,M_Lista!$J$3,M_Datos!$I$30:$I$32,M_Lista!G4)*VLOOKUP(M_A1!$D$11&amp;M_Datos!$E$12&amp;M_A1!C14,M_Factores!$F$10:$H$207,2,FALSE)/(10^3)+
SUMIFS(M_Datos!$G$30:$G$32,M_Datos!$F$30:$F$32,M_Lista!$J$3,M_Datos!$I$30:$I$32,M_Lista!G5)*VLOOKUP(M_A1!$D$11&amp;M_Datos!$E$12&amp;M_A1!C15,M_Factores!$F$10:$H$207,2,FALSE)/(10^3)+
SUMIFS(M_Datos!$G$30:$G$32,M_Datos!$F$30:$F$32,M_Lista!$J$3,M_Datos!$I$30:$I$32,M_Lista!G6)*VLOOKUP(M_A1!$D$11&amp;M_Datos!$E$12&amp;M_A1!C16,M_Factores!$F$10:$H$207,2,FALSE)/(10^3)+
SUMIFS(M_Datos!$G$30:$G$32,M_Datos!$F$30:$F$32,M_Lista!$J$3,M_Datos!$I$30:$I$32,M_Lista!G7)*VLOOKUP(M_A1!$D$11&amp;M_Datos!$E$12&amp;M_A1!C17,M_Factores!$F$10:$H$207,2,FALSE)/(10^3)</f>
        <v>#N/A</v>
      </c>
      <c r="F64" s="313">
        <f>SUMIFS(M_Datos!$G$36:$G$38,M_Datos!$F$36:$F$38,M_Lista!$J$3)</f>
        <v>0</v>
      </c>
      <c r="G64" s="312" t="e">
        <f>SUMIFS(M_Datos!$G$36:$G$38,M_Datos!$F$36:$F$38,M_Lista!$J$3,M_Datos!$I$36:$I$38,M_Lista!G4)*VLOOKUP(M_A2!$D$11&amp;M_Datos!$E$12&amp;M_A2!C14,M_Factores!$F$10:$H$207,2,FALSE)/(10^3)+
SUMIFS(M_Datos!$G$36:$G$38,M_Datos!$F$36:$F$38,M_Lista!$J$3,M_Datos!$I$36:$I$38,M_Lista!G5)*VLOOKUP(M_A2!$D$11&amp;M_Datos!$E$12&amp;M_A2!C15,M_Factores!$F$10:$H$207,2,FALSE)/(10^3)+
SUMIFS(M_Datos!$G$36:$G$38,M_Datos!$F$36:$F$38,M_Lista!$J$3,M_Datos!$I$36:$I$38,M_Lista!G6)*VLOOKUP(M_A2!$D$11&amp;M_Datos!$E$12&amp;M_A2!C16,M_Factores!$F$10:$H$207,2,FALSE)/(10^3)+
SUMIFS(M_Datos!$G$36:$G$38,M_Datos!$F$36:$F$38,M_Lista!$J$3,M_Datos!$I$36:$I$38,M_Lista!G7)*VLOOKUP(M_A2!$D$11&amp;M_Datos!$E$12&amp;M_A2!C17,M_Factores!$F$10:$H$207,2,FALSE)/(10^3)</f>
        <v>#N/A</v>
      </c>
      <c r="H64" s="559">
        <f>SUMIFS(M_Datos!$G$42:$G$44,M_Datos!$F$42:$F$44,M_Lista!$J$3)</f>
        <v>0</v>
      </c>
      <c r="I64" s="479" t="e">
        <f>SUMIFS(M_Datos!$G$42:$G$44,M_Datos!$F$42:$F$44,M_Lista!$J$3,M_Datos!$I$42:$I$44,M_Lista!G4)*VLOOKUP(M_A3!$D$11&amp;M_Datos!$E$12&amp;M_A3!C14,M_Factores!$F$10:$H$207,2,FALSE)/(10^3)+
SUMIFS(M_Datos!$G$42:$G$44,M_Datos!$F$42:$F$44,M_Lista!$J$3,M_Datos!$I$42:$I$44,M_Lista!G5)*VLOOKUP(M_A3!$D$11&amp;M_Datos!$E$12&amp;M_A3!C15,M_Factores!$F$10:$H$207,2,FALSE)/(10^3)+
SUMIFS(M_Datos!$G$42:$G$44,M_Datos!$F$42:$F$44,M_Lista!$J$3,M_Datos!$I$42:$I$44,M_Lista!G6)*VLOOKUP(M_A3!$D$11&amp;M_Datos!$E$12&amp;M_A3!C16,M_Factores!$F$10:$H$207,2,FALSE)/(10^3)+
SUMIFS(M_Datos!$G$42:$G$44,M_Datos!$F$42:$F$44,M_Lista!$J$3,M_Datos!$I$42:$I$44,M_Lista!G7)*VLOOKUP(M_A3!$D$11&amp;M_Datos!$E$12&amp;M_A3!C17,M_Factores!$F$10:$H$207,2,FALSE)/(10^3)</f>
        <v>#N/A</v>
      </c>
      <c r="J64" s="559">
        <f>SUMIFS(M_Datos!$G$48:$G$50,M_Datos!$F$48:$F$50,M_Lista!$J$3)</f>
        <v>0</v>
      </c>
      <c r="K64" s="479" t="e">
        <f>SUMIFS(M_Datos!$G$48:$G$50,M_Datos!$F$48:$F$50,M_Lista!$J$3,M_Datos!$I$48:$I$50,M_Lista!G4)*VLOOKUP(M_A4!$D$11&amp;M_Datos!$E$12&amp;M_A4!C14,M_Factores!$F$10:$H$207,2,FALSE)/(10^3)+
SUMIFS(M_Datos!$G$48:$G$50,M_Datos!$F$48:$F$50,M_Lista!$J$3,M_Datos!$I$48:$I$50,M_Lista!G5)*VLOOKUP(M_A4!$D$11&amp;M_Datos!$E$12&amp;M_A4!C15,M_Factores!$F$10:$H$207,2,FALSE)/(10^3)+
SUMIFS(M_Datos!$G$48:$G$50,M_Datos!$F$48:$F$50,M_Lista!$J$3,M_Datos!$I$48:$I$50,M_Lista!G6)*VLOOKUP(M_A4!$D$11&amp;M_Datos!$E$12&amp;M_A4!C16,M_Factores!$F$10:$H$207,2,FALSE)/(10^3)+
SUMIFS(M_Datos!$G$48:$G$50,M_Datos!$F$48:$F$50,M_Lista!$J$3,M_Datos!$I$48:$I$50,M_Lista!G7)*VLOOKUP(M_A4!$D$11&amp;M_Datos!$E$12&amp;M_A4!C17,M_Factores!$F$10:$H$207,2,FALSE)/(10^3)</f>
        <v>#N/A</v>
      </c>
    </row>
    <row r="65" spans="3:11">
      <c r="C65" s="289" t="str">
        <f>M_A0!G11</f>
        <v>Vivienda Plurifamiliar</v>
      </c>
      <c r="D65" s="313">
        <f>SUMIFS(M_Datos!$G$33:$G$35,M_Datos!$F$33:$F$35,M_Lista!$J$3)</f>
        <v>0</v>
      </c>
      <c r="E65" s="312" t="e">
        <f>SUMIFS(M_Datos!$G$33:$G$35,M_Datos!$F$33:$F$35,M_Lista!$J$3,M_Datos!$I$33:$I$35,M_Lista!G4)*VLOOKUP(M_A1!$G$11&amp;M_Datos!$E$12&amp;M_A1!C13,M_Factores!$F$10:$H$207,2,FALSE)/(10^3) +
SUMIFS(M_Datos!$G$33:$G$35,M_Datos!$F$33:$F$35,M_Lista!$J$3,M_Datos!$I$33:$I$35,M_Lista!G5)*VLOOKUP(M_A1!$G$11&amp;M_Datos!$E$12&amp;M_A1!C14,M_Factores!$F$10:$H$207,2,FALSE)/(10^3) +
SUMIFS(M_Datos!$G$33:$G$35,M_Datos!$F$33:$F$35,M_Lista!$J$3,M_Datos!$I$33:$I$35,M_Lista!G6)*VLOOKUP(M_A1!$G$11&amp;M_Datos!$E$12&amp;M_A1!C15,M_Factores!$F$10:$H$207,2,FALSE)/(10^3)+
SUMIFS(M_Datos!$G$33:$G$35,M_Datos!$F$33:$F$35,M_Lista!$J$3,M_Datos!$I$33:$I$35,M_Lista!G7)*VLOOKUP(M_A1!$G$11&amp;M_Datos!$E$12&amp;M_A1!C16,M_Factores!$F$10:$H$207,2,FALSE)/(10^3)</f>
        <v>#N/A</v>
      </c>
      <c r="F65" s="313">
        <f>SUMIFS(M_Datos!$G$39:$G$41,M_Datos!$F$39:$F$41,M_Lista!$J$3)</f>
        <v>0</v>
      </c>
      <c r="G65" s="312" t="e">
        <f>SUMIFS(M_Datos!$G$39:$G$41,M_Datos!$F$39:$F$41,M_Lista!$J$3,M_Datos!$I$39:$I$41,M_Lista!G4)*VLOOKUP(M_A2!$G$11&amp;M_Datos!$E$12&amp;M_A2!C13,M_Factores!$F$10:$H$207,2,FALSE)/(10^3) +
SUMIFS(M_Datos!$G$39:$G$41,M_Datos!$F$39:$F$41,M_Lista!$J$3,M_Datos!$I$39:$I$41,M_Lista!G5)*VLOOKUP(M_A2!$G$11&amp;M_Datos!$E$12&amp;M_A2!C14,M_Factores!$F$10:$H$207,2,FALSE)/(10^3) +
SUMIFS(M_Datos!$G$39:$G$41,M_Datos!$F$39:$F$41,M_Lista!$J$3,M_Datos!$I$39:$I$41,M_Lista!G6)*VLOOKUP(M_A2!$G$11&amp;M_Datos!$E$12&amp;M_A2!C15,M_Factores!$F$10:$H$207,2,FALSE)/(10^3)+
SUMIFS(M_Datos!$G$39:$G$41,M_Datos!$F$39:$F$41,M_Lista!$J$3,M_Datos!$I$39:$I$41,M_Lista!G7)*VLOOKUP(M_A2!$G$11&amp;M_Datos!$E$12&amp;M_A2!C16,M_Factores!$F$10:$H$207,2,FALSE)/(10^3)</f>
        <v>#N/A</v>
      </c>
      <c r="H65" s="559">
        <f>SUMIFS(M_Datos!$G$45:$G$47,M_Datos!$F$45:$F$47,M_Lista!$J$3)</f>
        <v>0</v>
      </c>
      <c r="I65" s="479" t="e">
        <f>SUMIFS(M_Datos!$G$45:$G$47,M_Datos!$F$45:$F$47,M_Lista!$J$3,M_Datos!$I$45:$I$47,M_Lista!G4)*VLOOKUP(M_A3!$G$11&amp;M_Datos!$E$12&amp;M_A3!C13,M_Factores!$F$10:$H$207,2,FALSE)/(10^3) +
SUMIFS(M_Datos!$G$45:$G$47,M_Datos!$F$45:$F$47,M_Lista!$J$3,M_Datos!$I$45:$I$47,M_Lista!G5)*VLOOKUP(M_A3!$G$11&amp;M_Datos!$E$12&amp;M_A3!C14,M_Factores!$F$10:$H$207,2,FALSE)/(10^3) +
SUMIFS(M_Datos!$G$45:$G$47,M_Datos!$F$45:$F$47,M_Lista!$J$3,M_Datos!$I$45:$I$47,M_Lista!G6)*VLOOKUP(M_A3!$G$11&amp;M_Datos!$E$12&amp;M_A3!C15,M_Factores!$F$10:$H$207,2,FALSE)/(10^3)+
SUMIFS(M_Datos!$G$45:$G$47,M_Datos!$F$45:$F$47,M_Lista!$J$3,M_Datos!$I$45:$I$47,M_Lista!G7)*VLOOKUP(M_A3!$G$11&amp;M_Datos!$E$12&amp;M_A3!C16,M_Factores!$F$10:$H$207,2,FALSE)/(10^3)</f>
        <v>#N/A</v>
      </c>
      <c r="J65" s="559">
        <f>SUMIFS(M_Datos!$G$51:$G$53,M_Datos!$F$51:$F$53,M_Lista!$J$3)</f>
        <v>0</v>
      </c>
      <c r="K65" s="479" t="e">
        <f>SUMIFS(M_Datos!$G$51:$G$53,M_Datos!$F$51:$F$53,M_Lista!$J$3,M_Datos!$I$51:$I$53,M_Lista!G4)*VLOOKUP(M_A4!$G$11&amp;M_Datos!$E$12&amp;M_A4!C13,M_Factores!$F$10:$H$207,2,FALSE)/(10^3) +
SUMIFS(M_Datos!$G$51:$G$53,M_Datos!$F$51:$F$53,M_Lista!$J$3,M_Datos!$I$51:$I$53,M_Lista!G5)*VLOOKUP(M_A4!$G$11&amp;M_Datos!$E$12&amp;M_A4!C14,M_Factores!$F$10:$H$207,2,FALSE)/(10^3) +
SUMIFS(M_Datos!$G$51:$G$53,M_Datos!$F$51:$F$53,M_Lista!$J$3,M_Datos!$I$51:$I$53,M_Lista!G6)*VLOOKUP(M_A4!$G$11&amp;M_Datos!$E$12&amp;M_A4!C15,M_Factores!$F$10:$H$207,2,FALSE)/(10^3)+
SUMIFS(M_Datos!$G$51:$G$53,M_Datos!$F$51:$F$53,M_Lista!$J$3,M_Datos!$I$51:$I$53,M_Lista!G7)*VLOOKUP(M_A4!$G$11&amp;M_Datos!$E$12&amp;M_A4!C16,M_Factores!$F$10:$H$207,2,FALSE)/(10^3)</f>
        <v>#N/A</v>
      </c>
    </row>
    <row r="66" spans="3:11">
      <c r="C66" s="315" t="s">
        <v>631</v>
      </c>
      <c r="D66" s="317">
        <f>SUM(D64:D65)</f>
        <v>0</v>
      </c>
      <c r="E66" s="314" t="e">
        <f>SUM(E64:E65)</f>
        <v>#N/A</v>
      </c>
      <c r="F66" s="317">
        <f>SUM(F64:F65)</f>
        <v>0</v>
      </c>
      <c r="G66" s="314" t="e">
        <f>SUM(G64:G65)</f>
        <v>#N/A</v>
      </c>
      <c r="H66" s="560"/>
      <c r="I66" s="480" t="e">
        <f>SUM(I64:I65)</f>
        <v>#N/A</v>
      </c>
      <c r="J66" s="560">
        <f>SUM(J64:J65)</f>
        <v>0</v>
      </c>
      <c r="K66" s="480" t="e">
        <f>SUM(K64:K65)</f>
        <v>#N/A</v>
      </c>
    </row>
    <row r="68" spans="3:11">
      <c r="C68" s="246" t="str">
        <f>M_A0!C24</f>
        <v>A.2. Actividades económicas</v>
      </c>
    </row>
    <row r="69" spans="3:11">
      <c r="C69" s="46"/>
    </row>
    <row r="70" spans="3:11">
      <c r="C70" s="39" t="str">
        <f>M_A0!D27</f>
        <v>Industria</v>
      </c>
      <c r="K70" s="39"/>
    </row>
    <row r="71" spans="3:11">
      <c r="D71" s="683" t="s">
        <v>915</v>
      </c>
      <c r="E71" s="683"/>
      <c r="F71" s="683" t="s">
        <v>916</v>
      </c>
      <c r="G71" s="683"/>
      <c r="H71" s="683" t="s">
        <v>917</v>
      </c>
      <c r="I71" s="683"/>
      <c r="J71" s="683" t="s">
        <v>918</v>
      </c>
      <c r="K71" s="683"/>
    </row>
    <row r="72" spans="3:11">
      <c r="C72" s="230" t="str">
        <f>IF(Idioma=Castellano,"Tipo",IF(Idioma=Valencià,"Tipus"))</f>
        <v>Tipo</v>
      </c>
      <c r="D72" s="309" t="s">
        <v>623</v>
      </c>
      <c r="E72" s="503" t="s">
        <v>948</v>
      </c>
      <c r="F72" s="309" t="s">
        <v>623</v>
      </c>
      <c r="G72" s="503" t="s">
        <v>948</v>
      </c>
      <c r="H72" s="309" t="s">
        <v>623</v>
      </c>
      <c r="I72" s="503" t="s">
        <v>948</v>
      </c>
      <c r="J72" s="309" t="s">
        <v>623</v>
      </c>
      <c r="K72" s="503" t="s">
        <v>948</v>
      </c>
    </row>
    <row r="73" spans="3:11">
      <c r="C73" s="230" t="str">
        <f>M_A0!C29</f>
        <v>Sin especificar</v>
      </c>
      <c r="D73" s="313">
        <f>SUMIFS(M_Datos!O78:O80,M_Datos!$M78:$M80,M_Lista!$J$3)</f>
        <v>0</v>
      </c>
      <c r="E73" s="312">
        <f>M_Cálculos_ND!I118/1000</f>
        <v>0</v>
      </c>
      <c r="F73" s="313">
        <f>SUMIFS(M_Datos!P78:P80,M_Datos!$M78:$M80,M_Lista!$J$3)</f>
        <v>0</v>
      </c>
      <c r="G73" s="312">
        <f>M_Cálculos_ND!L118/1000</f>
        <v>0</v>
      </c>
      <c r="H73" s="559">
        <f>SUMIFS(M_Datos!Q78:Q80,M_Datos!$M78:$M80,M_Lista!$J$3)</f>
        <v>0</v>
      </c>
      <c r="I73" s="479">
        <f>M_Cálculos_ND!O118/1000</f>
        <v>0</v>
      </c>
      <c r="J73" s="559">
        <f>SUMIFS(M_Datos!R78:R80,M_Datos!$M78:$M80,M_Lista!$J$3)</f>
        <v>0</v>
      </c>
      <c r="K73" s="479">
        <f>M_Cálculos_ND!R118/1000</f>
        <v>0</v>
      </c>
    </row>
    <row r="74" spans="3:11">
      <c r="C74" s="230" t="str">
        <f>M_Datos!L81</f>
        <v>Cerámica</v>
      </c>
      <c r="D74" s="313">
        <f>SUMIFS(M_Datos!O81:O83,M_Datos!$M81:$M83,M_Lista!$J$3)</f>
        <v>0</v>
      </c>
      <c r="E74" s="312">
        <f>M_Cálculos_ND!I119/1000</f>
        <v>0</v>
      </c>
      <c r="F74" s="313">
        <f>SUMIFS(M_Datos!P81:P83,M_Datos!$M81:$M83,M_Lista!$J$3)</f>
        <v>0</v>
      </c>
      <c r="G74" s="312">
        <f>M_Cálculos_ND!L119/1000</f>
        <v>0</v>
      </c>
      <c r="H74" s="559">
        <f>SUMIFS(M_Datos!Q81:Q83,M_Datos!$M81:$M83,M_Lista!$J$3)</f>
        <v>0</v>
      </c>
      <c r="I74" s="479">
        <f>M_Cálculos_ND!O119/1000</f>
        <v>0</v>
      </c>
      <c r="J74" s="559">
        <f>SUMIFS(M_Datos!R81:R83,M_Datos!$M81:$M83,M_Lista!$J$3)</f>
        <v>0</v>
      </c>
      <c r="K74" s="479">
        <f>M_Cálculos_ND!R119/1000</f>
        <v>0</v>
      </c>
    </row>
    <row r="75" spans="3:11">
      <c r="C75" s="230" t="str">
        <f>M_Datos!L84</f>
        <v>Agroalimentaria</v>
      </c>
      <c r="D75" s="313">
        <f>SUMIFS(M_Datos!O84:O86,M_Datos!$M84:$M86,M_Lista!$J$3)</f>
        <v>0</v>
      </c>
      <c r="E75" s="312">
        <f>M_Cálculos_ND!I120/1000</f>
        <v>0</v>
      </c>
      <c r="F75" s="313">
        <f>SUMIFS(M_Datos!P84:P86,M_Datos!$M84:$M86,M_Lista!$J$3)</f>
        <v>0</v>
      </c>
      <c r="G75" s="312">
        <f>M_Cálculos_ND!L120/1000</f>
        <v>0</v>
      </c>
      <c r="H75" s="559">
        <f>SUMIFS(M_Datos!Q84:Q86,M_Datos!$M84:$M86,M_Lista!$J$3)</f>
        <v>0</v>
      </c>
      <c r="I75" s="479">
        <f>M_Cálculos_ND!O120/1000</f>
        <v>0</v>
      </c>
      <c r="J75" s="559">
        <f>SUMIFS(M_Datos!R84:R86,M_Datos!$M84:$M86,M_Lista!$J$3)</f>
        <v>0</v>
      </c>
      <c r="K75" s="479">
        <f>M_Cálculos_ND!R120/1000</f>
        <v>0</v>
      </c>
    </row>
    <row r="76" spans="3:11">
      <c r="C76" s="230" t="str">
        <f>M_Datos!L87</f>
        <v>Logística</v>
      </c>
      <c r="D76" s="313">
        <f>SUMIFS(M_Datos!O87:O89,M_Datos!$M87:$M89,M_Lista!$J$3)</f>
        <v>0</v>
      </c>
      <c r="E76" s="312">
        <f>M_Cálculos_ND!I121/1000</f>
        <v>0</v>
      </c>
      <c r="F76" s="313">
        <f>SUMIFS(M_Datos!P87:P89,M_Datos!$M87:$M89,M_Lista!$J$3)</f>
        <v>0</v>
      </c>
      <c r="G76" s="312">
        <f>M_Cálculos_ND!L121/1000</f>
        <v>0</v>
      </c>
      <c r="H76" s="559">
        <f>SUMIFS(M_Datos!Q87:Q89,M_Datos!$M87:$M89,M_Lista!$J$3)</f>
        <v>0</v>
      </c>
      <c r="I76" s="479">
        <f>M_Cálculos_ND!O121/1000</f>
        <v>0</v>
      </c>
      <c r="J76" s="559">
        <f>SUMIFS(M_Datos!R87:R89,M_Datos!$M87:$M89,M_Lista!$J$3)</f>
        <v>0</v>
      </c>
      <c r="K76" s="479">
        <f>M_Cálculos_ND!R121/1000</f>
        <v>0</v>
      </c>
    </row>
    <row r="77" spans="3:11">
      <c r="C77" s="230" t="str">
        <f>M_Datos!L90</f>
        <v>Textil</v>
      </c>
      <c r="D77" s="313">
        <f>SUMIFS(M_Datos!O90:O92,M_Datos!$M90:$M92,M_Lista!$J$3)</f>
        <v>0</v>
      </c>
      <c r="E77" s="312">
        <f>M_Cálculos_ND!I122/1000</f>
        <v>0</v>
      </c>
      <c r="F77" s="313">
        <f>SUMIFS(M_Datos!P90:P92,M_Datos!$M90:$M92,M_Lista!$J$3)</f>
        <v>0</v>
      </c>
      <c r="G77" s="312">
        <f>M_Cálculos_ND!L122/1000</f>
        <v>0</v>
      </c>
      <c r="H77" s="559">
        <f>SUMIFS(M_Datos!Q90:Q92,M_Datos!$M90:$M92,M_Lista!$J$3)</f>
        <v>0</v>
      </c>
      <c r="I77" s="479">
        <f>M_Cálculos_ND!O122/1000</f>
        <v>0</v>
      </c>
      <c r="J77" s="559">
        <f>SUMIFS(M_Datos!R90:R92,M_Datos!$M90:$M92,M_Lista!$J$3)</f>
        <v>0</v>
      </c>
      <c r="K77" s="479">
        <f>M_Cálculos_ND!R122/1000</f>
        <v>0</v>
      </c>
    </row>
    <row r="78" spans="3:11">
      <c r="C78" s="315" t="s">
        <v>631</v>
      </c>
      <c r="D78" s="317">
        <f>SUM(D73:D77)</f>
        <v>0</v>
      </c>
      <c r="E78" s="314">
        <f t="shared" ref="E78" si="2">SUM(E73:E77)</f>
        <v>0</v>
      </c>
      <c r="F78" s="317">
        <f t="shared" ref="F78:K78" si="3">SUM(F73:F77)</f>
        <v>0</v>
      </c>
      <c r="G78" s="314">
        <f t="shared" si="3"/>
        <v>0</v>
      </c>
      <c r="H78" s="317">
        <f t="shared" si="3"/>
        <v>0</v>
      </c>
      <c r="I78" s="314">
        <f t="shared" si="3"/>
        <v>0</v>
      </c>
      <c r="J78" s="317">
        <f t="shared" si="3"/>
        <v>0</v>
      </c>
      <c r="K78" s="314">
        <f t="shared" si="3"/>
        <v>0</v>
      </c>
    </row>
    <row r="79" spans="3:11">
      <c r="K79" s="39"/>
    </row>
    <row r="80" spans="3:11">
      <c r="C80" s="39" t="str">
        <f>M_A0!D36</f>
        <v>Terciario</v>
      </c>
      <c r="K80" s="39"/>
    </row>
    <row r="81" spans="3:11">
      <c r="C81" s="47"/>
      <c r="D81" s="683" t="s">
        <v>915</v>
      </c>
      <c r="E81" s="683"/>
      <c r="F81" s="683" t="s">
        <v>916</v>
      </c>
      <c r="G81" s="683"/>
      <c r="H81" s="683" t="s">
        <v>917</v>
      </c>
      <c r="I81" s="683"/>
      <c r="J81" s="683" t="s">
        <v>918</v>
      </c>
      <c r="K81" s="683"/>
    </row>
    <row r="82" spans="3:11">
      <c r="C82" s="230" t="str">
        <f>IF(Idioma=Castellano,"Tipo",IF(Idioma=Valencià,"Tipus"))</f>
        <v>Tipo</v>
      </c>
      <c r="D82" s="309" t="s">
        <v>623</v>
      </c>
      <c r="E82" s="503" t="s">
        <v>948</v>
      </c>
      <c r="F82" s="309" t="s">
        <v>623</v>
      </c>
      <c r="G82" s="503" t="s">
        <v>948</v>
      </c>
      <c r="H82" s="309" t="s">
        <v>623</v>
      </c>
      <c r="I82" s="503" t="s">
        <v>948</v>
      </c>
      <c r="J82" s="309" t="s">
        <v>623</v>
      </c>
      <c r="K82" s="503" t="s">
        <v>948</v>
      </c>
    </row>
    <row r="83" spans="3:11">
      <c r="C83" s="230" t="str">
        <f>M_Datos!L56</f>
        <v>Sin especificar</v>
      </c>
      <c r="D83" s="313">
        <f>M_Cálculos_ND!H21</f>
        <v>0</v>
      </c>
      <c r="E83" s="312">
        <f>M_Cálculos_ND!I21/1000</f>
        <v>0</v>
      </c>
      <c r="F83" s="313">
        <f>M_Cálculos_ND!K21</f>
        <v>0</v>
      </c>
      <c r="G83" s="312">
        <f>M_Cálculos_ND!L21/1000</f>
        <v>0</v>
      </c>
      <c r="H83" s="559">
        <f>M_Cálculos_ND!N21</f>
        <v>0</v>
      </c>
      <c r="I83" s="479">
        <f>M_Cálculos_ND!O21/1000</f>
        <v>0</v>
      </c>
      <c r="J83" s="559">
        <f>M_Cálculos_ND!Q21</f>
        <v>0</v>
      </c>
      <c r="K83" s="479">
        <f>M_Cálculos_ND!R21/1000</f>
        <v>0</v>
      </c>
    </row>
    <row r="84" spans="3:11">
      <c r="C84" s="289" t="str">
        <f>M_Datos!L59</f>
        <v>Oficinas</v>
      </c>
      <c r="D84" s="313">
        <f>M_Cálculos_ND!E31</f>
        <v>0</v>
      </c>
      <c r="E84" s="312">
        <f>M_Cálculos_ND!F31/1000</f>
        <v>0</v>
      </c>
      <c r="F84" s="313">
        <f>M_Cálculos_ND!K31</f>
        <v>0</v>
      </c>
      <c r="G84" s="312">
        <f>M_Cálculos_ND!L31/1000</f>
        <v>0</v>
      </c>
      <c r="H84" s="559">
        <f>M_Cálculos_ND!N31</f>
        <v>0</v>
      </c>
      <c r="I84" s="479">
        <f>M_Cálculos_ND!O31/1000</f>
        <v>0</v>
      </c>
      <c r="J84" s="559">
        <f>M_Cálculos_ND!Q31</f>
        <v>0</v>
      </c>
      <c r="K84" s="479">
        <f>M_Cálculos_ND!R31/1000</f>
        <v>0</v>
      </c>
    </row>
    <row r="85" spans="3:11">
      <c r="C85" s="289" t="str">
        <f>M_Datos!L62</f>
        <v>Comercio</v>
      </c>
      <c r="D85" s="313">
        <f>M_Cálculos_ND!E41</f>
        <v>0</v>
      </c>
      <c r="E85" s="312">
        <f>M_Cálculos_ND!F41/1000</f>
        <v>0</v>
      </c>
      <c r="F85" s="313">
        <f>M_Cálculos_ND!K41</f>
        <v>0</v>
      </c>
      <c r="G85" s="312">
        <f>M_Cálculos_ND!L41/1000</f>
        <v>0</v>
      </c>
      <c r="H85" s="559">
        <f>M_Cálculos_ND!N41</f>
        <v>0</v>
      </c>
      <c r="I85" s="479">
        <f>M_Cálculos_ND!O41/1000</f>
        <v>0</v>
      </c>
      <c r="J85" s="559">
        <f>M_Cálculos_ND!Q41</f>
        <v>0</v>
      </c>
      <c r="K85" s="479">
        <f>M_Cálculos_ND!R41/1000</f>
        <v>0</v>
      </c>
    </row>
    <row r="86" spans="3:11">
      <c r="C86" s="289" t="str">
        <f>M_Datos!L65</f>
        <v>Hotel</v>
      </c>
      <c r="D86" s="313">
        <f>M_Cálculos_ND!E51</f>
        <v>0</v>
      </c>
      <c r="E86" s="312">
        <f>M_Cálculos_ND!F51/1000</f>
        <v>0</v>
      </c>
      <c r="F86" s="313">
        <f>M_Cálculos_ND!K51</f>
        <v>0</v>
      </c>
      <c r="G86" s="312">
        <f>M_Cálculos_ND!L51/1000</f>
        <v>0</v>
      </c>
      <c r="H86" s="559">
        <f>M_Cálculos_ND!N51</f>
        <v>0</v>
      </c>
      <c r="I86" s="479">
        <f>M_Cálculos_ND!O51/1000</f>
        <v>0</v>
      </c>
      <c r="J86" s="559">
        <f>M_Cálculos_ND!Q51</f>
        <v>0</v>
      </c>
      <c r="K86" s="479">
        <f>M_Cálculos_ND!R51/1000</f>
        <v>0</v>
      </c>
    </row>
    <row r="87" spans="3:11">
      <c r="C87" s="289" t="str">
        <f>M_Datos!L68</f>
        <v>Restauración</v>
      </c>
      <c r="D87" s="313">
        <f>M_Cálculos_ND!E61</f>
        <v>0</v>
      </c>
      <c r="E87" s="312">
        <f>M_Cálculos_ND!F61/1000</f>
        <v>0</v>
      </c>
      <c r="F87" s="313">
        <f>M_Cálculos_ND!K61</f>
        <v>0</v>
      </c>
      <c r="G87" s="312">
        <f>M_Cálculos_ND!L61/1000</f>
        <v>0</v>
      </c>
      <c r="H87" s="559">
        <f>M_Cálculos_ND!N61</f>
        <v>0</v>
      </c>
      <c r="I87" s="479">
        <f>M_Cálculos_ND!O61/1000</f>
        <v>0</v>
      </c>
      <c r="J87" s="559">
        <f>M_Cálculos_ND!Q61</f>
        <v>0</v>
      </c>
      <c r="K87" s="479">
        <f>M_Cálculos_ND!R61/1000</f>
        <v>0</v>
      </c>
    </row>
    <row r="88" spans="3:11">
      <c r="C88" s="315" t="s">
        <v>631</v>
      </c>
      <c r="D88" s="317">
        <f t="shared" ref="D88:K88" si="4">SUM(D83:D87)</f>
        <v>0</v>
      </c>
      <c r="E88" s="314">
        <f t="shared" si="4"/>
        <v>0</v>
      </c>
      <c r="F88" s="317">
        <f t="shared" si="4"/>
        <v>0</v>
      </c>
      <c r="G88" s="314">
        <f t="shared" si="4"/>
        <v>0</v>
      </c>
      <c r="H88" s="317">
        <f t="shared" si="4"/>
        <v>0</v>
      </c>
      <c r="I88" s="314">
        <f t="shared" si="4"/>
        <v>0</v>
      </c>
      <c r="J88" s="317">
        <f t="shared" si="4"/>
        <v>0</v>
      </c>
      <c r="K88" s="314">
        <f t="shared" si="4"/>
        <v>0</v>
      </c>
    </row>
    <row r="89" spans="3:11">
      <c r="G89" s="183"/>
      <c r="H89" s="184"/>
      <c r="I89" s="159"/>
      <c r="J89" s="159"/>
      <c r="K89" s="39"/>
    </row>
    <row r="91" spans="3:11">
      <c r="C91" s="246" t="str">
        <f>M_A0!C46</f>
        <v>A.3.Equipamientos</v>
      </c>
    </row>
    <row r="92" spans="3:11">
      <c r="C92" s="46"/>
    </row>
    <row r="93" spans="3:11">
      <c r="C93" s="81"/>
      <c r="D93" s="85"/>
      <c r="E93" s="85"/>
      <c r="F93" s="85"/>
      <c r="G93" s="39"/>
      <c r="H93" s="39"/>
      <c r="I93" s="39"/>
      <c r="J93" s="39"/>
    </row>
    <row r="94" spans="3:11">
      <c r="C94" s="81"/>
      <c r="D94" s="85"/>
      <c r="E94" s="85"/>
      <c r="F94" s="85"/>
      <c r="G94" s="39"/>
      <c r="H94" s="39"/>
      <c r="I94" s="39"/>
    </row>
    <row r="95" spans="3:11">
      <c r="C95" s="47"/>
      <c r="D95" s="683" t="s">
        <v>915</v>
      </c>
      <c r="E95" s="683"/>
      <c r="F95" s="683" t="s">
        <v>916</v>
      </c>
      <c r="G95" s="683"/>
      <c r="H95" s="683" t="s">
        <v>917</v>
      </c>
      <c r="I95" s="683"/>
      <c r="J95" s="683" t="s">
        <v>918</v>
      </c>
      <c r="K95" s="683"/>
    </row>
    <row r="96" spans="3:11">
      <c r="C96" s="230" t="str">
        <f>IF(Idioma=Castellano,"Tipo",IF(Idioma=Valencià,"Tipus"))</f>
        <v>Tipo</v>
      </c>
      <c r="D96" s="309" t="s">
        <v>623</v>
      </c>
      <c r="E96" s="503" t="s">
        <v>948</v>
      </c>
      <c r="F96" s="309" t="s">
        <v>623</v>
      </c>
      <c r="G96" s="503" t="s">
        <v>948</v>
      </c>
      <c r="H96" s="309" t="s">
        <v>623</v>
      </c>
      <c r="I96" s="503" t="s">
        <v>948</v>
      </c>
      <c r="J96" s="309" t="s">
        <v>623</v>
      </c>
      <c r="K96" s="503" t="s">
        <v>948</v>
      </c>
    </row>
    <row r="97" spans="3:11">
      <c r="C97" s="289" t="str">
        <f>M_Datos!L38</f>
        <v>Equipamientos - Sin especificar</v>
      </c>
      <c r="D97" s="313">
        <f>M_Cálculos_ND!H78</f>
        <v>0</v>
      </c>
      <c r="E97" s="312" t="e">
        <f>M_Cálculos_ND!I78/1000</f>
        <v>#N/A</v>
      </c>
      <c r="F97" s="313">
        <f>M_Cálculos_ND!K78</f>
        <v>0</v>
      </c>
      <c r="G97" s="312" t="e">
        <f>M_Cálculos_ND!L78/1000</f>
        <v>#N/A</v>
      </c>
      <c r="H97" s="559">
        <f>M_Cálculos_ND!N78</f>
        <v>0</v>
      </c>
      <c r="I97" s="479" t="e">
        <f>M_Cálculos_ND!O78/1000</f>
        <v>#N/A</v>
      </c>
      <c r="J97" s="559">
        <f>M_Cálculos_ND!Q78</f>
        <v>0</v>
      </c>
      <c r="K97" s="479" t="e">
        <f>M_Cálculos_ND!R78/1000</f>
        <v>#N/A</v>
      </c>
    </row>
    <row r="98" spans="3:11">
      <c r="C98" s="289" t="str">
        <f>M_Datos!L41</f>
        <v>Sanitario</v>
      </c>
      <c r="D98" s="313">
        <f>M_Cálculos_ND!H88</f>
        <v>0</v>
      </c>
      <c r="E98" s="312" t="e">
        <f>M_Cálculos_ND!I88/1000</f>
        <v>#N/A</v>
      </c>
      <c r="F98" s="313">
        <f>M_Cálculos_ND!K88</f>
        <v>0</v>
      </c>
      <c r="G98" s="312" t="e">
        <f>M_Cálculos_ND!L88/1000</f>
        <v>#N/A</v>
      </c>
      <c r="H98" s="559">
        <f>M_Cálculos_ND!N88</f>
        <v>0</v>
      </c>
      <c r="I98" s="479" t="e">
        <f>M_Cálculos_ND!O88/1000</f>
        <v>#N/A</v>
      </c>
      <c r="J98" s="559">
        <f>M_Cálculos_ND!Q88</f>
        <v>0</v>
      </c>
      <c r="K98" s="479" t="e">
        <f>M_Cálculos_ND!R88/1000</f>
        <v>#N/A</v>
      </c>
    </row>
    <row r="99" spans="3:11">
      <c r="C99" s="289" t="str">
        <f>M_Datos!L44</f>
        <v>Educativo</v>
      </c>
      <c r="D99" s="313">
        <f>M_Cálculos_ND!H98</f>
        <v>0</v>
      </c>
      <c r="E99" s="312" t="e">
        <f>M_Cálculos_ND!I98/1000</f>
        <v>#N/A</v>
      </c>
      <c r="F99" s="313">
        <f>M_Cálculos_ND!K98</f>
        <v>0</v>
      </c>
      <c r="G99" s="312" t="e">
        <f>M_Cálculos_ND!L98/1000</f>
        <v>#N/A</v>
      </c>
      <c r="H99" s="559">
        <f>M_Cálculos_ND!N98</f>
        <v>0</v>
      </c>
      <c r="I99" s="479" t="e">
        <f>M_Cálculos_ND!O98/1000</f>
        <v>#N/A</v>
      </c>
      <c r="J99" s="559">
        <f>M_Cálculos_ND!Q98</f>
        <v>0</v>
      </c>
      <c r="K99" s="479" t="e">
        <f>M_Cálculos_ND!R98/1000</f>
        <v>#N/A</v>
      </c>
    </row>
    <row r="100" spans="3:11">
      <c r="C100" s="289" t="str">
        <f>M_Datos!L47</f>
        <v>Deportivo</v>
      </c>
      <c r="D100" s="313">
        <f>M_Cálculos_ND!H108</f>
        <v>0</v>
      </c>
      <c r="E100" s="312" t="e">
        <f>M_Cálculos_ND!I108/1000</f>
        <v>#N/A</v>
      </c>
      <c r="F100" s="313">
        <f>M_Cálculos_ND!K108</f>
        <v>0</v>
      </c>
      <c r="G100" s="312" t="e">
        <f>M_Cálculos_ND!L108/1000</f>
        <v>#N/A</v>
      </c>
      <c r="H100" s="559">
        <f>M_Cálculos_ND!N108</f>
        <v>0</v>
      </c>
      <c r="I100" s="479" t="e">
        <f>M_Cálculos_ND!O108/1000</f>
        <v>#N/A</v>
      </c>
      <c r="J100" s="559">
        <f>M_Cálculos_ND!Q108</f>
        <v>0</v>
      </c>
      <c r="K100" s="479" t="e">
        <f>M_Cálculos_ND!R108/1000</f>
        <v>#N/A</v>
      </c>
    </row>
    <row r="101" spans="3:11">
      <c r="C101" s="315" t="s">
        <v>631</v>
      </c>
      <c r="D101" s="317">
        <f t="shared" ref="D101:K101" si="5">SUM(D97:D100)</f>
        <v>0</v>
      </c>
      <c r="E101" s="314" t="e">
        <f t="shared" si="5"/>
        <v>#N/A</v>
      </c>
      <c r="F101" s="317">
        <f t="shared" si="5"/>
        <v>0</v>
      </c>
      <c r="G101" s="314" t="e">
        <f t="shared" si="5"/>
        <v>#N/A</v>
      </c>
      <c r="H101" s="317">
        <f t="shared" si="5"/>
        <v>0</v>
      </c>
      <c r="I101" s="314" t="e">
        <f t="shared" si="5"/>
        <v>#N/A</v>
      </c>
      <c r="J101" s="317">
        <f t="shared" si="5"/>
        <v>0</v>
      </c>
      <c r="K101" s="314" t="e">
        <f t="shared" si="5"/>
        <v>#N/A</v>
      </c>
    </row>
    <row r="102" spans="3:11">
      <c r="C102" s="81"/>
      <c r="D102" s="85"/>
      <c r="E102" s="85"/>
      <c r="F102" s="85"/>
      <c r="G102" s="39"/>
      <c r="H102" s="39"/>
      <c r="I102" s="39"/>
      <c r="J102" s="39"/>
    </row>
  </sheetData>
  <sheetProtection algorithmName="SHA-512" hashValue="0A8TXCcpq1L2V/8+Of0I8ruC35hQPAYzSefPJ0tPewpFvyhTDfR7La6SWB3yRQespilZCPq9QfsTeC5kXZcp9g==" saltValue="BT69RqphVcJkRjbJWqRsvg==" spinCount="100000" sheet="1" objects="1" scenarios="1"/>
  <mergeCells count="26">
    <mergeCell ref="D62:E62"/>
    <mergeCell ref="F62:G62"/>
    <mergeCell ref="C28:X28"/>
    <mergeCell ref="G35:K35"/>
    <mergeCell ref="G37:H38"/>
    <mergeCell ref="H62:I62"/>
    <mergeCell ref="J62:K62"/>
    <mergeCell ref="D6:K6"/>
    <mergeCell ref="D7:K7"/>
    <mergeCell ref="D8:K8"/>
    <mergeCell ref="D18:E18"/>
    <mergeCell ref="F18:G18"/>
    <mergeCell ref="H18:I18"/>
    <mergeCell ref="J18:K18"/>
    <mergeCell ref="D95:E95"/>
    <mergeCell ref="F95:G95"/>
    <mergeCell ref="H95:I95"/>
    <mergeCell ref="J95:K95"/>
    <mergeCell ref="D71:E71"/>
    <mergeCell ref="F71:G71"/>
    <mergeCell ref="H71:I71"/>
    <mergeCell ref="J71:K71"/>
    <mergeCell ref="D81:E81"/>
    <mergeCell ref="F81:G81"/>
    <mergeCell ref="H81:I81"/>
    <mergeCell ref="J81:K81"/>
  </mergeCells>
  <hyperlinks>
    <hyperlink ref="A7" location="Instrucciones_Valencia!A1" display="Instrucciones_Valencia!A1" xr:uid="{CEC2CC79-858C-4E5A-97E0-99D4AC3586C5}"/>
    <hyperlink ref="A9" location="M_Datos_Valencia!A1" display="M_Datos_Valencia!A1" xr:uid="{693CCB9F-F0CC-4758-8DCD-7CC32C2E4D0F}"/>
    <hyperlink ref="A11" location="V_A0!A1" display="2.1. Alternativa 0 (A0)" xr:uid="{7718F964-3CB3-425B-9D20-DF703E5248E7}"/>
    <hyperlink ref="A12" location="V_A1!A1" display="2.2. Alternativa 1 (A1)" xr:uid="{7574EE51-A61B-43EA-9B45-6663E4197E6D}"/>
    <hyperlink ref="A13" location="V_A2!A1" display="2.3. Alternativa 2 (A2)" xr:uid="{429E19F8-FBCB-4286-B530-DC39CA2C558B}"/>
    <hyperlink ref="A14" location="V_A3!A1" display="2.4. Alternativa 3 (A3)" xr:uid="{F7CAB72A-078F-452C-91CD-01805ABDDF8A}"/>
    <hyperlink ref="A15" location="V_A4!A1" display="2.5. Alternativa 4 (A4)" xr:uid="{A95D2390-2E67-45CB-85B2-F3BC3828CC63}"/>
    <hyperlink ref="A16" location="B_Resultados!A1" display="B_Resultados!A1" xr:uid="{E7C96E29-D28C-4DEE-9C64-594D360F9871}"/>
    <hyperlink ref="A17" location="V_Factores!A1" display="V_Factores!A1" xr:uid="{77003192-3E94-494F-B525-7A2C3A934223}"/>
    <hyperlink ref="A19" location="B_Alcance!A1" display="B_Alcance!A1" xr:uid="{BDD07CC8-C36A-4B85-9528-6B45429FF4FF}"/>
    <hyperlink ref="A20" location="B_Checklist!A1" display="2. Checklist" xr:uid="{8805C7C5-1A16-4349-A451-3A40A761EE4A}"/>
    <hyperlink ref="A21" location="B_Resultados!A1" display="B_Resultados!A1" xr:uid="{C7C6F850-E7CB-48F3-A54C-F78EC08BFA38}"/>
    <hyperlink ref="A22" location="Resultados_generales!A1" display="Resultados_generales!A1" xr:uid="{B6384A2E-D064-4669-9F32-1164E48FBCAC}"/>
    <hyperlink ref="A23" location="Medidas_Propuestas!A1" display="Medidas_Propuestas!A1" xr:uid="{A698912B-B126-4760-8A6F-098491118BCA}"/>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 id="{C663C972-3FBD-478D-87A2-D0CBB0910B62}">
            <xm:f>M_Datos!$J$17="No"</xm:f>
            <x14:dxf>
              <font>
                <color theme="0" tint="-0.34998626667073579"/>
              </font>
              <fill>
                <patternFill>
                  <bgColor theme="0" tint="-4.9989318521683403E-2"/>
                </patternFill>
              </fill>
            </x14:dxf>
          </x14:cfRule>
          <xm:sqref>C74:K77 C84:K87 C98:K100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2776B-187B-4F31-9550-E7824FABD9B1}">
  <dimension ref="A2:O544"/>
  <sheetViews>
    <sheetView topLeftCell="B1" workbookViewId="0">
      <selection activeCell="K2" sqref="K2:O2"/>
    </sheetView>
  </sheetViews>
  <sheetFormatPr baseColWidth="10" defaultColWidth="11.44140625" defaultRowHeight="14.4"/>
  <cols>
    <col min="1" max="1" width="16.33203125" customWidth="1"/>
    <col min="2" max="2" width="18" customWidth="1"/>
    <col min="3" max="3" width="14.44140625" customWidth="1"/>
    <col min="4" max="4" width="18.5546875" customWidth="1"/>
    <col min="6" max="6" width="14.44140625" bestFit="1" customWidth="1"/>
    <col min="7" max="7" width="19" bestFit="1" customWidth="1"/>
    <col min="8" max="8" width="26.33203125" bestFit="1" customWidth="1"/>
    <col min="10" max="10" width="16" bestFit="1" customWidth="1"/>
    <col min="11" max="11" width="20.44140625" bestFit="1" customWidth="1"/>
    <col min="12" max="12" width="11" bestFit="1" customWidth="1"/>
    <col min="13" max="13" width="32.6640625" bestFit="1" customWidth="1"/>
    <col min="14" max="14" width="22.33203125" bestFit="1" customWidth="1"/>
  </cols>
  <sheetData>
    <row r="2" spans="1:15">
      <c r="A2" s="241" t="s">
        <v>10</v>
      </c>
      <c r="B2" s="241" t="s">
        <v>11</v>
      </c>
      <c r="C2" s="241" t="s">
        <v>12</v>
      </c>
      <c r="D2" s="241" t="s">
        <v>13</v>
      </c>
      <c r="E2" s="135"/>
      <c r="F2" s="241" t="s">
        <v>14</v>
      </c>
      <c r="G2" s="611" t="s">
        <v>15</v>
      </c>
      <c r="H2" s="611"/>
      <c r="I2" s="611" t="s">
        <v>16</v>
      </c>
      <c r="K2" s="241" t="s">
        <v>880</v>
      </c>
      <c r="L2" s="241" t="s">
        <v>881</v>
      </c>
      <c r="M2" s="241" t="s">
        <v>882</v>
      </c>
      <c r="N2" s="241" t="s">
        <v>882</v>
      </c>
      <c r="O2" s="241" t="s">
        <v>882</v>
      </c>
    </row>
    <row r="3" spans="1:15">
      <c r="A3" t="s">
        <v>17</v>
      </c>
      <c r="B3" t="s">
        <v>18</v>
      </c>
      <c r="C3">
        <v>495</v>
      </c>
      <c r="D3" t="s">
        <v>19</v>
      </c>
      <c r="E3" t="s">
        <v>20</v>
      </c>
      <c r="F3" t="s">
        <v>21</v>
      </c>
      <c r="G3" t="str">
        <f>IF(Idioma=Castellano,"Edificación existente",IF(Idioma=Valencià,"Edificació existent","Edificación existente"))</f>
        <v>Edificación existente</v>
      </c>
      <c r="H3" s="1" t="s">
        <v>22</v>
      </c>
      <c r="I3" t="s">
        <v>23</v>
      </c>
      <c r="J3" t="str">
        <f>IF(Idioma=Castellano,"Nuevo desarrollo",IF(Idioma=Valencià,"Nou desenvolupament","Nuevo desarrollo"))</f>
        <v>Nuevo desarrollo</v>
      </c>
      <c r="K3" t="s">
        <v>616</v>
      </c>
      <c r="L3" t="s">
        <v>875</v>
      </c>
      <c r="M3" t="s">
        <v>876</v>
      </c>
    </row>
    <row r="4" spans="1:15">
      <c r="A4" t="s">
        <v>24</v>
      </c>
      <c r="B4" t="s">
        <v>25</v>
      </c>
      <c r="C4">
        <v>538</v>
      </c>
      <c r="D4" t="s">
        <v>26</v>
      </c>
      <c r="E4" t="s">
        <v>27</v>
      </c>
      <c r="F4" t="s">
        <v>28</v>
      </c>
      <c r="G4" t="s">
        <v>29</v>
      </c>
      <c r="H4" s="1" t="s">
        <v>30</v>
      </c>
      <c r="I4" t="s">
        <v>31</v>
      </c>
      <c r="J4" t="str">
        <f>IF(Idioma=Castellano,"Existente",IF(Idioma=Valencià,"Existent","Existente"))</f>
        <v>Existente</v>
      </c>
      <c r="K4" t="s">
        <v>617</v>
      </c>
      <c r="L4" t="s">
        <v>874</v>
      </c>
      <c r="M4" t="s">
        <v>865</v>
      </c>
      <c r="N4" t="s">
        <v>884</v>
      </c>
      <c r="O4" t="s">
        <v>874</v>
      </c>
    </row>
    <row r="5" spans="1:15">
      <c r="A5" t="s">
        <v>32</v>
      </c>
      <c r="B5" t="s">
        <v>33</v>
      </c>
      <c r="C5">
        <v>158</v>
      </c>
      <c r="D5" t="s">
        <v>34</v>
      </c>
      <c r="G5" t="s">
        <v>35</v>
      </c>
      <c r="I5" t="s">
        <v>36</v>
      </c>
      <c r="K5" t="s">
        <v>618</v>
      </c>
      <c r="M5" t="s">
        <v>866</v>
      </c>
      <c r="N5" t="s">
        <v>885</v>
      </c>
      <c r="O5" t="s">
        <v>875</v>
      </c>
    </row>
    <row r="6" spans="1:15">
      <c r="B6" t="s">
        <v>37</v>
      </c>
      <c r="C6">
        <v>280</v>
      </c>
      <c r="D6" t="s">
        <v>19</v>
      </c>
      <c r="G6" t="s">
        <v>38</v>
      </c>
      <c r="I6" t="s">
        <v>39</v>
      </c>
      <c r="K6" t="s">
        <v>619</v>
      </c>
      <c r="M6" t="s">
        <v>877</v>
      </c>
      <c r="N6" t="s">
        <v>873</v>
      </c>
    </row>
    <row r="7" spans="1:15">
      <c r="B7" t="s">
        <v>40</v>
      </c>
      <c r="C7">
        <v>469</v>
      </c>
      <c r="D7" t="s">
        <v>19</v>
      </c>
      <c r="G7" t="s">
        <v>41</v>
      </c>
      <c r="I7" t="s">
        <v>42</v>
      </c>
      <c r="K7" t="s">
        <v>620</v>
      </c>
      <c r="M7" t="s">
        <v>867</v>
      </c>
      <c r="N7" t="s">
        <v>886</v>
      </c>
    </row>
    <row r="8" spans="1:15">
      <c r="B8" t="s">
        <v>43</v>
      </c>
      <c r="C8">
        <v>213</v>
      </c>
      <c r="D8" t="s">
        <v>34</v>
      </c>
      <c r="G8" t="s">
        <v>44</v>
      </c>
      <c r="M8" t="s">
        <v>868</v>
      </c>
    </row>
    <row r="9" spans="1:15">
      <c r="B9" t="s">
        <v>45</v>
      </c>
      <c r="C9">
        <v>483</v>
      </c>
      <c r="D9" t="s">
        <v>19</v>
      </c>
      <c r="G9" t="s">
        <v>46</v>
      </c>
      <c r="M9" t="s">
        <v>869</v>
      </c>
    </row>
    <row r="10" spans="1:15">
      <c r="B10" t="s">
        <v>47</v>
      </c>
      <c r="C10">
        <v>35</v>
      </c>
      <c r="D10" t="s">
        <v>34</v>
      </c>
      <c r="G10" s="289" t="str">
        <f>IF(Idioma=Castellano,"Consumo nulo",IF(Idioma=Valencià,"Consum nul","Consumo nulo"))</f>
        <v>Consumo nulo</v>
      </c>
      <c r="M10" t="s">
        <v>870</v>
      </c>
    </row>
    <row r="11" spans="1:15">
      <c r="B11" t="s">
        <v>48</v>
      </c>
      <c r="C11">
        <v>404</v>
      </c>
      <c r="D11" t="s">
        <v>19</v>
      </c>
      <c r="G11" s="289" t="str">
        <f>IF(Idioma=Castellano,"Sin definir",IF(Idioma=Valencià,"Sense definir","Sin definir"))</f>
        <v>Sin definir</v>
      </c>
      <c r="M11" t="s">
        <v>871</v>
      </c>
    </row>
    <row r="12" spans="1:15">
      <c r="B12" t="s">
        <v>50</v>
      </c>
      <c r="C12">
        <v>23</v>
      </c>
      <c r="D12" t="s">
        <v>34</v>
      </c>
      <c r="M12" t="s">
        <v>872</v>
      </c>
    </row>
    <row r="13" spans="1:15">
      <c r="B13" t="s">
        <v>51</v>
      </c>
      <c r="C13">
        <v>24</v>
      </c>
      <c r="D13" t="s">
        <v>34</v>
      </c>
      <c r="M13" t="s">
        <v>873</v>
      </c>
    </row>
    <row r="14" spans="1:15">
      <c r="B14" t="s">
        <v>52</v>
      </c>
      <c r="C14">
        <v>389</v>
      </c>
      <c r="D14" t="s">
        <v>19</v>
      </c>
      <c r="I14" s="289"/>
      <c r="M14" s="238" t="s">
        <v>883</v>
      </c>
    </row>
    <row r="15" spans="1:15">
      <c r="B15" t="s">
        <v>53</v>
      </c>
      <c r="C15">
        <v>406</v>
      </c>
      <c r="D15" t="s">
        <v>19</v>
      </c>
      <c r="I15" s="289"/>
    </row>
    <row r="16" spans="1:15">
      <c r="B16" t="s">
        <v>54</v>
      </c>
      <c r="C16">
        <v>1188</v>
      </c>
      <c r="D16" t="s">
        <v>55</v>
      </c>
      <c r="I16" s="289"/>
    </row>
    <row r="17" spans="2:9">
      <c r="B17" t="s">
        <v>56</v>
      </c>
      <c r="C17">
        <v>309</v>
      </c>
      <c r="D17" t="s">
        <v>19</v>
      </c>
      <c r="G17" t="str">
        <f>IF(Idioma=Castellano,"Edificación existente",IF(Idioma=Valencià,"Edificació existent","Edificación existente"))</f>
        <v>Edificación existente</v>
      </c>
      <c r="I17" s="289"/>
    </row>
    <row r="18" spans="2:9">
      <c r="B18" t="s">
        <v>57</v>
      </c>
      <c r="C18">
        <v>260</v>
      </c>
      <c r="D18" t="s">
        <v>34</v>
      </c>
      <c r="G18" t="s">
        <v>29</v>
      </c>
      <c r="I18" s="289"/>
    </row>
    <row r="19" spans="2:9">
      <c r="B19" t="s">
        <v>58</v>
      </c>
      <c r="C19">
        <v>400</v>
      </c>
      <c r="D19" t="s">
        <v>19</v>
      </c>
      <c r="G19" t="s">
        <v>35</v>
      </c>
      <c r="I19" s="289"/>
    </row>
    <row r="20" spans="2:9">
      <c r="B20" t="s">
        <v>59</v>
      </c>
      <c r="C20">
        <v>382</v>
      </c>
      <c r="D20" t="s">
        <v>19</v>
      </c>
      <c r="G20" t="s">
        <v>38</v>
      </c>
      <c r="I20" s="289"/>
    </row>
    <row r="21" spans="2:9">
      <c r="B21" t="s">
        <v>60</v>
      </c>
      <c r="C21">
        <v>287</v>
      </c>
      <c r="D21" t="s">
        <v>34</v>
      </c>
      <c r="G21" t="s">
        <v>41</v>
      </c>
      <c r="I21" s="289"/>
    </row>
    <row r="22" spans="2:9">
      <c r="B22" t="s">
        <v>61</v>
      </c>
      <c r="C22">
        <v>980</v>
      </c>
      <c r="D22" t="s">
        <v>55</v>
      </c>
      <c r="G22" t="s">
        <v>44</v>
      </c>
      <c r="I22" s="289"/>
    </row>
    <row r="23" spans="2:9">
      <c r="B23" t="s">
        <v>62</v>
      </c>
      <c r="C23">
        <v>802</v>
      </c>
      <c r="D23" t="s">
        <v>63</v>
      </c>
      <c r="G23" s="289" t="str">
        <f>IF(Idioma=Castellano,"Consumo nulo",IF(Idioma=Valencià,"Consum nul","Consumo nulo"))</f>
        <v>Consumo nulo</v>
      </c>
    </row>
    <row r="24" spans="2:9">
      <c r="B24" t="s">
        <v>64</v>
      </c>
      <c r="C24">
        <v>595</v>
      </c>
      <c r="D24" t="s">
        <v>19</v>
      </c>
      <c r="G24" s="289" t="str">
        <f>IF(Idioma=Castellano,"Sin definir",IF(Idioma=Valencià,"Sense definir","Sin definir"))</f>
        <v>Sin definir</v>
      </c>
    </row>
    <row r="25" spans="2:9">
      <c r="B25" t="s">
        <v>65</v>
      </c>
      <c r="C25">
        <v>944</v>
      </c>
      <c r="D25" t="s">
        <v>55</v>
      </c>
    </row>
    <row r="26" spans="2:9">
      <c r="B26" t="s">
        <v>66</v>
      </c>
      <c r="C26">
        <v>830</v>
      </c>
      <c r="D26" t="s">
        <v>55</v>
      </c>
    </row>
    <row r="27" spans="2:9">
      <c r="B27" t="s">
        <v>67</v>
      </c>
      <c r="C27">
        <v>12</v>
      </c>
      <c r="D27" t="s">
        <v>34</v>
      </c>
    </row>
    <row r="28" spans="2:9">
      <c r="B28" t="s">
        <v>68</v>
      </c>
      <c r="C28">
        <v>16</v>
      </c>
      <c r="D28" t="s">
        <v>34</v>
      </c>
    </row>
    <row r="29" spans="2:9">
      <c r="B29" t="s">
        <v>69</v>
      </c>
      <c r="C29">
        <v>319</v>
      </c>
      <c r="D29" t="s">
        <v>19</v>
      </c>
    </row>
    <row r="30" spans="2:9">
      <c r="B30" t="s">
        <v>70</v>
      </c>
      <c r="C30">
        <v>97</v>
      </c>
      <c r="D30" t="s">
        <v>34</v>
      </c>
    </row>
    <row r="31" spans="2:9">
      <c r="B31" t="s">
        <v>71</v>
      </c>
      <c r="C31">
        <v>12</v>
      </c>
      <c r="D31" t="s">
        <v>34</v>
      </c>
    </row>
    <row r="32" spans="2:9">
      <c r="B32" t="s">
        <v>72</v>
      </c>
      <c r="C32">
        <v>203</v>
      </c>
      <c r="D32" t="s">
        <v>34</v>
      </c>
    </row>
    <row r="33" spans="2:4">
      <c r="B33" t="s">
        <v>73</v>
      </c>
      <c r="C33">
        <v>273</v>
      </c>
      <c r="D33" t="s">
        <v>19</v>
      </c>
    </row>
    <row r="34" spans="2:4">
      <c r="B34" t="s">
        <v>74</v>
      </c>
      <c r="C34">
        <v>121</v>
      </c>
      <c r="D34" t="s">
        <v>34</v>
      </c>
    </row>
    <row r="35" spans="2:4">
      <c r="B35" t="s">
        <v>75</v>
      </c>
      <c r="C35">
        <v>329</v>
      </c>
      <c r="D35" t="s">
        <v>19</v>
      </c>
    </row>
    <row r="36" spans="2:4">
      <c r="B36" t="s">
        <v>76</v>
      </c>
      <c r="C36">
        <v>1132</v>
      </c>
      <c r="D36" t="s">
        <v>55</v>
      </c>
    </row>
    <row r="37" spans="2:4">
      <c r="B37" t="s">
        <v>77</v>
      </c>
      <c r="C37">
        <v>1182</v>
      </c>
      <c r="D37" t="s">
        <v>55</v>
      </c>
    </row>
    <row r="38" spans="2:4">
      <c r="B38" t="s">
        <v>78</v>
      </c>
      <c r="C38">
        <v>348</v>
      </c>
      <c r="D38" t="s">
        <v>19</v>
      </c>
    </row>
    <row r="39" spans="2:4">
      <c r="B39" t="s">
        <v>79</v>
      </c>
      <c r="C39">
        <v>27</v>
      </c>
      <c r="D39" t="s">
        <v>34</v>
      </c>
    </row>
    <row r="40" spans="2:4">
      <c r="B40" t="s">
        <v>80</v>
      </c>
      <c r="C40">
        <v>807</v>
      </c>
      <c r="D40" t="s">
        <v>63</v>
      </c>
    </row>
    <row r="41" spans="2:4">
      <c r="B41" t="s">
        <v>81</v>
      </c>
      <c r="C41">
        <v>657</v>
      </c>
      <c r="D41" t="s">
        <v>26</v>
      </c>
    </row>
    <row r="42" spans="2:4">
      <c r="B42" t="s">
        <v>82</v>
      </c>
      <c r="C42">
        <v>632</v>
      </c>
      <c r="D42" t="s">
        <v>19</v>
      </c>
    </row>
    <row r="43" spans="2:4">
      <c r="B43" t="s">
        <v>83</v>
      </c>
      <c r="C43">
        <v>310</v>
      </c>
      <c r="D43" t="s">
        <v>19</v>
      </c>
    </row>
    <row r="44" spans="2:4">
      <c r="B44" t="s">
        <v>84</v>
      </c>
      <c r="C44">
        <v>7</v>
      </c>
      <c r="D44" t="s">
        <v>34</v>
      </c>
    </row>
    <row r="45" spans="2:4">
      <c r="B45" t="s">
        <v>85</v>
      </c>
      <c r="C45">
        <v>1054</v>
      </c>
      <c r="D45" t="s">
        <v>86</v>
      </c>
    </row>
    <row r="46" spans="2:4">
      <c r="B46" t="s">
        <v>87</v>
      </c>
      <c r="C46">
        <v>419</v>
      </c>
      <c r="D46" t="s">
        <v>19</v>
      </c>
    </row>
    <row r="47" spans="2:4">
      <c r="B47" t="s">
        <v>88</v>
      </c>
      <c r="C47">
        <v>904</v>
      </c>
      <c r="D47" t="s">
        <v>55</v>
      </c>
    </row>
    <row r="48" spans="2:4">
      <c r="B48" t="s">
        <v>89</v>
      </c>
      <c r="C48">
        <v>400</v>
      </c>
      <c r="D48" t="s">
        <v>19</v>
      </c>
    </row>
    <row r="49" spans="2:4">
      <c r="B49" t="s">
        <v>90</v>
      </c>
      <c r="C49">
        <v>980</v>
      </c>
      <c r="D49" t="s">
        <v>55</v>
      </c>
    </row>
    <row r="50" spans="2:4">
      <c r="B50" t="s">
        <v>91</v>
      </c>
      <c r="C50">
        <v>470</v>
      </c>
      <c r="D50" t="s">
        <v>19</v>
      </c>
    </row>
    <row r="51" spans="2:4">
      <c r="B51" t="s">
        <v>92</v>
      </c>
      <c r="C51">
        <v>182</v>
      </c>
      <c r="D51" t="s">
        <v>34</v>
      </c>
    </row>
    <row r="52" spans="2:4">
      <c r="B52" t="s">
        <v>93</v>
      </c>
      <c r="C52">
        <v>1094</v>
      </c>
      <c r="D52" t="s">
        <v>86</v>
      </c>
    </row>
    <row r="53" spans="2:4">
      <c r="B53" t="s">
        <v>94</v>
      </c>
      <c r="C53">
        <v>378</v>
      </c>
      <c r="D53" t="s">
        <v>19</v>
      </c>
    </row>
    <row r="54" spans="2:4">
      <c r="B54" t="s">
        <v>95</v>
      </c>
      <c r="C54">
        <v>294</v>
      </c>
      <c r="D54" t="s">
        <v>19</v>
      </c>
    </row>
    <row r="55" spans="2:4">
      <c r="B55" t="s">
        <v>96</v>
      </c>
      <c r="C55">
        <v>231</v>
      </c>
      <c r="D55" t="s">
        <v>34</v>
      </c>
    </row>
    <row r="56" spans="2:4">
      <c r="B56" t="s">
        <v>97</v>
      </c>
      <c r="C56">
        <v>363</v>
      </c>
      <c r="D56" t="s">
        <v>19</v>
      </c>
    </row>
    <row r="57" spans="2:4">
      <c r="B57" t="s">
        <v>98</v>
      </c>
      <c r="C57">
        <v>709</v>
      </c>
      <c r="D57" t="s">
        <v>26</v>
      </c>
    </row>
    <row r="58" spans="2:4">
      <c r="B58" t="s">
        <v>99</v>
      </c>
      <c r="C58">
        <v>808</v>
      </c>
      <c r="D58" t="s">
        <v>63</v>
      </c>
    </row>
    <row r="59" spans="2:4">
      <c r="B59" t="s">
        <v>100</v>
      </c>
      <c r="C59">
        <v>506</v>
      </c>
      <c r="D59" t="s">
        <v>19</v>
      </c>
    </row>
    <row r="60" spans="2:4">
      <c r="B60" t="s">
        <v>101</v>
      </c>
      <c r="C60">
        <v>511</v>
      </c>
      <c r="D60" t="s">
        <v>19</v>
      </c>
    </row>
    <row r="61" spans="2:4">
      <c r="B61" t="s">
        <v>102</v>
      </c>
      <c r="C61">
        <v>299</v>
      </c>
      <c r="D61" t="s">
        <v>19</v>
      </c>
    </row>
    <row r="62" spans="2:4">
      <c r="B62" t="s">
        <v>103</v>
      </c>
      <c r="C62">
        <v>783</v>
      </c>
      <c r="D62" t="s">
        <v>63</v>
      </c>
    </row>
    <row r="63" spans="2:4">
      <c r="B63" t="s">
        <v>104</v>
      </c>
      <c r="C63">
        <v>695</v>
      </c>
      <c r="D63" t="s">
        <v>26</v>
      </c>
    </row>
    <row r="64" spans="2:4">
      <c r="B64" t="s">
        <v>105</v>
      </c>
      <c r="C64">
        <v>298</v>
      </c>
      <c r="D64" t="s">
        <v>19</v>
      </c>
    </row>
    <row r="65" spans="2:4">
      <c r="B65" t="s">
        <v>106</v>
      </c>
      <c r="C65">
        <v>517</v>
      </c>
      <c r="D65" t="s">
        <v>19</v>
      </c>
    </row>
    <row r="66" spans="2:4">
      <c r="B66" t="s">
        <v>107</v>
      </c>
      <c r="C66">
        <v>11</v>
      </c>
      <c r="D66" t="s">
        <v>34</v>
      </c>
    </row>
    <row r="67" spans="2:4">
      <c r="B67" t="s">
        <v>108</v>
      </c>
      <c r="C67">
        <v>567</v>
      </c>
      <c r="D67" t="s">
        <v>19</v>
      </c>
    </row>
    <row r="68" spans="2:4">
      <c r="B68" t="s">
        <v>109</v>
      </c>
      <c r="C68">
        <v>433</v>
      </c>
      <c r="D68" t="s">
        <v>19</v>
      </c>
    </row>
    <row r="69" spans="2:4">
      <c r="B69" t="s">
        <v>110</v>
      </c>
      <c r="C69">
        <v>824</v>
      </c>
      <c r="D69" t="s">
        <v>55</v>
      </c>
    </row>
    <row r="70" spans="2:4">
      <c r="B70" t="s">
        <v>111</v>
      </c>
      <c r="C70">
        <v>594</v>
      </c>
      <c r="D70" t="s">
        <v>19</v>
      </c>
    </row>
    <row r="71" spans="2:4">
      <c r="B71" t="s">
        <v>112</v>
      </c>
      <c r="C71">
        <v>4</v>
      </c>
      <c r="D71" t="s">
        <v>34</v>
      </c>
    </row>
    <row r="72" spans="2:4">
      <c r="B72" t="s">
        <v>113</v>
      </c>
      <c r="C72">
        <v>578</v>
      </c>
      <c r="D72" t="s">
        <v>19</v>
      </c>
    </row>
    <row r="73" spans="2:4">
      <c r="B73" t="s">
        <v>114</v>
      </c>
      <c r="C73">
        <v>469</v>
      </c>
      <c r="D73" t="s">
        <v>19</v>
      </c>
    </row>
    <row r="74" spans="2:4">
      <c r="B74" t="s">
        <v>115</v>
      </c>
      <c r="C74">
        <v>985</v>
      </c>
      <c r="D74" t="s">
        <v>55</v>
      </c>
    </row>
    <row r="75" spans="2:4">
      <c r="B75" t="s">
        <v>116</v>
      </c>
      <c r="C75">
        <v>388</v>
      </c>
      <c r="D75" t="s">
        <v>19</v>
      </c>
    </row>
    <row r="76" spans="2:4">
      <c r="B76" t="s">
        <v>117</v>
      </c>
      <c r="C76">
        <v>13</v>
      </c>
      <c r="D76" t="s">
        <v>34</v>
      </c>
    </row>
    <row r="77" spans="2:4">
      <c r="B77" t="s">
        <v>118</v>
      </c>
      <c r="C77">
        <v>1042</v>
      </c>
      <c r="D77" t="s">
        <v>55</v>
      </c>
    </row>
    <row r="78" spans="2:4">
      <c r="B78" t="s">
        <v>119</v>
      </c>
      <c r="C78">
        <v>190</v>
      </c>
      <c r="D78" t="s">
        <v>34</v>
      </c>
    </row>
    <row r="79" spans="2:4">
      <c r="B79" t="s">
        <v>120</v>
      </c>
      <c r="C79">
        <v>35</v>
      </c>
      <c r="D79" t="s">
        <v>34</v>
      </c>
    </row>
    <row r="80" spans="2:4">
      <c r="B80" t="s">
        <v>121</v>
      </c>
      <c r="C80">
        <v>673</v>
      </c>
      <c r="D80" t="s">
        <v>26</v>
      </c>
    </row>
    <row r="81" spans="2:4">
      <c r="B81" t="s">
        <v>122</v>
      </c>
      <c r="C81">
        <v>739</v>
      </c>
      <c r="D81" t="s">
        <v>26</v>
      </c>
    </row>
    <row r="82" spans="2:4">
      <c r="B82" t="s">
        <v>123</v>
      </c>
      <c r="C82">
        <v>48</v>
      </c>
      <c r="D82" t="s">
        <v>34</v>
      </c>
    </row>
    <row r="83" spans="2:4">
      <c r="B83" t="s">
        <v>124</v>
      </c>
      <c r="C83">
        <v>1038</v>
      </c>
      <c r="D83" t="s">
        <v>55</v>
      </c>
    </row>
    <row r="84" spans="2:4">
      <c r="B84" t="s">
        <v>125</v>
      </c>
      <c r="C84">
        <v>702</v>
      </c>
      <c r="D84" t="s">
        <v>126</v>
      </c>
    </row>
    <row r="85" spans="2:4">
      <c r="B85" t="s">
        <v>127</v>
      </c>
      <c r="C85">
        <v>298</v>
      </c>
      <c r="D85" t="s">
        <v>19</v>
      </c>
    </row>
    <row r="86" spans="2:4">
      <c r="B86" t="s">
        <v>128</v>
      </c>
      <c r="C86">
        <v>1072</v>
      </c>
      <c r="D86" t="s">
        <v>55</v>
      </c>
    </row>
    <row r="87" spans="2:4">
      <c r="B87" t="s">
        <v>129</v>
      </c>
      <c r="C87">
        <v>626</v>
      </c>
      <c r="D87" t="s">
        <v>19</v>
      </c>
    </row>
    <row r="88" spans="2:4">
      <c r="B88" t="s">
        <v>130</v>
      </c>
      <c r="C88">
        <v>175</v>
      </c>
      <c r="D88" t="s">
        <v>34</v>
      </c>
    </row>
    <row r="89" spans="2:4">
      <c r="B89" t="s">
        <v>131</v>
      </c>
      <c r="C89">
        <v>490</v>
      </c>
      <c r="D89" t="s">
        <v>26</v>
      </c>
    </row>
    <row r="90" spans="2:4">
      <c r="B90" t="s">
        <v>132</v>
      </c>
      <c r="C90">
        <v>1015</v>
      </c>
      <c r="D90" t="s">
        <v>55</v>
      </c>
    </row>
    <row r="91" spans="2:4">
      <c r="B91" t="s">
        <v>133</v>
      </c>
      <c r="C91">
        <v>338</v>
      </c>
      <c r="D91" t="s">
        <v>19</v>
      </c>
    </row>
    <row r="92" spans="2:4">
      <c r="B92" t="s">
        <v>134</v>
      </c>
      <c r="C92">
        <v>250</v>
      </c>
      <c r="D92" t="s">
        <v>19</v>
      </c>
    </row>
    <row r="93" spans="2:4">
      <c r="B93" t="s">
        <v>135</v>
      </c>
      <c r="C93">
        <v>188</v>
      </c>
      <c r="D93" t="s">
        <v>34</v>
      </c>
    </row>
    <row r="94" spans="2:4">
      <c r="B94" t="s">
        <v>136</v>
      </c>
      <c r="C94">
        <v>175</v>
      </c>
      <c r="D94" t="s">
        <v>34</v>
      </c>
    </row>
    <row r="95" spans="2:4">
      <c r="B95" t="s">
        <v>137</v>
      </c>
      <c r="C95">
        <v>322</v>
      </c>
      <c r="D95" t="s">
        <v>19</v>
      </c>
    </row>
    <row r="96" spans="2:4">
      <c r="B96" t="s">
        <v>138</v>
      </c>
      <c r="C96">
        <v>116</v>
      </c>
      <c r="D96" t="s">
        <v>34</v>
      </c>
    </row>
    <row r="97" spans="2:4">
      <c r="B97" t="s">
        <v>139</v>
      </c>
      <c r="C97">
        <v>368</v>
      </c>
      <c r="D97" t="s">
        <v>19</v>
      </c>
    </row>
    <row r="98" spans="2:4">
      <c r="B98" t="s">
        <v>140</v>
      </c>
      <c r="C98">
        <v>770</v>
      </c>
      <c r="D98" t="s">
        <v>55</v>
      </c>
    </row>
    <row r="99" spans="2:4">
      <c r="B99" t="s">
        <v>141</v>
      </c>
      <c r="C99">
        <v>746</v>
      </c>
      <c r="D99" t="s">
        <v>63</v>
      </c>
    </row>
    <row r="100" spans="2:4">
      <c r="B100" t="s">
        <v>142</v>
      </c>
      <c r="C100">
        <v>261</v>
      </c>
      <c r="D100" t="s">
        <v>34</v>
      </c>
    </row>
    <row r="101" spans="2:4">
      <c r="B101" t="s">
        <v>143</v>
      </c>
      <c r="C101">
        <v>232</v>
      </c>
      <c r="D101" t="s">
        <v>34</v>
      </c>
    </row>
    <row r="102" spans="2:4">
      <c r="B102" t="s">
        <v>144</v>
      </c>
      <c r="C102">
        <v>312</v>
      </c>
      <c r="D102" t="s">
        <v>34</v>
      </c>
    </row>
    <row r="103" spans="2:4">
      <c r="B103" t="s">
        <v>145</v>
      </c>
      <c r="C103">
        <v>242</v>
      </c>
      <c r="D103" t="s">
        <v>34</v>
      </c>
    </row>
    <row r="104" spans="2:4">
      <c r="B104" t="s">
        <v>146</v>
      </c>
      <c r="C104">
        <v>637</v>
      </c>
      <c r="D104" t="s">
        <v>19</v>
      </c>
    </row>
    <row r="105" spans="2:4">
      <c r="B105" t="s">
        <v>147</v>
      </c>
      <c r="C105">
        <v>463</v>
      </c>
      <c r="D105" t="s">
        <v>26</v>
      </c>
    </row>
    <row r="106" spans="2:4">
      <c r="B106" t="s">
        <v>148</v>
      </c>
      <c r="C106">
        <v>803</v>
      </c>
      <c r="D106" t="s">
        <v>55</v>
      </c>
    </row>
    <row r="107" spans="2:4">
      <c r="B107" t="s">
        <v>149</v>
      </c>
      <c r="C107">
        <v>289</v>
      </c>
      <c r="D107" t="s">
        <v>19</v>
      </c>
    </row>
    <row r="108" spans="2:4">
      <c r="B108" t="s">
        <v>150</v>
      </c>
      <c r="C108">
        <v>772</v>
      </c>
      <c r="D108" t="s">
        <v>63</v>
      </c>
    </row>
    <row r="109" spans="2:4">
      <c r="B109" t="s">
        <v>151</v>
      </c>
      <c r="C109">
        <v>1012</v>
      </c>
      <c r="D109" t="s">
        <v>55</v>
      </c>
    </row>
    <row r="110" spans="2:4">
      <c r="B110" t="s">
        <v>152</v>
      </c>
      <c r="C110">
        <v>722</v>
      </c>
      <c r="D110" t="s">
        <v>26</v>
      </c>
    </row>
    <row r="111" spans="2:4">
      <c r="B111" t="s">
        <v>153</v>
      </c>
      <c r="C111">
        <v>639</v>
      </c>
      <c r="D111" t="s">
        <v>26</v>
      </c>
    </row>
    <row r="112" spans="2:4">
      <c r="B112" t="s">
        <v>154</v>
      </c>
      <c r="C112">
        <v>308</v>
      </c>
      <c r="D112" t="s">
        <v>19</v>
      </c>
    </row>
    <row r="113" spans="2:4">
      <c r="B113" t="s">
        <v>155</v>
      </c>
      <c r="C113">
        <v>33</v>
      </c>
      <c r="D113" t="s">
        <v>34</v>
      </c>
    </row>
    <row r="114" spans="2:4">
      <c r="B114" t="s">
        <v>156</v>
      </c>
      <c r="C114">
        <v>338</v>
      </c>
      <c r="D114" t="s">
        <v>19</v>
      </c>
    </row>
    <row r="115" spans="2:4">
      <c r="B115" t="s">
        <v>157</v>
      </c>
      <c r="C115">
        <v>264</v>
      </c>
      <c r="D115" t="s">
        <v>19</v>
      </c>
    </row>
    <row r="116" spans="2:4">
      <c r="B116" t="s">
        <v>158</v>
      </c>
      <c r="C116">
        <v>396</v>
      </c>
      <c r="D116" t="s">
        <v>19</v>
      </c>
    </row>
    <row r="117" spans="2:4">
      <c r="B117" t="s">
        <v>159</v>
      </c>
      <c r="C117">
        <v>300</v>
      </c>
      <c r="D117" t="s">
        <v>19</v>
      </c>
    </row>
    <row r="118" spans="2:4">
      <c r="B118" t="s">
        <v>160</v>
      </c>
      <c r="C118">
        <v>439</v>
      </c>
      <c r="D118" t="s">
        <v>19</v>
      </c>
    </row>
    <row r="119" spans="2:4">
      <c r="B119" t="s">
        <v>161</v>
      </c>
      <c r="C119">
        <v>119</v>
      </c>
      <c r="D119" t="s">
        <v>34</v>
      </c>
    </row>
    <row r="120" spans="2:4">
      <c r="B120" t="s">
        <v>162</v>
      </c>
      <c r="C120">
        <v>279</v>
      </c>
      <c r="D120" t="s">
        <v>19</v>
      </c>
    </row>
    <row r="121" spans="2:4">
      <c r="B121" t="s">
        <v>163</v>
      </c>
      <c r="C121">
        <v>668</v>
      </c>
      <c r="D121" t="s">
        <v>126</v>
      </c>
    </row>
    <row r="122" spans="2:4">
      <c r="B122" t="s">
        <v>164</v>
      </c>
      <c r="C122">
        <v>332</v>
      </c>
      <c r="D122" t="s">
        <v>19</v>
      </c>
    </row>
    <row r="123" spans="2:4">
      <c r="B123" t="s">
        <v>165</v>
      </c>
      <c r="C123">
        <v>1127</v>
      </c>
      <c r="D123" t="s">
        <v>86</v>
      </c>
    </row>
    <row r="124" spans="2:4">
      <c r="B124" t="s">
        <v>166</v>
      </c>
      <c r="C124">
        <v>347</v>
      </c>
      <c r="D124" t="s">
        <v>19</v>
      </c>
    </row>
    <row r="125" spans="2:4">
      <c r="B125" t="s">
        <v>167</v>
      </c>
      <c r="C125">
        <v>666</v>
      </c>
      <c r="D125" t="s">
        <v>26</v>
      </c>
    </row>
    <row r="126" spans="2:4">
      <c r="B126" t="s">
        <v>168</v>
      </c>
      <c r="C126">
        <v>43</v>
      </c>
      <c r="D126" t="s">
        <v>34</v>
      </c>
    </row>
    <row r="127" spans="2:4">
      <c r="B127" t="s">
        <v>169</v>
      </c>
      <c r="C127">
        <v>37</v>
      </c>
      <c r="D127" t="s">
        <v>34</v>
      </c>
    </row>
    <row r="128" spans="2:4">
      <c r="B128" t="s">
        <v>170</v>
      </c>
      <c r="C128">
        <v>758</v>
      </c>
      <c r="D128" t="s">
        <v>63</v>
      </c>
    </row>
    <row r="129" spans="1:4">
      <c r="B129" t="s">
        <v>171</v>
      </c>
      <c r="C129">
        <v>641</v>
      </c>
      <c r="D129" t="s">
        <v>19</v>
      </c>
    </row>
    <row r="130" spans="1:4">
      <c r="B130" t="s">
        <v>172</v>
      </c>
      <c r="C130">
        <v>891</v>
      </c>
      <c r="D130" t="s">
        <v>55</v>
      </c>
    </row>
    <row r="131" spans="1:4">
      <c r="B131" t="s">
        <v>173</v>
      </c>
      <c r="C131">
        <v>738</v>
      </c>
      <c r="D131" t="s">
        <v>26</v>
      </c>
    </row>
    <row r="132" spans="1:4">
      <c r="B132" t="s">
        <v>174</v>
      </c>
      <c r="C132">
        <v>6</v>
      </c>
      <c r="D132" t="s">
        <v>34</v>
      </c>
    </row>
    <row r="133" spans="1:4">
      <c r="B133" t="s">
        <v>175</v>
      </c>
      <c r="C133">
        <v>1245</v>
      </c>
      <c r="D133" t="s">
        <v>86</v>
      </c>
    </row>
    <row r="134" spans="1:4">
      <c r="B134" t="s">
        <v>176</v>
      </c>
      <c r="C134">
        <v>561</v>
      </c>
      <c r="D134" t="s">
        <v>19</v>
      </c>
    </row>
    <row r="135" spans="1:4">
      <c r="B135" t="s">
        <v>177</v>
      </c>
      <c r="C135">
        <v>446</v>
      </c>
      <c r="D135" t="s">
        <v>26</v>
      </c>
    </row>
    <row r="136" spans="1:4">
      <c r="B136" t="s">
        <v>178</v>
      </c>
      <c r="C136">
        <v>660</v>
      </c>
      <c r="D136" t="s">
        <v>26</v>
      </c>
    </row>
    <row r="137" spans="1:4">
      <c r="A137" t="s">
        <v>17</v>
      </c>
      <c r="B137" t="s">
        <v>179</v>
      </c>
      <c r="C137">
        <v>810</v>
      </c>
      <c r="D137" t="s">
        <v>63</v>
      </c>
    </row>
    <row r="138" spans="1:4">
      <c r="B138" t="s">
        <v>180</v>
      </c>
      <c r="C138">
        <v>756</v>
      </c>
      <c r="D138" t="s">
        <v>63</v>
      </c>
    </row>
    <row r="139" spans="1:4">
      <c r="B139" t="s">
        <v>181</v>
      </c>
      <c r="C139">
        <v>100</v>
      </c>
      <c r="D139" t="s">
        <v>182</v>
      </c>
    </row>
    <row r="140" spans="1:4">
      <c r="B140" t="s">
        <v>183</v>
      </c>
      <c r="C140">
        <v>411</v>
      </c>
      <c r="D140" t="s">
        <v>34</v>
      </c>
    </row>
    <row r="141" spans="1:4">
      <c r="B141" t="s">
        <v>184</v>
      </c>
      <c r="C141">
        <v>289</v>
      </c>
      <c r="D141" t="s">
        <v>34</v>
      </c>
    </row>
    <row r="142" spans="1:4">
      <c r="B142" t="s">
        <v>185</v>
      </c>
      <c r="C142">
        <v>265</v>
      </c>
      <c r="D142" t="s">
        <v>34</v>
      </c>
    </row>
    <row r="143" spans="1:4">
      <c r="B143" t="s">
        <v>186</v>
      </c>
      <c r="C143">
        <v>45</v>
      </c>
      <c r="D143" t="s">
        <v>34</v>
      </c>
    </row>
    <row r="144" spans="1:4">
      <c r="B144" t="s">
        <v>187</v>
      </c>
      <c r="C144">
        <v>311</v>
      </c>
      <c r="D144" t="s">
        <v>34</v>
      </c>
    </row>
    <row r="145" spans="2:4">
      <c r="B145" t="s">
        <v>188</v>
      </c>
      <c r="C145">
        <v>10</v>
      </c>
      <c r="D145" t="s">
        <v>34</v>
      </c>
    </row>
    <row r="146" spans="2:4">
      <c r="B146" t="s">
        <v>189</v>
      </c>
      <c r="C146">
        <v>11</v>
      </c>
      <c r="D146" t="s">
        <v>34</v>
      </c>
    </row>
    <row r="147" spans="2:4">
      <c r="B147" t="s">
        <v>190</v>
      </c>
      <c r="C147">
        <v>17</v>
      </c>
      <c r="D147" t="s">
        <v>34</v>
      </c>
    </row>
    <row r="148" spans="2:4">
      <c r="B148" t="s">
        <v>191</v>
      </c>
      <c r="C148">
        <v>97</v>
      </c>
      <c r="D148" t="s">
        <v>34</v>
      </c>
    </row>
    <row r="149" spans="2:4">
      <c r="B149" t="s">
        <v>192</v>
      </c>
      <c r="C149">
        <v>26</v>
      </c>
      <c r="D149" t="s">
        <v>34</v>
      </c>
    </row>
    <row r="150" spans="2:4">
      <c r="B150" t="s">
        <v>193</v>
      </c>
      <c r="C150">
        <v>311</v>
      </c>
      <c r="D150" t="s">
        <v>34</v>
      </c>
    </row>
    <row r="151" spans="2:4">
      <c r="B151" t="s">
        <v>194</v>
      </c>
      <c r="C151">
        <v>6</v>
      </c>
      <c r="D151" t="s">
        <v>34</v>
      </c>
    </row>
    <row r="152" spans="2:4">
      <c r="B152" t="s">
        <v>195</v>
      </c>
      <c r="C152">
        <v>7</v>
      </c>
      <c r="D152" t="s">
        <v>34</v>
      </c>
    </row>
    <row r="153" spans="2:4">
      <c r="B153" t="s">
        <v>196</v>
      </c>
      <c r="C153">
        <v>37</v>
      </c>
      <c r="D153" t="s">
        <v>34</v>
      </c>
    </row>
    <row r="154" spans="2:4">
      <c r="B154" t="s">
        <v>197</v>
      </c>
      <c r="C154">
        <v>27</v>
      </c>
      <c r="D154" t="s">
        <v>34</v>
      </c>
    </row>
    <row r="155" spans="2:4">
      <c r="B155" t="s">
        <v>198</v>
      </c>
      <c r="C155">
        <v>775</v>
      </c>
      <c r="D155" t="s">
        <v>63</v>
      </c>
    </row>
    <row r="156" spans="2:4">
      <c r="B156" t="s">
        <v>199</v>
      </c>
      <c r="C156">
        <v>158</v>
      </c>
      <c r="D156" t="s">
        <v>34</v>
      </c>
    </row>
    <row r="157" spans="2:4">
      <c r="B157" t="s">
        <v>200</v>
      </c>
      <c r="C157">
        <v>32</v>
      </c>
      <c r="D157" t="s">
        <v>34</v>
      </c>
    </row>
    <row r="158" spans="2:4">
      <c r="B158" t="s">
        <v>201</v>
      </c>
      <c r="C158">
        <v>45</v>
      </c>
      <c r="D158" t="s">
        <v>34</v>
      </c>
    </row>
    <row r="159" spans="2:4">
      <c r="B159" t="s">
        <v>202</v>
      </c>
      <c r="C159">
        <v>11</v>
      </c>
      <c r="D159" t="s">
        <v>34</v>
      </c>
    </row>
    <row r="160" spans="2:4">
      <c r="B160" t="s">
        <v>203</v>
      </c>
      <c r="C160">
        <v>175</v>
      </c>
      <c r="D160" t="s">
        <v>34</v>
      </c>
    </row>
    <row r="161" spans="2:4">
      <c r="B161" t="s">
        <v>204</v>
      </c>
      <c r="C161">
        <v>30</v>
      </c>
      <c r="D161" t="s">
        <v>34</v>
      </c>
    </row>
    <row r="162" spans="2:4">
      <c r="B162" t="s">
        <v>205</v>
      </c>
      <c r="C162">
        <v>91</v>
      </c>
      <c r="D162" t="s">
        <v>34</v>
      </c>
    </row>
    <row r="163" spans="2:4">
      <c r="B163" t="s">
        <v>206</v>
      </c>
      <c r="C163">
        <v>193</v>
      </c>
      <c r="D163" t="s">
        <v>34</v>
      </c>
    </row>
    <row r="164" spans="2:4">
      <c r="B164" t="s">
        <v>207</v>
      </c>
      <c r="C164">
        <v>86</v>
      </c>
      <c r="D164" t="s">
        <v>182</v>
      </c>
    </row>
    <row r="165" spans="2:4">
      <c r="B165" t="s">
        <v>208</v>
      </c>
      <c r="C165">
        <v>187</v>
      </c>
      <c r="D165" t="s">
        <v>34</v>
      </c>
    </row>
    <row r="166" spans="2:4">
      <c r="B166" t="s">
        <v>209</v>
      </c>
      <c r="C166">
        <v>17</v>
      </c>
      <c r="D166" t="s">
        <v>34</v>
      </c>
    </row>
    <row r="167" spans="2:4">
      <c r="B167" t="s">
        <v>210</v>
      </c>
      <c r="C167">
        <v>173</v>
      </c>
      <c r="D167" t="s">
        <v>34</v>
      </c>
    </row>
    <row r="168" spans="2:4">
      <c r="B168" t="s">
        <v>211</v>
      </c>
      <c r="C168">
        <v>32</v>
      </c>
      <c r="D168" t="s">
        <v>34</v>
      </c>
    </row>
    <row r="169" spans="2:4">
      <c r="B169" t="s">
        <v>212</v>
      </c>
      <c r="C169">
        <v>11</v>
      </c>
      <c r="D169" t="s">
        <v>34</v>
      </c>
    </row>
    <row r="170" spans="2:4">
      <c r="B170" t="s">
        <v>213</v>
      </c>
      <c r="C170">
        <v>145</v>
      </c>
      <c r="D170" t="s">
        <v>34</v>
      </c>
    </row>
    <row r="171" spans="2:4">
      <c r="B171" t="s">
        <v>214</v>
      </c>
      <c r="C171">
        <v>34</v>
      </c>
      <c r="D171" t="s">
        <v>182</v>
      </c>
    </row>
    <row r="172" spans="2:4">
      <c r="B172" t="s">
        <v>215</v>
      </c>
      <c r="C172">
        <v>10</v>
      </c>
      <c r="D172" t="s">
        <v>34</v>
      </c>
    </row>
    <row r="173" spans="2:4">
      <c r="B173" t="s">
        <v>216</v>
      </c>
      <c r="C173">
        <v>973</v>
      </c>
      <c r="D173" t="s">
        <v>55</v>
      </c>
    </row>
    <row r="174" spans="2:4">
      <c r="B174" t="s">
        <v>217</v>
      </c>
      <c r="C174">
        <v>25</v>
      </c>
      <c r="D174" t="s">
        <v>182</v>
      </c>
    </row>
    <row r="175" spans="2:4">
      <c r="B175" t="s">
        <v>218</v>
      </c>
      <c r="C175">
        <v>16</v>
      </c>
      <c r="D175" t="s">
        <v>34</v>
      </c>
    </row>
    <row r="176" spans="2:4">
      <c r="B176" t="s">
        <v>219</v>
      </c>
      <c r="C176">
        <v>898</v>
      </c>
      <c r="D176" t="s">
        <v>55</v>
      </c>
    </row>
    <row r="177" spans="2:4">
      <c r="B177" t="s">
        <v>220</v>
      </c>
      <c r="C177">
        <v>197</v>
      </c>
      <c r="D177" t="s">
        <v>34</v>
      </c>
    </row>
    <row r="178" spans="2:4">
      <c r="B178" t="s">
        <v>221</v>
      </c>
      <c r="C178">
        <v>42</v>
      </c>
      <c r="D178" t="s">
        <v>34</v>
      </c>
    </row>
    <row r="179" spans="2:4">
      <c r="B179" t="s">
        <v>222</v>
      </c>
      <c r="C179">
        <v>935</v>
      </c>
      <c r="D179" t="s">
        <v>55</v>
      </c>
    </row>
    <row r="180" spans="2:4">
      <c r="B180" t="s">
        <v>223</v>
      </c>
      <c r="C180">
        <v>400</v>
      </c>
      <c r="D180" t="s">
        <v>34</v>
      </c>
    </row>
    <row r="181" spans="2:4">
      <c r="B181" t="s">
        <v>224</v>
      </c>
      <c r="C181">
        <v>596</v>
      </c>
      <c r="D181" t="s">
        <v>19</v>
      </c>
    </row>
    <row r="182" spans="2:4">
      <c r="B182" t="s">
        <v>225</v>
      </c>
      <c r="C182">
        <v>343</v>
      </c>
      <c r="D182" t="s">
        <v>34</v>
      </c>
    </row>
    <row r="183" spans="2:4">
      <c r="B183" t="s">
        <v>226</v>
      </c>
      <c r="C183">
        <v>112</v>
      </c>
      <c r="D183" t="s">
        <v>34</v>
      </c>
    </row>
    <row r="184" spans="2:4">
      <c r="B184" t="s">
        <v>227</v>
      </c>
      <c r="C184">
        <v>281</v>
      </c>
      <c r="D184" t="s">
        <v>34</v>
      </c>
    </row>
    <row r="185" spans="2:4">
      <c r="B185" t="s">
        <v>228</v>
      </c>
      <c r="C185">
        <v>24</v>
      </c>
      <c r="D185" t="s">
        <v>182</v>
      </c>
    </row>
    <row r="186" spans="2:4">
      <c r="B186" t="s">
        <v>229</v>
      </c>
      <c r="C186">
        <v>134</v>
      </c>
      <c r="D186" t="s">
        <v>34</v>
      </c>
    </row>
    <row r="187" spans="2:4">
      <c r="B187" t="s">
        <v>230</v>
      </c>
      <c r="C187">
        <v>777</v>
      </c>
      <c r="D187" t="s">
        <v>231</v>
      </c>
    </row>
    <row r="188" spans="2:4">
      <c r="B188" t="s">
        <v>232</v>
      </c>
      <c r="C188">
        <v>109</v>
      </c>
      <c r="D188" t="s">
        <v>34</v>
      </c>
    </row>
    <row r="189" spans="2:4">
      <c r="B189" t="s">
        <v>233</v>
      </c>
      <c r="C189">
        <v>39</v>
      </c>
      <c r="D189" t="s">
        <v>34</v>
      </c>
    </row>
    <row r="190" spans="2:4">
      <c r="B190" t="s">
        <v>234</v>
      </c>
      <c r="C190">
        <v>29</v>
      </c>
      <c r="D190" t="s">
        <v>34</v>
      </c>
    </row>
    <row r="191" spans="2:4">
      <c r="B191" t="s">
        <v>235</v>
      </c>
      <c r="C191">
        <v>14</v>
      </c>
      <c r="D191" t="s">
        <v>34</v>
      </c>
    </row>
    <row r="192" spans="2:4">
      <c r="B192" t="s">
        <v>236</v>
      </c>
      <c r="C192">
        <v>45</v>
      </c>
      <c r="D192" t="s">
        <v>182</v>
      </c>
    </row>
    <row r="193" spans="2:4">
      <c r="B193" t="s">
        <v>237</v>
      </c>
      <c r="C193">
        <v>389</v>
      </c>
      <c r="D193" t="s">
        <v>34</v>
      </c>
    </row>
    <row r="194" spans="2:4">
      <c r="B194" t="s">
        <v>238</v>
      </c>
      <c r="C194">
        <v>241</v>
      </c>
      <c r="D194" t="s">
        <v>34</v>
      </c>
    </row>
    <row r="195" spans="2:4">
      <c r="B195" t="s">
        <v>239</v>
      </c>
      <c r="C195">
        <v>21</v>
      </c>
      <c r="D195" t="s">
        <v>34</v>
      </c>
    </row>
    <row r="196" spans="2:4">
      <c r="B196" t="s">
        <v>240</v>
      </c>
      <c r="C196">
        <v>19</v>
      </c>
      <c r="D196" t="s">
        <v>182</v>
      </c>
    </row>
    <row r="197" spans="2:4">
      <c r="B197" t="s">
        <v>241</v>
      </c>
      <c r="C197">
        <v>36</v>
      </c>
      <c r="D197" t="s">
        <v>34</v>
      </c>
    </row>
    <row r="198" spans="2:4">
      <c r="B198" t="s">
        <v>242</v>
      </c>
      <c r="C198">
        <v>46</v>
      </c>
      <c r="D198" t="s">
        <v>34</v>
      </c>
    </row>
    <row r="199" spans="2:4">
      <c r="B199" t="s">
        <v>243</v>
      </c>
      <c r="C199">
        <v>47</v>
      </c>
      <c r="D199" t="s">
        <v>182</v>
      </c>
    </row>
    <row r="200" spans="2:4">
      <c r="B200" t="s">
        <v>244</v>
      </c>
      <c r="C200">
        <v>182</v>
      </c>
      <c r="D200" t="s">
        <v>34</v>
      </c>
    </row>
    <row r="201" spans="2:4">
      <c r="B201" t="s">
        <v>245</v>
      </c>
      <c r="C201">
        <v>45</v>
      </c>
      <c r="D201" t="s">
        <v>34</v>
      </c>
    </row>
    <row r="202" spans="2:4">
      <c r="B202" t="s">
        <v>246</v>
      </c>
      <c r="C202">
        <v>22</v>
      </c>
      <c r="D202" t="s">
        <v>34</v>
      </c>
    </row>
    <row r="203" spans="2:4">
      <c r="B203" t="s">
        <v>247</v>
      </c>
      <c r="C203">
        <v>6</v>
      </c>
      <c r="D203" t="s">
        <v>34</v>
      </c>
    </row>
    <row r="204" spans="2:4">
      <c r="B204" t="s">
        <v>248</v>
      </c>
      <c r="C204">
        <v>28</v>
      </c>
      <c r="D204" t="s">
        <v>182</v>
      </c>
    </row>
    <row r="205" spans="2:4">
      <c r="B205" t="s">
        <v>249</v>
      </c>
      <c r="C205">
        <v>131</v>
      </c>
      <c r="D205" t="s">
        <v>34</v>
      </c>
    </row>
    <row r="206" spans="2:4">
      <c r="B206" t="s">
        <v>250</v>
      </c>
      <c r="C206">
        <v>344</v>
      </c>
      <c r="D206" t="s">
        <v>34</v>
      </c>
    </row>
    <row r="207" spans="2:4">
      <c r="B207" t="s">
        <v>251</v>
      </c>
      <c r="C207">
        <v>159</v>
      </c>
      <c r="D207" t="s">
        <v>34</v>
      </c>
    </row>
    <row r="208" spans="2:4">
      <c r="B208" t="s">
        <v>252</v>
      </c>
      <c r="C208">
        <v>102</v>
      </c>
      <c r="D208" t="s">
        <v>34</v>
      </c>
    </row>
    <row r="209" spans="2:4">
      <c r="B209" t="s">
        <v>253</v>
      </c>
      <c r="C209">
        <v>289</v>
      </c>
      <c r="D209" t="s">
        <v>34</v>
      </c>
    </row>
    <row r="210" spans="2:4">
      <c r="B210" t="s">
        <v>254</v>
      </c>
      <c r="C210">
        <v>622</v>
      </c>
      <c r="D210" t="s">
        <v>19</v>
      </c>
    </row>
    <row r="211" spans="2:4">
      <c r="B211" t="s">
        <v>255</v>
      </c>
      <c r="C211">
        <v>237</v>
      </c>
      <c r="D211" t="s">
        <v>34</v>
      </c>
    </row>
    <row r="212" spans="2:4">
      <c r="B212" t="s">
        <v>256</v>
      </c>
      <c r="C212">
        <v>15</v>
      </c>
      <c r="D212" t="s">
        <v>34</v>
      </c>
    </row>
    <row r="213" spans="2:4">
      <c r="B213" t="s">
        <v>257</v>
      </c>
      <c r="C213">
        <v>236</v>
      </c>
      <c r="D213" t="s">
        <v>34</v>
      </c>
    </row>
    <row r="214" spans="2:4">
      <c r="B214" t="s">
        <v>258</v>
      </c>
      <c r="C214">
        <v>178</v>
      </c>
      <c r="D214" t="s">
        <v>34</v>
      </c>
    </row>
    <row r="215" spans="2:4">
      <c r="B215" t="s">
        <v>259</v>
      </c>
      <c r="C215">
        <v>352</v>
      </c>
      <c r="D215" t="s">
        <v>34</v>
      </c>
    </row>
    <row r="216" spans="2:4">
      <c r="B216" t="s">
        <v>260</v>
      </c>
      <c r="C216">
        <v>48</v>
      </c>
      <c r="D216" t="s">
        <v>34</v>
      </c>
    </row>
    <row r="217" spans="2:4">
      <c r="B217" t="s">
        <v>261</v>
      </c>
      <c r="C217">
        <v>348</v>
      </c>
      <c r="D217" t="s">
        <v>19</v>
      </c>
    </row>
    <row r="218" spans="2:4">
      <c r="B218" t="s">
        <v>262</v>
      </c>
      <c r="C218">
        <v>915</v>
      </c>
      <c r="D218" t="s">
        <v>63</v>
      </c>
    </row>
    <row r="219" spans="2:4">
      <c r="B219" t="s">
        <v>263</v>
      </c>
      <c r="C219">
        <v>155</v>
      </c>
      <c r="D219" t="s">
        <v>34</v>
      </c>
    </row>
    <row r="220" spans="2:4">
      <c r="B220" t="s">
        <v>264</v>
      </c>
      <c r="C220">
        <v>10</v>
      </c>
      <c r="D220" t="s">
        <v>34</v>
      </c>
    </row>
    <row r="221" spans="2:4">
      <c r="B221" t="s">
        <v>265</v>
      </c>
      <c r="C221">
        <v>21</v>
      </c>
      <c r="D221" t="s">
        <v>34</v>
      </c>
    </row>
    <row r="222" spans="2:4">
      <c r="B222" t="s">
        <v>266</v>
      </c>
      <c r="C222">
        <v>39</v>
      </c>
      <c r="D222" t="s">
        <v>34</v>
      </c>
    </row>
    <row r="223" spans="2:4">
      <c r="B223" t="s">
        <v>267</v>
      </c>
      <c r="C223">
        <v>49</v>
      </c>
      <c r="D223" t="s">
        <v>34</v>
      </c>
    </row>
    <row r="224" spans="2:4">
      <c r="B224" t="s">
        <v>268</v>
      </c>
      <c r="C224">
        <v>334</v>
      </c>
      <c r="D224" t="s">
        <v>34</v>
      </c>
    </row>
    <row r="225" spans="2:4">
      <c r="B225" t="s">
        <v>269</v>
      </c>
      <c r="C225">
        <v>715</v>
      </c>
      <c r="D225" t="s">
        <v>63</v>
      </c>
    </row>
    <row r="226" spans="2:4">
      <c r="B226" t="s">
        <v>270</v>
      </c>
      <c r="C226">
        <v>689</v>
      </c>
      <c r="D226" t="s">
        <v>63</v>
      </c>
    </row>
    <row r="227" spans="2:4">
      <c r="B227" t="s">
        <v>271</v>
      </c>
      <c r="C227">
        <v>312</v>
      </c>
      <c r="D227" t="s">
        <v>34</v>
      </c>
    </row>
    <row r="228" spans="2:4">
      <c r="B228" t="s">
        <v>272</v>
      </c>
      <c r="C228">
        <v>311</v>
      </c>
      <c r="D228" t="s">
        <v>34</v>
      </c>
    </row>
    <row r="229" spans="2:4">
      <c r="B229" t="s">
        <v>273</v>
      </c>
      <c r="C229">
        <v>173</v>
      </c>
      <c r="D229" t="s">
        <v>34</v>
      </c>
    </row>
    <row r="230" spans="2:4">
      <c r="B230" t="s">
        <v>274</v>
      </c>
      <c r="C230">
        <v>942</v>
      </c>
      <c r="D230" t="s">
        <v>55</v>
      </c>
    </row>
    <row r="231" spans="2:4">
      <c r="B231" t="s">
        <v>275</v>
      </c>
      <c r="C231">
        <v>91</v>
      </c>
      <c r="D231" t="s">
        <v>34</v>
      </c>
    </row>
    <row r="232" spans="2:4">
      <c r="B232" t="s">
        <v>276</v>
      </c>
      <c r="C232">
        <v>10</v>
      </c>
      <c r="D232" t="s">
        <v>34</v>
      </c>
    </row>
    <row r="233" spans="2:4">
      <c r="B233" t="s">
        <v>277</v>
      </c>
      <c r="C233">
        <v>776</v>
      </c>
      <c r="D233" t="s">
        <v>231</v>
      </c>
    </row>
    <row r="234" spans="2:4">
      <c r="B234" t="s">
        <v>278</v>
      </c>
      <c r="C234">
        <v>146</v>
      </c>
      <c r="D234" t="s">
        <v>34</v>
      </c>
    </row>
    <row r="235" spans="2:4">
      <c r="B235" t="s">
        <v>279</v>
      </c>
      <c r="C235">
        <v>221</v>
      </c>
      <c r="D235" t="s">
        <v>34</v>
      </c>
    </row>
    <row r="236" spans="2:4">
      <c r="B236" t="s">
        <v>280</v>
      </c>
      <c r="C236">
        <v>471</v>
      </c>
      <c r="D236" t="s">
        <v>19</v>
      </c>
    </row>
    <row r="237" spans="2:4">
      <c r="B237" t="s">
        <v>281</v>
      </c>
      <c r="C237">
        <v>650</v>
      </c>
      <c r="D237" t="s">
        <v>19</v>
      </c>
    </row>
    <row r="238" spans="2:4">
      <c r="B238" t="s">
        <v>282</v>
      </c>
      <c r="C238">
        <v>217</v>
      </c>
      <c r="D238" t="s">
        <v>34</v>
      </c>
    </row>
    <row r="239" spans="2:4">
      <c r="B239" t="s">
        <v>283</v>
      </c>
      <c r="C239">
        <v>268</v>
      </c>
      <c r="D239" t="s">
        <v>34</v>
      </c>
    </row>
    <row r="240" spans="2:4">
      <c r="B240" t="s">
        <v>284</v>
      </c>
      <c r="C240">
        <v>297</v>
      </c>
      <c r="D240" t="s">
        <v>34</v>
      </c>
    </row>
    <row r="241" spans="2:4">
      <c r="B241" t="s">
        <v>285</v>
      </c>
      <c r="C241">
        <v>388</v>
      </c>
      <c r="D241" t="s">
        <v>19</v>
      </c>
    </row>
    <row r="242" spans="2:4">
      <c r="B242" t="s">
        <v>286</v>
      </c>
      <c r="C242">
        <v>13</v>
      </c>
      <c r="D242" t="s">
        <v>34</v>
      </c>
    </row>
    <row r="243" spans="2:4">
      <c r="B243" t="s">
        <v>287</v>
      </c>
      <c r="C243">
        <v>423</v>
      </c>
      <c r="D243" t="s">
        <v>19</v>
      </c>
    </row>
    <row r="244" spans="2:4">
      <c r="B244" t="s">
        <v>288</v>
      </c>
      <c r="C244">
        <v>38</v>
      </c>
      <c r="D244" t="s">
        <v>34</v>
      </c>
    </row>
    <row r="245" spans="2:4">
      <c r="B245" t="s">
        <v>289</v>
      </c>
      <c r="C245">
        <v>4</v>
      </c>
      <c r="D245" t="s">
        <v>34</v>
      </c>
    </row>
    <row r="246" spans="2:4">
      <c r="B246" t="s">
        <v>290</v>
      </c>
      <c r="C246">
        <v>9</v>
      </c>
      <c r="D246" t="s">
        <v>182</v>
      </c>
    </row>
    <row r="247" spans="2:4">
      <c r="B247" t="s">
        <v>291</v>
      </c>
      <c r="C247">
        <v>353</v>
      </c>
      <c r="D247" t="s">
        <v>19</v>
      </c>
    </row>
    <row r="248" spans="2:4">
      <c r="B248" t="s">
        <v>292</v>
      </c>
      <c r="C248">
        <v>356</v>
      </c>
      <c r="D248" t="s">
        <v>34</v>
      </c>
    </row>
    <row r="249" spans="2:4">
      <c r="B249" t="s">
        <v>293</v>
      </c>
      <c r="C249">
        <v>92</v>
      </c>
      <c r="D249" t="s">
        <v>34</v>
      </c>
    </row>
    <row r="250" spans="2:4">
      <c r="B250" t="s">
        <v>294</v>
      </c>
      <c r="C250">
        <v>17</v>
      </c>
      <c r="D250" t="s">
        <v>34</v>
      </c>
    </row>
    <row r="251" spans="2:4">
      <c r="B251" t="s">
        <v>295</v>
      </c>
      <c r="C251">
        <v>320</v>
      </c>
      <c r="D251" t="s">
        <v>34</v>
      </c>
    </row>
    <row r="252" spans="2:4">
      <c r="B252" t="s">
        <v>296</v>
      </c>
      <c r="C252">
        <v>49</v>
      </c>
      <c r="D252" t="s">
        <v>34</v>
      </c>
    </row>
    <row r="253" spans="2:4">
      <c r="B253" t="s">
        <v>297</v>
      </c>
      <c r="C253">
        <v>116</v>
      </c>
      <c r="D253" t="s">
        <v>34</v>
      </c>
    </row>
    <row r="254" spans="2:4">
      <c r="B254" t="s">
        <v>298</v>
      </c>
      <c r="C254">
        <v>180</v>
      </c>
      <c r="D254" t="s">
        <v>34</v>
      </c>
    </row>
    <row r="255" spans="2:4">
      <c r="B255" t="s">
        <v>299</v>
      </c>
      <c r="C255">
        <v>29</v>
      </c>
      <c r="D255" t="s">
        <v>34</v>
      </c>
    </row>
    <row r="256" spans="2:4">
      <c r="B256" t="s">
        <v>300</v>
      </c>
      <c r="C256">
        <v>9</v>
      </c>
      <c r="D256" t="s">
        <v>301</v>
      </c>
    </row>
    <row r="257" spans="2:4">
      <c r="B257" t="s">
        <v>302</v>
      </c>
      <c r="C257">
        <v>20</v>
      </c>
      <c r="D257" t="s">
        <v>34</v>
      </c>
    </row>
    <row r="258" spans="2:4">
      <c r="B258" t="s">
        <v>303</v>
      </c>
      <c r="C258">
        <v>531</v>
      </c>
      <c r="D258" t="s">
        <v>19</v>
      </c>
    </row>
    <row r="259" spans="2:4">
      <c r="B259" t="s">
        <v>304</v>
      </c>
      <c r="C259">
        <v>72</v>
      </c>
      <c r="D259" t="s">
        <v>182</v>
      </c>
    </row>
    <row r="260" spans="2:4">
      <c r="B260" t="s">
        <v>305</v>
      </c>
      <c r="C260">
        <v>626</v>
      </c>
      <c r="D260" t="s">
        <v>19</v>
      </c>
    </row>
    <row r="261" spans="2:4">
      <c r="B261" t="s">
        <v>306</v>
      </c>
      <c r="C261">
        <v>6</v>
      </c>
      <c r="D261" t="s">
        <v>34</v>
      </c>
    </row>
    <row r="262" spans="2:4">
      <c r="B262" t="s">
        <v>307</v>
      </c>
      <c r="C262">
        <v>879</v>
      </c>
      <c r="D262" t="s">
        <v>231</v>
      </c>
    </row>
    <row r="263" spans="2:4">
      <c r="B263" t="s">
        <v>308</v>
      </c>
      <c r="C263">
        <v>21</v>
      </c>
      <c r="D263" t="s">
        <v>182</v>
      </c>
    </row>
    <row r="264" spans="2:4">
      <c r="B264" t="s">
        <v>309</v>
      </c>
      <c r="C264">
        <v>577</v>
      </c>
      <c r="D264" t="s">
        <v>19</v>
      </c>
    </row>
    <row r="265" spans="2:4">
      <c r="B265" t="s">
        <v>310</v>
      </c>
      <c r="C265">
        <v>33</v>
      </c>
      <c r="D265" t="s">
        <v>34</v>
      </c>
    </row>
    <row r="266" spans="2:4">
      <c r="B266" t="s">
        <v>311</v>
      </c>
      <c r="C266">
        <v>139</v>
      </c>
      <c r="D266" t="s">
        <v>34</v>
      </c>
    </row>
    <row r="267" spans="2:4">
      <c r="B267" t="s">
        <v>312</v>
      </c>
      <c r="C267">
        <v>199</v>
      </c>
      <c r="D267" t="s">
        <v>34</v>
      </c>
    </row>
    <row r="268" spans="2:4">
      <c r="B268" t="s">
        <v>313</v>
      </c>
      <c r="C268">
        <v>83</v>
      </c>
      <c r="D268" t="s">
        <v>34</v>
      </c>
    </row>
    <row r="269" spans="2:4">
      <c r="B269" t="s">
        <v>314</v>
      </c>
      <c r="C269">
        <v>36</v>
      </c>
      <c r="D269" t="s">
        <v>34</v>
      </c>
    </row>
    <row r="270" spans="2:4">
      <c r="B270" t="s">
        <v>315</v>
      </c>
      <c r="C270">
        <v>270</v>
      </c>
      <c r="D270" t="s">
        <v>34</v>
      </c>
    </row>
    <row r="271" spans="2:4">
      <c r="B271" t="s">
        <v>316</v>
      </c>
      <c r="C271">
        <v>112</v>
      </c>
      <c r="D271" t="s">
        <v>34</v>
      </c>
    </row>
    <row r="272" spans="2:4">
      <c r="B272" t="s">
        <v>317</v>
      </c>
      <c r="C272">
        <v>154</v>
      </c>
      <c r="D272" t="s">
        <v>34</v>
      </c>
    </row>
    <row r="273" spans="2:4">
      <c r="B273" t="s">
        <v>318</v>
      </c>
      <c r="C273">
        <v>23</v>
      </c>
      <c r="D273" t="s">
        <v>34</v>
      </c>
    </row>
    <row r="274" spans="2:4">
      <c r="B274" t="s">
        <v>319</v>
      </c>
      <c r="C274">
        <v>5</v>
      </c>
      <c r="D274" t="s">
        <v>182</v>
      </c>
    </row>
    <row r="275" spans="2:4">
      <c r="B275" t="s">
        <v>320</v>
      </c>
      <c r="C275">
        <v>767</v>
      </c>
      <c r="D275" t="s">
        <v>63</v>
      </c>
    </row>
    <row r="276" spans="2:4">
      <c r="B276" t="s">
        <v>321</v>
      </c>
      <c r="C276">
        <v>443</v>
      </c>
      <c r="D276" t="s">
        <v>19</v>
      </c>
    </row>
    <row r="277" spans="2:4">
      <c r="B277" t="s">
        <v>322</v>
      </c>
      <c r="C277">
        <v>595</v>
      </c>
      <c r="D277" t="s">
        <v>19</v>
      </c>
    </row>
    <row r="278" spans="2:4">
      <c r="B278" t="s">
        <v>323</v>
      </c>
      <c r="C278">
        <v>139</v>
      </c>
      <c r="D278" t="s">
        <v>34</v>
      </c>
    </row>
    <row r="279" spans="2:4">
      <c r="B279" t="s">
        <v>324</v>
      </c>
      <c r="C279">
        <v>14</v>
      </c>
      <c r="D279" t="s">
        <v>34</v>
      </c>
    </row>
    <row r="280" spans="2:4">
      <c r="B280" t="s">
        <v>325</v>
      </c>
      <c r="C280">
        <v>187</v>
      </c>
      <c r="D280" t="s">
        <v>34</v>
      </c>
    </row>
    <row r="281" spans="2:4">
      <c r="B281" t="s">
        <v>326</v>
      </c>
      <c r="C281">
        <v>92</v>
      </c>
      <c r="D281" t="s">
        <v>34</v>
      </c>
    </row>
    <row r="282" spans="2:4">
      <c r="B282" t="s">
        <v>327</v>
      </c>
      <c r="C282">
        <v>7</v>
      </c>
      <c r="D282" t="s">
        <v>34</v>
      </c>
    </row>
    <row r="283" spans="2:4">
      <c r="B283" t="s">
        <v>328</v>
      </c>
      <c r="C283">
        <v>153</v>
      </c>
      <c r="D283" t="s">
        <v>34</v>
      </c>
    </row>
    <row r="284" spans="2:4">
      <c r="B284" t="s">
        <v>329</v>
      </c>
      <c r="C284">
        <v>95</v>
      </c>
      <c r="D284" t="s">
        <v>34</v>
      </c>
    </row>
    <row r="285" spans="2:4">
      <c r="B285" t="s">
        <v>330</v>
      </c>
      <c r="C285">
        <v>111</v>
      </c>
      <c r="D285" t="s">
        <v>34</v>
      </c>
    </row>
    <row r="286" spans="2:4">
      <c r="B286" t="s">
        <v>331</v>
      </c>
      <c r="C286">
        <v>275</v>
      </c>
      <c r="D286" t="s">
        <v>19</v>
      </c>
    </row>
    <row r="287" spans="2:4">
      <c r="B287" t="s">
        <v>332</v>
      </c>
      <c r="C287">
        <v>113</v>
      </c>
      <c r="D287" t="s">
        <v>34</v>
      </c>
    </row>
    <row r="288" spans="2:4">
      <c r="B288" t="s">
        <v>333</v>
      </c>
      <c r="C288">
        <v>390</v>
      </c>
      <c r="D288" t="s">
        <v>19</v>
      </c>
    </row>
    <row r="289" spans="2:4">
      <c r="B289" t="s">
        <v>334</v>
      </c>
      <c r="C289">
        <v>365</v>
      </c>
      <c r="D289" t="s">
        <v>34</v>
      </c>
    </row>
    <row r="290" spans="2:4">
      <c r="B290" t="s">
        <v>335</v>
      </c>
      <c r="C290">
        <v>49</v>
      </c>
      <c r="D290" t="s">
        <v>34</v>
      </c>
    </row>
    <row r="291" spans="2:4">
      <c r="B291" t="s">
        <v>336</v>
      </c>
      <c r="C291">
        <v>63</v>
      </c>
      <c r="D291" t="s">
        <v>34</v>
      </c>
    </row>
    <row r="292" spans="2:4">
      <c r="B292" t="s">
        <v>337</v>
      </c>
      <c r="C292">
        <v>216</v>
      </c>
      <c r="D292" t="s">
        <v>34</v>
      </c>
    </row>
    <row r="293" spans="2:4">
      <c r="B293" t="s">
        <v>338</v>
      </c>
      <c r="C293">
        <v>28</v>
      </c>
      <c r="D293" t="s">
        <v>34</v>
      </c>
    </row>
    <row r="294" spans="2:4">
      <c r="B294" t="s">
        <v>339</v>
      </c>
      <c r="C294">
        <v>12</v>
      </c>
      <c r="D294" t="s">
        <v>34</v>
      </c>
    </row>
    <row r="295" spans="2:4">
      <c r="B295" t="s">
        <v>340</v>
      </c>
      <c r="C295">
        <v>14</v>
      </c>
      <c r="D295" t="s">
        <v>34</v>
      </c>
    </row>
    <row r="296" spans="2:4">
      <c r="B296" t="s">
        <v>341</v>
      </c>
      <c r="C296">
        <v>13</v>
      </c>
      <c r="D296" t="s">
        <v>34</v>
      </c>
    </row>
    <row r="297" spans="2:4">
      <c r="B297" t="s">
        <v>342</v>
      </c>
      <c r="C297">
        <v>12</v>
      </c>
      <c r="D297" t="s">
        <v>34</v>
      </c>
    </row>
    <row r="298" spans="2:4">
      <c r="B298" t="s">
        <v>343</v>
      </c>
      <c r="C298">
        <v>364</v>
      </c>
      <c r="D298" t="s">
        <v>34</v>
      </c>
    </row>
    <row r="299" spans="2:4">
      <c r="B299" t="s">
        <v>344</v>
      </c>
      <c r="C299">
        <v>13</v>
      </c>
      <c r="D299" t="s">
        <v>182</v>
      </c>
    </row>
    <row r="300" spans="2:4">
      <c r="B300" t="s">
        <v>345</v>
      </c>
      <c r="C300">
        <v>27</v>
      </c>
      <c r="D300" t="s">
        <v>34</v>
      </c>
    </row>
    <row r="301" spans="2:4">
      <c r="B301" t="s">
        <v>346</v>
      </c>
      <c r="C301">
        <v>340</v>
      </c>
      <c r="D301" t="s">
        <v>34</v>
      </c>
    </row>
    <row r="302" spans="2:4">
      <c r="B302" t="s">
        <v>347</v>
      </c>
      <c r="C302">
        <v>31</v>
      </c>
      <c r="D302" t="s">
        <v>34</v>
      </c>
    </row>
    <row r="303" spans="2:4">
      <c r="B303" t="s">
        <v>348</v>
      </c>
      <c r="C303">
        <v>183</v>
      </c>
      <c r="D303" t="s">
        <v>34</v>
      </c>
    </row>
    <row r="304" spans="2:4">
      <c r="B304" t="s">
        <v>349</v>
      </c>
      <c r="C304">
        <v>293</v>
      </c>
      <c r="D304" t="s">
        <v>34</v>
      </c>
    </row>
    <row r="305" spans="2:4">
      <c r="B305" t="s">
        <v>350</v>
      </c>
      <c r="C305">
        <v>262</v>
      </c>
      <c r="D305" t="s">
        <v>34</v>
      </c>
    </row>
    <row r="306" spans="2:4">
      <c r="B306" t="s">
        <v>351</v>
      </c>
      <c r="C306">
        <v>138</v>
      </c>
      <c r="D306" t="s">
        <v>34</v>
      </c>
    </row>
    <row r="307" spans="2:4">
      <c r="B307" t="s">
        <v>352</v>
      </c>
      <c r="C307">
        <v>165</v>
      </c>
      <c r="D307" t="s">
        <v>34</v>
      </c>
    </row>
    <row r="308" spans="2:4">
      <c r="B308" t="s">
        <v>353</v>
      </c>
      <c r="C308">
        <v>17</v>
      </c>
      <c r="D308" t="s">
        <v>34</v>
      </c>
    </row>
    <row r="309" spans="2:4">
      <c r="B309" t="s">
        <v>354</v>
      </c>
      <c r="C309">
        <v>222</v>
      </c>
      <c r="D309" t="s">
        <v>34</v>
      </c>
    </row>
    <row r="310" spans="2:4">
      <c r="B310" t="s">
        <v>355</v>
      </c>
      <c r="C310">
        <v>278</v>
      </c>
      <c r="D310" t="s">
        <v>34</v>
      </c>
    </row>
    <row r="311" spans="2:4">
      <c r="B311" t="s">
        <v>356</v>
      </c>
      <c r="C311">
        <v>129</v>
      </c>
      <c r="D311" t="s">
        <v>34</v>
      </c>
    </row>
    <row r="312" spans="2:4">
      <c r="B312" t="s">
        <v>357</v>
      </c>
      <c r="C312">
        <v>15</v>
      </c>
      <c r="D312" t="s">
        <v>182</v>
      </c>
    </row>
    <row r="313" spans="2:4">
      <c r="B313" t="s">
        <v>358</v>
      </c>
      <c r="C313">
        <v>250</v>
      </c>
      <c r="D313" t="s">
        <v>34</v>
      </c>
    </row>
    <row r="314" spans="2:4">
      <c r="B314" t="s">
        <v>359</v>
      </c>
      <c r="C314">
        <v>274</v>
      </c>
      <c r="D314" t="s">
        <v>34</v>
      </c>
    </row>
    <row r="315" spans="2:4">
      <c r="B315" t="s">
        <v>360</v>
      </c>
      <c r="C315">
        <v>353</v>
      </c>
      <c r="D315" t="s">
        <v>34</v>
      </c>
    </row>
    <row r="316" spans="2:4">
      <c r="B316" t="s">
        <v>361</v>
      </c>
      <c r="C316">
        <v>327</v>
      </c>
      <c r="D316" t="s">
        <v>34</v>
      </c>
    </row>
    <row r="317" spans="2:4">
      <c r="B317" t="s">
        <v>362</v>
      </c>
      <c r="C317">
        <v>23</v>
      </c>
      <c r="D317" t="s">
        <v>34</v>
      </c>
    </row>
    <row r="318" spans="2:4">
      <c r="B318" t="s">
        <v>363</v>
      </c>
      <c r="C318">
        <v>78</v>
      </c>
      <c r="D318" t="s">
        <v>182</v>
      </c>
    </row>
    <row r="319" spans="2:4">
      <c r="B319" t="s">
        <v>364</v>
      </c>
      <c r="C319">
        <v>22</v>
      </c>
      <c r="D319" t="s">
        <v>182</v>
      </c>
    </row>
    <row r="320" spans="2:4">
      <c r="B320" t="s">
        <v>365</v>
      </c>
      <c r="C320">
        <v>311</v>
      </c>
      <c r="D320" t="s">
        <v>34</v>
      </c>
    </row>
    <row r="321" spans="2:4">
      <c r="B321" t="s">
        <v>366</v>
      </c>
      <c r="C321">
        <v>53</v>
      </c>
      <c r="D321" t="s">
        <v>34</v>
      </c>
    </row>
    <row r="322" spans="2:4">
      <c r="B322" t="s">
        <v>367</v>
      </c>
      <c r="C322">
        <v>150</v>
      </c>
      <c r="D322" t="s">
        <v>34</v>
      </c>
    </row>
    <row r="323" spans="2:4">
      <c r="B323" t="s">
        <v>368</v>
      </c>
      <c r="C323">
        <v>78</v>
      </c>
      <c r="D323" t="s">
        <v>34</v>
      </c>
    </row>
    <row r="324" spans="2:4">
      <c r="B324" t="s">
        <v>369</v>
      </c>
      <c r="C324">
        <v>31</v>
      </c>
      <c r="D324" t="s">
        <v>34</v>
      </c>
    </row>
    <row r="325" spans="2:4">
      <c r="B325" t="s">
        <v>370</v>
      </c>
      <c r="C325">
        <v>47</v>
      </c>
      <c r="D325" t="s">
        <v>34</v>
      </c>
    </row>
    <row r="326" spans="2:4">
      <c r="B326" t="s">
        <v>371</v>
      </c>
      <c r="C326">
        <v>9</v>
      </c>
      <c r="D326" t="s">
        <v>182</v>
      </c>
    </row>
    <row r="327" spans="2:4">
      <c r="B327" t="s">
        <v>372</v>
      </c>
      <c r="C327">
        <v>359</v>
      </c>
      <c r="D327" t="s">
        <v>34</v>
      </c>
    </row>
    <row r="328" spans="2:4">
      <c r="B328" t="s">
        <v>373</v>
      </c>
      <c r="C328">
        <v>13</v>
      </c>
      <c r="D328" t="s">
        <v>34</v>
      </c>
    </row>
    <row r="329" spans="2:4">
      <c r="B329" t="s">
        <v>374</v>
      </c>
      <c r="C329">
        <v>101</v>
      </c>
      <c r="D329" t="s">
        <v>34</v>
      </c>
    </row>
    <row r="330" spans="2:4">
      <c r="B330" t="s">
        <v>375</v>
      </c>
      <c r="C330">
        <v>243</v>
      </c>
      <c r="D330" t="s">
        <v>34</v>
      </c>
    </row>
    <row r="331" spans="2:4">
      <c r="B331" t="s">
        <v>376</v>
      </c>
      <c r="C331">
        <v>32</v>
      </c>
      <c r="D331" t="s">
        <v>34</v>
      </c>
    </row>
    <row r="332" spans="2:4">
      <c r="B332" t="s">
        <v>377</v>
      </c>
      <c r="C332">
        <v>12</v>
      </c>
      <c r="D332" t="s">
        <v>34</v>
      </c>
    </row>
    <row r="333" spans="2:4">
      <c r="B333" t="s">
        <v>378</v>
      </c>
      <c r="C333">
        <v>63</v>
      </c>
      <c r="D333" t="s">
        <v>182</v>
      </c>
    </row>
    <row r="334" spans="2:4">
      <c r="B334" t="s">
        <v>379</v>
      </c>
      <c r="C334">
        <v>10</v>
      </c>
      <c r="D334" t="s">
        <v>380</v>
      </c>
    </row>
    <row r="335" spans="2:4">
      <c r="B335" t="s">
        <v>381</v>
      </c>
      <c r="C335">
        <v>1103</v>
      </c>
      <c r="D335" t="s">
        <v>55</v>
      </c>
    </row>
    <row r="336" spans="2:4">
      <c r="B336" t="s">
        <v>382</v>
      </c>
      <c r="C336">
        <v>11</v>
      </c>
      <c r="D336" t="s">
        <v>380</v>
      </c>
    </row>
    <row r="337" spans="2:4">
      <c r="B337" t="s">
        <v>383</v>
      </c>
      <c r="C337">
        <v>56</v>
      </c>
      <c r="D337" t="s">
        <v>34</v>
      </c>
    </row>
    <row r="338" spans="2:4">
      <c r="B338" t="s">
        <v>384</v>
      </c>
      <c r="C338">
        <v>40</v>
      </c>
      <c r="D338" t="s">
        <v>34</v>
      </c>
    </row>
    <row r="339" spans="2:4">
      <c r="B339" t="s">
        <v>385</v>
      </c>
      <c r="C339">
        <v>42</v>
      </c>
      <c r="D339" t="s">
        <v>34</v>
      </c>
    </row>
    <row r="340" spans="2:4">
      <c r="B340" t="s">
        <v>386</v>
      </c>
      <c r="C340">
        <v>225</v>
      </c>
      <c r="D340" t="s">
        <v>34</v>
      </c>
    </row>
    <row r="341" spans="2:4">
      <c r="B341" t="s">
        <v>387</v>
      </c>
      <c r="C341">
        <v>220</v>
      </c>
      <c r="D341" t="s">
        <v>34</v>
      </c>
    </row>
    <row r="342" spans="2:4">
      <c r="B342" t="s">
        <v>388</v>
      </c>
      <c r="C342">
        <v>23</v>
      </c>
      <c r="D342" t="s">
        <v>34</v>
      </c>
    </row>
    <row r="343" spans="2:4">
      <c r="B343" t="s">
        <v>389</v>
      </c>
      <c r="C343">
        <v>34</v>
      </c>
      <c r="D343" t="s">
        <v>182</v>
      </c>
    </row>
    <row r="344" spans="2:4">
      <c r="B344" t="s">
        <v>390</v>
      </c>
      <c r="C344">
        <v>41</v>
      </c>
      <c r="D344" t="s">
        <v>34</v>
      </c>
    </row>
    <row r="345" spans="2:4">
      <c r="B345" t="s">
        <v>391</v>
      </c>
      <c r="C345">
        <v>293</v>
      </c>
      <c r="D345" t="s">
        <v>34</v>
      </c>
    </row>
    <row r="346" spans="2:4">
      <c r="B346" t="s">
        <v>392</v>
      </c>
      <c r="C346">
        <v>132</v>
      </c>
      <c r="D346" t="s">
        <v>34</v>
      </c>
    </row>
    <row r="347" spans="2:4">
      <c r="B347" t="s">
        <v>393</v>
      </c>
      <c r="C347">
        <v>35</v>
      </c>
      <c r="D347" t="s">
        <v>182</v>
      </c>
    </row>
    <row r="348" spans="2:4">
      <c r="B348" t="s">
        <v>394</v>
      </c>
      <c r="C348">
        <v>694</v>
      </c>
      <c r="D348" t="s">
        <v>231</v>
      </c>
    </row>
    <row r="349" spans="2:4">
      <c r="B349" t="s">
        <v>395</v>
      </c>
      <c r="C349">
        <v>102</v>
      </c>
      <c r="D349" t="s">
        <v>34</v>
      </c>
    </row>
    <row r="350" spans="2:4">
      <c r="B350" t="s">
        <v>396</v>
      </c>
      <c r="C350">
        <v>9</v>
      </c>
      <c r="D350" t="s">
        <v>34</v>
      </c>
    </row>
    <row r="351" spans="2:4">
      <c r="B351" t="s">
        <v>397</v>
      </c>
      <c r="C351">
        <v>38</v>
      </c>
      <c r="D351" t="s">
        <v>34</v>
      </c>
    </row>
    <row r="352" spans="2:4">
      <c r="B352" t="s">
        <v>398</v>
      </c>
      <c r="C352">
        <v>115</v>
      </c>
      <c r="D352" t="s">
        <v>34</v>
      </c>
    </row>
    <row r="353" spans="2:4">
      <c r="B353" t="s">
        <v>399</v>
      </c>
      <c r="C353">
        <v>102</v>
      </c>
      <c r="D353" t="s">
        <v>182</v>
      </c>
    </row>
    <row r="354" spans="2:4">
      <c r="B354" t="s">
        <v>400</v>
      </c>
      <c r="C354">
        <v>293</v>
      </c>
      <c r="D354" t="s">
        <v>34</v>
      </c>
    </row>
    <row r="355" spans="2:4">
      <c r="B355" t="s">
        <v>401</v>
      </c>
      <c r="C355">
        <v>46</v>
      </c>
      <c r="D355" t="s">
        <v>380</v>
      </c>
    </row>
    <row r="356" spans="2:4">
      <c r="B356" t="s">
        <v>402</v>
      </c>
      <c r="C356">
        <v>364</v>
      </c>
      <c r="D356" t="s">
        <v>34</v>
      </c>
    </row>
    <row r="357" spans="2:4">
      <c r="B357" t="s">
        <v>403</v>
      </c>
      <c r="C357">
        <v>121</v>
      </c>
      <c r="D357" t="s">
        <v>34</v>
      </c>
    </row>
    <row r="358" spans="2:4">
      <c r="B358" t="s">
        <v>404</v>
      </c>
      <c r="C358">
        <v>38</v>
      </c>
      <c r="D358" t="s">
        <v>34</v>
      </c>
    </row>
    <row r="359" spans="2:4">
      <c r="B359" t="s">
        <v>405</v>
      </c>
      <c r="C359">
        <v>9</v>
      </c>
      <c r="D359" t="s">
        <v>34</v>
      </c>
    </row>
    <row r="360" spans="2:4">
      <c r="B360" t="s">
        <v>406</v>
      </c>
      <c r="C360">
        <v>267</v>
      </c>
      <c r="D360" t="s">
        <v>34</v>
      </c>
    </row>
    <row r="361" spans="2:4">
      <c r="B361" t="s">
        <v>407</v>
      </c>
      <c r="C361">
        <v>80</v>
      </c>
      <c r="D361" t="s">
        <v>34</v>
      </c>
    </row>
    <row r="362" spans="2:4">
      <c r="B362" t="s">
        <v>408</v>
      </c>
      <c r="C362">
        <v>167</v>
      </c>
      <c r="D362" t="s">
        <v>34</v>
      </c>
    </row>
    <row r="363" spans="2:4">
      <c r="B363" t="s">
        <v>409</v>
      </c>
      <c r="C363">
        <v>39</v>
      </c>
      <c r="D363" t="s">
        <v>34</v>
      </c>
    </row>
    <row r="364" spans="2:4">
      <c r="B364" t="s">
        <v>410</v>
      </c>
      <c r="C364">
        <v>330</v>
      </c>
      <c r="D364" t="s">
        <v>34</v>
      </c>
    </row>
    <row r="365" spans="2:4">
      <c r="B365" t="s">
        <v>411</v>
      </c>
      <c r="C365">
        <v>695</v>
      </c>
      <c r="D365" t="s">
        <v>19</v>
      </c>
    </row>
    <row r="366" spans="2:4">
      <c r="B366" t="s">
        <v>412</v>
      </c>
      <c r="C366">
        <v>8</v>
      </c>
      <c r="D366" t="s">
        <v>34</v>
      </c>
    </row>
    <row r="367" spans="2:4">
      <c r="B367" t="s">
        <v>413</v>
      </c>
      <c r="C367">
        <v>59</v>
      </c>
      <c r="D367" t="s">
        <v>34</v>
      </c>
    </row>
    <row r="368" spans="2:4">
      <c r="B368" t="s">
        <v>414</v>
      </c>
      <c r="C368">
        <v>895</v>
      </c>
      <c r="D368" t="s">
        <v>63</v>
      </c>
    </row>
    <row r="369" spans="2:4">
      <c r="B369" t="s">
        <v>415</v>
      </c>
      <c r="C369">
        <v>4</v>
      </c>
      <c r="D369" t="s">
        <v>34</v>
      </c>
    </row>
    <row r="370" spans="2:4">
      <c r="B370" t="s">
        <v>416</v>
      </c>
      <c r="C370">
        <v>341</v>
      </c>
      <c r="D370" t="s">
        <v>34</v>
      </c>
    </row>
    <row r="371" spans="2:4">
      <c r="B371" t="s">
        <v>417</v>
      </c>
      <c r="C371">
        <v>6</v>
      </c>
      <c r="D371" t="s">
        <v>34</v>
      </c>
    </row>
    <row r="372" spans="2:4">
      <c r="B372" t="s">
        <v>418</v>
      </c>
      <c r="C372">
        <v>41</v>
      </c>
      <c r="D372" t="s">
        <v>34</v>
      </c>
    </row>
    <row r="373" spans="2:4">
      <c r="B373" t="s">
        <v>419</v>
      </c>
      <c r="C373">
        <v>12</v>
      </c>
      <c r="D373" t="s">
        <v>34</v>
      </c>
    </row>
    <row r="374" spans="2:4">
      <c r="B374" t="s">
        <v>420</v>
      </c>
      <c r="C374">
        <v>17</v>
      </c>
      <c r="D374" t="s">
        <v>301</v>
      </c>
    </row>
    <row r="375" spans="2:4">
      <c r="B375" t="s">
        <v>421</v>
      </c>
      <c r="C375">
        <v>533</v>
      </c>
      <c r="D375" t="s">
        <v>19</v>
      </c>
    </row>
    <row r="376" spans="2:4">
      <c r="B376" t="s">
        <v>422</v>
      </c>
      <c r="C376">
        <v>258</v>
      </c>
      <c r="D376" t="s">
        <v>34</v>
      </c>
    </row>
    <row r="377" spans="2:4">
      <c r="B377" t="s">
        <v>423</v>
      </c>
      <c r="C377">
        <v>832</v>
      </c>
      <c r="D377" t="s">
        <v>63</v>
      </c>
    </row>
    <row r="378" spans="2:4">
      <c r="B378" t="s">
        <v>424</v>
      </c>
      <c r="C378">
        <v>742</v>
      </c>
      <c r="D378" t="s">
        <v>63</v>
      </c>
    </row>
    <row r="379" spans="2:4">
      <c r="B379" t="s">
        <v>425</v>
      </c>
      <c r="C379">
        <v>148</v>
      </c>
      <c r="D379" t="s">
        <v>34</v>
      </c>
    </row>
    <row r="380" spans="2:4">
      <c r="B380" t="s">
        <v>426</v>
      </c>
      <c r="C380">
        <v>46</v>
      </c>
      <c r="D380" t="s">
        <v>34</v>
      </c>
    </row>
    <row r="381" spans="2:4">
      <c r="B381" t="s">
        <v>427</v>
      </c>
      <c r="C381">
        <v>170</v>
      </c>
      <c r="D381" t="s">
        <v>34</v>
      </c>
    </row>
    <row r="382" spans="2:4">
      <c r="B382" t="s">
        <v>428</v>
      </c>
      <c r="C382">
        <v>98</v>
      </c>
      <c r="D382" t="s">
        <v>34</v>
      </c>
    </row>
    <row r="383" spans="2:4">
      <c r="B383" t="s">
        <v>429</v>
      </c>
      <c r="C383">
        <v>604</v>
      </c>
      <c r="D383" t="s">
        <v>19</v>
      </c>
    </row>
    <row r="384" spans="2:4">
      <c r="B384" t="s">
        <v>430</v>
      </c>
      <c r="C384">
        <v>283</v>
      </c>
      <c r="D384" t="s">
        <v>34</v>
      </c>
    </row>
    <row r="385" spans="2:4">
      <c r="B385" t="s">
        <v>431</v>
      </c>
      <c r="C385">
        <v>731</v>
      </c>
      <c r="D385" t="s">
        <v>231</v>
      </c>
    </row>
    <row r="386" spans="2:4">
      <c r="B386" t="s">
        <v>432</v>
      </c>
      <c r="C386">
        <v>16</v>
      </c>
      <c r="D386" t="s">
        <v>34</v>
      </c>
    </row>
    <row r="387" spans="2:4">
      <c r="B387" t="s">
        <v>433</v>
      </c>
      <c r="C387">
        <v>294</v>
      </c>
      <c r="D387" t="s">
        <v>34</v>
      </c>
    </row>
    <row r="388" spans="2:4">
      <c r="B388" t="s">
        <v>434</v>
      </c>
      <c r="C388">
        <v>977</v>
      </c>
      <c r="D388" t="s">
        <v>55</v>
      </c>
    </row>
    <row r="389" spans="2:4">
      <c r="B389" t="s">
        <v>435</v>
      </c>
      <c r="C389">
        <v>116</v>
      </c>
      <c r="D389" t="s">
        <v>34</v>
      </c>
    </row>
    <row r="390" spans="2:4">
      <c r="B390" t="s">
        <v>436</v>
      </c>
      <c r="C390">
        <v>724</v>
      </c>
      <c r="D390" t="s">
        <v>231</v>
      </c>
    </row>
    <row r="391" spans="2:4">
      <c r="B391" t="s">
        <v>437</v>
      </c>
      <c r="C391">
        <v>105</v>
      </c>
      <c r="D391" t="s">
        <v>182</v>
      </c>
    </row>
    <row r="392" spans="2:4">
      <c r="B392" t="s">
        <v>438</v>
      </c>
      <c r="C392">
        <v>107</v>
      </c>
      <c r="D392" t="s">
        <v>34</v>
      </c>
    </row>
    <row r="393" spans="2:4">
      <c r="B393" t="s">
        <v>439</v>
      </c>
      <c r="C393">
        <v>35</v>
      </c>
      <c r="D393" t="s">
        <v>34</v>
      </c>
    </row>
    <row r="394" spans="2:4">
      <c r="B394" t="s">
        <v>440</v>
      </c>
      <c r="C394">
        <v>506</v>
      </c>
      <c r="D394" t="s">
        <v>19</v>
      </c>
    </row>
    <row r="395" spans="2:4">
      <c r="B395" t="s">
        <v>441</v>
      </c>
      <c r="C395">
        <v>853</v>
      </c>
      <c r="D395" t="s">
        <v>231</v>
      </c>
    </row>
    <row r="396" spans="2:4">
      <c r="B396" t="s">
        <v>442</v>
      </c>
      <c r="C396">
        <v>23</v>
      </c>
      <c r="D396" t="s">
        <v>34</v>
      </c>
    </row>
    <row r="397" spans="2:4">
      <c r="B397" t="s">
        <v>443</v>
      </c>
      <c r="C397">
        <v>120</v>
      </c>
      <c r="D397" t="s">
        <v>34</v>
      </c>
    </row>
    <row r="398" spans="2:4">
      <c r="B398" t="s">
        <v>444</v>
      </c>
      <c r="C398">
        <v>7</v>
      </c>
      <c r="D398" t="s">
        <v>301</v>
      </c>
    </row>
    <row r="399" spans="2:4">
      <c r="B399" t="s">
        <v>445</v>
      </c>
      <c r="C399">
        <v>23</v>
      </c>
      <c r="D399" t="s">
        <v>182</v>
      </c>
    </row>
    <row r="400" spans="2:4">
      <c r="B400" t="s">
        <v>446</v>
      </c>
      <c r="C400">
        <v>30</v>
      </c>
      <c r="D400" t="s">
        <v>34</v>
      </c>
    </row>
    <row r="401" spans="1:4">
      <c r="B401" t="s">
        <v>447</v>
      </c>
      <c r="C401">
        <v>435</v>
      </c>
      <c r="D401" t="s">
        <v>34</v>
      </c>
    </row>
    <row r="402" spans="1:4">
      <c r="B402" t="s">
        <v>448</v>
      </c>
      <c r="C402">
        <v>1040</v>
      </c>
      <c r="D402" t="s">
        <v>55</v>
      </c>
    </row>
    <row r="403" spans="1:4">
      <c r="A403" t="s">
        <v>449</v>
      </c>
      <c r="B403" t="s">
        <v>450</v>
      </c>
      <c r="C403">
        <v>564</v>
      </c>
      <c r="D403" t="s">
        <v>19</v>
      </c>
    </row>
    <row r="404" spans="1:4">
      <c r="A404" t="s">
        <v>451</v>
      </c>
      <c r="B404" t="s">
        <v>452</v>
      </c>
      <c r="C404">
        <v>331</v>
      </c>
      <c r="D404" t="s">
        <v>34</v>
      </c>
    </row>
    <row r="405" spans="1:4">
      <c r="B405" t="s">
        <v>453</v>
      </c>
      <c r="C405">
        <v>719</v>
      </c>
      <c r="D405" t="s">
        <v>19</v>
      </c>
    </row>
    <row r="406" spans="1:4">
      <c r="B406" t="s">
        <v>454</v>
      </c>
      <c r="C406">
        <v>332</v>
      </c>
      <c r="D406" t="s">
        <v>34</v>
      </c>
    </row>
    <row r="407" spans="1:4">
      <c r="B407" t="s">
        <v>455</v>
      </c>
      <c r="C407">
        <v>15</v>
      </c>
      <c r="D407" t="s">
        <v>301</v>
      </c>
    </row>
    <row r="408" spans="1:4">
      <c r="B408" t="s">
        <v>456</v>
      </c>
      <c r="C408">
        <v>226</v>
      </c>
      <c r="D408" t="s">
        <v>34</v>
      </c>
    </row>
    <row r="409" spans="1:4">
      <c r="B409" t="s">
        <v>457</v>
      </c>
      <c r="C409">
        <v>345</v>
      </c>
      <c r="D409" t="s">
        <v>34</v>
      </c>
    </row>
    <row r="410" spans="1:4">
      <c r="B410" t="s">
        <v>458</v>
      </c>
      <c r="C410">
        <v>735</v>
      </c>
      <c r="D410" t="s">
        <v>19</v>
      </c>
    </row>
    <row r="411" spans="1:4">
      <c r="B411" t="s">
        <v>459</v>
      </c>
      <c r="C411">
        <v>561</v>
      </c>
      <c r="D411" t="s">
        <v>19</v>
      </c>
    </row>
    <row r="412" spans="1:4">
      <c r="B412" t="s">
        <v>460</v>
      </c>
      <c r="C412">
        <v>580</v>
      </c>
      <c r="D412" t="s">
        <v>19</v>
      </c>
    </row>
    <row r="413" spans="1:4">
      <c r="B413" t="s">
        <v>461</v>
      </c>
      <c r="C413">
        <v>89</v>
      </c>
      <c r="D413" t="s">
        <v>301</v>
      </c>
    </row>
    <row r="414" spans="1:4">
      <c r="B414" t="s">
        <v>462</v>
      </c>
      <c r="C414">
        <v>23</v>
      </c>
      <c r="D414" t="s">
        <v>301</v>
      </c>
    </row>
    <row r="415" spans="1:4">
      <c r="B415" t="s">
        <v>463</v>
      </c>
      <c r="C415">
        <v>530</v>
      </c>
      <c r="D415" t="s">
        <v>19</v>
      </c>
    </row>
    <row r="416" spans="1:4">
      <c r="B416" t="s">
        <v>464</v>
      </c>
      <c r="C416">
        <v>5</v>
      </c>
      <c r="D416" t="s">
        <v>182</v>
      </c>
    </row>
    <row r="417" spans="2:4">
      <c r="B417" t="s">
        <v>465</v>
      </c>
      <c r="C417">
        <v>10</v>
      </c>
      <c r="D417" t="s">
        <v>301</v>
      </c>
    </row>
    <row r="418" spans="2:4">
      <c r="B418" t="s">
        <v>466</v>
      </c>
      <c r="C418">
        <v>570</v>
      </c>
      <c r="D418" t="s">
        <v>19</v>
      </c>
    </row>
    <row r="419" spans="2:4">
      <c r="B419" t="s">
        <v>467</v>
      </c>
      <c r="C419">
        <v>363</v>
      </c>
      <c r="D419" t="s">
        <v>34</v>
      </c>
    </row>
    <row r="420" spans="2:4">
      <c r="B420" t="s">
        <v>468</v>
      </c>
      <c r="C420">
        <v>60</v>
      </c>
      <c r="D420" t="s">
        <v>301</v>
      </c>
    </row>
    <row r="421" spans="2:4">
      <c r="B421" t="s">
        <v>469</v>
      </c>
      <c r="C421">
        <v>234</v>
      </c>
      <c r="D421" t="s">
        <v>34</v>
      </c>
    </row>
    <row r="422" spans="2:4">
      <c r="B422" t="s">
        <v>470</v>
      </c>
      <c r="C422">
        <v>99</v>
      </c>
      <c r="D422" t="s">
        <v>182</v>
      </c>
    </row>
    <row r="423" spans="2:4">
      <c r="B423" t="s">
        <v>471</v>
      </c>
      <c r="C423">
        <v>670</v>
      </c>
      <c r="D423" t="s">
        <v>19</v>
      </c>
    </row>
    <row r="424" spans="2:4">
      <c r="B424" t="s">
        <v>472</v>
      </c>
      <c r="C424">
        <v>812</v>
      </c>
      <c r="D424" t="s">
        <v>19</v>
      </c>
    </row>
    <row r="425" spans="2:4">
      <c r="B425" t="s">
        <v>473</v>
      </c>
      <c r="C425">
        <v>705</v>
      </c>
      <c r="D425" t="s">
        <v>19</v>
      </c>
    </row>
    <row r="426" spans="2:4">
      <c r="B426" t="s">
        <v>474</v>
      </c>
      <c r="C426">
        <v>592</v>
      </c>
      <c r="D426" t="s">
        <v>19</v>
      </c>
    </row>
    <row r="427" spans="2:4">
      <c r="B427" t="s">
        <v>475</v>
      </c>
      <c r="C427">
        <v>23</v>
      </c>
      <c r="D427" t="s">
        <v>182</v>
      </c>
    </row>
    <row r="428" spans="2:4">
      <c r="B428" t="s">
        <v>476</v>
      </c>
      <c r="C428">
        <v>56</v>
      </c>
      <c r="D428" t="s">
        <v>301</v>
      </c>
    </row>
    <row r="429" spans="2:4">
      <c r="B429" t="s">
        <v>477</v>
      </c>
      <c r="C429">
        <v>42</v>
      </c>
      <c r="D429" t="s">
        <v>182</v>
      </c>
    </row>
    <row r="430" spans="2:4">
      <c r="B430" t="s">
        <v>478</v>
      </c>
      <c r="C430">
        <v>464</v>
      </c>
      <c r="D430" t="s">
        <v>34</v>
      </c>
    </row>
    <row r="431" spans="2:4">
      <c r="B431" t="s">
        <v>479</v>
      </c>
      <c r="C431">
        <v>385</v>
      </c>
      <c r="D431" t="s">
        <v>19</v>
      </c>
    </row>
    <row r="432" spans="2:4">
      <c r="B432" t="s">
        <v>480</v>
      </c>
      <c r="C432">
        <v>124</v>
      </c>
      <c r="D432" t="s">
        <v>182</v>
      </c>
    </row>
    <row r="433" spans="2:4">
      <c r="B433" t="s">
        <v>481</v>
      </c>
      <c r="C433">
        <v>11</v>
      </c>
      <c r="D433" t="s">
        <v>301</v>
      </c>
    </row>
    <row r="434" spans="2:4">
      <c r="B434" t="s">
        <v>482</v>
      </c>
      <c r="C434">
        <v>738</v>
      </c>
      <c r="D434" t="s">
        <v>19</v>
      </c>
    </row>
    <row r="435" spans="2:4">
      <c r="B435" t="s">
        <v>483</v>
      </c>
      <c r="C435">
        <v>663</v>
      </c>
      <c r="D435" t="s">
        <v>19</v>
      </c>
    </row>
    <row r="436" spans="2:4">
      <c r="B436" t="s">
        <v>484</v>
      </c>
      <c r="C436">
        <v>311</v>
      </c>
      <c r="D436" t="s">
        <v>34</v>
      </c>
    </row>
    <row r="437" spans="2:4">
      <c r="B437" t="s">
        <v>485</v>
      </c>
      <c r="C437">
        <v>22</v>
      </c>
      <c r="D437" t="s">
        <v>301</v>
      </c>
    </row>
    <row r="438" spans="2:4">
      <c r="B438" t="s">
        <v>486</v>
      </c>
      <c r="C438">
        <v>521</v>
      </c>
      <c r="D438" t="s">
        <v>19</v>
      </c>
    </row>
    <row r="439" spans="2:4">
      <c r="B439" t="s">
        <v>487</v>
      </c>
      <c r="C439">
        <v>564</v>
      </c>
      <c r="D439" t="s">
        <v>19</v>
      </c>
    </row>
    <row r="440" spans="2:4">
      <c r="B440" t="s">
        <v>488</v>
      </c>
      <c r="C440">
        <v>546</v>
      </c>
      <c r="D440" t="s">
        <v>34</v>
      </c>
    </row>
    <row r="441" spans="2:4">
      <c r="B441" t="s">
        <v>489</v>
      </c>
      <c r="C441">
        <v>414</v>
      </c>
      <c r="D441" t="s">
        <v>19</v>
      </c>
    </row>
    <row r="442" spans="2:4">
      <c r="B442" t="s">
        <v>490</v>
      </c>
      <c r="C442">
        <v>725</v>
      </c>
      <c r="D442" t="s">
        <v>19</v>
      </c>
    </row>
    <row r="443" spans="2:4">
      <c r="B443" t="s">
        <v>491</v>
      </c>
      <c r="C443">
        <v>93</v>
      </c>
      <c r="D443" t="s">
        <v>182</v>
      </c>
    </row>
    <row r="444" spans="2:4">
      <c r="B444" t="s">
        <v>492</v>
      </c>
      <c r="C444">
        <v>254</v>
      </c>
      <c r="D444" t="s">
        <v>34</v>
      </c>
    </row>
    <row r="445" spans="2:4">
      <c r="B445" t="s">
        <v>493</v>
      </c>
      <c r="C445">
        <v>163</v>
      </c>
      <c r="D445" t="s">
        <v>34</v>
      </c>
    </row>
    <row r="446" spans="2:4">
      <c r="B446" t="s">
        <v>494</v>
      </c>
      <c r="C446">
        <v>697</v>
      </c>
      <c r="D446" t="s">
        <v>19</v>
      </c>
    </row>
    <row r="447" spans="2:4">
      <c r="B447" t="s">
        <v>495</v>
      </c>
      <c r="C447">
        <v>23</v>
      </c>
      <c r="D447" t="s">
        <v>182</v>
      </c>
    </row>
    <row r="448" spans="2:4">
      <c r="B448" t="s">
        <v>496</v>
      </c>
      <c r="C448">
        <v>213</v>
      </c>
      <c r="D448" t="s">
        <v>34</v>
      </c>
    </row>
    <row r="449" spans="2:4">
      <c r="B449" t="s">
        <v>497</v>
      </c>
      <c r="C449">
        <v>312</v>
      </c>
      <c r="D449" t="s">
        <v>34</v>
      </c>
    </row>
    <row r="450" spans="2:4">
      <c r="B450" t="s">
        <v>498</v>
      </c>
      <c r="C450">
        <v>20</v>
      </c>
      <c r="D450" t="s">
        <v>182</v>
      </c>
    </row>
    <row r="451" spans="2:4">
      <c r="B451" t="s">
        <v>499</v>
      </c>
      <c r="C451">
        <v>250</v>
      </c>
      <c r="D451" t="s">
        <v>34</v>
      </c>
    </row>
    <row r="452" spans="2:4">
      <c r="B452" t="s">
        <v>500</v>
      </c>
      <c r="C452">
        <v>55</v>
      </c>
      <c r="D452" t="s">
        <v>301</v>
      </c>
    </row>
    <row r="453" spans="2:4">
      <c r="B453" t="s">
        <v>501</v>
      </c>
      <c r="C453">
        <v>26</v>
      </c>
      <c r="D453" t="s">
        <v>182</v>
      </c>
    </row>
    <row r="454" spans="2:4">
      <c r="B454" t="s">
        <v>502</v>
      </c>
      <c r="C454">
        <v>585</v>
      </c>
      <c r="D454" t="s">
        <v>19</v>
      </c>
    </row>
    <row r="455" spans="2:4">
      <c r="B455" t="s">
        <v>503</v>
      </c>
      <c r="C455">
        <v>556</v>
      </c>
      <c r="D455" t="s">
        <v>19</v>
      </c>
    </row>
    <row r="456" spans="2:4">
      <c r="B456" t="s">
        <v>504</v>
      </c>
      <c r="C456">
        <v>669</v>
      </c>
      <c r="D456" t="s">
        <v>26</v>
      </c>
    </row>
    <row r="457" spans="2:4">
      <c r="B457" t="s">
        <v>505</v>
      </c>
      <c r="C457">
        <v>549</v>
      </c>
      <c r="D457" t="s">
        <v>34</v>
      </c>
    </row>
    <row r="458" spans="2:4">
      <c r="B458" t="s">
        <v>506</v>
      </c>
      <c r="C458">
        <v>571</v>
      </c>
      <c r="D458" t="s">
        <v>34</v>
      </c>
    </row>
    <row r="459" spans="2:4">
      <c r="B459" t="s">
        <v>507</v>
      </c>
      <c r="C459">
        <v>8</v>
      </c>
      <c r="D459" t="s">
        <v>301</v>
      </c>
    </row>
    <row r="460" spans="2:4">
      <c r="B460" t="s">
        <v>508</v>
      </c>
      <c r="C460">
        <v>433</v>
      </c>
      <c r="D460" t="s">
        <v>19</v>
      </c>
    </row>
    <row r="461" spans="2:4">
      <c r="B461" t="s">
        <v>509</v>
      </c>
      <c r="C461">
        <v>780</v>
      </c>
      <c r="D461" t="s">
        <v>19</v>
      </c>
    </row>
    <row r="462" spans="2:4">
      <c r="B462" t="s">
        <v>510</v>
      </c>
      <c r="C462">
        <v>16</v>
      </c>
      <c r="D462" t="s">
        <v>301</v>
      </c>
    </row>
    <row r="463" spans="2:4">
      <c r="B463" t="s">
        <v>511</v>
      </c>
      <c r="C463">
        <v>129</v>
      </c>
      <c r="D463" t="s">
        <v>301</v>
      </c>
    </row>
    <row r="464" spans="2:4">
      <c r="B464" t="s">
        <v>512</v>
      </c>
      <c r="C464">
        <v>8</v>
      </c>
      <c r="D464" t="s">
        <v>301</v>
      </c>
    </row>
    <row r="465" spans="2:4">
      <c r="B465" t="s">
        <v>513</v>
      </c>
      <c r="C465">
        <v>6</v>
      </c>
      <c r="D465" t="s">
        <v>301</v>
      </c>
    </row>
    <row r="466" spans="2:4">
      <c r="B466" t="s">
        <v>514</v>
      </c>
      <c r="C466">
        <v>13</v>
      </c>
      <c r="D466" t="s">
        <v>182</v>
      </c>
    </row>
    <row r="467" spans="2:4">
      <c r="B467" t="s">
        <v>515</v>
      </c>
      <c r="C467">
        <v>4</v>
      </c>
      <c r="D467" t="s">
        <v>301</v>
      </c>
    </row>
    <row r="468" spans="2:4">
      <c r="B468" t="s">
        <v>516</v>
      </c>
      <c r="C468">
        <v>82</v>
      </c>
      <c r="D468" t="s">
        <v>34</v>
      </c>
    </row>
    <row r="469" spans="2:4">
      <c r="B469" t="s">
        <v>517</v>
      </c>
      <c r="C469">
        <v>395</v>
      </c>
      <c r="D469" t="s">
        <v>34</v>
      </c>
    </row>
    <row r="470" spans="2:4">
      <c r="B470" t="s">
        <v>518</v>
      </c>
      <c r="C470">
        <v>769</v>
      </c>
      <c r="D470" t="s">
        <v>19</v>
      </c>
    </row>
    <row r="471" spans="2:4">
      <c r="B471" t="s">
        <v>519</v>
      </c>
      <c r="C471">
        <v>684</v>
      </c>
      <c r="D471" t="s">
        <v>19</v>
      </c>
    </row>
    <row r="472" spans="2:4">
      <c r="B472" t="s">
        <v>520</v>
      </c>
      <c r="C472">
        <v>264</v>
      </c>
      <c r="D472" t="s">
        <v>34</v>
      </c>
    </row>
    <row r="473" spans="2:4">
      <c r="B473" t="s">
        <v>521</v>
      </c>
      <c r="C473">
        <v>367</v>
      </c>
      <c r="D473" t="s">
        <v>34</v>
      </c>
    </row>
    <row r="474" spans="2:4">
      <c r="B474" t="s">
        <v>522</v>
      </c>
      <c r="C474">
        <v>8</v>
      </c>
      <c r="D474" t="s">
        <v>301</v>
      </c>
    </row>
    <row r="475" spans="2:4">
      <c r="B475" t="s">
        <v>523</v>
      </c>
      <c r="C475">
        <v>420</v>
      </c>
      <c r="D475" t="s">
        <v>19</v>
      </c>
    </row>
    <row r="476" spans="2:4">
      <c r="B476" t="s">
        <v>524</v>
      </c>
      <c r="C476">
        <v>79</v>
      </c>
      <c r="D476" t="s">
        <v>34</v>
      </c>
    </row>
    <row r="477" spans="2:4">
      <c r="B477" t="s">
        <v>525</v>
      </c>
      <c r="C477">
        <v>542</v>
      </c>
      <c r="D477" t="s">
        <v>19</v>
      </c>
    </row>
    <row r="478" spans="2:4">
      <c r="B478" t="s">
        <v>526</v>
      </c>
      <c r="C478">
        <v>17</v>
      </c>
      <c r="D478" t="s">
        <v>301</v>
      </c>
    </row>
    <row r="479" spans="2:4">
      <c r="B479" t="s">
        <v>527</v>
      </c>
      <c r="C479">
        <v>27</v>
      </c>
      <c r="D479" t="s">
        <v>301</v>
      </c>
    </row>
    <row r="480" spans="2:4">
      <c r="B480" t="s">
        <v>528</v>
      </c>
      <c r="C480">
        <v>413</v>
      </c>
      <c r="D480" t="s">
        <v>34</v>
      </c>
    </row>
    <row r="481" spans="2:4">
      <c r="B481" t="s">
        <v>529</v>
      </c>
      <c r="C481">
        <v>754</v>
      </c>
      <c r="D481" t="s">
        <v>19</v>
      </c>
    </row>
    <row r="482" spans="2:4">
      <c r="B482" t="s">
        <v>530</v>
      </c>
      <c r="C482">
        <v>25</v>
      </c>
      <c r="D482" t="s">
        <v>182</v>
      </c>
    </row>
    <row r="483" spans="2:4">
      <c r="B483" t="s">
        <v>531</v>
      </c>
      <c r="C483">
        <v>48</v>
      </c>
      <c r="D483" t="s">
        <v>182</v>
      </c>
    </row>
    <row r="484" spans="2:4">
      <c r="B484" t="s">
        <v>532</v>
      </c>
      <c r="C484">
        <v>462</v>
      </c>
      <c r="D484" t="s">
        <v>34</v>
      </c>
    </row>
    <row r="485" spans="2:4">
      <c r="B485" t="s">
        <v>533</v>
      </c>
      <c r="C485">
        <v>191</v>
      </c>
      <c r="D485" t="s">
        <v>34</v>
      </c>
    </row>
    <row r="486" spans="2:4">
      <c r="B486" t="s">
        <v>534</v>
      </c>
      <c r="C486">
        <v>267</v>
      </c>
      <c r="D486" t="s">
        <v>34</v>
      </c>
    </row>
    <row r="487" spans="2:4">
      <c r="B487" t="s">
        <v>535</v>
      </c>
      <c r="C487">
        <v>635</v>
      </c>
      <c r="D487" t="s">
        <v>19</v>
      </c>
    </row>
    <row r="488" spans="2:4">
      <c r="B488" t="s">
        <v>536</v>
      </c>
      <c r="C488">
        <v>228</v>
      </c>
      <c r="D488" t="s">
        <v>34</v>
      </c>
    </row>
    <row r="489" spans="2:4">
      <c r="B489" t="s">
        <v>537</v>
      </c>
      <c r="C489">
        <v>390</v>
      </c>
      <c r="D489" t="s">
        <v>34</v>
      </c>
    </row>
    <row r="490" spans="2:4">
      <c r="B490" t="s">
        <v>538</v>
      </c>
      <c r="C490">
        <v>19</v>
      </c>
      <c r="D490" t="s">
        <v>301</v>
      </c>
    </row>
    <row r="491" spans="2:4">
      <c r="B491" t="s">
        <v>539</v>
      </c>
      <c r="C491">
        <v>283</v>
      </c>
      <c r="D491" t="s">
        <v>34</v>
      </c>
    </row>
    <row r="492" spans="2:4">
      <c r="B492" t="s">
        <v>540</v>
      </c>
      <c r="C492">
        <v>391</v>
      </c>
      <c r="D492" t="s">
        <v>19</v>
      </c>
    </row>
    <row r="493" spans="2:4">
      <c r="B493" t="s">
        <v>541</v>
      </c>
      <c r="C493">
        <v>63</v>
      </c>
      <c r="D493" t="s">
        <v>182</v>
      </c>
    </row>
    <row r="494" spans="2:4">
      <c r="B494" t="s">
        <v>542</v>
      </c>
      <c r="C494">
        <v>241</v>
      </c>
      <c r="D494" t="s">
        <v>34</v>
      </c>
    </row>
    <row r="495" spans="2:4">
      <c r="B495" t="s">
        <v>543</v>
      </c>
      <c r="C495">
        <v>216</v>
      </c>
      <c r="D495" t="s">
        <v>34</v>
      </c>
    </row>
    <row r="496" spans="2:4">
      <c r="B496" t="s">
        <v>544</v>
      </c>
      <c r="C496">
        <v>36</v>
      </c>
      <c r="D496" t="s">
        <v>182</v>
      </c>
    </row>
    <row r="497" spans="2:4">
      <c r="B497" t="s">
        <v>545</v>
      </c>
      <c r="C497">
        <v>701</v>
      </c>
      <c r="D497" t="s">
        <v>26</v>
      </c>
    </row>
    <row r="498" spans="2:4">
      <c r="B498" t="s">
        <v>546</v>
      </c>
      <c r="C498">
        <v>154</v>
      </c>
      <c r="D498" t="s">
        <v>182</v>
      </c>
    </row>
    <row r="499" spans="2:4">
      <c r="B499" t="s">
        <v>547</v>
      </c>
      <c r="C499">
        <v>25</v>
      </c>
      <c r="D499" t="s">
        <v>301</v>
      </c>
    </row>
    <row r="500" spans="2:4">
      <c r="B500" t="s">
        <v>548</v>
      </c>
      <c r="C500">
        <v>176</v>
      </c>
      <c r="D500" t="s">
        <v>182</v>
      </c>
    </row>
    <row r="501" spans="2:4">
      <c r="B501" t="s">
        <v>549</v>
      </c>
      <c r="C501">
        <v>290</v>
      </c>
      <c r="D501" t="s">
        <v>34</v>
      </c>
    </row>
    <row r="502" spans="2:4">
      <c r="B502" t="s">
        <v>550</v>
      </c>
      <c r="C502">
        <v>85</v>
      </c>
      <c r="D502" t="s">
        <v>182</v>
      </c>
    </row>
    <row r="503" spans="2:4">
      <c r="B503" t="s">
        <v>551</v>
      </c>
      <c r="C503">
        <v>82</v>
      </c>
      <c r="D503" t="s">
        <v>182</v>
      </c>
    </row>
    <row r="504" spans="2:4">
      <c r="B504" t="s">
        <v>552</v>
      </c>
      <c r="C504">
        <v>682</v>
      </c>
      <c r="D504" t="s">
        <v>19</v>
      </c>
    </row>
    <row r="505" spans="2:4">
      <c r="B505" t="s">
        <v>553</v>
      </c>
      <c r="C505">
        <v>465</v>
      </c>
      <c r="D505" t="s">
        <v>19</v>
      </c>
    </row>
    <row r="506" spans="2:4">
      <c r="B506" t="s">
        <v>554</v>
      </c>
      <c r="C506">
        <v>32</v>
      </c>
      <c r="D506" t="s">
        <v>301</v>
      </c>
    </row>
    <row r="507" spans="2:4">
      <c r="B507" t="s">
        <v>555</v>
      </c>
      <c r="C507">
        <v>591</v>
      </c>
      <c r="D507" t="s">
        <v>19</v>
      </c>
    </row>
    <row r="508" spans="2:4">
      <c r="B508" t="s">
        <v>556</v>
      </c>
      <c r="C508">
        <v>451</v>
      </c>
      <c r="D508" t="s">
        <v>19</v>
      </c>
    </row>
    <row r="509" spans="2:4">
      <c r="B509" t="s">
        <v>557</v>
      </c>
      <c r="C509">
        <v>13</v>
      </c>
      <c r="D509" t="s">
        <v>182</v>
      </c>
    </row>
    <row r="510" spans="2:4">
      <c r="B510" t="s">
        <v>558</v>
      </c>
      <c r="C510">
        <v>239</v>
      </c>
      <c r="D510" t="s">
        <v>34</v>
      </c>
    </row>
    <row r="511" spans="2:4">
      <c r="B511" t="s">
        <v>559</v>
      </c>
      <c r="C511">
        <v>620</v>
      </c>
      <c r="D511" t="s">
        <v>19</v>
      </c>
    </row>
    <row r="512" spans="2:4">
      <c r="B512" t="s">
        <v>560</v>
      </c>
      <c r="C512">
        <v>13</v>
      </c>
      <c r="D512" t="s">
        <v>182</v>
      </c>
    </row>
    <row r="513" spans="2:4">
      <c r="B513" t="s">
        <v>561</v>
      </c>
      <c r="C513">
        <v>87</v>
      </c>
      <c r="D513" t="s">
        <v>182</v>
      </c>
    </row>
    <row r="514" spans="2:4">
      <c r="B514" t="s">
        <v>562</v>
      </c>
      <c r="C514">
        <v>28</v>
      </c>
      <c r="D514" t="s">
        <v>182</v>
      </c>
    </row>
    <row r="515" spans="2:4">
      <c r="B515" t="s">
        <v>563</v>
      </c>
      <c r="C515">
        <v>435</v>
      </c>
      <c r="D515" t="s">
        <v>34</v>
      </c>
    </row>
    <row r="516" spans="2:4">
      <c r="B516" t="s">
        <v>564</v>
      </c>
      <c r="C516">
        <v>8</v>
      </c>
      <c r="D516" t="s">
        <v>301</v>
      </c>
    </row>
    <row r="517" spans="2:4">
      <c r="B517" t="s">
        <v>565</v>
      </c>
      <c r="C517">
        <v>419</v>
      </c>
      <c r="D517" t="s">
        <v>34</v>
      </c>
    </row>
    <row r="518" spans="2:4">
      <c r="B518" t="s">
        <v>566</v>
      </c>
      <c r="C518">
        <v>103</v>
      </c>
      <c r="D518" t="s">
        <v>182</v>
      </c>
    </row>
    <row r="519" spans="2:4">
      <c r="B519" t="s">
        <v>567</v>
      </c>
      <c r="C519">
        <v>493</v>
      </c>
      <c r="D519" t="s">
        <v>19</v>
      </c>
    </row>
    <row r="520" spans="2:4">
      <c r="B520" t="s">
        <v>568</v>
      </c>
      <c r="C520">
        <v>4</v>
      </c>
      <c r="D520" t="s">
        <v>301</v>
      </c>
    </row>
    <row r="521" spans="2:4">
      <c r="B521" t="s">
        <v>569</v>
      </c>
      <c r="C521">
        <v>10</v>
      </c>
      <c r="D521" t="s">
        <v>301</v>
      </c>
    </row>
    <row r="522" spans="2:4">
      <c r="B522" t="s">
        <v>570</v>
      </c>
      <c r="C522">
        <v>87</v>
      </c>
      <c r="D522" t="s">
        <v>301</v>
      </c>
    </row>
    <row r="523" spans="2:4">
      <c r="B523" t="s">
        <v>571</v>
      </c>
      <c r="C523">
        <v>107</v>
      </c>
      <c r="D523" t="s">
        <v>34</v>
      </c>
    </row>
    <row r="524" spans="2:4">
      <c r="B524" t="s">
        <v>572</v>
      </c>
      <c r="C524">
        <v>83</v>
      </c>
      <c r="D524" t="s">
        <v>182</v>
      </c>
    </row>
    <row r="525" spans="2:4">
      <c r="B525" t="s">
        <v>573</v>
      </c>
      <c r="C525">
        <v>40</v>
      </c>
      <c r="D525" t="s">
        <v>182</v>
      </c>
    </row>
    <row r="526" spans="2:4">
      <c r="B526" t="s">
        <v>574</v>
      </c>
      <c r="C526">
        <v>4</v>
      </c>
      <c r="D526" t="s">
        <v>182</v>
      </c>
    </row>
    <row r="527" spans="2:4">
      <c r="B527" t="s">
        <v>575</v>
      </c>
      <c r="C527">
        <v>473</v>
      </c>
      <c r="D527" t="s">
        <v>19</v>
      </c>
    </row>
    <row r="528" spans="2:4">
      <c r="B528" t="s">
        <v>576</v>
      </c>
      <c r="C528">
        <v>412</v>
      </c>
      <c r="D528" t="s">
        <v>34</v>
      </c>
    </row>
    <row r="529" spans="2:4">
      <c r="B529" t="s">
        <v>577</v>
      </c>
      <c r="C529">
        <v>231</v>
      </c>
      <c r="D529" t="s">
        <v>34</v>
      </c>
    </row>
    <row r="530" spans="2:4">
      <c r="B530" t="s">
        <v>578</v>
      </c>
      <c r="C530">
        <v>559</v>
      </c>
      <c r="D530" t="s">
        <v>34</v>
      </c>
    </row>
    <row r="531" spans="2:4">
      <c r="B531" t="s">
        <v>579</v>
      </c>
      <c r="C531">
        <v>183</v>
      </c>
      <c r="D531" t="s">
        <v>34</v>
      </c>
    </row>
    <row r="532" spans="2:4">
      <c r="B532" t="s">
        <v>580</v>
      </c>
      <c r="C532">
        <v>517</v>
      </c>
      <c r="D532" t="s">
        <v>19</v>
      </c>
    </row>
    <row r="533" spans="2:4">
      <c r="B533" t="s">
        <v>581</v>
      </c>
      <c r="C533">
        <v>776</v>
      </c>
      <c r="D533" t="s">
        <v>19</v>
      </c>
    </row>
    <row r="534" spans="2:4">
      <c r="B534" t="s">
        <v>582</v>
      </c>
      <c r="C534">
        <v>129</v>
      </c>
      <c r="D534" t="s">
        <v>182</v>
      </c>
    </row>
    <row r="535" spans="2:4">
      <c r="B535" t="s">
        <v>583</v>
      </c>
      <c r="C535">
        <v>791</v>
      </c>
      <c r="D535" t="s">
        <v>19</v>
      </c>
    </row>
    <row r="536" spans="2:4">
      <c r="B536" t="s">
        <v>584</v>
      </c>
      <c r="C536">
        <v>7</v>
      </c>
      <c r="D536" t="s">
        <v>301</v>
      </c>
    </row>
    <row r="537" spans="2:4">
      <c r="B537" t="s">
        <v>585</v>
      </c>
      <c r="C537">
        <v>639</v>
      </c>
      <c r="D537" t="s">
        <v>19</v>
      </c>
    </row>
    <row r="538" spans="2:4">
      <c r="B538" t="s">
        <v>586</v>
      </c>
      <c r="C538">
        <v>293</v>
      </c>
      <c r="D538" t="s">
        <v>34</v>
      </c>
    </row>
    <row r="539" spans="2:4">
      <c r="B539" t="s">
        <v>587</v>
      </c>
      <c r="C539">
        <v>439</v>
      </c>
      <c r="D539" t="s">
        <v>34</v>
      </c>
    </row>
    <row r="540" spans="2:4">
      <c r="B540" t="s">
        <v>588</v>
      </c>
      <c r="C540">
        <v>392</v>
      </c>
      <c r="D540" t="s">
        <v>34</v>
      </c>
    </row>
    <row r="541" spans="2:4">
      <c r="B541" t="s">
        <v>589</v>
      </c>
      <c r="C541">
        <v>21</v>
      </c>
      <c r="D541" t="s">
        <v>182</v>
      </c>
    </row>
    <row r="542" spans="2:4">
      <c r="B542" t="s">
        <v>590</v>
      </c>
      <c r="C542">
        <v>16</v>
      </c>
      <c r="D542" t="s">
        <v>301</v>
      </c>
    </row>
    <row r="543" spans="2:4">
      <c r="B543" t="s">
        <v>591</v>
      </c>
      <c r="C543">
        <v>503</v>
      </c>
      <c r="D543" t="s">
        <v>19</v>
      </c>
    </row>
    <row r="544" spans="2:4">
      <c r="B544" t="s">
        <v>592</v>
      </c>
      <c r="C544">
        <v>188</v>
      </c>
      <c r="D544" t="s">
        <v>34</v>
      </c>
    </row>
  </sheetData>
  <sheetProtection algorithmName="SHA-512" hashValue="vtePPgwrIypJXe4UyD8BLTDtNix6m4xwdvY1u9REG/UpSpwiQ63j9ZGrZwIsaa/y7WwJG+wktyC1fOOdiH9rLw==" saltValue="9WprbCByxvZ7N/R0PcB35w==" spinCount="100000" sheet="1" objects="1" scenarios="1"/>
  <phoneticPr fontId="7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A60DE-8CB7-425A-8F1D-243E02E7F02D}">
  <sheetPr>
    <tabColor theme="5" tint="0.79998168889431442"/>
  </sheetPr>
  <dimension ref="A1:X319"/>
  <sheetViews>
    <sheetView topLeftCell="A85" workbookViewId="0">
      <selection activeCell="C234" sqref="C234"/>
    </sheetView>
  </sheetViews>
  <sheetFormatPr baseColWidth="10" defaultColWidth="11.44140625" defaultRowHeight="15.6"/>
  <cols>
    <col min="1" max="1" width="29.5546875" style="145" customWidth="1"/>
    <col min="3" max="3" width="30.5546875" customWidth="1"/>
    <col min="4" max="4" width="31.6640625" customWidth="1"/>
    <col min="5" max="5" width="27.33203125" customWidth="1"/>
    <col min="6" max="6" width="0.33203125" customWidth="1"/>
    <col min="7" max="7" width="27.5546875" customWidth="1"/>
    <col min="8" max="8" width="23" customWidth="1"/>
    <col min="9" max="9" width="17" customWidth="1"/>
    <col min="10" max="10" width="14.44140625" customWidth="1"/>
    <col min="11" max="11" width="29.44140625" customWidth="1"/>
    <col min="12" max="12" width="23.6640625" customWidth="1"/>
    <col min="13" max="13" width="0.33203125" customWidth="1"/>
    <col min="14" max="14" width="21.5546875" customWidth="1"/>
    <col min="15" max="15" width="23" customWidth="1"/>
    <col min="16" max="16" width="19.5546875" customWidth="1"/>
  </cols>
  <sheetData>
    <row r="1" spans="1:24" s="136" customFormat="1" ht="30" customHeight="1">
      <c r="A1" s="1"/>
      <c r="B1" s="135"/>
    </row>
    <row r="2" spans="1:24" s="136" customFormat="1" ht="30" customHeight="1">
      <c r="A2" s="1"/>
      <c r="B2" s="135"/>
      <c r="C2" s="136" t="str">
        <f>IF(Idioma=Castellano,"5. Factores de emisión",IF(Idioma=Valencià,"5. Factors d'emissió","5. Factores de emisión"))</f>
        <v>5. Factores de emisión</v>
      </c>
    </row>
    <row r="3" spans="1:24" s="136" customFormat="1" ht="30" customHeight="1">
      <c r="A3" s="1"/>
      <c r="B3" s="135"/>
    </row>
    <row r="4" spans="1:24" s="257" customFormat="1" ht="23.4" customHeight="1">
      <c r="A4" s="143"/>
      <c r="B4" s="254"/>
      <c r="C4" s="255" t="s">
        <v>654</v>
      </c>
      <c r="D4" s="256"/>
      <c r="E4" s="256"/>
      <c r="F4" s="256"/>
      <c r="G4" s="256"/>
      <c r="H4" s="256"/>
      <c r="I4" s="256"/>
      <c r="J4" s="256"/>
      <c r="K4" s="254"/>
      <c r="L4" s="254"/>
      <c r="M4" s="254"/>
      <c r="N4" s="254"/>
      <c r="O4" s="254"/>
      <c r="P4" s="254"/>
      <c r="Q4" s="254"/>
      <c r="R4" s="254"/>
      <c r="S4" s="254"/>
      <c r="T4" s="254"/>
      <c r="U4" s="254"/>
      <c r="V4" s="254"/>
      <c r="W4" s="254"/>
      <c r="X4" s="254"/>
    </row>
    <row r="5" spans="1:24" ht="14.4">
      <c r="A5" s="143"/>
      <c r="B5" s="11"/>
      <c r="C5" s="73"/>
      <c r="D5" s="12"/>
      <c r="E5" s="12"/>
      <c r="F5" s="12"/>
      <c r="G5" s="12"/>
      <c r="H5" s="12"/>
      <c r="I5" s="12"/>
      <c r="J5" s="12"/>
      <c r="K5" s="11"/>
      <c r="L5" s="11"/>
      <c r="M5" s="11"/>
      <c r="N5" s="11"/>
      <c r="O5" s="11"/>
      <c r="P5" s="11"/>
      <c r="Q5" s="11"/>
      <c r="R5" s="11"/>
      <c r="S5" s="11"/>
      <c r="T5" s="11"/>
      <c r="U5" s="11"/>
      <c r="V5" s="11"/>
      <c r="W5" s="11"/>
      <c r="X5" s="11"/>
    </row>
    <row r="6" spans="1:24">
      <c r="A6" s="335" t="str">
        <f>IF(Idioma=Castellano,"Índice",IF(Idioma=Valencià,"Índex","Índice"))</f>
        <v>Índice</v>
      </c>
      <c r="B6" s="11"/>
      <c r="C6" s="12"/>
      <c r="D6" s="12"/>
      <c r="E6" s="12"/>
      <c r="F6" s="12"/>
      <c r="G6" s="12"/>
      <c r="H6" s="12"/>
      <c r="I6" s="12"/>
      <c r="J6" s="12"/>
      <c r="K6" s="11"/>
      <c r="L6" s="11"/>
      <c r="M6" s="11"/>
      <c r="N6" s="11"/>
      <c r="O6" s="11"/>
      <c r="P6" s="11"/>
      <c r="Q6" s="11"/>
      <c r="R6" s="11"/>
      <c r="S6" s="11"/>
      <c r="T6" s="11"/>
      <c r="U6" s="11"/>
      <c r="V6" s="11"/>
      <c r="W6" s="11"/>
      <c r="X6" s="11"/>
    </row>
    <row r="7" spans="1:24" ht="14.4">
      <c r="A7" s="202" t="str">
        <f>IF(Idioma=Castellano,"Instrucciones",IF(Idioma=Valencià,"Instruccions","Instrucciones"))</f>
        <v>Instrucciones</v>
      </c>
      <c r="B7" s="11"/>
      <c r="C7" s="258" t="str">
        <f>IF(Idioma=Castellano,"Tabla emisiones residenciales",IF(Idioma=Valencià,"Taula emissions residencials"))</f>
        <v>Tabla emisiones residenciales</v>
      </c>
      <c r="D7" s="259"/>
      <c r="E7" s="259"/>
      <c r="F7" s="259"/>
      <c r="G7" s="259"/>
      <c r="H7" s="259"/>
      <c r="I7" s="259"/>
      <c r="J7" s="12"/>
      <c r="K7" s="258" t="str">
        <f>IF(Idioma=Castellano,"Tabla emisiones equipamientos",IF(Idioma=Valencià,"Taula emissions equipaments"))</f>
        <v>Tabla emisiones equipamientos</v>
      </c>
      <c r="L7" s="259"/>
      <c r="M7" s="259"/>
      <c r="N7" s="259"/>
      <c r="O7" s="259"/>
      <c r="P7" s="259"/>
      <c r="Q7" s="11"/>
      <c r="R7" s="11"/>
      <c r="S7" s="11"/>
      <c r="T7" s="11"/>
      <c r="U7" s="11"/>
      <c r="V7" s="11"/>
      <c r="W7" s="11"/>
      <c r="X7" s="11"/>
    </row>
    <row r="8" spans="1:24" ht="14.4">
      <c r="A8" s="203" t="str">
        <f>IF(Idioma=Castellano,"Sección de Mitigación",IF(Idioma=Valencià,"Secció de Mitigació", "Sección de Mitigación"))</f>
        <v>Sección de Mitigación</v>
      </c>
      <c r="B8" s="11"/>
      <c r="C8" s="260" t="str">
        <f>IF(Idioma=Castellano,"Tipo de vivienda",IF(Idioma=Valencià,"Tipus d'habitatge"))</f>
        <v>Tipo de vivienda</v>
      </c>
      <c r="D8" s="260" t="str">
        <f>IF(Idioma=Castellano,"Zonas climáticas de Valencia",IF(Idioma=Valencià,"Zones climàtiques de València"))</f>
        <v>Zonas climáticas de Valencia</v>
      </c>
      <c r="E8" s="260" t="str">
        <f>IF(Idioma=Castellano,"Clasificación energética",IF(Idioma=Valencià,"Classificació energètica"))</f>
        <v>Clasificación energética</v>
      </c>
      <c r="F8" s="260"/>
      <c r="G8" s="681" t="str">
        <f>IF(Idioma=Castellano,"Viviendas exixtentes",IF(Idioma=Valencià,"Habitatges existents"))</f>
        <v>Viviendas exixtentes</v>
      </c>
      <c r="H8" s="681"/>
      <c r="I8" s="261"/>
      <c r="J8" s="1"/>
      <c r="K8" s="681" t="str">
        <f>IF(Idioma=Castellano,"Zonas climáticas de Valencia",IF(Idioma=Valencià,"Zones climàtiques de València"))</f>
        <v>Zonas climáticas de Valencia</v>
      </c>
      <c r="L8" s="681" t="str">
        <f>IF(Idioma=Castellano,"Clasificación energética",IF(Idioma=Valencià,"Classificació energètica"))</f>
        <v>Clasificación energética</v>
      </c>
      <c r="M8" s="266"/>
      <c r="N8" s="692" t="str">
        <f>IF(Idioma=Castellano,"Equipamientos (edificios de uso distinto al residencial privado)",IF(Idioma=Valencià,"Equipaments (edificis d'ús diferent al residencial privat)"))</f>
        <v>Equipamientos (edificios de uso distinto al residencial privado)</v>
      </c>
      <c r="O8" s="692"/>
      <c r="P8" s="692"/>
      <c r="Q8" s="11"/>
      <c r="R8" s="11"/>
      <c r="S8" s="11"/>
      <c r="T8" s="11"/>
      <c r="U8" s="11"/>
      <c r="V8" s="11"/>
      <c r="W8" s="11"/>
      <c r="X8" s="11"/>
    </row>
    <row r="9" spans="1:24" ht="14.4">
      <c r="A9" s="204" t="str">
        <f>IF(Idioma=Castellano,"1. Datos de entrada",IF(Idioma=Valencià,"1.Dades d'entrada","1. Datos de entrada"))</f>
        <v>1. Datos de entrada</v>
      </c>
      <c r="B9" s="11"/>
      <c r="C9" s="262"/>
      <c r="D9" s="262"/>
      <c r="E9" s="262"/>
      <c r="F9" s="265"/>
      <c r="G9" s="263" t="str">
        <f>IF(Idioma=Castellano,"Consumo de EPnr (kWh/m2*año)",IF(Idioma=Valencià,"Consum de EPnr (kWh/m2*any)"))</f>
        <v>Consumo de EPnr (kWh/m2*año)</v>
      </c>
      <c r="H9" s="264" t="str">
        <f>IF(Idioma=Castellano,"Total (kg CO2e/m2*año)",IF(Idioma=Valencià,"Total (kg CO2e/m2*any)"))</f>
        <v>Total (kg CO2e/m2*año)</v>
      </c>
      <c r="I9" s="263" t="str">
        <f>IF(Idioma=Castellano,"Fuente",IF(Idioma=Valencià,"Font"))</f>
        <v>Fuente</v>
      </c>
      <c r="J9" s="1"/>
      <c r="K9" s="693"/>
      <c r="L9" s="694"/>
      <c r="M9" s="508"/>
      <c r="N9" s="263" t="str">
        <f>IF(Idioma=Castellano,"Consumo de EPnr (kWh/m2*año)",IF(Idioma=Valencià,"Consum de EPnr (kWh/m2*any)"))</f>
        <v>Consumo de EPnr (kWh/m2*año)</v>
      </c>
      <c r="O9" s="264" t="str">
        <f>IF(Idioma=Castellano,"Total (kg CO2e/m2*año)",IF(Idioma=Valencià,"Total (kg CO2e/m2*any)"))</f>
        <v>Total (kg CO2e/m2*año)</v>
      </c>
      <c r="P9" s="263" t="str">
        <f>IF(Idioma=Castellano,"Fuente",IF(Idioma=Valencià,"Font"))</f>
        <v>Fuente</v>
      </c>
      <c r="Q9" s="11"/>
      <c r="R9" s="11"/>
      <c r="S9" s="11"/>
      <c r="T9" s="11"/>
      <c r="U9" s="11"/>
      <c r="V9" s="11"/>
      <c r="W9" s="11"/>
      <c r="X9" s="11"/>
    </row>
    <row r="10" spans="1:24" ht="14.4">
      <c r="A10" s="204" t="str">
        <f>IF(Idioma=Castellano,"2. Cálculo de Alternativas:",IF(Idioma=Valencià,"2. Càlcul d'alternatives :","2. Cálculo de Alternativas:"))</f>
        <v>2. Cálculo de Alternativas:</v>
      </c>
      <c r="B10" s="11"/>
      <c r="C10" s="239" t="str">
        <f t="shared" ref="C10:C41" si="0">IF(Idioma=Castellano,"Vivienda Unifamiliar",IF(Idioma=Valencià,"Habitatge Unifamiliar","Vivienda Unifamiliar"))</f>
        <v>Vivienda Unifamiliar</v>
      </c>
      <c r="D10" s="323" t="s">
        <v>380</v>
      </c>
      <c r="E10" s="289" t="str">
        <f>IF(Idioma=Castellano,"Existente",IF(Idioma=Valencià,"Existent","Existente"))</f>
        <v>Existente</v>
      </c>
      <c r="F10" s="11" t="str">
        <f>C10&amp;D10&amp;E10</f>
        <v>Vivienda UnifamiliarA3Existente</v>
      </c>
      <c r="G10" s="165">
        <f>G15</f>
        <v>181.8</v>
      </c>
      <c r="H10" s="75">
        <v>44.3</v>
      </c>
      <c r="I10" s="94" t="s">
        <v>656</v>
      </c>
      <c r="J10" s="1"/>
      <c r="K10" s="74" t="s">
        <v>380</v>
      </c>
      <c r="L10" s="289" t="str">
        <f>IF(Idioma=Castellano,"Existente",IF(Idioma=Valencià,"Existent","Existente"))</f>
        <v>Existente</v>
      </c>
      <c r="M10" s="518" t="str">
        <f>K10&amp;L10</f>
        <v>A3Existente</v>
      </c>
      <c r="N10" s="165">
        <f>N15</f>
        <v>290.88000000000005</v>
      </c>
      <c r="O10" s="75">
        <f>O15</f>
        <v>70.847999999999999</v>
      </c>
      <c r="P10" s="95"/>
      <c r="Q10" s="11" t="s">
        <v>657</v>
      </c>
      <c r="R10" s="11"/>
      <c r="S10" s="11"/>
      <c r="T10" s="11"/>
      <c r="U10" s="11"/>
      <c r="V10" s="11"/>
      <c r="W10" s="11"/>
      <c r="X10" s="11"/>
    </row>
    <row r="11" spans="1:24" ht="14.4">
      <c r="A11" s="205" t="s">
        <v>1</v>
      </c>
      <c r="B11" s="11"/>
      <c r="C11" s="239" t="str">
        <f t="shared" si="0"/>
        <v>Vivienda Unifamiliar</v>
      </c>
      <c r="D11" s="323" t="s">
        <v>380</v>
      </c>
      <c r="E11" s="289" t="s">
        <v>625</v>
      </c>
      <c r="F11" s="11" t="str">
        <f t="shared" ref="F11:F74" si="1">C11&amp;D11&amp;E11</f>
        <v>Vivienda UnifamiliarA3Categoria A</v>
      </c>
      <c r="G11" s="165">
        <v>19.100000000000001</v>
      </c>
      <c r="H11" s="75">
        <v>4.4000000000000004</v>
      </c>
      <c r="I11" s="94" t="s">
        <v>656</v>
      </c>
      <c r="J11" s="1"/>
      <c r="K11" s="74" t="s">
        <v>380</v>
      </c>
      <c r="L11" s="289" t="s">
        <v>625</v>
      </c>
      <c r="M11" s="518" t="str">
        <f t="shared" ref="M11:M74" si="2">K11&amp;L11</f>
        <v>A3Categoria A</v>
      </c>
      <c r="N11" s="165">
        <v>72.720000000000013</v>
      </c>
      <c r="O11" s="75">
        <v>17.712</v>
      </c>
      <c r="P11" s="95"/>
      <c r="Q11" s="11" t="s">
        <v>657</v>
      </c>
      <c r="R11" s="11"/>
      <c r="S11" s="11"/>
      <c r="T11" s="11"/>
      <c r="U11" s="11"/>
      <c r="V11" s="11"/>
      <c r="W11" s="11"/>
      <c r="X11" s="11"/>
    </row>
    <row r="12" spans="1:24" ht="14.4">
      <c r="A12" s="205" t="s">
        <v>2</v>
      </c>
      <c r="B12" s="11"/>
      <c r="C12" s="239" t="str">
        <f t="shared" si="0"/>
        <v>Vivienda Unifamiliar</v>
      </c>
      <c r="D12" s="323" t="s">
        <v>380</v>
      </c>
      <c r="E12" s="289" t="s">
        <v>626</v>
      </c>
      <c r="F12" s="11" t="str">
        <f t="shared" si="1"/>
        <v>Vivienda UnifamiliarA3Categoria B</v>
      </c>
      <c r="G12" s="165">
        <v>36.299999999999997</v>
      </c>
      <c r="H12" s="75">
        <v>8.4</v>
      </c>
      <c r="I12" s="94" t="s">
        <v>656</v>
      </c>
      <c r="J12" s="1"/>
      <c r="K12" s="74" t="s">
        <v>380</v>
      </c>
      <c r="L12" s="289" t="s">
        <v>626</v>
      </c>
      <c r="M12" s="518" t="str">
        <f t="shared" si="2"/>
        <v>A3Categoria B</v>
      </c>
      <c r="N12" s="165">
        <v>118.17000000000002</v>
      </c>
      <c r="O12" s="75">
        <v>28.782</v>
      </c>
      <c r="P12" s="95"/>
      <c r="Q12" s="11" t="s">
        <v>657</v>
      </c>
      <c r="R12" s="11"/>
      <c r="S12" s="11"/>
      <c r="T12" s="11"/>
      <c r="U12" s="11"/>
      <c r="V12" s="11"/>
      <c r="W12" s="11"/>
      <c r="X12" s="11"/>
    </row>
    <row r="13" spans="1:24" ht="14.4">
      <c r="A13" s="205" t="s">
        <v>3</v>
      </c>
      <c r="B13" s="11"/>
      <c r="C13" s="239" t="str">
        <f t="shared" si="0"/>
        <v>Vivienda Unifamiliar</v>
      </c>
      <c r="D13" s="323" t="s">
        <v>380</v>
      </c>
      <c r="E13" s="289" t="s">
        <v>627</v>
      </c>
      <c r="F13" s="11" t="str">
        <f t="shared" si="1"/>
        <v>Vivienda UnifamiliarA3Categoria C</v>
      </c>
      <c r="G13" s="165">
        <v>61.4</v>
      </c>
      <c r="H13" s="75">
        <v>14.2</v>
      </c>
      <c r="I13" s="94" t="s">
        <v>656</v>
      </c>
      <c r="J13" s="1"/>
      <c r="K13" s="74" t="s">
        <v>380</v>
      </c>
      <c r="L13" s="289" t="s">
        <v>627</v>
      </c>
      <c r="M13" s="518" t="str">
        <f t="shared" si="2"/>
        <v>A3Categoria C</v>
      </c>
      <c r="N13" s="165">
        <v>181.8</v>
      </c>
      <c r="O13" s="75">
        <v>44.28</v>
      </c>
      <c r="P13" s="95"/>
      <c r="Q13" s="11" t="s">
        <v>657</v>
      </c>
      <c r="R13" s="11"/>
      <c r="S13" s="11"/>
      <c r="T13" s="11"/>
      <c r="U13" s="11"/>
      <c r="V13" s="11"/>
      <c r="W13" s="11"/>
      <c r="X13" s="11"/>
    </row>
    <row r="14" spans="1:24" ht="14.4">
      <c r="A14" s="205" t="s">
        <v>4</v>
      </c>
      <c r="B14" s="11"/>
      <c r="C14" s="239" t="str">
        <f t="shared" si="0"/>
        <v>Vivienda Unifamiliar</v>
      </c>
      <c r="D14" s="323" t="s">
        <v>380</v>
      </c>
      <c r="E14" s="289" t="s">
        <v>628</v>
      </c>
      <c r="F14" s="11" t="str">
        <f t="shared" si="1"/>
        <v>Vivienda UnifamiliarA3Categoria D</v>
      </c>
      <c r="G14" s="165">
        <v>98.4</v>
      </c>
      <c r="H14" s="75">
        <v>22.8</v>
      </c>
      <c r="I14" s="94" t="s">
        <v>656</v>
      </c>
      <c r="J14" s="1"/>
      <c r="K14" s="74" t="s">
        <v>380</v>
      </c>
      <c r="L14" s="289" t="s">
        <v>628</v>
      </c>
      <c r="M14" s="518" t="str">
        <f t="shared" si="2"/>
        <v>A3Categoria D</v>
      </c>
      <c r="N14" s="165">
        <v>236.34000000000003</v>
      </c>
      <c r="O14" s="75">
        <v>57.564</v>
      </c>
      <c r="P14" s="95"/>
      <c r="Q14" s="11" t="s">
        <v>657</v>
      </c>
      <c r="R14" s="11"/>
      <c r="S14" s="11"/>
      <c r="T14" s="11"/>
      <c r="U14" s="11"/>
      <c r="V14" s="11"/>
      <c r="W14" s="11"/>
      <c r="X14" s="11"/>
    </row>
    <row r="15" spans="1:24" ht="14.4">
      <c r="A15" s="205" t="s">
        <v>5</v>
      </c>
      <c r="B15" s="11"/>
      <c r="C15" s="239" t="str">
        <f t="shared" si="0"/>
        <v>Vivienda Unifamiliar</v>
      </c>
      <c r="D15" s="323" t="s">
        <v>380</v>
      </c>
      <c r="E15" s="289" t="s">
        <v>629</v>
      </c>
      <c r="F15" s="11" t="str">
        <f t="shared" si="1"/>
        <v>Vivienda UnifamiliarA3Categoria E</v>
      </c>
      <c r="G15" s="165">
        <v>181.8</v>
      </c>
      <c r="H15" s="75">
        <v>44.3</v>
      </c>
      <c r="I15" s="94" t="s">
        <v>656</v>
      </c>
      <c r="J15" s="1"/>
      <c r="K15" s="74" t="s">
        <v>380</v>
      </c>
      <c r="L15" s="289" t="s">
        <v>629</v>
      </c>
      <c r="M15" s="518" t="str">
        <f t="shared" si="2"/>
        <v>A3Categoria E</v>
      </c>
      <c r="N15" s="165">
        <v>290.88000000000005</v>
      </c>
      <c r="O15" s="75">
        <v>70.847999999999999</v>
      </c>
      <c r="P15" s="95"/>
      <c r="Q15" s="11" t="s">
        <v>657</v>
      </c>
      <c r="R15" s="11"/>
      <c r="S15" s="11"/>
      <c r="T15" s="11"/>
      <c r="U15" s="11"/>
      <c r="V15" s="11"/>
      <c r="W15" s="11"/>
      <c r="X15" s="11"/>
    </row>
    <row r="16" spans="1:24" ht="14.4">
      <c r="A16" s="204" t="str">
        <f>IF(Idioma=Castellano,"3. Resultados",IF(Idioma=Valencià,"3. Resultats","3. Resultados"))</f>
        <v>3. Resultados</v>
      </c>
      <c r="B16" s="11"/>
      <c r="C16" s="239" t="str">
        <f t="shared" si="0"/>
        <v>Vivienda Unifamiliar</v>
      </c>
      <c r="D16" s="323" t="s">
        <v>380</v>
      </c>
      <c r="E16" s="289" t="s">
        <v>630</v>
      </c>
      <c r="F16" s="11" t="str">
        <f t="shared" si="1"/>
        <v>Vivienda UnifamiliarA3Categoria F</v>
      </c>
      <c r="G16" s="165">
        <v>212.7</v>
      </c>
      <c r="H16" s="75">
        <v>53.1</v>
      </c>
      <c r="I16" s="94" t="s">
        <v>656</v>
      </c>
      <c r="J16" s="1"/>
      <c r="K16" s="74" t="s">
        <v>380</v>
      </c>
      <c r="L16" s="289" t="s">
        <v>630</v>
      </c>
      <c r="M16" s="518" t="str">
        <f t="shared" si="2"/>
        <v>A3Categoria F</v>
      </c>
      <c r="N16" s="165">
        <v>363.6</v>
      </c>
      <c r="O16" s="75">
        <v>88.56</v>
      </c>
      <c r="P16" s="95"/>
      <c r="Q16" s="11" t="s">
        <v>657</v>
      </c>
      <c r="R16" s="11"/>
      <c r="S16" s="11"/>
      <c r="T16" s="11"/>
      <c r="U16" s="11"/>
      <c r="V16" s="11"/>
      <c r="W16" s="11"/>
      <c r="X16" s="11"/>
    </row>
    <row r="17" spans="1:24" ht="14.4">
      <c r="A17" s="204" t="str">
        <f>IF(Idioma=Castellano,"4. Factores de emisión",IF(Idioma=Valencià,"4. Factors d'emissió","4. Factores de emisión"))</f>
        <v>4. Factores de emisión</v>
      </c>
      <c r="B17" s="11"/>
      <c r="C17" s="239" t="str">
        <f t="shared" si="0"/>
        <v>Vivienda Unifamiliar</v>
      </c>
      <c r="D17" s="323" t="s">
        <v>380</v>
      </c>
      <c r="E17" s="289" t="str">
        <f>IF(Idioma=Castellano,"Consumo nulo",IF(Idioma=Valencià,"Consum nul","Consumo nulo"))</f>
        <v>Consumo nulo</v>
      </c>
      <c r="F17" s="11" t="str">
        <f t="shared" si="1"/>
        <v>Vivienda UnifamiliarA3Consumo nulo</v>
      </c>
      <c r="G17" s="165">
        <v>0</v>
      </c>
      <c r="H17" s="75">
        <v>0</v>
      </c>
      <c r="I17" s="186" t="s">
        <v>658</v>
      </c>
      <c r="J17" s="1"/>
      <c r="K17" s="74" t="s">
        <v>380</v>
      </c>
      <c r="L17" s="289" t="str">
        <f>IF(Idioma=Castellano,"Consumo nulo",IF(Idioma=Valencià,"Consum nul","Consumo nulo"))</f>
        <v>Consumo nulo</v>
      </c>
      <c r="M17" s="518" t="str">
        <f t="shared" si="2"/>
        <v>A3Consumo nulo</v>
      </c>
      <c r="N17" s="165">
        <v>0</v>
      </c>
      <c r="O17" s="75">
        <v>0</v>
      </c>
      <c r="P17" s="95"/>
      <c r="Q17" s="11" t="s">
        <v>657</v>
      </c>
      <c r="R17" s="11"/>
      <c r="S17" s="11"/>
      <c r="T17" s="11"/>
      <c r="U17" s="11"/>
      <c r="V17" s="11"/>
      <c r="W17" s="11"/>
      <c r="X17" s="11"/>
    </row>
    <row r="18" spans="1:24" ht="14.4">
      <c r="A18" s="203" t="str">
        <f>IF(Idioma=Castellano,"Sección de Adaptación",IF(Idioma=Valencià,"Secció d'Adaptació","Sección de Adaptación"))</f>
        <v>Sección de Adaptación</v>
      </c>
      <c r="B18" s="11"/>
      <c r="C18" s="239" t="str">
        <f t="shared" si="0"/>
        <v>Vivienda Unifamiliar</v>
      </c>
      <c r="D18" s="323" t="s">
        <v>380</v>
      </c>
      <c r="E18" s="289" t="str">
        <f>IF(Idioma=Castellano,"Sin definir",IF(Idioma=Valencià,"Sense definir","Sin definir"))</f>
        <v>Sin definir</v>
      </c>
      <c r="F18" s="11" t="str">
        <f t="shared" si="1"/>
        <v>Vivienda UnifamiliarA3Sin definir</v>
      </c>
      <c r="G18" s="165">
        <f>G14</f>
        <v>98.4</v>
      </c>
      <c r="H18" s="75">
        <v>22.8</v>
      </c>
      <c r="I18" s="161" t="s">
        <v>659</v>
      </c>
      <c r="J18" s="1"/>
      <c r="K18" s="74" t="s">
        <v>380</v>
      </c>
      <c r="L18" s="289" t="str">
        <f>IF(Idioma=Castellano,"Sin definir",IF(Idioma=Valencià,"Sense definir","Sin definir"))</f>
        <v>Sin definir</v>
      </c>
      <c r="M18" s="518" t="str">
        <f t="shared" si="2"/>
        <v>A3Sin definir</v>
      </c>
      <c r="N18" s="165">
        <f>N14</f>
        <v>236.34000000000003</v>
      </c>
      <c r="O18" s="75">
        <f>O14</f>
        <v>57.564</v>
      </c>
      <c r="P18" s="95"/>
      <c r="Q18" s="11" t="s">
        <v>657</v>
      </c>
      <c r="R18" s="11"/>
      <c r="S18" s="11"/>
      <c r="T18" s="11"/>
      <c r="U18" s="11"/>
      <c r="V18" s="11"/>
      <c r="W18" s="11"/>
      <c r="X18" s="11"/>
    </row>
    <row r="19" spans="1:24" ht="14.4">
      <c r="A19" s="204" t="str">
        <f>IF(Idioma=Castellano,"1. Alcance",IF(Idioma=Valencià,"1. Abast","1. Alcance"))</f>
        <v>1. Alcance</v>
      </c>
      <c r="B19" s="11"/>
      <c r="C19" s="239" t="str">
        <f t="shared" si="0"/>
        <v>Vivienda Unifamiliar</v>
      </c>
      <c r="D19" s="323" t="s">
        <v>301</v>
      </c>
      <c r="E19" s="289" t="str">
        <f>IF(Idioma=Castellano,"Existente",IF(Idioma=Valencià,"Existent","Existente"))</f>
        <v>Existente</v>
      </c>
      <c r="F19" s="11" t="str">
        <f t="shared" si="1"/>
        <v>Vivienda UnifamiliarA4Existente</v>
      </c>
      <c r="G19" s="165">
        <f>G24</f>
        <v>196.1</v>
      </c>
      <c r="H19" s="75">
        <v>47.8</v>
      </c>
      <c r="I19" s="94" t="s">
        <v>656</v>
      </c>
      <c r="J19" s="1"/>
      <c r="K19" s="323" t="s">
        <v>301</v>
      </c>
      <c r="L19" s="289" t="str">
        <f>IF(Idioma=Castellano,"Existente",IF(Idioma=Valencià,"Existent","Existente"))</f>
        <v>Existente</v>
      </c>
      <c r="M19" s="518" t="str">
        <f t="shared" si="2"/>
        <v>A4Existente</v>
      </c>
      <c r="N19" s="165">
        <f>N24</f>
        <v>313.82400000000001</v>
      </c>
      <c r="O19" s="75">
        <f>O24</f>
        <v>76.463999999999999</v>
      </c>
      <c r="P19" s="95"/>
      <c r="Q19" s="11" t="s">
        <v>657</v>
      </c>
      <c r="R19" s="11"/>
      <c r="S19" s="11"/>
      <c r="T19" s="11"/>
      <c r="U19" s="11"/>
      <c r="V19" s="11"/>
      <c r="W19" s="11"/>
      <c r="X19" s="11"/>
    </row>
    <row r="20" spans="1:24" ht="14.4">
      <c r="A20" s="204" t="s">
        <v>6</v>
      </c>
      <c r="B20" s="11"/>
      <c r="C20" s="239" t="str">
        <f t="shared" si="0"/>
        <v>Vivienda Unifamiliar</v>
      </c>
      <c r="D20" s="323" t="s">
        <v>301</v>
      </c>
      <c r="E20" s="289" t="s">
        <v>625</v>
      </c>
      <c r="F20" s="11" t="str">
        <f t="shared" si="1"/>
        <v>Vivienda UnifamiliarA4Categoria A</v>
      </c>
      <c r="G20" s="165">
        <v>21.1</v>
      </c>
      <c r="H20" s="75">
        <v>4.9000000000000004</v>
      </c>
      <c r="I20" s="94" t="s">
        <v>656</v>
      </c>
      <c r="J20" s="1"/>
      <c r="K20" s="323" t="s">
        <v>301</v>
      </c>
      <c r="L20" s="289" t="s">
        <v>625</v>
      </c>
      <c r="M20" s="518" t="str">
        <f t="shared" si="2"/>
        <v>A4Categoria A</v>
      </c>
      <c r="N20" s="165">
        <v>78.456000000000003</v>
      </c>
      <c r="O20" s="75">
        <v>19.116</v>
      </c>
      <c r="P20" s="95"/>
      <c r="Q20" s="11" t="s">
        <v>657</v>
      </c>
      <c r="R20" s="11"/>
      <c r="S20" s="11"/>
      <c r="T20" s="11"/>
      <c r="U20" s="11"/>
      <c r="V20" s="11"/>
      <c r="W20" s="11"/>
      <c r="X20" s="11"/>
    </row>
    <row r="21" spans="1:24" ht="14.4">
      <c r="A21" s="204" t="str">
        <f>IF(Idioma=Castellano,"3. Resultados",IF(Idioma=Valencià,"3. Resultats","3. Resultados"))</f>
        <v>3. Resultados</v>
      </c>
      <c r="B21" s="11"/>
      <c r="C21" s="239" t="str">
        <f t="shared" si="0"/>
        <v>Vivienda Unifamiliar</v>
      </c>
      <c r="D21" s="323" t="s">
        <v>301</v>
      </c>
      <c r="E21" s="289" t="s">
        <v>626</v>
      </c>
      <c r="F21" s="11" t="str">
        <f t="shared" si="1"/>
        <v>Vivienda UnifamiliarA4Categoria B</v>
      </c>
      <c r="G21" s="165">
        <v>40.1</v>
      </c>
      <c r="H21" s="75">
        <v>9.4</v>
      </c>
      <c r="I21" s="94" t="s">
        <v>656</v>
      </c>
      <c r="J21" s="1"/>
      <c r="K21" s="323" t="s">
        <v>301</v>
      </c>
      <c r="L21" s="289" t="s">
        <v>626</v>
      </c>
      <c r="M21" s="518" t="str">
        <f t="shared" si="2"/>
        <v>A4Categoria B</v>
      </c>
      <c r="N21" s="165">
        <v>127.491</v>
      </c>
      <c r="O21" s="75">
        <v>31.063500000000001</v>
      </c>
      <c r="P21" s="95"/>
      <c r="Q21" s="11" t="s">
        <v>657</v>
      </c>
      <c r="R21" s="11"/>
      <c r="S21" s="11"/>
      <c r="T21" s="11"/>
      <c r="U21" s="11"/>
      <c r="V21" s="11"/>
      <c r="W21" s="11"/>
      <c r="X21" s="11"/>
    </row>
    <row r="22" spans="1:24" ht="14.4">
      <c r="A22" s="203" t="str">
        <f>IF(Idioma=Castellano,"Resultados generales",IF(Idioma=Valencià,"Resultats generals","Resultados generales"))</f>
        <v>Resultados generales</v>
      </c>
      <c r="B22" s="11"/>
      <c r="C22" s="239" t="str">
        <f t="shared" si="0"/>
        <v>Vivienda Unifamiliar</v>
      </c>
      <c r="D22" s="323" t="s">
        <v>301</v>
      </c>
      <c r="E22" s="289" t="s">
        <v>627</v>
      </c>
      <c r="F22" s="11" t="str">
        <f t="shared" si="1"/>
        <v>Vivienda UnifamiliarA4Categoria C</v>
      </c>
      <c r="G22" s="165">
        <v>67.8</v>
      </c>
      <c r="H22" s="75">
        <v>15.8</v>
      </c>
      <c r="I22" s="94" t="s">
        <v>656</v>
      </c>
      <c r="J22" s="1"/>
      <c r="K22" s="323" t="s">
        <v>301</v>
      </c>
      <c r="L22" s="289" t="s">
        <v>627</v>
      </c>
      <c r="M22" s="518" t="str">
        <f t="shared" si="2"/>
        <v>A4Categoria C</v>
      </c>
      <c r="N22" s="165">
        <v>196.14</v>
      </c>
      <c r="O22" s="75">
        <v>47.79</v>
      </c>
      <c r="P22" s="95"/>
      <c r="Q22" s="11" t="s">
        <v>657</v>
      </c>
      <c r="R22" s="11"/>
      <c r="S22" s="11"/>
      <c r="T22" s="11"/>
      <c r="U22" s="11"/>
      <c r="V22" s="11"/>
      <c r="W22" s="11"/>
      <c r="X22" s="11"/>
    </row>
    <row r="23" spans="1:24" ht="14.4">
      <c r="A23" s="203" t="str">
        <f>IF(Idioma=Castellano,"Medidas Propuestas",IF(Idioma=Valencià,"Mesures Proposades","Medidas Propuestas"))</f>
        <v>Medidas Propuestas</v>
      </c>
      <c r="B23" s="11"/>
      <c r="C23" s="239" t="str">
        <f t="shared" si="0"/>
        <v>Vivienda Unifamiliar</v>
      </c>
      <c r="D23" s="323" t="s">
        <v>301</v>
      </c>
      <c r="E23" s="289" t="s">
        <v>628</v>
      </c>
      <c r="F23" s="11" t="str">
        <f t="shared" si="1"/>
        <v>Vivienda UnifamiliarA4Categoria D</v>
      </c>
      <c r="G23" s="165">
        <v>108.6</v>
      </c>
      <c r="H23" s="75">
        <v>25.3</v>
      </c>
      <c r="I23" s="94" t="s">
        <v>656</v>
      </c>
      <c r="J23" s="1"/>
      <c r="K23" s="323" t="s">
        <v>301</v>
      </c>
      <c r="L23" s="289" t="s">
        <v>628</v>
      </c>
      <c r="M23" s="518" t="str">
        <f t="shared" si="2"/>
        <v>A4Categoria D</v>
      </c>
      <c r="N23" s="165">
        <v>254.982</v>
      </c>
      <c r="O23" s="75">
        <v>62.127000000000002</v>
      </c>
      <c r="P23" s="95"/>
      <c r="Q23" s="11" t="s">
        <v>657</v>
      </c>
      <c r="R23" s="11"/>
      <c r="S23" s="11"/>
      <c r="T23" s="11"/>
      <c r="U23" s="11"/>
      <c r="V23" s="11"/>
      <c r="W23" s="11"/>
      <c r="X23" s="11"/>
    </row>
    <row r="24" spans="1:24">
      <c r="B24" s="11"/>
      <c r="C24" s="239" t="str">
        <f t="shared" si="0"/>
        <v>Vivienda Unifamiliar</v>
      </c>
      <c r="D24" s="323" t="s">
        <v>301</v>
      </c>
      <c r="E24" s="289" t="s">
        <v>629</v>
      </c>
      <c r="F24" s="11" t="str">
        <f t="shared" si="1"/>
        <v>Vivienda UnifamiliarA4Categoria E</v>
      </c>
      <c r="G24" s="165">
        <v>196.1</v>
      </c>
      <c r="H24" s="75">
        <v>47.8</v>
      </c>
      <c r="I24" s="94" t="s">
        <v>656</v>
      </c>
      <c r="J24" s="1"/>
      <c r="K24" s="323" t="s">
        <v>301</v>
      </c>
      <c r="L24" s="289" t="s">
        <v>629</v>
      </c>
      <c r="M24" s="518" t="str">
        <f t="shared" si="2"/>
        <v>A4Categoria E</v>
      </c>
      <c r="N24" s="165">
        <v>313.82400000000001</v>
      </c>
      <c r="O24" s="75">
        <v>76.463999999999999</v>
      </c>
      <c r="P24" s="95"/>
      <c r="Q24" s="11" t="s">
        <v>657</v>
      </c>
      <c r="R24" s="11"/>
      <c r="S24" s="11"/>
      <c r="T24" s="11"/>
      <c r="U24" s="11"/>
      <c r="V24" s="11"/>
      <c r="W24" s="11"/>
      <c r="X24" s="11"/>
    </row>
    <row r="25" spans="1:24">
      <c r="B25" s="11"/>
      <c r="C25" s="239" t="str">
        <f t="shared" si="0"/>
        <v>Vivienda Unifamiliar</v>
      </c>
      <c r="D25" s="323" t="s">
        <v>301</v>
      </c>
      <c r="E25" s="289" t="s">
        <v>630</v>
      </c>
      <c r="F25" s="11" t="str">
        <f t="shared" si="1"/>
        <v>Vivienda UnifamiliarA4Categoria F</v>
      </c>
      <c r="G25" s="165">
        <v>213.8</v>
      </c>
      <c r="H25" s="75">
        <v>52.1</v>
      </c>
      <c r="I25" s="94" t="s">
        <v>656</v>
      </c>
      <c r="J25" s="1"/>
      <c r="K25" s="323" t="s">
        <v>301</v>
      </c>
      <c r="L25" s="289" t="s">
        <v>630</v>
      </c>
      <c r="M25" s="518" t="str">
        <f t="shared" si="2"/>
        <v>A4Categoria F</v>
      </c>
      <c r="N25" s="165">
        <v>392.28</v>
      </c>
      <c r="O25" s="75">
        <v>95.58</v>
      </c>
      <c r="P25" s="95"/>
      <c r="Q25" s="11" t="s">
        <v>657</v>
      </c>
      <c r="R25" s="11"/>
      <c r="S25" s="11"/>
      <c r="T25" s="11"/>
      <c r="U25" s="11"/>
      <c r="V25" s="11"/>
      <c r="W25" s="11"/>
      <c r="X25" s="11"/>
    </row>
    <row r="26" spans="1:24">
      <c r="B26" s="11"/>
      <c r="C26" s="239" t="str">
        <f t="shared" si="0"/>
        <v>Vivienda Unifamiliar</v>
      </c>
      <c r="D26" s="323" t="s">
        <v>301</v>
      </c>
      <c r="E26" s="289" t="str">
        <f>IF(Idioma=Castellano,"Consumo nulo",IF(Idioma=Valencià,"Consum nul","Consumo nulo"))</f>
        <v>Consumo nulo</v>
      </c>
      <c r="F26" s="11" t="str">
        <f t="shared" si="1"/>
        <v>Vivienda UnifamiliarA4Consumo nulo</v>
      </c>
      <c r="G26" s="165">
        <v>0</v>
      </c>
      <c r="H26" s="75">
        <v>0</v>
      </c>
      <c r="I26" s="186" t="s">
        <v>658</v>
      </c>
      <c r="J26" s="1"/>
      <c r="K26" s="323" t="s">
        <v>301</v>
      </c>
      <c r="L26" s="289" t="str">
        <f>IF(Idioma=Castellano,"Consumo nulo",IF(Idioma=Valencià,"Consum nul","Consumo nulo"))</f>
        <v>Consumo nulo</v>
      </c>
      <c r="M26" s="518" t="str">
        <f t="shared" si="2"/>
        <v>A4Consumo nulo</v>
      </c>
      <c r="N26" s="165">
        <v>0</v>
      </c>
      <c r="O26" s="75">
        <v>0</v>
      </c>
      <c r="P26" s="95"/>
      <c r="Q26" s="11" t="s">
        <v>657</v>
      </c>
      <c r="R26" s="11"/>
      <c r="S26" s="11"/>
      <c r="T26" s="11"/>
      <c r="U26" s="11"/>
      <c r="V26" s="11"/>
      <c r="W26" s="11"/>
      <c r="X26" s="11"/>
    </row>
    <row r="27" spans="1:24">
      <c r="B27" s="11"/>
      <c r="C27" s="239" t="str">
        <f t="shared" si="0"/>
        <v>Vivienda Unifamiliar</v>
      </c>
      <c r="D27" s="323" t="s">
        <v>301</v>
      </c>
      <c r="E27" s="289" t="str">
        <f>IF(Idioma=Castellano,"Sin definir",IF(Idioma=Valencià,"Sense definir","Sin definir"))</f>
        <v>Sin definir</v>
      </c>
      <c r="F27" s="11" t="str">
        <f t="shared" si="1"/>
        <v>Vivienda UnifamiliarA4Sin definir</v>
      </c>
      <c r="G27" s="165">
        <f>G23</f>
        <v>108.6</v>
      </c>
      <c r="H27" s="75">
        <v>25.3</v>
      </c>
      <c r="I27" s="161" t="s">
        <v>659</v>
      </c>
      <c r="J27" s="1"/>
      <c r="K27" s="323" t="s">
        <v>301</v>
      </c>
      <c r="L27" s="289" t="str">
        <f>IF(Idioma=Castellano,"Sin definir",IF(Idioma=Valencià,"Sense definir","Sin definir"))</f>
        <v>Sin definir</v>
      </c>
      <c r="M27" s="518" t="str">
        <f t="shared" si="2"/>
        <v>A4Sin definir</v>
      </c>
      <c r="N27" s="165">
        <f>N23</f>
        <v>254.982</v>
      </c>
      <c r="O27" s="75">
        <f>O23</f>
        <v>62.127000000000002</v>
      </c>
      <c r="P27" s="95"/>
      <c r="Q27" s="11" t="s">
        <v>657</v>
      </c>
      <c r="R27" s="11"/>
      <c r="S27" s="11"/>
      <c r="T27" s="11"/>
      <c r="U27" s="11"/>
      <c r="V27" s="11"/>
      <c r="W27" s="11"/>
      <c r="X27" s="11"/>
    </row>
    <row r="28" spans="1:24">
      <c r="B28" s="11"/>
      <c r="C28" s="239" t="str">
        <f t="shared" si="0"/>
        <v>Vivienda Unifamiliar</v>
      </c>
      <c r="D28" s="323" t="s">
        <v>34</v>
      </c>
      <c r="E28" s="289" t="str">
        <f>IF(Idioma=Castellano,"Existente",IF(Idioma=Valencià,"Existent","Existente"))</f>
        <v>Existente</v>
      </c>
      <c r="F28" s="11" t="str">
        <f t="shared" si="1"/>
        <v>Vivienda UnifamiliarB3Existente</v>
      </c>
      <c r="G28" s="165">
        <f>G33</f>
        <v>229.6</v>
      </c>
      <c r="H28" s="75">
        <v>54.9</v>
      </c>
      <c r="I28" s="94" t="s">
        <v>656</v>
      </c>
      <c r="J28" s="1"/>
      <c r="K28" s="323" t="s">
        <v>34</v>
      </c>
      <c r="L28" s="289" t="str">
        <f>IF(Idioma=Castellano,"Existente",IF(Idioma=Valencià,"Existent","Existente"))</f>
        <v>Existente</v>
      </c>
      <c r="M28" s="518" t="str">
        <f t="shared" si="2"/>
        <v>B3Existente</v>
      </c>
      <c r="N28" s="165">
        <f>N33</f>
        <v>367.36</v>
      </c>
      <c r="O28" s="75">
        <f>O33</f>
        <v>87.872000000000014</v>
      </c>
      <c r="P28" s="95"/>
      <c r="Q28" s="11" t="s">
        <v>657</v>
      </c>
      <c r="R28" s="11"/>
      <c r="S28" s="11"/>
      <c r="T28" s="11"/>
      <c r="U28" s="11"/>
      <c r="V28" s="11"/>
      <c r="W28" s="11"/>
      <c r="X28" s="11"/>
    </row>
    <row r="29" spans="1:24">
      <c r="B29" s="11"/>
      <c r="C29" s="239" t="str">
        <f t="shared" si="0"/>
        <v>Vivienda Unifamiliar</v>
      </c>
      <c r="D29" s="323" t="s">
        <v>34</v>
      </c>
      <c r="E29" s="289" t="s">
        <v>625</v>
      </c>
      <c r="F29" s="11" t="str">
        <f t="shared" si="1"/>
        <v>Vivienda UnifamiliarB3Categoria A</v>
      </c>
      <c r="G29" s="165">
        <v>23.8</v>
      </c>
      <c r="H29" s="75">
        <v>5.5</v>
      </c>
      <c r="I29" s="94" t="s">
        <v>656</v>
      </c>
      <c r="J29" s="1"/>
      <c r="K29" s="323" t="s">
        <v>34</v>
      </c>
      <c r="L29" s="289" t="s">
        <v>625</v>
      </c>
      <c r="M29" s="518" t="str">
        <f t="shared" si="2"/>
        <v>B3Categoria A</v>
      </c>
      <c r="N29" s="165">
        <v>91.84</v>
      </c>
      <c r="O29" s="75">
        <v>21.968000000000004</v>
      </c>
      <c r="P29" s="95"/>
      <c r="Q29" s="11" t="s">
        <v>657</v>
      </c>
      <c r="R29" s="11"/>
      <c r="S29" s="11"/>
      <c r="T29" s="11"/>
      <c r="U29" s="11"/>
      <c r="V29" s="11"/>
      <c r="W29" s="11"/>
      <c r="X29" s="11"/>
    </row>
    <row r="30" spans="1:24">
      <c r="B30" s="11"/>
      <c r="C30" s="239" t="str">
        <f t="shared" si="0"/>
        <v>Vivienda Unifamiliar</v>
      </c>
      <c r="D30" s="323" t="s">
        <v>34</v>
      </c>
      <c r="E30" s="289" t="s">
        <v>626</v>
      </c>
      <c r="F30" s="11" t="str">
        <f t="shared" si="1"/>
        <v>Vivienda UnifamiliarB3Categoria B</v>
      </c>
      <c r="G30" s="165">
        <v>45.1</v>
      </c>
      <c r="H30" s="75">
        <v>10.4</v>
      </c>
      <c r="I30" s="94" t="s">
        <v>656</v>
      </c>
      <c r="J30" s="1"/>
      <c r="K30" s="323" t="s">
        <v>34</v>
      </c>
      <c r="L30" s="289" t="s">
        <v>626</v>
      </c>
      <c r="M30" s="518" t="str">
        <f t="shared" si="2"/>
        <v>B3Categoria B</v>
      </c>
      <c r="N30" s="165">
        <v>149.24</v>
      </c>
      <c r="O30" s="75">
        <v>35.698</v>
      </c>
      <c r="P30" s="95"/>
      <c r="Q30" s="11" t="s">
        <v>657</v>
      </c>
      <c r="R30" s="11"/>
      <c r="S30" s="11"/>
      <c r="T30" s="11"/>
      <c r="U30" s="11"/>
      <c r="V30" s="11"/>
      <c r="W30" s="11"/>
      <c r="X30" s="11"/>
    </row>
    <row r="31" spans="1:24">
      <c r="B31" s="11"/>
      <c r="C31" s="239" t="str">
        <f t="shared" si="0"/>
        <v>Vivienda Unifamiliar</v>
      </c>
      <c r="D31" s="323" t="s">
        <v>34</v>
      </c>
      <c r="E31" s="289" t="s">
        <v>627</v>
      </c>
      <c r="F31" s="11" t="str">
        <f t="shared" si="1"/>
        <v>Vivienda UnifamiliarB3Categoria C</v>
      </c>
      <c r="G31" s="165">
        <v>76.2</v>
      </c>
      <c r="H31" s="75">
        <v>17.5</v>
      </c>
      <c r="I31" s="94" t="s">
        <v>656</v>
      </c>
      <c r="J31" s="1"/>
      <c r="K31" s="323" t="s">
        <v>34</v>
      </c>
      <c r="L31" s="289" t="s">
        <v>627</v>
      </c>
      <c r="M31" s="518" t="str">
        <f t="shared" si="2"/>
        <v>B3Categoria C</v>
      </c>
      <c r="N31" s="165">
        <v>229.6</v>
      </c>
      <c r="O31" s="75">
        <v>54.92</v>
      </c>
      <c r="P31" s="95"/>
      <c r="Q31" s="11" t="s">
        <v>657</v>
      </c>
      <c r="R31" s="11"/>
      <c r="S31" s="11"/>
      <c r="T31" s="11"/>
      <c r="U31" s="11"/>
      <c r="V31" s="11"/>
      <c r="W31" s="11"/>
      <c r="X31" s="11"/>
    </row>
    <row r="32" spans="1:24">
      <c r="B32" s="11"/>
      <c r="C32" s="239" t="str">
        <f t="shared" si="0"/>
        <v>Vivienda Unifamiliar</v>
      </c>
      <c r="D32" s="323" t="s">
        <v>34</v>
      </c>
      <c r="E32" s="289" t="s">
        <v>628</v>
      </c>
      <c r="F32" s="11" t="str">
        <f t="shared" si="1"/>
        <v>Vivienda UnifamiliarB3Categoria D</v>
      </c>
      <c r="G32" s="165">
        <v>122.1</v>
      </c>
      <c r="H32" s="75">
        <v>28.1</v>
      </c>
      <c r="I32" s="94" t="s">
        <v>656</v>
      </c>
      <c r="J32" s="1"/>
      <c r="K32" s="323" t="s">
        <v>34</v>
      </c>
      <c r="L32" s="289" t="s">
        <v>628</v>
      </c>
      <c r="M32" s="518" t="str">
        <f t="shared" si="2"/>
        <v>B3Categoria D</v>
      </c>
      <c r="N32" s="165">
        <v>298.48</v>
      </c>
      <c r="O32" s="75">
        <v>71.396000000000001</v>
      </c>
      <c r="P32" s="95"/>
      <c r="Q32" s="11" t="s">
        <v>657</v>
      </c>
      <c r="R32" s="11"/>
      <c r="S32" s="11"/>
      <c r="T32" s="11"/>
      <c r="U32" s="11"/>
      <c r="V32" s="11"/>
      <c r="W32" s="11"/>
      <c r="X32" s="11"/>
    </row>
    <row r="33" spans="2:24">
      <c r="B33" s="11"/>
      <c r="C33" s="239" t="str">
        <f t="shared" si="0"/>
        <v>Vivienda Unifamiliar</v>
      </c>
      <c r="D33" s="323" t="s">
        <v>34</v>
      </c>
      <c r="E33" s="289" t="s">
        <v>629</v>
      </c>
      <c r="F33" s="11" t="str">
        <f t="shared" si="1"/>
        <v>Vivienda UnifamiliarB3Categoria E</v>
      </c>
      <c r="G33" s="165">
        <v>229.6</v>
      </c>
      <c r="H33" s="75">
        <v>54.9</v>
      </c>
      <c r="I33" s="94" t="s">
        <v>656</v>
      </c>
      <c r="J33" s="1"/>
      <c r="K33" s="323" t="s">
        <v>34</v>
      </c>
      <c r="L33" s="289" t="s">
        <v>629</v>
      </c>
      <c r="M33" s="518" t="str">
        <f t="shared" si="2"/>
        <v>B3Categoria E</v>
      </c>
      <c r="N33" s="165">
        <v>367.36</v>
      </c>
      <c r="O33" s="75">
        <v>87.872000000000014</v>
      </c>
      <c r="P33" s="95"/>
      <c r="Q33" s="11" t="s">
        <v>657</v>
      </c>
      <c r="R33" s="11"/>
      <c r="S33" s="11"/>
      <c r="T33" s="11"/>
      <c r="U33" s="11"/>
      <c r="V33" s="11"/>
      <c r="W33" s="11"/>
      <c r="X33" s="11"/>
    </row>
    <row r="34" spans="2:24">
      <c r="B34" s="11"/>
      <c r="C34" s="239" t="str">
        <f t="shared" si="0"/>
        <v>Vivienda Unifamiliar</v>
      </c>
      <c r="D34" s="323" t="s">
        <v>34</v>
      </c>
      <c r="E34" s="289" t="s">
        <v>630</v>
      </c>
      <c r="F34" s="11" t="str">
        <f t="shared" si="1"/>
        <v>Vivienda UnifamiliarB3Categoria F</v>
      </c>
      <c r="G34" s="165">
        <v>268.60000000000002</v>
      </c>
      <c r="H34" s="75">
        <v>64.3</v>
      </c>
      <c r="I34" s="94" t="s">
        <v>656</v>
      </c>
      <c r="J34" s="1"/>
      <c r="K34" s="323" t="s">
        <v>34</v>
      </c>
      <c r="L34" s="289" t="s">
        <v>630</v>
      </c>
      <c r="M34" s="518" t="str">
        <f t="shared" si="2"/>
        <v>B3Categoria F</v>
      </c>
      <c r="N34" s="165">
        <v>459.2</v>
      </c>
      <c r="O34" s="75">
        <v>109.84</v>
      </c>
      <c r="P34" s="95"/>
      <c r="Q34" s="11" t="s">
        <v>657</v>
      </c>
      <c r="R34" s="11"/>
      <c r="S34" s="11"/>
      <c r="T34" s="11"/>
      <c r="U34" s="11"/>
      <c r="V34" s="11"/>
      <c r="W34" s="11"/>
      <c r="X34" s="11"/>
    </row>
    <row r="35" spans="2:24">
      <c r="B35" s="11"/>
      <c r="C35" s="239" t="str">
        <f t="shared" si="0"/>
        <v>Vivienda Unifamiliar</v>
      </c>
      <c r="D35" s="323" t="s">
        <v>34</v>
      </c>
      <c r="E35" s="289" t="str">
        <f>IF(Idioma=Castellano,"Consumo nulo",IF(Idioma=Valencià,"Consum nul","Consumo nulo"))</f>
        <v>Consumo nulo</v>
      </c>
      <c r="F35" s="11" t="str">
        <f t="shared" si="1"/>
        <v>Vivienda UnifamiliarB3Consumo nulo</v>
      </c>
      <c r="G35" s="165">
        <v>0</v>
      </c>
      <c r="H35" s="75">
        <v>0</v>
      </c>
      <c r="I35" s="186" t="s">
        <v>658</v>
      </c>
      <c r="J35" s="1"/>
      <c r="K35" s="323" t="s">
        <v>34</v>
      </c>
      <c r="L35" s="289" t="str">
        <f>IF(Idioma=Castellano,"Consumo nulo",IF(Idioma=Valencià,"Consum nul","Consumo nulo"))</f>
        <v>Consumo nulo</v>
      </c>
      <c r="M35" s="518" t="str">
        <f t="shared" si="2"/>
        <v>B3Consumo nulo</v>
      </c>
      <c r="N35" s="165">
        <v>0</v>
      </c>
      <c r="O35" s="75">
        <v>0</v>
      </c>
      <c r="P35" s="95"/>
      <c r="Q35" s="11"/>
      <c r="R35" s="11"/>
      <c r="S35" s="11"/>
      <c r="T35" s="11"/>
      <c r="U35" s="11"/>
      <c r="V35" s="11"/>
      <c r="W35" s="11"/>
      <c r="X35" s="11"/>
    </row>
    <row r="36" spans="2:24">
      <c r="B36" s="11"/>
      <c r="C36" s="239" t="str">
        <f t="shared" si="0"/>
        <v>Vivienda Unifamiliar</v>
      </c>
      <c r="D36" s="323" t="s">
        <v>34</v>
      </c>
      <c r="E36" s="289" t="str">
        <f>IF(Idioma=Castellano,"Sin definir",IF(Idioma=Valencià,"Sense definir","Sin definir"))</f>
        <v>Sin definir</v>
      </c>
      <c r="F36" s="11" t="str">
        <f t="shared" si="1"/>
        <v>Vivienda UnifamiliarB3Sin definir</v>
      </c>
      <c r="G36" s="165">
        <f>G32</f>
        <v>122.1</v>
      </c>
      <c r="H36" s="75">
        <v>28.1</v>
      </c>
      <c r="I36" s="161" t="s">
        <v>659</v>
      </c>
      <c r="J36" s="1"/>
      <c r="K36" s="323" t="s">
        <v>34</v>
      </c>
      <c r="L36" s="289" t="str">
        <f>IF(Idioma=Castellano,"Sin definir",IF(Idioma=Valencià,"Sense definir","Sin definir"))</f>
        <v>Sin definir</v>
      </c>
      <c r="M36" s="518" t="str">
        <f t="shared" si="2"/>
        <v>B3Sin definir</v>
      </c>
      <c r="N36" s="165">
        <f>N32</f>
        <v>298.48</v>
      </c>
      <c r="O36" s="75">
        <f>O32</f>
        <v>71.396000000000001</v>
      </c>
      <c r="P36" s="95"/>
      <c r="Q36" s="11"/>
      <c r="R36" s="11"/>
      <c r="S36" s="11"/>
      <c r="T36" s="11"/>
      <c r="U36" s="11"/>
      <c r="V36" s="11"/>
      <c r="W36" s="11"/>
      <c r="X36" s="11"/>
    </row>
    <row r="37" spans="2:24">
      <c r="B37" s="11"/>
      <c r="C37" s="239" t="str">
        <f t="shared" si="0"/>
        <v>Vivienda Unifamiliar</v>
      </c>
      <c r="D37" s="323" t="s">
        <v>182</v>
      </c>
      <c r="E37" s="289" t="str">
        <f>IF(Idioma=Castellano,"Existente",IF(Idioma=Valencià,"Existent","Existente"))</f>
        <v>Existente</v>
      </c>
      <c r="F37" s="11" t="str">
        <f t="shared" si="1"/>
        <v>Vivienda UnifamiliarB4Existente</v>
      </c>
      <c r="G37" s="165">
        <f>G41</f>
        <v>128.6</v>
      </c>
      <c r="H37" s="75">
        <v>29.8</v>
      </c>
      <c r="I37" s="94" t="s">
        <v>656</v>
      </c>
      <c r="J37" s="1"/>
      <c r="K37" s="323" t="s">
        <v>182</v>
      </c>
      <c r="L37" s="289" t="str">
        <f>IF(Idioma=Castellano,"Existente",IF(Idioma=Valencià,"Existent","Existente"))</f>
        <v>Existente</v>
      </c>
      <c r="M37" s="518" t="str">
        <f t="shared" si="2"/>
        <v>B4Existente</v>
      </c>
      <c r="N37" s="165">
        <f>N42</f>
        <v>389.952</v>
      </c>
      <c r="O37" s="75">
        <f>O42</f>
        <v>93.391999999999996</v>
      </c>
      <c r="P37" s="95"/>
      <c r="Q37" s="11"/>
      <c r="R37" s="11"/>
      <c r="S37" s="11"/>
      <c r="T37" s="11"/>
      <c r="U37" s="11"/>
      <c r="V37" s="11"/>
      <c r="W37" s="11"/>
      <c r="X37" s="11"/>
    </row>
    <row r="38" spans="2:24">
      <c r="B38" s="11"/>
      <c r="C38" s="239" t="str">
        <f t="shared" si="0"/>
        <v>Vivienda Unifamiliar</v>
      </c>
      <c r="D38" s="323" t="s">
        <v>182</v>
      </c>
      <c r="E38" s="289" t="s">
        <v>625</v>
      </c>
      <c r="F38" s="11" t="str">
        <f t="shared" si="1"/>
        <v>Vivienda UnifamiliarB4Categoria A</v>
      </c>
      <c r="G38" s="165">
        <v>29.1</v>
      </c>
      <c r="H38" s="75">
        <v>6.7</v>
      </c>
      <c r="I38" s="94" t="s">
        <v>656</v>
      </c>
      <c r="J38" s="1"/>
      <c r="K38" s="323" t="s">
        <v>182</v>
      </c>
      <c r="L38" s="289" t="s">
        <v>625</v>
      </c>
      <c r="M38" s="518" t="str">
        <f t="shared" si="2"/>
        <v>B4Categoria A</v>
      </c>
      <c r="N38" s="165">
        <v>97.488</v>
      </c>
      <c r="O38" s="75">
        <v>23.347999999999999</v>
      </c>
      <c r="P38" s="95"/>
      <c r="Q38" s="11"/>
      <c r="R38" s="11"/>
      <c r="S38" s="11"/>
      <c r="T38" s="11"/>
      <c r="U38" s="11"/>
      <c r="V38" s="11"/>
      <c r="W38" s="11"/>
      <c r="X38" s="11"/>
    </row>
    <row r="39" spans="2:24">
      <c r="B39" s="11"/>
      <c r="C39" s="239" t="str">
        <f t="shared" si="0"/>
        <v>Vivienda Unifamiliar</v>
      </c>
      <c r="D39" s="323" t="s">
        <v>182</v>
      </c>
      <c r="E39" s="289" t="s">
        <v>626</v>
      </c>
      <c r="F39" s="11" t="str">
        <f t="shared" si="1"/>
        <v>Vivienda UnifamiliarB4Categoria B</v>
      </c>
      <c r="G39" s="165">
        <v>50.2</v>
      </c>
      <c r="H39" s="75">
        <v>11.6</v>
      </c>
      <c r="I39" s="94" t="s">
        <v>656</v>
      </c>
      <c r="J39" s="1"/>
      <c r="K39" s="323" t="s">
        <v>182</v>
      </c>
      <c r="L39" s="289" t="s">
        <v>626</v>
      </c>
      <c r="M39" s="518" t="str">
        <f t="shared" si="2"/>
        <v>B4Categoria B</v>
      </c>
      <c r="N39" s="165">
        <v>158.41800000000001</v>
      </c>
      <c r="O39" s="75">
        <v>37.9405</v>
      </c>
      <c r="P39" s="95"/>
      <c r="Q39" s="11"/>
      <c r="R39" s="11"/>
      <c r="S39" s="11"/>
      <c r="T39" s="11"/>
      <c r="U39" s="11"/>
      <c r="V39" s="11"/>
      <c r="W39" s="11"/>
      <c r="X39" s="11"/>
    </row>
    <row r="40" spans="2:24">
      <c r="B40" s="11"/>
      <c r="C40" s="239" t="str">
        <f t="shared" si="0"/>
        <v>Vivienda Unifamiliar</v>
      </c>
      <c r="D40" s="323" t="s">
        <v>182</v>
      </c>
      <c r="E40" s="289" t="s">
        <v>627</v>
      </c>
      <c r="F40" s="11" t="str">
        <f t="shared" si="1"/>
        <v>Vivienda UnifamiliarB4Categoria C</v>
      </c>
      <c r="G40" s="165">
        <v>81.900000000000006</v>
      </c>
      <c r="H40" s="75">
        <v>19</v>
      </c>
      <c r="I40" s="94" t="s">
        <v>656</v>
      </c>
      <c r="J40" s="1"/>
      <c r="K40" s="323" t="s">
        <v>182</v>
      </c>
      <c r="L40" s="289" t="s">
        <v>627</v>
      </c>
      <c r="M40" s="518" t="str">
        <f t="shared" si="2"/>
        <v>B4Categoria C</v>
      </c>
      <c r="N40" s="165">
        <v>243.72</v>
      </c>
      <c r="O40" s="75">
        <v>58.37</v>
      </c>
      <c r="P40" s="95"/>
      <c r="Q40" s="11"/>
      <c r="R40" s="11"/>
      <c r="S40" s="11"/>
      <c r="T40" s="11"/>
      <c r="U40" s="11"/>
      <c r="V40" s="11"/>
      <c r="W40" s="11"/>
      <c r="X40" s="11"/>
    </row>
    <row r="41" spans="2:24">
      <c r="B41" s="11"/>
      <c r="C41" s="239" t="str">
        <f t="shared" si="0"/>
        <v>Vivienda Unifamiliar</v>
      </c>
      <c r="D41" s="323" t="s">
        <v>182</v>
      </c>
      <c r="E41" s="289" t="s">
        <v>628</v>
      </c>
      <c r="F41" s="11" t="str">
        <f t="shared" si="1"/>
        <v>Vivienda UnifamiliarB4Categoria D</v>
      </c>
      <c r="G41" s="165">
        <v>128.6</v>
      </c>
      <c r="H41" s="75">
        <v>29.8</v>
      </c>
      <c r="I41" s="94" t="s">
        <v>656</v>
      </c>
      <c r="J41" s="1"/>
      <c r="K41" s="323" t="s">
        <v>182</v>
      </c>
      <c r="L41" s="289" t="s">
        <v>628</v>
      </c>
      <c r="M41" s="518" t="str">
        <f t="shared" si="2"/>
        <v>B4Categoria D</v>
      </c>
      <c r="N41" s="165">
        <v>316.83600000000001</v>
      </c>
      <c r="O41" s="75">
        <v>75.881</v>
      </c>
      <c r="P41" s="95"/>
      <c r="Q41" s="11"/>
      <c r="R41" s="11"/>
      <c r="S41" s="11"/>
      <c r="T41" s="11"/>
      <c r="U41" s="11"/>
      <c r="V41" s="11"/>
      <c r="W41" s="11"/>
      <c r="X41" s="11"/>
    </row>
    <row r="42" spans="2:24">
      <c r="B42" s="11"/>
      <c r="C42" s="239" t="str">
        <f t="shared" ref="C42:C73" si="3">IF(Idioma=Castellano,"Vivienda Unifamiliar",IF(Idioma=Valencià,"Habitatge Unifamiliar","Vivienda Unifamiliar"))</f>
        <v>Vivienda Unifamiliar</v>
      </c>
      <c r="D42" s="323" t="s">
        <v>182</v>
      </c>
      <c r="E42" s="289" t="s">
        <v>629</v>
      </c>
      <c r="F42" s="11" t="str">
        <f t="shared" si="1"/>
        <v>Vivienda UnifamiliarB4Categoria E</v>
      </c>
      <c r="G42" s="165">
        <v>243.7</v>
      </c>
      <c r="H42" s="75">
        <v>58.4</v>
      </c>
      <c r="I42" s="94" t="s">
        <v>656</v>
      </c>
      <c r="J42" s="1"/>
      <c r="K42" s="323" t="s">
        <v>182</v>
      </c>
      <c r="L42" s="289" t="s">
        <v>629</v>
      </c>
      <c r="M42" s="518" t="str">
        <f t="shared" si="2"/>
        <v>B4Categoria E</v>
      </c>
      <c r="N42" s="165">
        <v>389.952</v>
      </c>
      <c r="O42" s="75">
        <v>93.391999999999996</v>
      </c>
      <c r="P42" s="95"/>
      <c r="Q42" s="11"/>
      <c r="R42" s="11"/>
      <c r="S42" s="11"/>
      <c r="T42" s="11"/>
      <c r="U42" s="11"/>
      <c r="V42" s="11"/>
      <c r="W42" s="11"/>
      <c r="X42" s="11"/>
    </row>
    <row r="43" spans="2:24">
      <c r="B43" s="11"/>
      <c r="C43" s="239" t="str">
        <f t="shared" si="3"/>
        <v>Vivienda Unifamiliar</v>
      </c>
      <c r="D43" s="323" t="s">
        <v>182</v>
      </c>
      <c r="E43" s="289" t="s">
        <v>630</v>
      </c>
      <c r="F43" s="11" t="str">
        <f t="shared" si="1"/>
        <v>Vivienda UnifamiliarB4Categoria F</v>
      </c>
      <c r="G43" s="165">
        <v>292.5</v>
      </c>
      <c r="H43" s="75">
        <v>71.8</v>
      </c>
      <c r="I43" s="94" t="s">
        <v>656</v>
      </c>
      <c r="J43" s="1"/>
      <c r="K43" s="323" t="s">
        <v>182</v>
      </c>
      <c r="L43" s="289" t="s">
        <v>630</v>
      </c>
      <c r="M43" s="518" t="str">
        <f t="shared" si="2"/>
        <v>B4Categoria F</v>
      </c>
      <c r="N43" s="165">
        <v>487.44</v>
      </c>
      <c r="O43" s="75">
        <v>116.74</v>
      </c>
      <c r="P43" s="95"/>
      <c r="Q43" s="11"/>
      <c r="R43" s="11"/>
      <c r="S43" s="11"/>
      <c r="T43" s="11"/>
      <c r="U43" s="11"/>
      <c r="V43" s="11"/>
      <c r="W43" s="11"/>
      <c r="X43" s="11"/>
    </row>
    <row r="44" spans="2:24">
      <c r="B44" s="11"/>
      <c r="C44" s="239" t="str">
        <f t="shared" si="3"/>
        <v>Vivienda Unifamiliar</v>
      </c>
      <c r="D44" s="323" t="s">
        <v>182</v>
      </c>
      <c r="E44" s="289" t="str">
        <f>IF(Idioma=Castellano,"Consumo nulo",IF(Idioma=Valencià,"Consum nul","Consumo nulo"))</f>
        <v>Consumo nulo</v>
      </c>
      <c r="F44" s="11" t="str">
        <f t="shared" si="1"/>
        <v>Vivienda UnifamiliarB4Consumo nulo</v>
      </c>
      <c r="G44" s="165">
        <v>0</v>
      </c>
      <c r="H44" s="75">
        <v>0</v>
      </c>
      <c r="I44" s="186" t="s">
        <v>658</v>
      </c>
      <c r="J44" s="1"/>
      <c r="K44" s="323" t="s">
        <v>182</v>
      </c>
      <c r="L44" s="289" t="str">
        <f>IF(Idioma=Castellano,"Consumo nulo",IF(Idioma=Valencià,"Consum nul","Consumo nulo"))</f>
        <v>Consumo nulo</v>
      </c>
      <c r="M44" s="518" t="str">
        <f t="shared" si="2"/>
        <v>B4Consumo nulo</v>
      </c>
      <c r="N44" s="165">
        <v>0</v>
      </c>
      <c r="O44" s="75">
        <v>0</v>
      </c>
      <c r="P44" s="95"/>
      <c r="Q44" s="11"/>
      <c r="R44" s="11"/>
      <c r="S44" s="11"/>
      <c r="T44" s="11"/>
      <c r="U44" s="11"/>
      <c r="V44" s="11"/>
      <c r="W44" s="11"/>
      <c r="X44" s="11"/>
    </row>
    <row r="45" spans="2:24">
      <c r="B45" s="11"/>
      <c r="C45" s="239" t="str">
        <f t="shared" si="3"/>
        <v>Vivienda Unifamiliar</v>
      </c>
      <c r="D45" s="323" t="s">
        <v>182</v>
      </c>
      <c r="E45" s="289" t="str">
        <f>IF(Idioma=Castellano,"Sin definir",IF(Idioma=Valencià,"Sense definir","Sin definir"))</f>
        <v>Sin definir</v>
      </c>
      <c r="F45" s="11" t="str">
        <f t="shared" si="1"/>
        <v>Vivienda UnifamiliarB4Sin definir</v>
      </c>
      <c r="G45" s="165">
        <f>G41</f>
        <v>128.6</v>
      </c>
      <c r="H45" s="75">
        <v>29.8</v>
      </c>
      <c r="I45" s="161" t="s">
        <v>659</v>
      </c>
      <c r="J45" s="1"/>
      <c r="K45" s="323" t="s">
        <v>182</v>
      </c>
      <c r="L45" s="289" t="str">
        <f>IF(Idioma=Castellano,"Sin definir",IF(Idioma=Valencià,"Sense definir","Sin definir"))</f>
        <v>Sin definir</v>
      </c>
      <c r="M45" s="518" t="str">
        <f t="shared" si="2"/>
        <v>B4Sin definir</v>
      </c>
      <c r="N45" s="165">
        <f>N41</f>
        <v>316.83600000000001</v>
      </c>
      <c r="O45" s="75">
        <f>O41</f>
        <v>75.881</v>
      </c>
      <c r="P45" s="95"/>
      <c r="Q45" s="11"/>
      <c r="R45" s="11"/>
      <c r="S45" s="11"/>
      <c r="T45" s="11"/>
      <c r="U45" s="11"/>
      <c r="V45" s="11"/>
      <c r="W45" s="11"/>
      <c r="X45" s="11"/>
    </row>
    <row r="46" spans="2:24">
      <c r="B46" s="11"/>
      <c r="C46" s="239" t="str">
        <f t="shared" si="3"/>
        <v>Vivienda Unifamiliar</v>
      </c>
      <c r="D46" s="323" t="s">
        <v>126</v>
      </c>
      <c r="E46" s="289" t="str">
        <f>IF(Idioma=Castellano,"Existente",IF(Idioma=Valencià,"Existent","Existente"))</f>
        <v>Existente</v>
      </c>
      <c r="F46" s="11" t="str">
        <f t="shared" si="1"/>
        <v>Vivienda UnifamiliarC1Existente</v>
      </c>
      <c r="G46" s="165">
        <f>G51</f>
        <v>254.1</v>
      </c>
      <c r="H46" s="75">
        <v>58.3</v>
      </c>
      <c r="I46" s="94" t="s">
        <v>656</v>
      </c>
      <c r="J46" s="1"/>
      <c r="K46" s="323" t="s">
        <v>126</v>
      </c>
      <c r="L46" s="289" t="str">
        <f>IF(Idioma=Castellano,"Existente",IF(Idioma=Valencià,"Existent","Existente"))</f>
        <v>Existente</v>
      </c>
      <c r="M46" s="518" t="str">
        <f t="shared" si="2"/>
        <v>C1Existente</v>
      </c>
      <c r="N46" s="165">
        <f>N51</f>
        <v>406.608</v>
      </c>
      <c r="O46" s="75">
        <f>O51</f>
        <v>93.26400000000001</v>
      </c>
      <c r="P46" s="95"/>
      <c r="Q46" s="11"/>
      <c r="R46" s="11"/>
      <c r="S46" s="11"/>
      <c r="T46" s="11"/>
      <c r="U46" s="11"/>
      <c r="V46" s="11"/>
      <c r="W46" s="11"/>
      <c r="X46" s="11"/>
    </row>
    <row r="47" spans="2:24">
      <c r="B47" s="11"/>
      <c r="C47" s="239" t="str">
        <f t="shared" si="3"/>
        <v>Vivienda Unifamiliar</v>
      </c>
      <c r="D47" s="323" t="s">
        <v>126</v>
      </c>
      <c r="E47" s="289" t="s">
        <v>625</v>
      </c>
      <c r="F47" s="11" t="str">
        <f t="shared" si="1"/>
        <v>Vivienda UnifamiliarC1Categoria A</v>
      </c>
      <c r="G47" s="165">
        <v>35.799999999999997</v>
      </c>
      <c r="H47" s="75">
        <v>8.1</v>
      </c>
      <c r="I47" s="94" t="s">
        <v>656</v>
      </c>
      <c r="J47" s="1"/>
      <c r="K47" s="323" t="s">
        <v>126</v>
      </c>
      <c r="L47" s="289" t="s">
        <v>625</v>
      </c>
      <c r="M47" s="518" t="str">
        <f t="shared" si="2"/>
        <v>C1Categoria A</v>
      </c>
      <c r="N47" s="165">
        <v>101.652</v>
      </c>
      <c r="O47" s="75">
        <v>23.316000000000003</v>
      </c>
      <c r="P47" s="95"/>
      <c r="Q47" s="11"/>
      <c r="R47" s="11"/>
      <c r="S47" s="11"/>
      <c r="T47" s="11"/>
      <c r="U47" s="11"/>
      <c r="V47" s="11"/>
      <c r="W47" s="11"/>
      <c r="X47" s="11"/>
    </row>
    <row r="48" spans="2:24">
      <c r="B48" s="11"/>
      <c r="C48" s="239" t="str">
        <f t="shared" si="3"/>
        <v>Vivienda Unifamiliar</v>
      </c>
      <c r="D48" s="323" t="s">
        <v>126</v>
      </c>
      <c r="E48" s="289" t="s">
        <v>626</v>
      </c>
      <c r="F48" s="11" t="str">
        <f t="shared" si="1"/>
        <v>Vivienda UnifamiliarC1Categoria B</v>
      </c>
      <c r="G48" s="165">
        <v>58.1</v>
      </c>
      <c r="H48" s="75">
        <v>13.1</v>
      </c>
      <c r="I48" s="94" t="s">
        <v>656</v>
      </c>
      <c r="J48" s="1"/>
      <c r="K48" s="323" t="s">
        <v>126</v>
      </c>
      <c r="L48" s="289" t="s">
        <v>626</v>
      </c>
      <c r="M48" s="518" t="str">
        <f t="shared" si="2"/>
        <v>C1Categoria B</v>
      </c>
      <c r="N48" s="165">
        <v>165.18450000000001</v>
      </c>
      <c r="O48" s="75">
        <v>37.888500000000001</v>
      </c>
      <c r="P48" s="95"/>
      <c r="Q48" s="11"/>
      <c r="R48" s="11"/>
      <c r="S48" s="11"/>
      <c r="T48" s="11"/>
      <c r="U48" s="11"/>
      <c r="V48" s="11"/>
      <c r="W48" s="11"/>
      <c r="X48" s="11"/>
    </row>
    <row r="49" spans="2:24">
      <c r="B49" s="11"/>
      <c r="C49" s="239" t="str">
        <f t="shared" si="3"/>
        <v>Vivienda Unifamiliar</v>
      </c>
      <c r="D49" s="323" t="s">
        <v>126</v>
      </c>
      <c r="E49" s="289" t="s">
        <v>627</v>
      </c>
      <c r="F49" s="11" t="str">
        <f t="shared" si="1"/>
        <v>Vivienda UnifamiliarC1Categoria C</v>
      </c>
      <c r="G49" s="165">
        <v>90</v>
      </c>
      <c r="H49" s="75">
        <v>20.3</v>
      </c>
      <c r="I49" s="94" t="s">
        <v>656</v>
      </c>
      <c r="J49" s="1"/>
      <c r="K49" s="323" t="s">
        <v>126</v>
      </c>
      <c r="L49" s="289" t="s">
        <v>627</v>
      </c>
      <c r="M49" s="518" t="str">
        <f t="shared" si="2"/>
        <v>C1Categoria C</v>
      </c>
      <c r="N49" s="165">
        <v>254.13</v>
      </c>
      <c r="O49" s="75">
        <v>58.29</v>
      </c>
      <c r="P49" s="95"/>
      <c r="Q49" s="11"/>
      <c r="R49" s="11"/>
      <c r="S49" s="11"/>
      <c r="T49" s="11"/>
      <c r="U49" s="11"/>
      <c r="V49" s="11"/>
      <c r="W49" s="11"/>
      <c r="X49" s="11"/>
    </row>
    <row r="50" spans="2:24">
      <c r="B50" s="11"/>
      <c r="C50" s="239" t="str">
        <f t="shared" si="3"/>
        <v>Vivienda Unifamiliar</v>
      </c>
      <c r="D50" s="323" t="s">
        <v>126</v>
      </c>
      <c r="E50" s="289" t="s">
        <v>628</v>
      </c>
      <c r="F50" s="11" t="str">
        <f t="shared" si="1"/>
        <v>Vivienda UnifamiliarC1Categoria D</v>
      </c>
      <c r="G50" s="165">
        <v>138.4</v>
      </c>
      <c r="H50" s="75">
        <v>31.1</v>
      </c>
      <c r="I50" s="94" t="s">
        <v>656</v>
      </c>
      <c r="J50" s="1"/>
      <c r="K50" s="323" t="s">
        <v>126</v>
      </c>
      <c r="L50" s="289" t="s">
        <v>628</v>
      </c>
      <c r="M50" s="518" t="str">
        <f t="shared" si="2"/>
        <v>C1Categoria D</v>
      </c>
      <c r="N50" s="165">
        <v>330.36900000000003</v>
      </c>
      <c r="O50" s="75">
        <v>75.777000000000001</v>
      </c>
      <c r="P50" s="95"/>
      <c r="Q50" s="11"/>
      <c r="R50" s="11"/>
      <c r="S50" s="11"/>
      <c r="T50" s="11"/>
      <c r="U50" s="11"/>
      <c r="V50" s="11"/>
      <c r="W50" s="11"/>
      <c r="X50" s="11"/>
    </row>
    <row r="51" spans="2:24">
      <c r="B51" s="11"/>
      <c r="C51" s="239" t="str">
        <f t="shared" si="3"/>
        <v>Vivienda Unifamiliar</v>
      </c>
      <c r="D51" s="323" t="s">
        <v>126</v>
      </c>
      <c r="E51" s="289" t="s">
        <v>629</v>
      </c>
      <c r="F51" s="11" t="str">
        <f t="shared" si="1"/>
        <v>Vivienda UnifamiliarC1Categoria E</v>
      </c>
      <c r="G51" s="165">
        <v>254.1</v>
      </c>
      <c r="H51" s="75">
        <v>58.3</v>
      </c>
      <c r="I51" s="94" t="s">
        <v>656</v>
      </c>
      <c r="J51" s="1"/>
      <c r="K51" s="323" t="s">
        <v>126</v>
      </c>
      <c r="L51" s="289" t="s">
        <v>629</v>
      </c>
      <c r="M51" s="518" t="str">
        <f t="shared" si="2"/>
        <v>C1Categoria E</v>
      </c>
      <c r="N51" s="165">
        <v>406.608</v>
      </c>
      <c r="O51" s="75">
        <v>93.26400000000001</v>
      </c>
      <c r="P51" s="95"/>
      <c r="Q51" s="11"/>
      <c r="R51" s="11"/>
      <c r="S51" s="11"/>
      <c r="T51" s="11"/>
      <c r="U51" s="11"/>
      <c r="V51" s="11"/>
      <c r="W51" s="11"/>
      <c r="X51" s="11"/>
    </row>
    <row r="52" spans="2:24">
      <c r="B52" s="11"/>
      <c r="C52" s="239" t="str">
        <f t="shared" si="3"/>
        <v>Vivienda Unifamiliar</v>
      </c>
      <c r="D52" s="323" t="s">
        <v>126</v>
      </c>
      <c r="E52" s="289" t="s">
        <v>630</v>
      </c>
      <c r="F52" s="11" t="str">
        <f t="shared" si="1"/>
        <v>Vivienda UnifamiliarC1Categoria F</v>
      </c>
      <c r="G52" s="165">
        <v>305</v>
      </c>
      <c r="H52" s="75">
        <v>73.400000000000006</v>
      </c>
      <c r="I52" s="94" t="s">
        <v>656</v>
      </c>
      <c r="J52" s="1"/>
      <c r="K52" s="323" t="s">
        <v>126</v>
      </c>
      <c r="L52" s="289" t="s">
        <v>630</v>
      </c>
      <c r="M52" s="518" t="str">
        <f t="shared" si="2"/>
        <v>C1Categoria F</v>
      </c>
      <c r="N52" s="165">
        <v>508.26</v>
      </c>
      <c r="O52" s="75">
        <v>116.58</v>
      </c>
      <c r="P52" s="95"/>
      <c r="Q52" s="11"/>
      <c r="R52" s="11"/>
      <c r="S52" s="11"/>
      <c r="T52" s="11"/>
      <c r="U52" s="11"/>
      <c r="V52" s="11"/>
      <c r="W52" s="11"/>
      <c r="X52" s="11"/>
    </row>
    <row r="53" spans="2:24">
      <c r="B53" s="11"/>
      <c r="C53" s="239" t="str">
        <f t="shared" si="3"/>
        <v>Vivienda Unifamiliar</v>
      </c>
      <c r="D53" s="323" t="s">
        <v>126</v>
      </c>
      <c r="E53" s="289" t="str">
        <f>IF(Idioma=Castellano,"Consumo nulo",IF(Idioma=Valencià,"Consum nul","Consumo nulo"))</f>
        <v>Consumo nulo</v>
      </c>
      <c r="F53" s="11" t="str">
        <f t="shared" si="1"/>
        <v>Vivienda UnifamiliarC1Consumo nulo</v>
      </c>
      <c r="G53" s="165">
        <v>0</v>
      </c>
      <c r="H53" s="75">
        <v>0</v>
      </c>
      <c r="I53" s="186" t="s">
        <v>658</v>
      </c>
      <c r="J53" s="1"/>
      <c r="K53" s="323" t="s">
        <v>126</v>
      </c>
      <c r="L53" s="289" t="str">
        <f>IF(Idioma=Castellano,"Consumo nulo",IF(Idioma=Valencià,"Consum nul","Consumo nulo"))</f>
        <v>Consumo nulo</v>
      </c>
      <c r="M53" s="518" t="str">
        <f t="shared" si="2"/>
        <v>C1Consumo nulo</v>
      </c>
      <c r="N53" s="165">
        <v>0</v>
      </c>
      <c r="O53" s="75">
        <v>0</v>
      </c>
      <c r="P53" s="95"/>
      <c r="Q53" s="11"/>
      <c r="R53" s="11"/>
      <c r="S53" s="11"/>
      <c r="T53" s="11"/>
      <c r="U53" s="11"/>
      <c r="V53" s="11"/>
      <c r="W53" s="11"/>
      <c r="X53" s="11"/>
    </row>
    <row r="54" spans="2:24">
      <c r="B54" s="11"/>
      <c r="C54" s="239" t="str">
        <f t="shared" si="3"/>
        <v>Vivienda Unifamiliar</v>
      </c>
      <c r="D54" s="323" t="s">
        <v>126</v>
      </c>
      <c r="E54" s="289" t="str">
        <f>IF(Idioma=Castellano,"Sin definir",IF(Idioma=Valencià,"Sense definir","Sin definir"))</f>
        <v>Sin definir</v>
      </c>
      <c r="F54" s="11" t="str">
        <f t="shared" si="1"/>
        <v>Vivienda UnifamiliarC1Sin definir</v>
      </c>
      <c r="G54" s="165">
        <f>G50</f>
        <v>138.4</v>
      </c>
      <c r="H54" s="75">
        <v>31.1</v>
      </c>
      <c r="I54" s="161" t="s">
        <v>659</v>
      </c>
      <c r="J54" s="1"/>
      <c r="K54" s="323" t="s">
        <v>126</v>
      </c>
      <c r="L54" s="289" t="str">
        <f>IF(Idioma=Castellano,"Sin definir",IF(Idioma=Valencià,"Sense definir","Sin definir"))</f>
        <v>Sin definir</v>
      </c>
      <c r="M54" s="518" t="str">
        <f t="shared" si="2"/>
        <v>C1Sin definir</v>
      </c>
      <c r="N54" s="165">
        <f>N50</f>
        <v>330.36900000000003</v>
      </c>
      <c r="O54" s="75">
        <f>O50</f>
        <v>75.777000000000001</v>
      </c>
      <c r="P54" s="95"/>
      <c r="Q54" s="11"/>
      <c r="R54" s="11"/>
      <c r="S54" s="11"/>
      <c r="T54" s="11"/>
      <c r="U54" s="11"/>
      <c r="V54" s="11"/>
      <c r="W54" s="11"/>
      <c r="X54" s="11"/>
    </row>
    <row r="55" spans="2:24">
      <c r="B55" s="11"/>
      <c r="C55" s="239" t="str">
        <f t="shared" si="3"/>
        <v>Vivienda Unifamiliar</v>
      </c>
      <c r="D55" s="323" t="s">
        <v>26</v>
      </c>
      <c r="E55" s="289" t="str">
        <f>IF(Idioma=Castellano,"Existente",IF(Idioma=Valencià,"Existent","Existente"))</f>
        <v>Existente</v>
      </c>
      <c r="F55" s="11" t="str">
        <f t="shared" si="1"/>
        <v>Vivienda UnifamiliarC2Existente</v>
      </c>
      <c r="G55" s="165">
        <f>G60</f>
        <v>272.5</v>
      </c>
      <c r="H55" s="75">
        <v>62.8</v>
      </c>
      <c r="I55" s="94" t="s">
        <v>656</v>
      </c>
      <c r="J55" s="1"/>
      <c r="K55" s="323" t="s">
        <v>26</v>
      </c>
      <c r="L55" s="289" t="str">
        <f>IF(Idioma=Castellano,"Existente",IF(Idioma=Valencià,"Existent","Existente"))</f>
        <v>Existente</v>
      </c>
      <c r="M55" s="518" t="str">
        <f t="shared" si="2"/>
        <v>C2Existente</v>
      </c>
      <c r="N55" s="165">
        <f>N60</f>
        <v>435.95200000000006</v>
      </c>
      <c r="O55" s="75">
        <f>O60</f>
        <v>100.44800000000001</v>
      </c>
      <c r="P55" s="95"/>
      <c r="Q55" s="11"/>
      <c r="R55" s="11"/>
      <c r="S55" s="11"/>
      <c r="T55" s="11"/>
      <c r="U55" s="11"/>
      <c r="V55" s="11"/>
      <c r="W55" s="11"/>
      <c r="X55" s="11"/>
    </row>
    <row r="56" spans="2:24">
      <c r="B56" s="11"/>
      <c r="C56" s="239" t="str">
        <f t="shared" si="3"/>
        <v>Vivienda Unifamiliar</v>
      </c>
      <c r="D56" s="323" t="s">
        <v>26</v>
      </c>
      <c r="E56" s="289" t="s">
        <v>625</v>
      </c>
      <c r="F56" s="11" t="str">
        <f t="shared" si="1"/>
        <v>Vivienda UnifamiliarC2Categoria A</v>
      </c>
      <c r="G56" s="165">
        <v>39.700000000000003</v>
      </c>
      <c r="H56" s="75">
        <v>9</v>
      </c>
      <c r="I56" s="94" t="s">
        <v>656</v>
      </c>
      <c r="J56" s="1"/>
      <c r="K56" s="323" t="s">
        <v>26</v>
      </c>
      <c r="L56" s="289" t="s">
        <v>625</v>
      </c>
      <c r="M56" s="518" t="str">
        <f t="shared" si="2"/>
        <v>C2Categoria A</v>
      </c>
      <c r="N56" s="165">
        <v>108.98800000000001</v>
      </c>
      <c r="O56" s="75">
        <v>25.112000000000002</v>
      </c>
      <c r="P56" s="95"/>
      <c r="Q56" s="11"/>
      <c r="R56" s="11"/>
      <c r="S56" s="11"/>
      <c r="T56" s="11"/>
      <c r="U56" s="11"/>
      <c r="V56" s="11"/>
      <c r="W56" s="11"/>
      <c r="X56" s="11"/>
    </row>
    <row r="57" spans="2:24">
      <c r="B57" s="11"/>
      <c r="C57" s="239" t="str">
        <f t="shared" si="3"/>
        <v>Vivienda Unifamiliar</v>
      </c>
      <c r="D57" s="323" t="s">
        <v>26</v>
      </c>
      <c r="E57" s="289" t="s">
        <v>626</v>
      </c>
      <c r="F57" s="11" t="str">
        <f t="shared" si="1"/>
        <v>Vivienda UnifamiliarC2Categoria B</v>
      </c>
      <c r="G57" s="165">
        <v>64.400000000000006</v>
      </c>
      <c r="H57" s="75">
        <v>14.6</v>
      </c>
      <c r="I57" s="94" t="s">
        <v>656</v>
      </c>
      <c r="J57" s="1"/>
      <c r="K57" s="323" t="s">
        <v>26</v>
      </c>
      <c r="L57" s="289" t="s">
        <v>626</v>
      </c>
      <c r="M57" s="518" t="str">
        <f t="shared" si="2"/>
        <v>C2Categoria B</v>
      </c>
      <c r="N57" s="165">
        <v>177.10550000000003</v>
      </c>
      <c r="O57" s="75">
        <v>40.807000000000002</v>
      </c>
      <c r="P57" s="95"/>
      <c r="Q57" s="11"/>
      <c r="R57" s="11"/>
      <c r="S57" s="11"/>
      <c r="T57" s="11"/>
      <c r="U57" s="11"/>
      <c r="V57" s="11"/>
      <c r="W57" s="11"/>
      <c r="X57" s="11"/>
    </row>
    <row r="58" spans="2:24">
      <c r="B58" s="11"/>
      <c r="C58" s="239" t="str">
        <f t="shared" si="3"/>
        <v>Vivienda Unifamiliar</v>
      </c>
      <c r="D58" s="323" t="s">
        <v>26</v>
      </c>
      <c r="E58" s="289" t="s">
        <v>627</v>
      </c>
      <c r="F58" s="11" t="str">
        <f t="shared" si="1"/>
        <v>Vivienda UnifamiliarC2Categoria C</v>
      </c>
      <c r="G58" s="165">
        <v>99.9</v>
      </c>
      <c r="H58" s="75">
        <v>22.7</v>
      </c>
      <c r="I58" s="94" t="s">
        <v>656</v>
      </c>
      <c r="J58" s="1"/>
      <c r="K58" s="323" t="s">
        <v>26</v>
      </c>
      <c r="L58" s="289" t="s">
        <v>627</v>
      </c>
      <c r="M58" s="518" t="str">
        <f t="shared" si="2"/>
        <v>C2Categoria C</v>
      </c>
      <c r="N58" s="165">
        <v>272.47000000000003</v>
      </c>
      <c r="O58" s="75">
        <v>62.78</v>
      </c>
      <c r="P58" s="95"/>
      <c r="Q58" s="11"/>
      <c r="R58" s="11"/>
      <c r="S58" s="11"/>
      <c r="T58" s="11"/>
      <c r="U58" s="11"/>
      <c r="V58" s="11"/>
      <c r="W58" s="11"/>
      <c r="X58" s="11"/>
    </row>
    <row r="59" spans="2:24">
      <c r="B59" s="11"/>
      <c r="C59" s="239" t="str">
        <f t="shared" si="3"/>
        <v>Vivienda Unifamiliar</v>
      </c>
      <c r="D59" s="323" t="s">
        <v>26</v>
      </c>
      <c r="E59" s="289" t="s">
        <v>628</v>
      </c>
      <c r="F59" s="11" t="str">
        <f t="shared" si="1"/>
        <v>Vivienda UnifamiliarC2Categoria D</v>
      </c>
      <c r="G59" s="165">
        <v>153.6</v>
      </c>
      <c r="H59" s="75">
        <v>34.9</v>
      </c>
      <c r="I59" s="94" t="s">
        <v>656</v>
      </c>
      <c r="J59" s="1"/>
      <c r="K59" s="323" t="s">
        <v>26</v>
      </c>
      <c r="L59" s="289" t="s">
        <v>628</v>
      </c>
      <c r="M59" s="518" t="str">
        <f t="shared" si="2"/>
        <v>C2Categoria D</v>
      </c>
      <c r="N59" s="165">
        <v>354.21100000000007</v>
      </c>
      <c r="O59" s="75">
        <v>81.614000000000004</v>
      </c>
      <c r="P59" s="95"/>
      <c r="Q59" s="11"/>
      <c r="R59" s="11"/>
      <c r="S59" s="11"/>
      <c r="T59" s="11"/>
      <c r="U59" s="11"/>
      <c r="V59" s="11"/>
      <c r="W59" s="11"/>
      <c r="X59" s="11"/>
    </row>
    <row r="60" spans="2:24">
      <c r="B60" s="11"/>
      <c r="C60" s="239" t="str">
        <f t="shared" si="3"/>
        <v>Vivienda Unifamiliar</v>
      </c>
      <c r="D60" s="323" t="s">
        <v>26</v>
      </c>
      <c r="E60" s="289" t="s">
        <v>629</v>
      </c>
      <c r="F60" s="11" t="str">
        <f t="shared" si="1"/>
        <v>Vivienda UnifamiliarC2Categoria E</v>
      </c>
      <c r="G60" s="165">
        <v>272.5</v>
      </c>
      <c r="H60" s="75">
        <v>62.8</v>
      </c>
      <c r="I60" s="94" t="s">
        <v>656</v>
      </c>
      <c r="J60" s="1"/>
      <c r="K60" s="323" t="s">
        <v>26</v>
      </c>
      <c r="L60" s="289" t="s">
        <v>629</v>
      </c>
      <c r="M60" s="518" t="str">
        <f t="shared" si="2"/>
        <v>C2Categoria E</v>
      </c>
      <c r="N60" s="165">
        <v>435.95200000000006</v>
      </c>
      <c r="O60" s="75">
        <v>100.44800000000001</v>
      </c>
      <c r="P60" s="95"/>
      <c r="Q60" s="11"/>
      <c r="R60" s="11"/>
      <c r="S60" s="11"/>
      <c r="T60" s="11"/>
      <c r="U60" s="11"/>
      <c r="V60" s="11"/>
      <c r="W60" s="11"/>
      <c r="X60" s="11"/>
    </row>
    <row r="61" spans="2:24">
      <c r="B61" s="11"/>
      <c r="C61" s="239" t="str">
        <f t="shared" si="3"/>
        <v>Vivienda Unifamiliar</v>
      </c>
      <c r="D61" s="323" t="s">
        <v>26</v>
      </c>
      <c r="E61" s="289" t="s">
        <v>630</v>
      </c>
      <c r="F61" s="11" t="str">
        <f t="shared" si="1"/>
        <v>Vivienda UnifamiliarC2Categoria F</v>
      </c>
      <c r="G61" s="165">
        <v>318.8</v>
      </c>
      <c r="H61" s="75">
        <v>75.3</v>
      </c>
      <c r="I61" s="94" t="s">
        <v>656</v>
      </c>
      <c r="J61" s="1"/>
      <c r="K61" s="323" t="s">
        <v>26</v>
      </c>
      <c r="L61" s="289" t="s">
        <v>630</v>
      </c>
      <c r="M61" s="518" t="str">
        <f t="shared" si="2"/>
        <v>C2Categoria F</v>
      </c>
      <c r="N61" s="165">
        <v>544.94000000000005</v>
      </c>
      <c r="O61" s="75">
        <v>125.56</v>
      </c>
      <c r="P61" s="95"/>
      <c r="Q61" s="11"/>
      <c r="R61" s="11"/>
      <c r="S61" s="11"/>
      <c r="T61" s="11"/>
      <c r="U61" s="11"/>
      <c r="V61" s="11"/>
      <c r="W61" s="11"/>
      <c r="X61" s="11"/>
    </row>
    <row r="62" spans="2:24">
      <c r="B62" s="11"/>
      <c r="C62" s="239" t="str">
        <f t="shared" si="3"/>
        <v>Vivienda Unifamiliar</v>
      </c>
      <c r="D62" s="323" t="s">
        <v>26</v>
      </c>
      <c r="E62" s="289" t="str">
        <f>IF(Idioma=Castellano,"Consumo nulo",IF(Idioma=Valencià,"Consum nul","Consumo nulo"))</f>
        <v>Consumo nulo</v>
      </c>
      <c r="F62" s="11" t="str">
        <f t="shared" si="1"/>
        <v>Vivienda UnifamiliarC2Consumo nulo</v>
      </c>
      <c r="G62" s="165">
        <v>0</v>
      </c>
      <c r="H62" s="75">
        <v>0</v>
      </c>
      <c r="I62" s="186" t="s">
        <v>658</v>
      </c>
      <c r="J62" s="1"/>
      <c r="K62" s="323" t="s">
        <v>26</v>
      </c>
      <c r="L62" s="289" t="str">
        <f>IF(Idioma=Castellano,"Consumo nulo",IF(Idioma=Valencià,"Consum nul","Consumo nulo"))</f>
        <v>Consumo nulo</v>
      </c>
      <c r="M62" s="518" t="str">
        <f t="shared" si="2"/>
        <v>C2Consumo nulo</v>
      </c>
      <c r="N62" s="165">
        <v>0</v>
      </c>
      <c r="O62" s="75">
        <v>0</v>
      </c>
      <c r="P62" s="95"/>
      <c r="Q62" s="11"/>
      <c r="R62" s="11"/>
      <c r="S62" s="11"/>
      <c r="T62" s="11"/>
      <c r="U62" s="11"/>
      <c r="V62" s="11"/>
      <c r="W62" s="11"/>
      <c r="X62" s="11"/>
    </row>
    <row r="63" spans="2:24">
      <c r="B63" s="11"/>
      <c r="C63" s="239" t="str">
        <f t="shared" si="3"/>
        <v>Vivienda Unifamiliar</v>
      </c>
      <c r="D63" s="323" t="s">
        <v>26</v>
      </c>
      <c r="E63" s="289" t="str">
        <f>IF(Idioma=Castellano,"Sin definir",IF(Idioma=Valencià,"Sense definir","Sin definir"))</f>
        <v>Sin definir</v>
      </c>
      <c r="F63" s="11" t="str">
        <f t="shared" si="1"/>
        <v>Vivienda UnifamiliarC2Sin definir</v>
      </c>
      <c r="G63" s="165">
        <f>G59</f>
        <v>153.6</v>
      </c>
      <c r="H63" s="75">
        <v>34.9</v>
      </c>
      <c r="I63" s="161" t="s">
        <v>659</v>
      </c>
      <c r="J63" s="1"/>
      <c r="K63" s="323" t="s">
        <v>26</v>
      </c>
      <c r="L63" s="289" t="str">
        <f>IF(Idioma=Castellano,"Sin definir",IF(Idioma=Valencià,"Sense definir","Sin definir"))</f>
        <v>Sin definir</v>
      </c>
      <c r="M63" s="518" t="str">
        <f t="shared" si="2"/>
        <v>C2Sin definir</v>
      </c>
      <c r="N63" s="165">
        <f>N59</f>
        <v>354.21100000000007</v>
      </c>
      <c r="O63" s="75">
        <f>O59</f>
        <v>81.614000000000004</v>
      </c>
      <c r="P63" s="95"/>
      <c r="Q63" s="11"/>
      <c r="R63" s="11"/>
      <c r="S63" s="11"/>
      <c r="T63" s="11"/>
      <c r="U63" s="11"/>
      <c r="V63" s="11"/>
      <c r="W63" s="11"/>
      <c r="X63" s="11"/>
    </row>
    <row r="64" spans="2:24">
      <c r="B64" s="11"/>
      <c r="C64" s="239" t="str">
        <f t="shared" si="3"/>
        <v>Vivienda Unifamiliar</v>
      </c>
      <c r="D64" s="323" t="s">
        <v>19</v>
      </c>
      <c r="E64" s="289" t="str">
        <f>IF(Idioma=Castellano,"Existente",IF(Idioma=Valencià,"Existent","Existente"))</f>
        <v>Existente</v>
      </c>
      <c r="F64" s="11" t="str">
        <f t="shared" si="1"/>
        <v>Vivienda UnifamiliarC3Existente</v>
      </c>
      <c r="G64" s="165">
        <f>G69</f>
        <v>291.3</v>
      </c>
      <c r="H64" s="75">
        <v>67.400000000000006</v>
      </c>
      <c r="I64" s="94" t="s">
        <v>656</v>
      </c>
      <c r="J64" s="1"/>
      <c r="K64" s="323" t="s">
        <v>19</v>
      </c>
      <c r="L64" s="289" t="str">
        <f>IF(Idioma=Castellano,"Existente",IF(Idioma=Valencià,"Existent","Existente"))</f>
        <v>Existente</v>
      </c>
      <c r="M64" s="518" t="str">
        <f t="shared" si="2"/>
        <v>C3Existente</v>
      </c>
      <c r="N64" s="165">
        <f>N69</f>
        <v>466</v>
      </c>
      <c r="O64" s="75">
        <f>O69</f>
        <v>107.82400000000001</v>
      </c>
      <c r="P64" s="95"/>
      <c r="Q64" s="11"/>
      <c r="R64" s="11"/>
      <c r="S64" s="11"/>
      <c r="T64" s="11"/>
      <c r="U64" s="11"/>
      <c r="V64" s="11"/>
      <c r="W64" s="11"/>
      <c r="X64" s="11"/>
    </row>
    <row r="65" spans="2:24">
      <c r="B65" s="11"/>
      <c r="C65" s="239" t="str">
        <f t="shared" si="3"/>
        <v>Vivienda Unifamiliar</v>
      </c>
      <c r="D65" s="323" t="s">
        <v>19</v>
      </c>
      <c r="E65" s="289" t="s">
        <v>625</v>
      </c>
      <c r="F65" s="11" t="str">
        <f t="shared" si="1"/>
        <v>Vivienda UnifamiliarC3Categoria A</v>
      </c>
      <c r="G65" s="165">
        <v>36.4</v>
      </c>
      <c r="H65" s="75">
        <v>8.3000000000000007</v>
      </c>
      <c r="I65" s="94" t="s">
        <v>656</v>
      </c>
      <c r="J65" s="1"/>
      <c r="K65" s="323" t="s">
        <v>19</v>
      </c>
      <c r="L65" s="289" t="s">
        <v>625</v>
      </c>
      <c r="M65" s="518" t="str">
        <f t="shared" si="2"/>
        <v>C3Categoria A</v>
      </c>
      <c r="N65" s="165">
        <v>116.5</v>
      </c>
      <c r="O65" s="75">
        <v>26.956000000000003</v>
      </c>
      <c r="P65" s="95"/>
      <c r="Q65" s="11"/>
      <c r="R65" s="11"/>
      <c r="S65" s="11"/>
      <c r="T65" s="11"/>
      <c r="U65" s="11"/>
      <c r="V65" s="11"/>
      <c r="W65" s="11"/>
      <c r="X65" s="11"/>
    </row>
    <row r="66" spans="2:24">
      <c r="B66" s="11"/>
      <c r="C66" s="239" t="str">
        <f t="shared" si="3"/>
        <v>Vivienda Unifamiliar</v>
      </c>
      <c r="D66" s="323" t="s">
        <v>19</v>
      </c>
      <c r="E66" s="289" t="s">
        <v>626</v>
      </c>
      <c r="F66" s="11" t="str">
        <f t="shared" si="1"/>
        <v>Vivienda UnifamiliarC3Categoria B</v>
      </c>
      <c r="G66" s="165">
        <v>62.9</v>
      </c>
      <c r="H66" s="75">
        <v>14.3</v>
      </c>
      <c r="I66" s="94" t="s">
        <v>656</v>
      </c>
      <c r="J66" s="1"/>
      <c r="K66" s="323" t="s">
        <v>19</v>
      </c>
      <c r="L66" s="289" t="s">
        <v>626</v>
      </c>
      <c r="M66" s="518" t="str">
        <f t="shared" si="2"/>
        <v>C3Categoria B</v>
      </c>
      <c r="N66" s="165">
        <v>189.3125</v>
      </c>
      <c r="O66" s="75">
        <v>43.8035</v>
      </c>
      <c r="P66" s="95"/>
      <c r="Q66" s="11"/>
      <c r="R66" s="11"/>
      <c r="S66" s="11"/>
      <c r="T66" s="11"/>
      <c r="U66" s="11"/>
      <c r="V66" s="11"/>
      <c r="W66" s="11"/>
      <c r="X66" s="11"/>
    </row>
    <row r="67" spans="2:24">
      <c r="B67" s="11"/>
      <c r="C67" s="239" t="str">
        <f t="shared" si="3"/>
        <v>Vivienda Unifamiliar</v>
      </c>
      <c r="D67" s="323" t="s">
        <v>19</v>
      </c>
      <c r="E67" s="289" t="s">
        <v>627</v>
      </c>
      <c r="F67" s="11" t="str">
        <f t="shared" si="1"/>
        <v>Vivienda UnifamiliarC3Categoria C</v>
      </c>
      <c r="G67" s="165">
        <v>102.7</v>
      </c>
      <c r="H67" s="75">
        <v>23.4</v>
      </c>
      <c r="I67" s="94" t="s">
        <v>656</v>
      </c>
      <c r="J67" s="1"/>
      <c r="K67" s="323" t="s">
        <v>19</v>
      </c>
      <c r="L67" s="289" t="s">
        <v>627</v>
      </c>
      <c r="M67" s="518" t="str">
        <f t="shared" si="2"/>
        <v>C3Categoria C</v>
      </c>
      <c r="N67" s="165">
        <v>291.25</v>
      </c>
      <c r="O67" s="75">
        <v>67.39</v>
      </c>
      <c r="P67" s="95"/>
      <c r="Q67" s="11"/>
      <c r="R67" s="11"/>
      <c r="S67" s="11"/>
      <c r="T67" s="11"/>
      <c r="U67" s="11"/>
      <c r="V67" s="11"/>
      <c r="W67" s="11"/>
      <c r="X67" s="11"/>
    </row>
    <row r="68" spans="2:24">
      <c r="B68" s="11"/>
      <c r="C68" s="239" t="str">
        <f t="shared" si="3"/>
        <v>Vivienda Unifamiliar</v>
      </c>
      <c r="D68" s="323" t="s">
        <v>19</v>
      </c>
      <c r="E68" s="289" t="s">
        <v>628</v>
      </c>
      <c r="F68" s="11" t="str">
        <f t="shared" si="1"/>
        <v>Vivienda UnifamiliarC3Categoria D</v>
      </c>
      <c r="G68" s="165">
        <v>161.19999999999999</v>
      </c>
      <c r="H68" s="75">
        <v>36.700000000000003</v>
      </c>
      <c r="I68" s="94" t="s">
        <v>656</v>
      </c>
      <c r="J68" s="1"/>
      <c r="K68" s="323" t="s">
        <v>19</v>
      </c>
      <c r="L68" s="289" t="s">
        <v>628</v>
      </c>
      <c r="M68" s="518" t="str">
        <f t="shared" si="2"/>
        <v>C3Categoria D</v>
      </c>
      <c r="N68" s="165">
        <v>378.625</v>
      </c>
      <c r="O68" s="75">
        <v>87.606999999999999</v>
      </c>
      <c r="P68" s="95"/>
      <c r="Q68" s="11"/>
      <c r="R68" s="11"/>
      <c r="S68" s="11"/>
      <c r="T68" s="11"/>
      <c r="U68" s="11"/>
      <c r="V68" s="11"/>
      <c r="W68" s="11"/>
      <c r="X68" s="11"/>
    </row>
    <row r="69" spans="2:24">
      <c r="B69" s="11"/>
      <c r="C69" s="239" t="str">
        <f t="shared" si="3"/>
        <v>Vivienda Unifamiliar</v>
      </c>
      <c r="D69" s="323" t="s">
        <v>19</v>
      </c>
      <c r="E69" s="289" t="s">
        <v>629</v>
      </c>
      <c r="F69" s="11" t="str">
        <f t="shared" si="1"/>
        <v>Vivienda UnifamiliarC3Categoria E</v>
      </c>
      <c r="G69" s="165">
        <v>291.3</v>
      </c>
      <c r="H69" s="75">
        <v>67.400000000000006</v>
      </c>
      <c r="I69" s="94" t="s">
        <v>656</v>
      </c>
      <c r="J69" s="1"/>
      <c r="K69" s="323" t="s">
        <v>19</v>
      </c>
      <c r="L69" s="289" t="s">
        <v>629</v>
      </c>
      <c r="M69" s="518" t="str">
        <f t="shared" si="2"/>
        <v>C3Categoria E</v>
      </c>
      <c r="N69" s="165">
        <v>466</v>
      </c>
      <c r="O69" s="75">
        <v>107.82400000000001</v>
      </c>
      <c r="P69" s="95"/>
      <c r="Q69" s="11"/>
      <c r="R69" s="11"/>
      <c r="S69" s="11"/>
      <c r="T69" s="11"/>
      <c r="U69" s="11"/>
      <c r="V69" s="11"/>
      <c r="W69" s="11"/>
      <c r="X69" s="11"/>
    </row>
    <row r="70" spans="2:24">
      <c r="B70" s="11"/>
      <c r="C70" s="239" t="str">
        <f t="shared" si="3"/>
        <v>Vivienda Unifamiliar</v>
      </c>
      <c r="D70" s="323" t="s">
        <v>19</v>
      </c>
      <c r="E70" s="289" t="s">
        <v>630</v>
      </c>
      <c r="F70" s="11" t="str">
        <f t="shared" si="1"/>
        <v>Vivienda UnifamiliarC3Categoria F</v>
      </c>
      <c r="G70" s="165">
        <v>367</v>
      </c>
      <c r="H70" s="75">
        <v>86.9</v>
      </c>
      <c r="I70" s="94" t="s">
        <v>656</v>
      </c>
      <c r="J70" s="1"/>
      <c r="K70" s="323" t="s">
        <v>19</v>
      </c>
      <c r="L70" s="289" t="s">
        <v>630</v>
      </c>
      <c r="M70" s="518" t="str">
        <f t="shared" si="2"/>
        <v>C3Categoria F</v>
      </c>
      <c r="N70" s="165">
        <v>582.5</v>
      </c>
      <c r="O70" s="75">
        <v>134.78</v>
      </c>
      <c r="P70" s="95"/>
      <c r="Q70" s="11"/>
      <c r="R70" s="11"/>
      <c r="S70" s="11"/>
      <c r="T70" s="11"/>
      <c r="U70" s="11"/>
      <c r="V70" s="11"/>
      <c r="W70" s="11"/>
      <c r="X70" s="11"/>
    </row>
    <row r="71" spans="2:24">
      <c r="B71" s="11"/>
      <c r="C71" s="239" t="str">
        <f t="shared" si="3"/>
        <v>Vivienda Unifamiliar</v>
      </c>
      <c r="D71" s="323" t="s">
        <v>19</v>
      </c>
      <c r="E71" s="289" t="str">
        <f>IF(Idioma=Castellano,"Consumo nulo",IF(Idioma=Valencià,"Consum nul","Consumo nulo"))</f>
        <v>Consumo nulo</v>
      </c>
      <c r="F71" s="11" t="str">
        <f t="shared" si="1"/>
        <v>Vivienda UnifamiliarC3Consumo nulo</v>
      </c>
      <c r="G71" s="165">
        <v>0</v>
      </c>
      <c r="H71" s="75">
        <v>0</v>
      </c>
      <c r="I71" s="186" t="s">
        <v>658</v>
      </c>
      <c r="J71" s="1"/>
      <c r="K71" s="323" t="s">
        <v>19</v>
      </c>
      <c r="L71" s="289" t="str">
        <f>IF(Idioma=Castellano,"Consumo nulo",IF(Idioma=Valencià,"Consum nul","Consumo nulo"))</f>
        <v>Consumo nulo</v>
      </c>
      <c r="M71" s="518" t="str">
        <f t="shared" si="2"/>
        <v>C3Consumo nulo</v>
      </c>
      <c r="N71" s="165">
        <v>0</v>
      </c>
      <c r="O71" s="75">
        <v>0</v>
      </c>
      <c r="P71" s="95"/>
      <c r="Q71" s="11"/>
      <c r="R71" s="11"/>
      <c r="S71" s="11"/>
      <c r="T71" s="11"/>
      <c r="U71" s="11"/>
      <c r="V71" s="11"/>
      <c r="W71" s="11"/>
      <c r="X71" s="11"/>
    </row>
    <row r="72" spans="2:24">
      <c r="B72" s="11"/>
      <c r="C72" s="239" t="str">
        <f t="shared" si="3"/>
        <v>Vivienda Unifamiliar</v>
      </c>
      <c r="D72" s="323" t="s">
        <v>19</v>
      </c>
      <c r="E72" s="289" t="str">
        <f>IF(Idioma=Castellano,"Sin definir",IF(Idioma=Valencià,"Sense definir","Sin definir"))</f>
        <v>Sin definir</v>
      </c>
      <c r="F72" s="11" t="str">
        <f t="shared" si="1"/>
        <v>Vivienda UnifamiliarC3Sin definir</v>
      </c>
      <c r="G72" s="165">
        <f>G68</f>
        <v>161.19999999999999</v>
      </c>
      <c r="H72" s="75">
        <v>36.700000000000003</v>
      </c>
      <c r="I72" s="161" t="s">
        <v>659</v>
      </c>
      <c r="J72" s="1"/>
      <c r="K72" s="323" t="s">
        <v>19</v>
      </c>
      <c r="L72" s="289" t="str">
        <f>IF(Idioma=Castellano,"Sin definir",IF(Idioma=Valencià,"Sense definir","Sin definir"))</f>
        <v>Sin definir</v>
      </c>
      <c r="M72" s="518" t="str">
        <f t="shared" si="2"/>
        <v>C3Sin definir</v>
      </c>
      <c r="N72" s="165">
        <f>N68</f>
        <v>378.625</v>
      </c>
      <c r="O72" s="75">
        <f>O68</f>
        <v>87.606999999999999</v>
      </c>
      <c r="P72" s="95"/>
      <c r="Q72" s="11"/>
      <c r="R72" s="11"/>
      <c r="S72" s="11"/>
      <c r="T72" s="11"/>
      <c r="U72" s="11"/>
      <c r="V72" s="11"/>
      <c r="W72" s="11"/>
      <c r="X72" s="11"/>
    </row>
    <row r="73" spans="2:24">
      <c r="B73" s="11"/>
      <c r="C73" s="239" t="str">
        <f t="shared" si="3"/>
        <v>Vivienda Unifamiliar</v>
      </c>
      <c r="D73" s="323" t="s">
        <v>55</v>
      </c>
      <c r="E73" s="289" t="str">
        <f>IF(Idioma=Castellano,"Existente",IF(Idioma=Valencià,"Existent","Existente"))</f>
        <v>Existente</v>
      </c>
      <c r="F73" s="11" t="str">
        <f t="shared" si="1"/>
        <v>Vivienda UnifamiliarD1Existente</v>
      </c>
      <c r="G73" s="165">
        <f>G78</f>
        <v>339.1</v>
      </c>
      <c r="H73" s="75">
        <v>74.7</v>
      </c>
      <c r="I73" s="94" t="s">
        <v>656</v>
      </c>
      <c r="J73" s="1"/>
      <c r="K73" s="323" t="s">
        <v>55</v>
      </c>
      <c r="L73" s="289" t="str">
        <f>IF(Idioma=Castellano,"Existente",IF(Idioma=Valencià,"Existent","Existente"))</f>
        <v>Existente</v>
      </c>
      <c r="M73" s="518" t="str">
        <f t="shared" si="2"/>
        <v>D1Existente</v>
      </c>
      <c r="N73" s="165">
        <f>N78</f>
        <v>542.52800000000002</v>
      </c>
      <c r="O73" s="75">
        <v>119.52000000000001</v>
      </c>
      <c r="P73" s="95"/>
      <c r="Q73" s="11"/>
      <c r="R73" s="11"/>
      <c r="S73" s="11"/>
      <c r="T73" s="11"/>
      <c r="U73" s="11"/>
      <c r="V73" s="11"/>
      <c r="W73" s="11"/>
      <c r="X73" s="11"/>
    </row>
    <row r="74" spans="2:24">
      <c r="B74" s="11"/>
      <c r="C74" s="239" t="str">
        <f t="shared" ref="C74:C108" si="4">IF(Idioma=Castellano,"Vivienda Unifamiliar",IF(Idioma=Valencià,"Habitatge Unifamiliar","Vivienda Unifamiliar"))</f>
        <v>Vivienda Unifamiliar</v>
      </c>
      <c r="D74" s="323" t="s">
        <v>55</v>
      </c>
      <c r="E74" s="289" t="s">
        <v>625</v>
      </c>
      <c r="F74" s="11" t="str">
        <f t="shared" si="1"/>
        <v>Vivienda UnifamiliarD1Categoria A</v>
      </c>
      <c r="G74" s="165">
        <v>54.6</v>
      </c>
      <c r="H74" s="75">
        <v>12.2</v>
      </c>
      <c r="I74" s="94" t="s">
        <v>656</v>
      </c>
      <c r="J74" s="1"/>
      <c r="K74" s="323" t="s">
        <v>55</v>
      </c>
      <c r="L74" s="289" t="s">
        <v>625</v>
      </c>
      <c r="M74" s="518" t="str">
        <f t="shared" si="2"/>
        <v>D1Categoria A</v>
      </c>
      <c r="N74" s="165">
        <v>135.63200000000001</v>
      </c>
      <c r="O74" s="75">
        <v>29.880000000000003</v>
      </c>
      <c r="P74" s="95"/>
      <c r="Q74" s="11"/>
      <c r="R74" s="11"/>
      <c r="S74" s="11"/>
      <c r="T74" s="11"/>
      <c r="U74" s="11"/>
      <c r="V74" s="11"/>
      <c r="W74" s="11"/>
      <c r="X74" s="11"/>
    </row>
    <row r="75" spans="2:24">
      <c r="B75" s="11"/>
      <c r="C75" s="239" t="str">
        <f t="shared" si="4"/>
        <v>Vivienda Unifamiliar</v>
      </c>
      <c r="D75" s="323" t="s">
        <v>55</v>
      </c>
      <c r="E75" s="289" t="s">
        <v>626</v>
      </c>
      <c r="F75" s="11" t="str">
        <f t="shared" ref="F75:F138" si="5">C75&amp;D75&amp;E75</f>
        <v>Vivienda UnifamiliarD1Categoria B</v>
      </c>
      <c r="G75" s="165">
        <v>84</v>
      </c>
      <c r="H75" s="75">
        <v>18.8</v>
      </c>
      <c r="I75" s="94" t="s">
        <v>656</v>
      </c>
      <c r="J75" s="1"/>
      <c r="K75" s="323" t="s">
        <v>55</v>
      </c>
      <c r="L75" s="289" t="s">
        <v>626</v>
      </c>
      <c r="M75" s="518" t="str">
        <f t="shared" ref="M75:M108" si="6">K75&amp;L75</f>
        <v>D1Categoria B</v>
      </c>
      <c r="N75" s="165">
        <v>220.40199999999999</v>
      </c>
      <c r="O75" s="75">
        <v>48.555000000000007</v>
      </c>
      <c r="P75" s="95"/>
      <c r="Q75" s="11"/>
      <c r="R75" s="11"/>
      <c r="S75" s="11"/>
      <c r="T75" s="11"/>
      <c r="U75" s="11"/>
      <c r="V75" s="11"/>
      <c r="W75" s="11"/>
      <c r="X75" s="11"/>
    </row>
    <row r="76" spans="2:24">
      <c r="B76" s="11"/>
      <c r="C76" s="239" t="str">
        <f t="shared" si="4"/>
        <v>Vivienda Unifamiliar</v>
      </c>
      <c r="D76" s="323" t="s">
        <v>55</v>
      </c>
      <c r="E76" s="289" t="s">
        <v>627</v>
      </c>
      <c r="F76" s="11" t="str">
        <f t="shared" si="5"/>
        <v>Vivienda UnifamiliarD1Categoria C</v>
      </c>
      <c r="G76" s="165">
        <v>125.3</v>
      </c>
      <c r="H76" s="75">
        <v>28.1</v>
      </c>
      <c r="I76" s="94" t="s">
        <v>656</v>
      </c>
      <c r="J76" s="1"/>
      <c r="K76" s="323" t="s">
        <v>55</v>
      </c>
      <c r="L76" s="289" t="s">
        <v>627</v>
      </c>
      <c r="M76" s="518" t="str">
        <f t="shared" si="6"/>
        <v>D1Categoria C</v>
      </c>
      <c r="N76" s="165">
        <v>339.08</v>
      </c>
      <c r="O76" s="75">
        <v>74.7</v>
      </c>
      <c r="P76" s="95"/>
      <c r="Q76" s="11"/>
      <c r="R76" s="11"/>
      <c r="S76" s="11"/>
      <c r="T76" s="11"/>
      <c r="U76" s="11"/>
      <c r="V76" s="11"/>
      <c r="W76" s="11"/>
      <c r="X76" s="11"/>
    </row>
    <row r="77" spans="2:24">
      <c r="B77" s="11"/>
      <c r="C77" s="239" t="str">
        <f t="shared" si="4"/>
        <v>Vivienda Unifamiliar</v>
      </c>
      <c r="D77" s="323" t="s">
        <v>55</v>
      </c>
      <c r="E77" s="289" t="s">
        <v>628</v>
      </c>
      <c r="F77" s="11" t="str">
        <f t="shared" si="5"/>
        <v>Vivienda UnifamiliarD1Categoria D</v>
      </c>
      <c r="G77" s="165">
        <v>186.6</v>
      </c>
      <c r="H77" s="75">
        <v>41.8</v>
      </c>
      <c r="I77" s="94" t="s">
        <v>656</v>
      </c>
      <c r="J77" s="1"/>
      <c r="K77" s="323" t="s">
        <v>55</v>
      </c>
      <c r="L77" s="289" t="s">
        <v>628</v>
      </c>
      <c r="M77" s="518" t="str">
        <f t="shared" si="6"/>
        <v>D1Categoria D</v>
      </c>
      <c r="N77" s="165">
        <v>440.80399999999997</v>
      </c>
      <c r="O77" s="75">
        <v>97.110000000000014</v>
      </c>
      <c r="P77" s="95"/>
      <c r="Q77" s="11"/>
      <c r="R77" s="11"/>
      <c r="S77" s="11"/>
      <c r="T77" s="11"/>
      <c r="U77" s="11"/>
      <c r="V77" s="11"/>
      <c r="W77" s="11"/>
      <c r="X77" s="11"/>
    </row>
    <row r="78" spans="2:24">
      <c r="B78" s="11"/>
      <c r="C78" s="239" t="str">
        <f t="shared" si="4"/>
        <v>Vivienda Unifamiliar</v>
      </c>
      <c r="D78" s="323" t="s">
        <v>55</v>
      </c>
      <c r="E78" s="289" t="s">
        <v>629</v>
      </c>
      <c r="F78" s="11" t="str">
        <f t="shared" si="5"/>
        <v>Vivienda UnifamiliarD1Categoria E</v>
      </c>
      <c r="G78" s="165">
        <v>339.1</v>
      </c>
      <c r="H78" s="75">
        <v>74.7</v>
      </c>
      <c r="I78" s="94" t="s">
        <v>656</v>
      </c>
      <c r="J78" s="1"/>
      <c r="K78" s="323" t="s">
        <v>55</v>
      </c>
      <c r="L78" s="289" t="s">
        <v>629</v>
      </c>
      <c r="M78" s="518" t="str">
        <f t="shared" si="6"/>
        <v>D1Categoria E</v>
      </c>
      <c r="N78" s="165">
        <v>542.52800000000002</v>
      </c>
      <c r="O78" s="75">
        <v>119.52000000000001</v>
      </c>
      <c r="P78" s="95"/>
      <c r="Q78" s="11"/>
      <c r="R78" s="11"/>
      <c r="S78" s="11"/>
      <c r="T78" s="11"/>
      <c r="U78" s="11"/>
      <c r="V78" s="11"/>
      <c r="W78" s="11"/>
      <c r="X78" s="11"/>
    </row>
    <row r="79" spans="2:24">
      <c r="B79" s="11"/>
      <c r="C79" s="239" t="str">
        <f t="shared" si="4"/>
        <v>Vivienda Unifamiliar</v>
      </c>
      <c r="D79" s="323" t="s">
        <v>55</v>
      </c>
      <c r="E79" s="289" t="s">
        <v>630</v>
      </c>
      <c r="F79" s="11" t="str">
        <f t="shared" si="5"/>
        <v>Vivienda UnifamiliarD1Categoria F</v>
      </c>
      <c r="G79" s="165">
        <v>417.1</v>
      </c>
      <c r="H79" s="75">
        <v>91.9</v>
      </c>
      <c r="I79" s="94" t="s">
        <v>656</v>
      </c>
      <c r="J79" s="1"/>
      <c r="K79" s="323" t="s">
        <v>55</v>
      </c>
      <c r="L79" s="289" t="s">
        <v>630</v>
      </c>
      <c r="M79" s="518" t="str">
        <f t="shared" si="6"/>
        <v>D1Categoria F</v>
      </c>
      <c r="N79" s="165">
        <v>678.16</v>
      </c>
      <c r="O79" s="75">
        <v>149.4</v>
      </c>
      <c r="P79" s="95"/>
      <c r="Q79" s="11"/>
      <c r="R79" s="11"/>
      <c r="S79" s="11"/>
      <c r="T79" s="11"/>
      <c r="U79" s="11"/>
      <c r="V79" s="11"/>
      <c r="W79" s="11"/>
      <c r="X79" s="11"/>
    </row>
    <row r="80" spans="2:24">
      <c r="B80" s="11"/>
      <c r="C80" s="239" t="str">
        <f t="shared" si="4"/>
        <v>Vivienda Unifamiliar</v>
      </c>
      <c r="D80" s="323" t="s">
        <v>55</v>
      </c>
      <c r="E80" s="289" t="str">
        <f>IF(Idioma=Castellano,"Consumo nulo",IF(Idioma=Valencià,"Consum nul","Consumo nulo"))</f>
        <v>Consumo nulo</v>
      </c>
      <c r="F80" s="11" t="str">
        <f t="shared" si="5"/>
        <v>Vivienda UnifamiliarD1Consumo nulo</v>
      </c>
      <c r="G80" s="165">
        <v>0</v>
      </c>
      <c r="H80" s="75">
        <v>0</v>
      </c>
      <c r="I80" s="186" t="s">
        <v>658</v>
      </c>
      <c r="J80" s="1"/>
      <c r="K80" s="323" t="s">
        <v>55</v>
      </c>
      <c r="L80" s="289" t="str">
        <f>IF(Idioma=Castellano,"Consumo nulo",IF(Idioma=Valencià,"Consum nul","Consumo nulo"))</f>
        <v>Consumo nulo</v>
      </c>
      <c r="M80" s="518" t="str">
        <f t="shared" si="6"/>
        <v>D1Consumo nulo</v>
      </c>
      <c r="N80" s="165">
        <v>0</v>
      </c>
      <c r="O80" s="75">
        <v>0</v>
      </c>
      <c r="P80" s="95"/>
      <c r="Q80" s="11"/>
      <c r="R80" s="11"/>
      <c r="S80" s="11"/>
      <c r="T80" s="11"/>
      <c r="U80" s="11"/>
      <c r="V80" s="11"/>
      <c r="W80" s="11"/>
      <c r="X80" s="11"/>
    </row>
    <row r="81" spans="2:24">
      <c r="B81" s="11"/>
      <c r="C81" s="239" t="str">
        <f t="shared" si="4"/>
        <v>Vivienda Unifamiliar</v>
      </c>
      <c r="D81" s="323" t="s">
        <v>55</v>
      </c>
      <c r="E81" s="289" t="str">
        <f>IF(Idioma=Castellano,"Sin definir",IF(Idioma=Valencià,"Sense definir","Sin definir"))</f>
        <v>Sin definir</v>
      </c>
      <c r="F81" s="11" t="str">
        <f t="shared" si="5"/>
        <v>Vivienda UnifamiliarD1Sin definir</v>
      </c>
      <c r="G81" s="165">
        <f>G77</f>
        <v>186.6</v>
      </c>
      <c r="H81" s="75">
        <v>41.8</v>
      </c>
      <c r="I81" s="161" t="s">
        <v>659</v>
      </c>
      <c r="J81" s="1"/>
      <c r="K81" s="323" t="s">
        <v>55</v>
      </c>
      <c r="L81" s="289" t="str">
        <f>IF(Idioma=Castellano,"Sin definir",IF(Idioma=Valencià,"Sense definir","Sin definir"))</f>
        <v>Sin definir</v>
      </c>
      <c r="M81" s="518" t="str">
        <f t="shared" si="6"/>
        <v>D1Sin definir</v>
      </c>
      <c r="N81" s="165">
        <f>N76</f>
        <v>339.08</v>
      </c>
      <c r="O81" s="75">
        <v>74.7</v>
      </c>
      <c r="P81" s="95"/>
      <c r="Q81" s="11"/>
      <c r="R81" s="11"/>
      <c r="S81" s="11"/>
      <c r="T81" s="11"/>
      <c r="U81" s="11"/>
      <c r="V81" s="11"/>
      <c r="W81" s="11"/>
      <c r="X81" s="11"/>
    </row>
    <row r="82" spans="2:24">
      <c r="B82" s="11"/>
      <c r="C82" s="239" t="str">
        <f t="shared" si="4"/>
        <v>Vivienda Unifamiliar</v>
      </c>
      <c r="D82" s="323" t="s">
        <v>63</v>
      </c>
      <c r="E82" s="289" t="str">
        <f>IF(Idioma=Castellano,"Existente",IF(Idioma=Valencià,"Existent","Existente"))</f>
        <v>Existente</v>
      </c>
      <c r="F82" s="11" t="str">
        <f t="shared" si="5"/>
        <v>Vivienda UnifamiliarD2Existente</v>
      </c>
      <c r="G82" s="165">
        <f>G87</f>
        <v>357.4</v>
      </c>
      <c r="H82" s="75">
        <v>79.2</v>
      </c>
      <c r="I82" s="94" t="s">
        <v>656</v>
      </c>
      <c r="J82" s="1"/>
      <c r="K82" s="323" t="s">
        <v>63</v>
      </c>
      <c r="L82" s="289" t="str">
        <f>IF(Idioma=Castellano,"Existente",IF(Idioma=Valencià,"Existent","Existente"))</f>
        <v>Existente</v>
      </c>
      <c r="M82" s="518" t="str">
        <f t="shared" si="6"/>
        <v>D2Existente</v>
      </c>
      <c r="N82" s="165">
        <f>N87</f>
        <v>571.904</v>
      </c>
      <c r="O82" s="75">
        <f>O87</f>
        <v>126.78399999999999</v>
      </c>
      <c r="P82" s="95"/>
      <c r="Q82" s="11"/>
      <c r="R82" s="11"/>
      <c r="S82" s="11"/>
      <c r="T82" s="11"/>
      <c r="U82" s="11"/>
      <c r="V82" s="11"/>
      <c r="W82" s="11"/>
      <c r="X82" s="11"/>
    </row>
    <row r="83" spans="2:24">
      <c r="B83" s="11"/>
      <c r="C83" s="239" t="str">
        <f t="shared" si="4"/>
        <v>Vivienda Unifamiliar</v>
      </c>
      <c r="D83" s="323" t="s">
        <v>63</v>
      </c>
      <c r="E83" s="289" t="s">
        <v>625</v>
      </c>
      <c r="F83" s="11" t="str">
        <f t="shared" si="5"/>
        <v>Vivienda UnifamiliarD2Categoria A</v>
      </c>
      <c r="G83" s="165">
        <v>51.6</v>
      </c>
      <c r="H83" s="75">
        <v>11.6</v>
      </c>
      <c r="I83" s="94" t="s">
        <v>656</v>
      </c>
      <c r="J83" s="1"/>
      <c r="K83" s="323" t="s">
        <v>63</v>
      </c>
      <c r="L83" s="289" t="s">
        <v>625</v>
      </c>
      <c r="M83" s="518" t="str">
        <f t="shared" si="6"/>
        <v>D2Categoria A</v>
      </c>
      <c r="N83" s="165">
        <v>142.976</v>
      </c>
      <c r="O83" s="75">
        <v>31.695999999999998</v>
      </c>
      <c r="P83" s="95"/>
      <c r="Q83" s="11"/>
      <c r="R83" s="11"/>
      <c r="S83" s="11"/>
      <c r="T83" s="11"/>
      <c r="U83" s="11"/>
      <c r="V83" s="11"/>
      <c r="W83" s="11"/>
      <c r="X83" s="11"/>
    </row>
    <row r="84" spans="2:24">
      <c r="B84" s="11"/>
      <c r="C84" s="239" t="str">
        <f t="shared" si="4"/>
        <v>Vivienda Unifamiliar</v>
      </c>
      <c r="D84" s="323" t="s">
        <v>63</v>
      </c>
      <c r="E84" s="289" t="s">
        <v>626</v>
      </c>
      <c r="F84" s="11" t="str">
        <f t="shared" si="5"/>
        <v>Vivienda UnifamiliarD2Categoria B</v>
      </c>
      <c r="G84" s="165">
        <v>83.6</v>
      </c>
      <c r="H84" s="75">
        <v>18.8</v>
      </c>
      <c r="I84" s="94" t="s">
        <v>656</v>
      </c>
      <c r="J84" s="1"/>
      <c r="K84" s="323" t="s">
        <v>63</v>
      </c>
      <c r="L84" s="289" t="s">
        <v>626</v>
      </c>
      <c r="M84" s="518" t="str">
        <f t="shared" si="6"/>
        <v>D2Categoria B</v>
      </c>
      <c r="N84" s="165">
        <v>232.33600000000001</v>
      </c>
      <c r="O84" s="75">
        <v>51.506</v>
      </c>
      <c r="P84" s="95"/>
      <c r="Q84" s="11"/>
      <c r="R84" s="11"/>
      <c r="S84" s="11"/>
      <c r="T84" s="11"/>
      <c r="U84" s="11"/>
      <c r="V84" s="11"/>
      <c r="W84" s="11"/>
      <c r="X84" s="11"/>
    </row>
    <row r="85" spans="2:24">
      <c r="B85" s="11"/>
      <c r="C85" s="239" t="str">
        <f t="shared" si="4"/>
        <v>Vivienda Unifamiliar</v>
      </c>
      <c r="D85" s="323" t="s">
        <v>63</v>
      </c>
      <c r="E85" s="289" t="s">
        <v>627</v>
      </c>
      <c r="F85" s="11" t="str">
        <f t="shared" si="5"/>
        <v>Vivienda UnifamiliarD2Categoria C</v>
      </c>
      <c r="G85" s="165">
        <v>129.6</v>
      </c>
      <c r="H85" s="75">
        <v>29.2</v>
      </c>
      <c r="I85" s="94" t="s">
        <v>656</v>
      </c>
      <c r="J85" s="1"/>
      <c r="K85" s="323" t="s">
        <v>63</v>
      </c>
      <c r="L85" s="289" t="s">
        <v>627</v>
      </c>
      <c r="M85" s="518" t="str">
        <f t="shared" si="6"/>
        <v>D2Categoria C</v>
      </c>
      <c r="N85" s="165">
        <v>357.44</v>
      </c>
      <c r="O85" s="75">
        <v>79.239999999999995</v>
      </c>
      <c r="P85" s="95"/>
      <c r="Q85" s="11"/>
      <c r="R85" s="11"/>
      <c r="S85" s="11"/>
      <c r="T85" s="11"/>
      <c r="U85" s="11"/>
      <c r="V85" s="11"/>
      <c r="W85" s="11"/>
      <c r="X85" s="11"/>
    </row>
    <row r="86" spans="2:24">
      <c r="B86" s="11"/>
      <c r="C86" s="239" t="str">
        <f t="shared" si="4"/>
        <v>Vivienda Unifamiliar</v>
      </c>
      <c r="D86" s="323" t="s">
        <v>63</v>
      </c>
      <c r="E86" s="289" t="s">
        <v>628</v>
      </c>
      <c r="F86" s="11" t="str">
        <f t="shared" si="5"/>
        <v>Vivienda UnifamiliarD2Categoria D</v>
      </c>
      <c r="G86" s="165">
        <v>199.3</v>
      </c>
      <c r="H86" s="75">
        <v>44.8</v>
      </c>
      <c r="I86" s="94" t="s">
        <v>656</v>
      </c>
      <c r="J86" s="1"/>
      <c r="K86" s="323" t="s">
        <v>63</v>
      </c>
      <c r="L86" s="289" t="s">
        <v>628</v>
      </c>
      <c r="M86" s="518" t="str">
        <f t="shared" si="6"/>
        <v>D2Categoria D</v>
      </c>
      <c r="N86" s="165">
        <v>464.67200000000003</v>
      </c>
      <c r="O86" s="75">
        <v>103.012</v>
      </c>
      <c r="P86" s="95"/>
      <c r="Q86" s="11"/>
      <c r="R86" s="11"/>
      <c r="S86" s="11"/>
      <c r="T86" s="11"/>
      <c r="U86" s="11"/>
      <c r="V86" s="11"/>
      <c r="W86" s="11"/>
      <c r="X86" s="11"/>
    </row>
    <row r="87" spans="2:24">
      <c r="B87" s="11"/>
      <c r="C87" s="239" t="str">
        <f t="shared" si="4"/>
        <v>Vivienda Unifamiliar</v>
      </c>
      <c r="D87" s="323" t="s">
        <v>63</v>
      </c>
      <c r="E87" s="289" t="s">
        <v>629</v>
      </c>
      <c r="F87" s="11" t="str">
        <f t="shared" si="5"/>
        <v>Vivienda UnifamiliarD2Categoria E</v>
      </c>
      <c r="G87" s="165">
        <v>357.4</v>
      </c>
      <c r="H87" s="75">
        <v>79.2</v>
      </c>
      <c r="I87" s="94" t="s">
        <v>656</v>
      </c>
      <c r="J87" s="1"/>
      <c r="K87" s="323" t="s">
        <v>63</v>
      </c>
      <c r="L87" s="289" t="s">
        <v>629</v>
      </c>
      <c r="M87" s="518" t="str">
        <f t="shared" si="6"/>
        <v>D2Categoria E</v>
      </c>
      <c r="N87" s="165">
        <v>571.904</v>
      </c>
      <c r="O87" s="75">
        <v>126.78399999999999</v>
      </c>
      <c r="P87" s="95"/>
      <c r="Q87" s="11"/>
      <c r="R87" s="11"/>
      <c r="S87" s="11"/>
      <c r="T87" s="11"/>
      <c r="U87" s="11"/>
      <c r="V87" s="11"/>
      <c r="W87" s="11"/>
      <c r="X87" s="11"/>
    </row>
    <row r="88" spans="2:24">
      <c r="B88" s="11"/>
      <c r="C88" s="239" t="str">
        <f t="shared" si="4"/>
        <v>Vivienda Unifamiliar</v>
      </c>
      <c r="D88" s="323" t="s">
        <v>63</v>
      </c>
      <c r="E88" s="289" t="s">
        <v>630</v>
      </c>
      <c r="F88" s="11" t="str">
        <f t="shared" si="5"/>
        <v>Vivienda UnifamiliarD2Categoria F</v>
      </c>
      <c r="G88" s="165">
        <v>461.1</v>
      </c>
      <c r="H88" s="75">
        <v>103.8</v>
      </c>
      <c r="I88" s="94" t="s">
        <v>656</v>
      </c>
      <c r="J88" s="1"/>
      <c r="K88" s="323" t="s">
        <v>63</v>
      </c>
      <c r="L88" s="289" t="s">
        <v>630</v>
      </c>
      <c r="M88" s="518" t="str">
        <f t="shared" si="6"/>
        <v>D2Categoria F</v>
      </c>
      <c r="N88" s="165">
        <v>714.88</v>
      </c>
      <c r="O88" s="75">
        <v>158.47999999999999</v>
      </c>
      <c r="P88" s="95"/>
      <c r="Q88" s="11"/>
      <c r="R88" s="11"/>
      <c r="S88" s="11"/>
      <c r="T88" s="11"/>
      <c r="U88" s="11"/>
      <c r="V88" s="11"/>
      <c r="W88" s="11"/>
      <c r="X88" s="11"/>
    </row>
    <row r="89" spans="2:24">
      <c r="B89" s="11"/>
      <c r="C89" s="239" t="str">
        <f t="shared" si="4"/>
        <v>Vivienda Unifamiliar</v>
      </c>
      <c r="D89" s="323" t="s">
        <v>63</v>
      </c>
      <c r="E89" s="289" t="str">
        <f>IF(Idioma=Castellano,"Consumo nulo",IF(Idioma=Valencià,"Consum nul","Consumo nulo"))</f>
        <v>Consumo nulo</v>
      </c>
      <c r="F89" s="11" t="str">
        <f t="shared" si="5"/>
        <v>Vivienda UnifamiliarD2Consumo nulo</v>
      </c>
      <c r="G89" s="165">
        <v>0</v>
      </c>
      <c r="H89" s="75">
        <v>0</v>
      </c>
      <c r="I89" s="186" t="s">
        <v>658</v>
      </c>
      <c r="J89" s="1"/>
      <c r="K89" s="323" t="s">
        <v>63</v>
      </c>
      <c r="L89" s="289" t="str">
        <f>IF(Idioma=Castellano,"Consumo nulo",IF(Idioma=Valencià,"Consum nul","Consumo nulo"))</f>
        <v>Consumo nulo</v>
      </c>
      <c r="M89" s="518" t="str">
        <f t="shared" si="6"/>
        <v>D2Consumo nulo</v>
      </c>
      <c r="N89" s="165">
        <v>0</v>
      </c>
      <c r="O89" s="75">
        <v>0</v>
      </c>
      <c r="P89" s="95"/>
      <c r="Q89" s="11"/>
      <c r="R89" s="11"/>
      <c r="S89" s="11"/>
      <c r="T89" s="11"/>
      <c r="U89" s="11"/>
      <c r="V89" s="11"/>
      <c r="W89" s="11"/>
      <c r="X89" s="11"/>
    </row>
    <row r="90" spans="2:24">
      <c r="B90" s="11"/>
      <c r="C90" s="239" t="str">
        <f t="shared" si="4"/>
        <v>Vivienda Unifamiliar</v>
      </c>
      <c r="D90" s="323" t="s">
        <v>63</v>
      </c>
      <c r="E90" s="289" t="str">
        <f>IF(Idioma=Castellano,"Sin definir",IF(Idioma=Valencià,"Sense definir","Sin definir"))</f>
        <v>Sin definir</v>
      </c>
      <c r="F90" s="11" t="str">
        <f t="shared" si="5"/>
        <v>Vivienda UnifamiliarD2Sin definir</v>
      </c>
      <c r="G90" s="165">
        <f>G86</f>
        <v>199.3</v>
      </c>
      <c r="H90" s="75">
        <v>44.8</v>
      </c>
      <c r="I90" s="161" t="s">
        <v>659</v>
      </c>
      <c r="J90" s="1"/>
      <c r="K90" s="323" t="s">
        <v>63</v>
      </c>
      <c r="L90" s="289" t="str">
        <f>IF(Idioma=Castellano,"Sin definir",IF(Idioma=Valencià,"Sense definir","Sin definir"))</f>
        <v>Sin definir</v>
      </c>
      <c r="M90" s="518" t="str">
        <f t="shared" si="6"/>
        <v>D2Sin definir</v>
      </c>
      <c r="N90" s="165">
        <f>N86</f>
        <v>464.67200000000003</v>
      </c>
      <c r="O90" s="75">
        <f>O86</f>
        <v>103.012</v>
      </c>
      <c r="P90" s="95"/>
      <c r="Q90" s="11"/>
      <c r="R90" s="11"/>
      <c r="S90" s="11"/>
      <c r="T90" s="11"/>
      <c r="U90" s="11"/>
      <c r="V90" s="11"/>
      <c r="W90" s="11"/>
      <c r="X90" s="11"/>
    </row>
    <row r="91" spans="2:24">
      <c r="B91" s="11"/>
      <c r="C91" s="239" t="str">
        <f t="shared" si="4"/>
        <v>Vivienda Unifamiliar</v>
      </c>
      <c r="D91" s="323" t="s">
        <v>231</v>
      </c>
      <c r="E91" s="289" t="str">
        <f>IF(Idioma=Castellano,"Existente",IF(Idioma=Valencià,"Existent","Existente"))</f>
        <v>Existente</v>
      </c>
      <c r="F91" s="11" t="str">
        <f t="shared" si="5"/>
        <v>Vivienda UnifamiliarD3Existente</v>
      </c>
      <c r="G91" s="165">
        <f>G96</f>
        <v>375.6</v>
      </c>
      <c r="H91" s="75">
        <v>83.7</v>
      </c>
      <c r="I91" s="94" t="s">
        <v>656</v>
      </c>
      <c r="J91" s="1"/>
      <c r="K91" s="323" t="s">
        <v>231</v>
      </c>
      <c r="L91" s="289" t="str">
        <f>IF(Idioma=Castellano,"Existente",IF(Idioma=Valencià,"Existent","Existente"))</f>
        <v>Existente</v>
      </c>
      <c r="M91" s="518" t="str">
        <f t="shared" si="6"/>
        <v>D3Existente</v>
      </c>
      <c r="N91" s="165">
        <f>N96</f>
        <v>600.928</v>
      </c>
      <c r="O91" s="75">
        <f>O96</f>
        <v>133.904</v>
      </c>
      <c r="P91" s="95"/>
      <c r="Q91" s="11"/>
      <c r="R91" s="11"/>
      <c r="S91" s="11"/>
      <c r="T91" s="11"/>
      <c r="U91" s="11"/>
      <c r="V91" s="11"/>
      <c r="W91" s="11"/>
      <c r="X91" s="11"/>
    </row>
    <row r="92" spans="2:24">
      <c r="B92" s="11"/>
      <c r="C92" s="239" t="str">
        <f t="shared" si="4"/>
        <v>Vivienda Unifamiliar</v>
      </c>
      <c r="D92" s="323" t="s">
        <v>231</v>
      </c>
      <c r="E92" s="289" t="s">
        <v>625</v>
      </c>
      <c r="F92" s="11" t="str">
        <f t="shared" si="5"/>
        <v>Vivienda UnifamiliarD3Categoria A</v>
      </c>
      <c r="G92" s="165">
        <v>54.2</v>
      </c>
      <c r="H92" s="75">
        <v>12.2</v>
      </c>
      <c r="I92" s="94" t="s">
        <v>656</v>
      </c>
      <c r="J92" s="1"/>
      <c r="K92" s="323" t="s">
        <v>231</v>
      </c>
      <c r="L92" s="289" t="s">
        <v>625</v>
      </c>
      <c r="M92" s="518" t="str">
        <f t="shared" si="6"/>
        <v>D3Categoria A</v>
      </c>
      <c r="N92" s="165">
        <v>150.232</v>
      </c>
      <c r="O92" s="75">
        <v>33.475999999999999</v>
      </c>
      <c r="P92" s="95"/>
      <c r="Q92" s="11"/>
      <c r="R92" s="11"/>
      <c r="S92" s="11"/>
      <c r="T92" s="11"/>
      <c r="U92" s="11"/>
      <c r="V92" s="11"/>
      <c r="W92" s="11"/>
      <c r="X92" s="11"/>
    </row>
    <row r="93" spans="2:24">
      <c r="B93" s="11"/>
      <c r="C93" s="239" t="str">
        <f t="shared" si="4"/>
        <v>Vivienda Unifamiliar</v>
      </c>
      <c r="D93" s="323" t="s">
        <v>231</v>
      </c>
      <c r="E93" s="289" t="s">
        <v>626</v>
      </c>
      <c r="F93" s="11" t="str">
        <f t="shared" si="5"/>
        <v>Vivienda UnifamiliarD3Categoria B</v>
      </c>
      <c r="G93" s="165">
        <v>87.8</v>
      </c>
      <c r="H93" s="75">
        <v>19.899999999999999</v>
      </c>
      <c r="I93" s="94" t="s">
        <v>656</v>
      </c>
      <c r="J93" s="1"/>
      <c r="K93" s="323" t="s">
        <v>231</v>
      </c>
      <c r="L93" s="289" t="s">
        <v>626</v>
      </c>
      <c r="M93" s="518" t="str">
        <f t="shared" si="6"/>
        <v>D3Categoria B</v>
      </c>
      <c r="N93" s="165">
        <v>244.12700000000001</v>
      </c>
      <c r="O93" s="75">
        <v>54.398499999999999</v>
      </c>
      <c r="P93" s="95"/>
      <c r="Q93" s="11"/>
      <c r="R93" s="11"/>
      <c r="S93" s="11"/>
      <c r="T93" s="11"/>
      <c r="U93" s="11"/>
      <c r="V93" s="11"/>
      <c r="W93" s="11"/>
      <c r="X93" s="11"/>
    </row>
    <row r="94" spans="2:24">
      <c r="B94" s="11"/>
      <c r="C94" s="239" t="str">
        <f t="shared" si="4"/>
        <v>Vivienda Unifamiliar</v>
      </c>
      <c r="D94" s="323" t="s">
        <v>231</v>
      </c>
      <c r="E94" s="289" t="s">
        <v>627</v>
      </c>
      <c r="F94" s="11" t="str">
        <f t="shared" si="5"/>
        <v>Vivienda UnifamiliarD3Categoria C</v>
      </c>
      <c r="G94" s="165">
        <v>136.1</v>
      </c>
      <c r="H94" s="75">
        <v>30.8</v>
      </c>
      <c r="I94" s="94" t="s">
        <v>656</v>
      </c>
      <c r="J94" s="1"/>
      <c r="K94" s="323" t="s">
        <v>231</v>
      </c>
      <c r="L94" s="289" t="s">
        <v>627</v>
      </c>
      <c r="M94" s="518" t="str">
        <f t="shared" si="6"/>
        <v>D3Categoria C</v>
      </c>
      <c r="N94" s="165">
        <v>375.58</v>
      </c>
      <c r="O94" s="75">
        <v>83.69</v>
      </c>
      <c r="P94" s="95"/>
      <c r="Q94" s="11"/>
      <c r="R94" s="11"/>
      <c r="S94" s="11"/>
      <c r="T94" s="11"/>
      <c r="U94" s="11"/>
      <c r="V94" s="11"/>
      <c r="W94" s="11"/>
      <c r="X94" s="11"/>
    </row>
    <row r="95" spans="2:24">
      <c r="B95" s="11"/>
      <c r="C95" s="239" t="str">
        <f t="shared" si="4"/>
        <v>Vivienda Unifamiliar</v>
      </c>
      <c r="D95" s="323" t="s">
        <v>231</v>
      </c>
      <c r="E95" s="289" t="s">
        <v>628</v>
      </c>
      <c r="F95" s="11" t="str">
        <f t="shared" si="5"/>
        <v>Vivienda UnifamiliarD3Categoria D</v>
      </c>
      <c r="G95" s="165">
        <v>209.3</v>
      </c>
      <c r="H95" s="75">
        <v>47.3</v>
      </c>
      <c r="I95" s="94" t="s">
        <v>656</v>
      </c>
      <c r="J95" s="1"/>
      <c r="K95" s="323" t="s">
        <v>231</v>
      </c>
      <c r="L95" s="289" t="s">
        <v>628</v>
      </c>
      <c r="M95" s="518" t="str">
        <f t="shared" si="6"/>
        <v>D3Categoria D</v>
      </c>
      <c r="N95" s="165">
        <v>488.25400000000002</v>
      </c>
      <c r="O95" s="75">
        <v>108.797</v>
      </c>
      <c r="P95" s="95"/>
      <c r="Q95" s="11"/>
      <c r="R95" s="11"/>
      <c r="S95" s="11"/>
      <c r="T95" s="11"/>
      <c r="U95" s="11"/>
      <c r="V95" s="11"/>
      <c r="W95" s="11"/>
      <c r="X95" s="11"/>
    </row>
    <row r="96" spans="2:24">
      <c r="B96" s="11"/>
      <c r="C96" s="239" t="str">
        <f t="shared" si="4"/>
        <v>Vivienda Unifamiliar</v>
      </c>
      <c r="D96" s="323" t="s">
        <v>231</v>
      </c>
      <c r="E96" s="289" t="s">
        <v>629</v>
      </c>
      <c r="F96" s="11" t="str">
        <f t="shared" si="5"/>
        <v>Vivienda UnifamiliarD3Categoria E</v>
      </c>
      <c r="G96" s="165">
        <v>375.6</v>
      </c>
      <c r="H96" s="75">
        <v>83.7</v>
      </c>
      <c r="I96" s="94" t="s">
        <v>656</v>
      </c>
      <c r="J96" s="1"/>
      <c r="K96" s="323" t="s">
        <v>231</v>
      </c>
      <c r="L96" s="289" t="s">
        <v>629</v>
      </c>
      <c r="M96" s="518" t="str">
        <f t="shared" si="6"/>
        <v>D3Categoria E</v>
      </c>
      <c r="N96" s="165">
        <v>600.928</v>
      </c>
      <c r="O96" s="75">
        <v>133.904</v>
      </c>
      <c r="P96" s="95"/>
      <c r="Q96" s="11"/>
      <c r="R96" s="11"/>
      <c r="S96" s="11"/>
      <c r="T96" s="11"/>
      <c r="U96" s="11"/>
      <c r="V96" s="11"/>
      <c r="W96" s="11"/>
      <c r="X96" s="11"/>
    </row>
    <row r="97" spans="2:24">
      <c r="B97" s="11"/>
      <c r="C97" s="239" t="str">
        <f t="shared" si="4"/>
        <v>Vivienda Unifamiliar</v>
      </c>
      <c r="D97" s="323" t="s">
        <v>231</v>
      </c>
      <c r="E97" s="289" t="s">
        <v>630</v>
      </c>
      <c r="F97" s="11" t="str">
        <f t="shared" si="5"/>
        <v>Vivienda UnifamiliarD3Categoria F</v>
      </c>
      <c r="G97" s="165">
        <v>473.2</v>
      </c>
      <c r="H97" s="75">
        <v>100.4</v>
      </c>
      <c r="I97" s="94" t="s">
        <v>656</v>
      </c>
      <c r="J97" s="1"/>
      <c r="K97" s="323" t="s">
        <v>231</v>
      </c>
      <c r="L97" s="289" t="s">
        <v>630</v>
      </c>
      <c r="M97" s="518" t="str">
        <f t="shared" si="6"/>
        <v>D3Categoria F</v>
      </c>
      <c r="N97" s="165">
        <v>751.16</v>
      </c>
      <c r="O97" s="75">
        <v>167.38</v>
      </c>
      <c r="P97" s="95"/>
      <c r="Q97" s="11"/>
      <c r="R97" s="11"/>
      <c r="S97" s="11"/>
      <c r="T97" s="11"/>
      <c r="U97" s="11"/>
      <c r="V97" s="11"/>
      <c r="W97" s="11"/>
      <c r="X97" s="11"/>
    </row>
    <row r="98" spans="2:24">
      <c r="B98" s="11"/>
      <c r="C98" s="239" t="str">
        <f t="shared" si="4"/>
        <v>Vivienda Unifamiliar</v>
      </c>
      <c r="D98" s="323" t="s">
        <v>231</v>
      </c>
      <c r="E98" s="289" t="str">
        <f>IF(Idioma=Castellano,"Consumo nulo",IF(Idioma=Valencià,"Consum nul","Consumo nulo"))</f>
        <v>Consumo nulo</v>
      </c>
      <c r="F98" s="11" t="str">
        <f t="shared" si="5"/>
        <v>Vivienda UnifamiliarD3Consumo nulo</v>
      </c>
      <c r="G98" s="165">
        <v>0</v>
      </c>
      <c r="H98" s="75">
        <v>0</v>
      </c>
      <c r="I98" s="186" t="s">
        <v>658</v>
      </c>
      <c r="J98" s="1"/>
      <c r="K98" s="323" t="s">
        <v>231</v>
      </c>
      <c r="L98" s="289" t="str">
        <f>IF(Idioma=Castellano,"Consumo nulo",IF(Idioma=Valencià,"Consum nul","Consumo nulo"))</f>
        <v>Consumo nulo</v>
      </c>
      <c r="M98" s="518" t="str">
        <f t="shared" si="6"/>
        <v>D3Consumo nulo</v>
      </c>
      <c r="N98" s="165">
        <v>0</v>
      </c>
      <c r="O98" s="75">
        <v>0</v>
      </c>
      <c r="P98" s="95"/>
      <c r="Q98" s="11"/>
      <c r="R98" s="11"/>
      <c r="S98" s="11"/>
      <c r="T98" s="11"/>
      <c r="U98" s="11"/>
      <c r="V98" s="11"/>
      <c r="W98" s="11"/>
      <c r="X98" s="11"/>
    </row>
    <row r="99" spans="2:24">
      <c r="B99" s="11"/>
      <c r="C99" s="239" t="str">
        <f t="shared" si="4"/>
        <v>Vivienda Unifamiliar</v>
      </c>
      <c r="D99" s="323" t="s">
        <v>231</v>
      </c>
      <c r="E99" s="289" t="str">
        <f>IF(Idioma=Castellano,"Sin definir",IF(Idioma=Valencià,"Sense definir","Sin definir"))</f>
        <v>Sin definir</v>
      </c>
      <c r="F99" s="11" t="str">
        <f t="shared" si="5"/>
        <v>Vivienda UnifamiliarD3Sin definir</v>
      </c>
      <c r="G99" s="165">
        <f>G95</f>
        <v>209.3</v>
      </c>
      <c r="H99" s="75">
        <v>47.3</v>
      </c>
      <c r="I99" s="161" t="s">
        <v>659</v>
      </c>
      <c r="J99" s="1"/>
      <c r="K99" s="323" t="s">
        <v>231</v>
      </c>
      <c r="L99" s="289" t="str">
        <f>IF(Idioma=Castellano,"Sin definir",IF(Idioma=Valencià,"Sense definir","Sin definir"))</f>
        <v>Sin definir</v>
      </c>
      <c r="M99" s="518" t="str">
        <f t="shared" si="6"/>
        <v>D3Sin definir</v>
      </c>
      <c r="N99" s="165">
        <f>N106</f>
        <v>885.18</v>
      </c>
      <c r="O99" s="75">
        <f>O105</f>
        <v>163.68</v>
      </c>
      <c r="P99" s="95"/>
      <c r="Q99" s="11"/>
      <c r="R99" s="11"/>
      <c r="S99" s="11"/>
      <c r="T99" s="11"/>
      <c r="U99" s="11"/>
      <c r="V99" s="11"/>
      <c r="W99" s="11"/>
      <c r="X99" s="11"/>
    </row>
    <row r="100" spans="2:24">
      <c r="B100" s="11"/>
      <c r="C100" s="239" t="str">
        <f t="shared" si="4"/>
        <v>Vivienda Unifamiliar</v>
      </c>
      <c r="D100" s="323" t="s">
        <v>86</v>
      </c>
      <c r="E100" s="289" t="str">
        <f>IF(Idioma=Castellano,"Existente",IF(Idioma=Valencià,"Existent","Existente"))</f>
        <v>Existente</v>
      </c>
      <c r="F100" s="11" t="str">
        <f t="shared" si="5"/>
        <v>Vivienda UnifamiliarE1Existente</v>
      </c>
      <c r="G100" s="165">
        <f>G105</f>
        <v>442.6</v>
      </c>
      <c r="H100" s="75">
        <v>102.3</v>
      </c>
      <c r="I100" s="94" t="s">
        <v>656</v>
      </c>
      <c r="J100" s="1"/>
      <c r="K100" s="323" t="s">
        <v>86</v>
      </c>
      <c r="L100" s="289" t="str">
        <f>IF(Idioma=Castellano,"Existente",IF(Idioma=Valencià,"Existent","Existente"))</f>
        <v>Existente</v>
      </c>
      <c r="M100" s="518" t="str">
        <f t="shared" si="6"/>
        <v>E1Existente</v>
      </c>
      <c r="N100" s="165">
        <f>N105</f>
        <v>708.14400000000001</v>
      </c>
      <c r="O100" s="75">
        <v>163.68</v>
      </c>
      <c r="P100" s="95"/>
      <c r="Q100" s="11"/>
      <c r="R100" s="11"/>
      <c r="S100" s="11"/>
      <c r="T100" s="11"/>
      <c r="U100" s="11"/>
      <c r="V100" s="11"/>
      <c r="W100" s="11"/>
      <c r="X100" s="11"/>
    </row>
    <row r="101" spans="2:24">
      <c r="B101" s="11"/>
      <c r="C101" s="239" t="str">
        <f t="shared" si="4"/>
        <v>Vivienda Unifamiliar</v>
      </c>
      <c r="D101" s="323" t="s">
        <v>86</v>
      </c>
      <c r="E101" s="289" t="s">
        <v>625</v>
      </c>
      <c r="F101" s="11" t="str">
        <f t="shared" si="5"/>
        <v>Vivienda UnifamiliarE1Categoria A</v>
      </c>
      <c r="G101" s="165">
        <v>67.7</v>
      </c>
      <c r="H101" s="75">
        <v>15.1</v>
      </c>
      <c r="I101" s="94" t="s">
        <v>656</v>
      </c>
      <c r="J101" s="1"/>
      <c r="K101" s="323" t="s">
        <v>86</v>
      </c>
      <c r="L101" s="289" t="s">
        <v>625</v>
      </c>
      <c r="M101" s="518" t="str">
        <f t="shared" si="6"/>
        <v>E1Categoria A</v>
      </c>
      <c r="N101" s="165">
        <v>177.036</v>
      </c>
      <c r="O101" s="75">
        <v>40.92</v>
      </c>
      <c r="P101" s="95"/>
      <c r="Q101" s="11"/>
      <c r="R101" s="11"/>
      <c r="S101" s="11"/>
      <c r="T101" s="11"/>
      <c r="U101" s="11"/>
      <c r="V101" s="11"/>
      <c r="W101" s="11"/>
      <c r="X101" s="11"/>
    </row>
    <row r="102" spans="2:24">
      <c r="B102" s="11"/>
      <c r="C102" s="239" t="str">
        <f t="shared" si="4"/>
        <v>Vivienda Unifamiliar</v>
      </c>
      <c r="D102" s="323" t="s">
        <v>86</v>
      </c>
      <c r="E102" s="289" t="s">
        <v>626</v>
      </c>
      <c r="F102" s="11" t="str">
        <f t="shared" si="5"/>
        <v>Vivienda UnifamiliarE1Categoria B</v>
      </c>
      <c r="G102" s="165">
        <v>104</v>
      </c>
      <c r="H102" s="75">
        <v>23.2</v>
      </c>
      <c r="I102" s="94" t="s">
        <v>656</v>
      </c>
      <c r="J102" s="1"/>
      <c r="K102" s="323" t="s">
        <v>86</v>
      </c>
      <c r="L102" s="289" t="s">
        <v>626</v>
      </c>
      <c r="M102" s="518" t="str">
        <f t="shared" si="6"/>
        <v>E1Categoria B</v>
      </c>
      <c r="N102" s="165">
        <v>287.68349999999998</v>
      </c>
      <c r="O102" s="75">
        <v>66.495000000000005</v>
      </c>
      <c r="P102" s="95"/>
      <c r="Q102" s="11"/>
      <c r="R102" s="11"/>
      <c r="S102" s="11"/>
      <c r="T102" s="11"/>
      <c r="U102" s="11"/>
      <c r="V102" s="11"/>
      <c r="W102" s="11"/>
      <c r="X102" s="11"/>
    </row>
    <row r="103" spans="2:24">
      <c r="B103" s="11"/>
      <c r="C103" s="239" t="str">
        <f t="shared" si="4"/>
        <v>Vivienda Unifamiliar</v>
      </c>
      <c r="D103" s="323" t="s">
        <v>86</v>
      </c>
      <c r="E103" s="289" t="s">
        <v>627</v>
      </c>
      <c r="F103" s="11" t="str">
        <f t="shared" si="5"/>
        <v>Vivienda UnifamiliarE1Categoria C</v>
      </c>
      <c r="G103" s="165">
        <v>155.19999999999999</v>
      </c>
      <c r="H103" s="75">
        <v>34.5</v>
      </c>
      <c r="I103" s="94" t="s">
        <v>656</v>
      </c>
      <c r="J103" s="1"/>
      <c r="K103" s="323" t="s">
        <v>86</v>
      </c>
      <c r="L103" s="289" t="s">
        <v>627</v>
      </c>
      <c r="M103" s="518" t="str">
        <f t="shared" si="6"/>
        <v>E1Categoria C</v>
      </c>
      <c r="N103" s="165">
        <v>442.59</v>
      </c>
      <c r="O103" s="75">
        <v>102.3</v>
      </c>
      <c r="P103" s="95"/>
      <c r="Q103" s="11"/>
      <c r="R103" s="11"/>
      <c r="S103" s="11"/>
      <c r="T103" s="11"/>
      <c r="U103" s="11"/>
      <c r="V103" s="11"/>
      <c r="W103" s="11"/>
      <c r="X103" s="11"/>
    </row>
    <row r="104" spans="2:24">
      <c r="B104" s="11"/>
      <c r="C104" s="239" t="str">
        <f t="shared" si="4"/>
        <v>Vivienda Unifamiliar</v>
      </c>
      <c r="D104" s="323" t="s">
        <v>86</v>
      </c>
      <c r="E104" s="289" t="s">
        <v>628</v>
      </c>
      <c r="F104" s="11" t="str">
        <f t="shared" si="5"/>
        <v>Vivienda UnifamiliarE1Categoria D</v>
      </c>
      <c r="G104" s="165">
        <v>231.1</v>
      </c>
      <c r="H104" s="75">
        <v>51.5</v>
      </c>
      <c r="I104" s="94" t="s">
        <v>656</v>
      </c>
      <c r="J104" s="1"/>
      <c r="K104" s="323" t="s">
        <v>86</v>
      </c>
      <c r="L104" s="289" t="s">
        <v>628</v>
      </c>
      <c r="M104" s="518" t="str">
        <f t="shared" si="6"/>
        <v>E1Categoria D</v>
      </c>
      <c r="N104" s="165">
        <v>575.36699999999996</v>
      </c>
      <c r="O104" s="75">
        <v>132.99</v>
      </c>
      <c r="P104" s="95"/>
      <c r="Q104" s="11"/>
      <c r="R104" s="11"/>
      <c r="S104" s="11"/>
      <c r="T104" s="11"/>
      <c r="U104" s="11"/>
      <c r="V104" s="11"/>
      <c r="W104" s="11"/>
      <c r="X104" s="11"/>
    </row>
    <row r="105" spans="2:24">
      <c r="B105" s="11"/>
      <c r="C105" s="239" t="str">
        <f t="shared" si="4"/>
        <v>Vivienda Unifamiliar</v>
      </c>
      <c r="D105" s="323" t="s">
        <v>86</v>
      </c>
      <c r="E105" s="289" t="s">
        <v>629</v>
      </c>
      <c r="F105" s="11" t="str">
        <f t="shared" si="5"/>
        <v>Vivienda UnifamiliarE1Categoria E</v>
      </c>
      <c r="G105" s="165">
        <v>442.6</v>
      </c>
      <c r="H105" s="75">
        <v>102.3</v>
      </c>
      <c r="I105" s="94" t="s">
        <v>656</v>
      </c>
      <c r="J105" s="1"/>
      <c r="K105" s="323" t="s">
        <v>86</v>
      </c>
      <c r="L105" s="289" t="s">
        <v>629</v>
      </c>
      <c r="M105" s="518" t="str">
        <f t="shared" si="6"/>
        <v>E1Categoria E</v>
      </c>
      <c r="N105" s="165">
        <v>708.14400000000001</v>
      </c>
      <c r="O105" s="75">
        <v>163.68</v>
      </c>
      <c r="P105" s="95"/>
      <c r="Q105" s="11"/>
      <c r="R105" s="11"/>
      <c r="S105" s="11"/>
      <c r="T105" s="11"/>
      <c r="U105" s="11"/>
      <c r="V105" s="11"/>
      <c r="W105" s="11"/>
      <c r="X105" s="11"/>
    </row>
    <row r="106" spans="2:24">
      <c r="B106" s="11"/>
      <c r="C106" s="239" t="str">
        <f t="shared" si="4"/>
        <v>Vivienda Unifamiliar</v>
      </c>
      <c r="D106" s="323" t="s">
        <v>86</v>
      </c>
      <c r="E106" s="289" t="s">
        <v>630</v>
      </c>
      <c r="F106" s="11" t="str">
        <f t="shared" si="5"/>
        <v>Vivienda UnifamiliarE1Categoria F</v>
      </c>
      <c r="G106" s="165">
        <v>517.79999999999995</v>
      </c>
      <c r="H106" s="75">
        <v>119.7</v>
      </c>
      <c r="I106" s="94" t="s">
        <v>656</v>
      </c>
      <c r="J106" s="1"/>
      <c r="K106" s="323" t="s">
        <v>86</v>
      </c>
      <c r="L106" s="289" t="s">
        <v>630</v>
      </c>
      <c r="M106" s="518" t="str">
        <f t="shared" si="6"/>
        <v>E1Categoria F</v>
      </c>
      <c r="N106" s="165">
        <v>885.18</v>
      </c>
      <c r="O106" s="75">
        <v>204.6</v>
      </c>
      <c r="P106" s="95"/>
      <c r="Q106" s="11"/>
      <c r="R106" s="11"/>
      <c r="S106" s="11"/>
      <c r="T106" s="11"/>
      <c r="U106" s="11"/>
      <c r="V106" s="11"/>
      <c r="W106" s="11"/>
      <c r="X106" s="11"/>
    </row>
    <row r="107" spans="2:24">
      <c r="B107" s="11"/>
      <c r="C107" s="239" t="str">
        <f t="shared" si="4"/>
        <v>Vivienda Unifamiliar</v>
      </c>
      <c r="D107" s="323" t="s">
        <v>86</v>
      </c>
      <c r="E107" s="289" t="str">
        <f>IF(Idioma=Castellano,"Consumo nulo",IF(Idioma=Valencià,"Consum nul","Consumo nulo"))</f>
        <v>Consumo nulo</v>
      </c>
      <c r="F107" s="11" t="str">
        <f t="shared" si="5"/>
        <v>Vivienda UnifamiliarE1Consumo nulo</v>
      </c>
      <c r="G107" s="165">
        <v>0</v>
      </c>
      <c r="H107" s="75">
        <v>0</v>
      </c>
      <c r="I107" s="186" t="s">
        <v>658</v>
      </c>
      <c r="J107" s="1"/>
      <c r="K107" s="323" t="s">
        <v>86</v>
      </c>
      <c r="L107" s="289" t="str">
        <f>IF(Idioma=Castellano,"Consumo nulo",IF(Idioma=Valencià,"Consum nul","Consumo nulo"))</f>
        <v>Consumo nulo</v>
      </c>
      <c r="M107" s="518" t="str">
        <f t="shared" si="6"/>
        <v>E1Consumo nulo</v>
      </c>
      <c r="N107" s="165">
        <v>0</v>
      </c>
      <c r="O107" s="75">
        <v>0</v>
      </c>
      <c r="P107" s="95"/>
      <c r="Q107" s="11"/>
      <c r="R107" s="11"/>
      <c r="S107" s="11"/>
      <c r="T107" s="11"/>
      <c r="U107" s="11"/>
      <c r="V107" s="11"/>
      <c r="W107" s="11"/>
      <c r="X107" s="11"/>
    </row>
    <row r="108" spans="2:24">
      <c r="B108" s="11"/>
      <c r="C108" s="239" t="str">
        <f t="shared" si="4"/>
        <v>Vivienda Unifamiliar</v>
      </c>
      <c r="D108" s="323" t="s">
        <v>86</v>
      </c>
      <c r="E108" s="289" t="str">
        <f>IF(Idioma=Castellano,"Sin definir",IF(Idioma=Valencià,"Sense definir","Sin definir"))</f>
        <v>Sin definir</v>
      </c>
      <c r="F108" s="11" t="str">
        <f t="shared" si="5"/>
        <v>Vivienda UnifamiliarE1Sin definir</v>
      </c>
      <c r="G108" s="165">
        <f>G104</f>
        <v>231.1</v>
      </c>
      <c r="H108" s="75">
        <v>51.5</v>
      </c>
      <c r="I108" s="161" t="s">
        <v>659</v>
      </c>
      <c r="J108" s="1"/>
      <c r="K108" s="323" t="s">
        <v>86</v>
      </c>
      <c r="L108" s="289" t="str">
        <f>IF(Idioma=Castellano,"Sin definir",IF(Idioma=Valencià,"Sense definir","Sin definir"))</f>
        <v>Sin definir</v>
      </c>
      <c r="M108" s="518" t="str">
        <f t="shared" si="6"/>
        <v>E1Sin definir</v>
      </c>
      <c r="N108" s="165">
        <f>N104</f>
        <v>575.36699999999996</v>
      </c>
      <c r="O108" s="75">
        <v>102.3</v>
      </c>
      <c r="P108" s="95"/>
      <c r="Q108" s="11"/>
      <c r="R108" s="11"/>
      <c r="S108" s="11"/>
      <c r="T108" s="11"/>
      <c r="U108" s="11"/>
      <c r="V108" s="11"/>
      <c r="W108" s="11"/>
      <c r="X108" s="11"/>
    </row>
    <row r="109" spans="2:24">
      <c r="B109" s="11"/>
      <c r="C109" s="239" t="str">
        <f t="shared" ref="C109:C140" si="7">IF(Idioma=Castellano,"Vivienda Plurifamiliar",IF(Idioma=Valencià,"Habitatge Plurifamiliar","Vivienda Plurifamiliar"))</f>
        <v>Vivienda Plurifamiliar</v>
      </c>
      <c r="D109" s="323" t="s">
        <v>380</v>
      </c>
      <c r="E109" s="289" t="str">
        <f>IF(Idioma=Castellano,"Existente",IF(Idioma=Valencià,"Existent","Existente"))</f>
        <v>Existente</v>
      </c>
      <c r="F109" s="11" t="str">
        <f t="shared" si="5"/>
        <v>Vivienda PlurifamiliarA3Existente</v>
      </c>
      <c r="G109" s="165">
        <f>G114</f>
        <v>199.4</v>
      </c>
      <c r="H109" s="75">
        <v>32.700000000000003</v>
      </c>
      <c r="I109" s="94" t="s">
        <v>656</v>
      </c>
      <c r="J109" s="1"/>
      <c r="K109" s="1"/>
      <c r="L109" s="1"/>
      <c r="M109" s="1"/>
      <c r="N109" s="1"/>
      <c r="O109" s="11"/>
      <c r="P109" s="11"/>
      <c r="Q109" s="11"/>
      <c r="R109" s="11"/>
      <c r="S109" s="11"/>
      <c r="T109" s="11"/>
      <c r="U109" s="11"/>
      <c r="V109" s="11"/>
      <c r="W109" s="11"/>
      <c r="X109" s="11"/>
    </row>
    <row r="110" spans="2:24">
      <c r="B110" s="11"/>
      <c r="C110" s="239" t="str">
        <f t="shared" si="7"/>
        <v>Vivienda Plurifamiliar</v>
      </c>
      <c r="D110" s="323" t="s">
        <v>380</v>
      </c>
      <c r="E110" s="289" t="s">
        <v>625</v>
      </c>
      <c r="F110" s="11" t="str">
        <f t="shared" si="5"/>
        <v>Vivienda PlurifamiliarA3Categoria A</v>
      </c>
      <c r="G110" s="165">
        <v>21.2</v>
      </c>
      <c r="H110" s="75">
        <v>2.9</v>
      </c>
      <c r="I110" s="94" t="s">
        <v>656</v>
      </c>
      <c r="J110" s="1"/>
      <c r="K110" s="1"/>
      <c r="L110" s="1"/>
      <c r="M110" s="1"/>
      <c r="N110" s="1"/>
      <c r="O110" s="11"/>
      <c r="P110" s="11"/>
      <c r="Q110" s="11"/>
      <c r="R110" s="11"/>
      <c r="S110" s="11"/>
      <c r="T110" s="11"/>
      <c r="U110" s="11"/>
      <c r="V110" s="11"/>
      <c r="W110" s="11"/>
      <c r="X110" s="11"/>
    </row>
    <row r="111" spans="2:24">
      <c r="B111" s="11"/>
      <c r="C111" s="239" t="str">
        <f t="shared" si="7"/>
        <v>Vivienda Plurifamiliar</v>
      </c>
      <c r="D111" s="323" t="s">
        <v>380</v>
      </c>
      <c r="E111" s="289" t="s">
        <v>626</v>
      </c>
      <c r="F111" s="11" t="str">
        <f t="shared" si="5"/>
        <v>Vivienda PlurifamiliarA3Categoria B</v>
      </c>
      <c r="G111" s="165">
        <v>40.200000000000003</v>
      </c>
      <c r="H111" s="75">
        <v>5.4</v>
      </c>
      <c r="I111" s="94" t="s">
        <v>656</v>
      </c>
      <c r="J111" s="1"/>
      <c r="K111" s="1"/>
      <c r="L111" s="1"/>
      <c r="M111" s="1"/>
      <c r="N111" s="1"/>
      <c r="O111" s="11"/>
      <c r="P111" s="11"/>
      <c r="Q111" s="11"/>
      <c r="R111" s="11"/>
      <c r="S111" s="11"/>
      <c r="T111" s="11"/>
      <c r="U111" s="11"/>
      <c r="V111" s="11"/>
      <c r="W111" s="11"/>
      <c r="X111" s="11"/>
    </row>
    <row r="112" spans="2:24">
      <c r="B112" s="11"/>
      <c r="C112" s="239" t="str">
        <f t="shared" si="7"/>
        <v>Vivienda Plurifamiliar</v>
      </c>
      <c r="D112" s="323" t="s">
        <v>380</v>
      </c>
      <c r="E112" s="289" t="s">
        <v>627</v>
      </c>
      <c r="F112" s="11" t="str">
        <f t="shared" si="5"/>
        <v>Vivienda PlurifamiliarA3Categoria C</v>
      </c>
      <c r="G112" s="165">
        <v>67.900000000000006</v>
      </c>
      <c r="H112" s="75">
        <v>9.1999999999999993</v>
      </c>
      <c r="I112" s="94" t="s">
        <v>656</v>
      </c>
      <c r="J112" s="1"/>
      <c r="K112" s="1"/>
      <c r="L112" s="1"/>
      <c r="M112" s="1"/>
      <c r="N112" s="1"/>
      <c r="O112" s="11"/>
      <c r="P112" s="11"/>
      <c r="Q112" s="11"/>
      <c r="R112" s="11"/>
      <c r="S112" s="11"/>
      <c r="T112" s="11"/>
      <c r="U112" s="11"/>
      <c r="V112" s="11"/>
      <c r="W112" s="11"/>
      <c r="X112" s="11"/>
    </row>
    <row r="113" spans="2:24">
      <c r="B113" s="11"/>
      <c r="C113" s="239" t="str">
        <f t="shared" si="7"/>
        <v>Vivienda Plurifamiliar</v>
      </c>
      <c r="D113" s="323" t="s">
        <v>380</v>
      </c>
      <c r="E113" s="289" t="s">
        <v>628</v>
      </c>
      <c r="F113" s="11" t="str">
        <f t="shared" si="5"/>
        <v>Vivienda PlurifamiliarA3Categoria D</v>
      </c>
      <c r="G113" s="165">
        <v>108.8</v>
      </c>
      <c r="H113" s="75">
        <v>14.7</v>
      </c>
      <c r="I113" s="94" t="s">
        <v>656</v>
      </c>
      <c r="J113" s="1"/>
      <c r="K113" s="1"/>
      <c r="L113" s="1"/>
      <c r="M113" s="1"/>
      <c r="N113" s="1"/>
      <c r="O113" s="11"/>
      <c r="P113" s="11"/>
      <c r="Q113" s="11"/>
      <c r="R113" s="11"/>
      <c r="S113" s="11"/>
      <c r="T113" s="11"/>
      <c r="U113" s="11"/>
      <c r="V113" s="11"/>
      <c r="W113" s="11"/>
      <c r="X113" s="11"/>
    </row>
    <row r="114" spans="2:24">
      <c r="B114" s="11"/>
      <c r="C114" s="239" t="str">
        <f t="shared" si="7"/>
        <v>Vivienda Plurifamiliar</v>
      </c>
      <c r="D114" s="323" t="s">
        <v>380</v>
      </c>
      <c r="E114" s="289" t="s">
        <v>629</v>
      </c>
      <c r="F114" s="11" t="str">
        <f t="shared" si="5"/>
        <v>Vivienda PlurifamiliarA3Categoria E</v>
      </c>
      <c r="G114" s="165">
        <v>199.4</v>
      </c>
      <c r="H114" s="75">
        <v>32.700000000000003</v>
      </c>
      <c r="I114" s="94" t="s">
        <v>656</v>
      </c>
      <c r="J114" s="1"/>
      <c r="K114" s="1"/>
      <c r="L114" s="1"/>
      <c r="M114" s="1"/>
      <c r="N114" s="1"/>
      <c r="O114" s="11"/>
      <c r="P114" s="11"/>
      <c r="Q114" s="11"/>
      <c r="R114" s="11"/>
      <c r="S114" s="11"/>
      <c r="T114" s="11"/>
      <c r="U114" s="11"/>
      <c r="V114" s="11"/>
      <c r="W114" s="11"/>
      <c r="X114" s="11"/>
    </row>
    <row r="115" spans="2:24">
      <c r="B115" s="11"/>
      <c r="C115" s="239" t="str">
        <f t="shared" si="7"/>
        <v>Vivienda Plurifamiliar</v>
      </c>
      <c r="D115" s="323" t="s">
        <v>380</v>
      </c>
      <c r="E115" s="289" t="s">
        <v>630</v>
      </c>
      <c r="F115" s="11" t="str">
        <f t="shared" si="5"/>
        <v>Vivienda PlurifamiliarA3Categoria F</v>
      </c>
      <c r="G115" s="165">
        <v>233.2</v>
      </c>
      <c r="H115" s="75">
        <v>36.9</v>
      </c>
      <c r="I115" s="94" t="s">
        <v>656</v>
      </c>
      <c r="J115" s="1"/>
      <c r="K115" s="1"/>
      <c r="L115" s="1"/>
      <c r="M115" s="1"/>
      <c r="N115" s="1"/>
      <c r="O115" s="11"/>
      <c r="P115" s="11"/>
      <c r="Q115" s="11"/>
      <c r="R115" s="11"/>
      <c r="S115" s="11"/>
      <c r="T115" s="11"/>
      <c r="U115" s="11"/>
      <c r="V115" s="11"/>
      <c r="W115" s="11"/>
      <c r="X115" s="11"/>
    </row>
    <row r="116" spans="2:24">
      <c r="B116" s="11"/>
      <c r="C116" s="239" t="str">
        <f t="shared" si="7"/>
        <v>Vivienda Plurifamiliar</v>
      </c>
      <c r="D116" s="323" t="s">
        <v>380</v>
      </c>
      <c r="E116" s="289" t="str">
        <f>IF(Idioma=Castellano,"Consumo nulo",IF(Idioma=Valencià,"Consum nul","Consumo nulo"))</f>
        <v>Consumo nulo</v>
      </c>
      <c r="F116" s="11" t="str">
        <f t="shared" si="5"/>
        <v>Vivienda PlurifamiliarA3Consumo nulo</v>
      </c>
      <c r="G116" s="165">
        <v>0</v>
      </c>
      <c r="H116" s="75">
        <v>0</v>
      </c>
      <c r="I116" s="186" t="s">
        <v>658</v>
      </c>
      <c r="J116" s="1"/>
      <c r="K116" s="1"/>
      <c r="L116" s="1"/>
      <c r="M116" s="1"/>
      <c r="N116" s="1"/>
      <c r="O116" s="11"/>
      <c r="P116" s="11"/>
      <c r="Q116" s="11"/>
      <c r="R116" s="11"/>
      <c r="S116" s="11"/>
      <c r="T116" s="11"/>
      <c r="U116" s="11"/>
      <c r="V116" s="11"/>
      <c r="W116" s="11"/>
      <c r="X116" s="11"/>
    </row>
    <row r="117" spans="2:24">
      <c r="B117" s="11"/>
      <c r="C117" s="239" t="str">
        <f t="shared" si="7"/>
        <v>Vivienda Plurifamiliar</v>
      </c>
      <c r="D117" s="323" t="s">
        <v>380</v>
      </c>
      <c r="E117" s="289" t="str">
        <f>IF(Idioma=Castellano,"Sin definir",IF(Idioma=Valencià,"Sense definir","Sin definir"))</f>
        <v>Sin definir</v>
      </c>
      <c r="F117" s="11" t="str">
        <f t="shared" si="5"/>
        <v>Vivienda PlurifamiliarA3Sin definir</v>
      </c>
      <c r="G117" s="165">
        <f>G113</f>
        <v>108.8</v>
      </c>
      <c r="H117" s="75">
        <v>14.7</v>
      </c>
      <c r="I117" s="161" t="s">
        <v>659</v>
      </c>
      <c r="J117" s="1"/>
      <c r="K117" s="1"/>
      <c r="L117" s="1"/>
      <c r="M117" s="1"/>
      <c r="N117" s="1"/>
      <c r="O117" s="11"/>
      <c r="P117" s="11"/>
      <c r="Q117" s="11"/>
      <c r="R117" s="11"/>
      <c r="S117" s="11"/>
      <c r="T117" s="11"/>
      <c r="U117" s="11"/>
      <c r="V117" s="11"/>
      <c r="W117" s="11"/>
      <c r="X117" s="11"/>
    </row>
    <row r="118" spans="2:24">
      <c r="B118" s="11"/>
      <c r="C118" s="239" t="str">
        <f t="shared" si="7"/>
        <v>Vivienda Plurifamiliar</v>
      </c>
      <c r="D118" s="323" t="s">
        <v>301</v>
      </c>
      <c r="E118" s="289" t="str">
        <f>IF(Idioma=Castellano,"Existente",IF(Idioma=Valencià,"Existent","Existente"))</f>
        <v>Existente</v>
      </c>
      <c r="F118" s="11" t="str">
        <f t="shared" si="5"/>
        <v>Vivienda PlurifamiliarA4Existente</v>
      </c>
      <c r="G118" s="165">
        <f>G123</f>
        <v>218.5</v>
      </c>
      <c r="H118" s="75">
        <v>35.200000000000003</v>
      </c>
      <c r="I118" s="94" t="s">
        <v>656</v>
      </c>
      <c r="J118" s="1"/>
      <c r="K118" s="1"/>
      <c r="L118" s="1"/>
      <c r="M118" s="1"/>
      <c r="N118" s="1"/>
      <c r="O118" s="11"/>
      <c r="P118" s="11"/>
      <c r="Q118" s="11"/>
      <c r="R118" s="11"/>
      <c r="S118" s="11"/>
      <c r="T118" s="11"/>
      <c r="U118" s="11"/>
      <c r="V118" s="11"/>
      <c r="W118" s="11"/>
      <c r="X118" s="11"/>
    </row>
    <row r="119" spans="2:24">
      <c r="B119" s="11"/>
      <c r="C119" s="239" t="str">
        <f t="shared" si="7"/>
        <v>Vivienda Plurifamiliar</v>
      </c>
      <c r="D119" s="323" t="s">
        <v>301</v>
      </c>
      <c r="E119" s="289" t="s">
        <v>625</v>
      </c>
      <c r="F119" s="11" t="str">
        <f t="shared" si="5"/>
        <v>Vivienda PlurifamiliarA4Categoria A</v>
      </c>
      <c r="G119" s="165">
        <v>24.5</v>
      </c>
      <c r="H119" s="75">
        <v>3.2</v>
      </c>
      <c r="I119" s="94" t="s">
        <v>656</v>
      </c>
      <c r="J119" s="1"/>
      <c r="K119" s="1"/>
      <c r="L119" s="1"/>
      <c r="M119" s="1"/>
      <c r="N119" s="1"/>
      <c r="O119" s="11"/>
      <c r="P119" s="11"/>
      <c r="Q119" s="11"/>
      <c r="R119" s="11"/>
      <c r="S119" s="11"/>
      <c r="T119" s="11"/>
      <c r="U119" s="11"/>
      <c r="V119" s="11"/>
      <c r="W119" s="11"/>
      <c r="X119" s="11"/>
    </row>
    <row r="120" spans="2:24">
      <c r="B120" s="11"/>
      <c r="C120" s="239" t="str">
        <f t="shared" si="7"/>
        <v>Vivienda Plurifamiliar</v>
      </c>
      <c r="D120" s="323" t="s">
        <v>301</v>
      </c>
      <c r="E120" s="289" t="s">
        <v>626</v>
      </c>
      <c r="F120" s="11" t="str">
        <f t="shared" si="5"/>
        <v>Vivienda PlurifamiliarA4Categoria B</v>
      </c>
      <c r="G120" s="165">
        <v>46.4</v>
      </c>
      <c r="H120" s="75">
        <v>6.1</v>
      </c>
      <c r="I120" s="94" t="s">
        <v>656</v>
      </c>
      <c r="J120" s="1"/>
      <c r="K120" s="1"/>
      <c r="L120" s="1"/>
      <c r="M120" s="1"/>
      <c r="N120" s="1"/>
      <c r="O120" s="11"/>
      <c r="P120" s="11"/>
      <c r="Q120" s="11"/>
      <c r="R120" s="11"/>
      <c r="S120" s="11"/>
      <c r="T120" s="11"/>
      <c r="U120" s="11"/>
      <c r="V120" s="11"/>
      <c r="W120" s="11"/>
      <c r="X120" s="11"/>
    </row>
    <row r="121" spans="2:24">
      <c r="B121" s="11"/>
      <c r="C121" s="239" t="str">
        <f t="shared" si="7"/>
        <v>Vivienda Plurifamiliar</v>
      </c>
      <c r="D121" s="323" t="s">
        <v>301</v>
      </c>
      <c r="E121" s="289" t="s">
        <v>627</v>
      </c>
      <c r="F121" s="11" t="str">
        <f t="shared" si="5"/>
        <v>Vivienda PlurifamiliarA4Categoria C</v>
      </c>
      <c r="G121" s="165">
        <v>78.5</v>
      </c>
      <c r="H121" s="75">
        <v>10.3</v>
      </c>
      <c r="I121" s="94" t="s">
        <v>656</v>
      </c>
      <c r="J121" s="1"/>
      <c r="K121" s="1"/>
      <c r="L121" s="1"/>
      <c r="M121" s="1"/>
      <c r="N121" s="1"/>
      <c r="O121" s="11"/>
      <c r="P121" s="11"/>
      <c r="Q121" s="11"/>
      <c r="R121" s="11"/>
      <c r="S121" s="11"/>
      <c r="T121" s="11"/>
      <c r="U121" s="11"/>
      <c r="V121" s="11"/>
      <c r="W121" s="11"/>
      <c r="X121" s="11"/>
    </row>
    <row r="122" spans="2:24">
      <c r="B122" s="11"/>
      <c r="C122" s="239" t="str">
        <f t="shared" si="7"/>
        <v>Vivienda Plurifamiliar</v>
      </c>
      <c r="D122" s="323" t="s">
        <v>301</v>
      </c>
      <c r="E122" s="289" t="s">
        <v>628</v>
      </c>
      <c r="F122" s="11" t="str">
        <f t="shared" si="5"/>
        <v>Vivienda PlurifamiliarA4Categoria D</v>
      </c>
      <c r="G122" s="165">
        <v>125.8</v>
      </c>
      <c r="H122" s="75">
        <v>16.399999999999999</v>
      </c>
      <c r="I122" s="94" t="s">
        <v>656</v>
      </c>
      <c r="J122" s="1"/>
      <c r="K122" s="1"/>
      <c r="L122" s="1"/>
      <c r="M122" s="1"/>
      <c r="N122" s="1"/>
      <c r="O122" s="11"/>
      <c r="P122" s="11"/>
      <c r="Q122" s="11"/>
      <c r="R122" s="11"/>
      <c r="S122" s="11"/>
      <c r="T122" s="11"/>
      <c r="U122" s="11"/>
      <c r="V122" s="11"/>
      <c r="W122" s="11"/>
      <c r="X122" s="11"/>
    </row>
    <row r="123" spans="2:24">
      <c r="B123" s="11"/>
      <c r="C123" s="239" t="str">
        <f t="shared" si="7"/>
        <v>Vivienda Plurifamiliar</v>
      </c>
      <c r="D123" s="323" t="s">
        <v>301</v>
      </c>
      <c r="E123" s="289" t="s">
        <v>629</v>
      </c>
      <c r="F123" s="11" t="str">
        <f t="shared" si="5"/>
        <v>Vivienda PlurifamiliarA4Categoria E</v>
      </c>
      <c r="G123" s="165">
        <v>218.5</v>
      </c>
      <c r="H123" s="75">
        <v>35.200000000000003</v>
      </c>
      <c r="I123" s="94" t="s">
        <v>656</v>
      </c>
      <c r="J123" s="1"/>
      <c r="K123" s="1"/>
      <c r="L123" s="1"/>
      <c r="M123" s="1"/>
      <c r="N123" s="1"/>
      <c r="O123" s="11"/>
      <c r="P123" s="11"/>
      <c r="Q123" s="11"/>
      <c r="R123" s="11"/>
      <c r="S123" s="11"/>
      <c r="T123" s="11"/>
      <c r="U123" s="11"/>
      <c r="V123" s="11"/>
      <c r="W123" s="11"/>
      <c r="X123" s="11"/>
    </row>
    <row r="124" spans="2:24">
      <c r="B124" s="11"/>
      <c r="C124" s="239" t="str">
        <f t="shared" si="7"/>
        <v>Vivienda Plurifamiliar</v>
      </c>
      <c r="D124" s="323" t="s">
        <v>301</v>
      </c>
      <c r="E124" s="289" t="s">
        <v>630</v>
      </c>
      <c r="F124" s="11" t="str">
        <f t="shared" si="5"/>
        <v>Vivienda PlurifamiliarA4Categoria F</v>
      </c>
      <c r="G124" s="165">
        <v>238.2</v>
      </c>
      <c r="H124" s="75">
        <v>38.4</v>
      </c>
      <c r="I124" s="94" t="s">
        <v>656</v>
      </c>
      <c r="J124" s="1"/>
      <c r="K124" s="1"/>
      <c r="L124" s="1"/>
      <c r="M124" s="1"/>
      <c r="N124" s="1"/>
      <c r="O124" s="11"/>
      <c r="P124" s="11"/>
      <c r="Q124" s="11"/>
      <c r="R124" s="11"/>
      <c r="S124" s="11"/>
      <c r="T124" s="11"/>
      <c r="U124" s="11"/>
      <c r="V124" s="11"/>
      <c r="W124" s="11"/>
      <c r="X124" s="11"/>
    </row>
    <row r="125" spans="2:24">
      <c r="B125" s="11"/>
      <c r="C125" s="239" t="str">
        <f t="shared" si="7"/>
        <v>Vivienda Plurifamiliar</v>
      </c>
      <c r="D125" s="323" t="s">
        <v>301</v>
      </c>
      <c r="E125" s="289" t="str">
        <f>IF(Idioma=Castellano,"Consumo nulo",IF(Idioma=Valencià,"Consum nul","Consumo nulo"))</f>
        <v>Consumo nulo</v>
      </c>
      <c r="F125" s="11" t="str">
        <f t="shared" si="5"/>
        <v>Vivienda PlurifamiliarA4Consumo nulo</v>
      </c>
      <c r="G125" s="165">
        <v>0</v>
      </c>
      <c r="H125" s="75">
        <v>0</v>
      </c>
      <c r="I125" s="186" t="s">
        <v>658</v>
      </c>
      <c r="J125" s="1"/>
      <c r="K125" s="1"/>
      <c r="L125" s="1"/>
      <c r="M125" s="1"/>
      <c r="N125" s="1"/>
      <c r="O125" s="11"/>
      <c r="P125" s="11"/>
      <c r="Q125" s="11"/>
      <c r="R125" s="11"/>
      <c r="S125" s="11"/>
      <c r="T125" s="11"/>
      <c r="U125" s="11"/>
      <c r="V125" s="11"/>
      <c r="W125" s="11"/>
      <c r="X125" s="11"/>
    </row>
    <row r="126" spans="2:24">
      <c r="B126" s="11"/>
      <c r="C126" s="239" t="str">
        <f t="shared" si="7"/>
        <v>Vivienda Plurifamiliar</v>
      </c>
      <c r="D126" s="323" t="s">
        <v>301</v>
      </c>
      <c r="E126" s="289" t="str">
        <f>IF(Idioma=Castellano,"Sin definir",IF(Idioma=Valencià,"Sense definir","Sin definir"))</f>
        <v>Sin definir</v>
      </c>
      <c r="F126" s="11" t="str">
        <f t="shared" si="5"/>
        <v>Vivienda PlurifamiliarA4Sin definir</v>
      </c>
      <c r="G126" s="165">
        <f>G122</f>
        <v>125.8</v>
      </c>
      <c r="H126" s="75">
        <v>16.399999999999999</v>
      </c>
      <c r="I126" s="161" t="s">
        <v>659</v>
      </c>
      <c r="J126" s="1"/>
      <c r="K126" s="1"/>
      <c r="L126" s="1"/>
      <c r="M126" s="1"/>
      <c r="N126" s="1"/>
      <c r="O126" s="11"/>
      <c r="P126" s="11"/>
      <c r="Q126" s="11"/>
      <c r="R126" s="11"/>
      <c r="S126" s="11"/>
      <c r="T126" s="11"/>
      <c r="U126" s="11"/>
      <c r="V126" s="11"/>
      <c r="W126" s="11"/>
      <c r="X126" s="11"/>
    </row>
    <row r="127" spans="2:24">
      <c r="B127" s="11"/>
      <c r="C127" s="239" t="str">
        <f t="shared" si="7"/>
        <v>Vivienda Plurifamiliar</v>
      </c>
      <c r="D127" s="323" t="s">
        <v>34</v>
      </c>
      <c r="E127" s="289" t="str">
        <f>IF(Idioma=Castellano,"Existente",IF(Idioma=Valencià,"Existent","Existente"))</f>
        <v>Existente</v>
      </c>
      <c r="F127" s="11" t="str">
        <f t="shared" si="5"/>
        <v>Vivienda PlurifamiliarB3Existente</v>
      </c>
      <c r="G127" s="165">
        <f>G132</f>
        <v>242.7</v>
      </c>
      <c r="H127" s="75">
        <v>41.5</v>
      </c>
      <c r="I127" s="94" t="s">
        <v>656</v>
      </c>
      <c r="J127" s="1"/>
      <c r="K127" s="1"/>
      <c r="L127" s="1"/>
      <c r="M127" s="1"/>
      <c r="N127" s="1"/>
      <c r="O127" s="11"/>
      <c r="P127" s="11"/>
      <c r="Q127" s="11"/>
      <c r="R127" s="11"/>
      <c r="S127" s="11"/>
      <c r="T127" s="11"/>
      <c r="U127" s="11"/>
      <c r="V127" s="11"/>
      <c r="W127" s="11"/>
      <c r="X127" s="11"/>
    </row>
    <row r="128" spans="2:24">
      <c r="B128" s="11"/>
      <c r="C128" s="239" t="str">
        <f t="shared" si="7"/>
        <v>Vivienda Plurifamiliar</v>
      </c>
      <c r="D128" s="323" t="s">
        <v>34</v>
      </c>
      <c r="E128" s="289" t="s">
        <v>625</v>
      </c>
      <c r="F128" s="11" t="str">
        <f t="shared" si="5"/>
        <v>Vivienda PlurifamiliarB3Categoria A</v>
      </c>
      <c r="G128" s="165">
        <v>26.1</v>
      </c>
      <c r="H128" s="75">
        <v>3.6</v>
      </c>
      <c r="I128" s="94" t="s">
        <v>656</v>
      </c>
      <c r="J128" s="1"/>
      <c r="K128" s="1"/>
      <c r="L128" s="1"/>
      <c r="M128" s="1"/>
      <c r="N128" s="1"/>
      <c r="O128" s="11"/>
      <c r="P128" s="11"/>
      <c r="Q128" s="11"/>
      <c r="R128" s="11"/>
      <c r="S128" s="11"/>
      <c r="T128" s="11"/>
      <c r="U128" s="11"/>
      <c r="V128" s="11"/>
      <c r="W128" s="11"/>
      <c r="X128" s="11"/>
    </row>
    <row r="129" spans="2:24">
      <c r="B129" s="11"/>
      <c r="C129" s="239" t="str">
        <f t="shared" si="7"/>
        <v>Vivienda Plurifamiliar</v>
      </c>
      <c r="D129" s="323" t="s">
        <v>34</v>
      </c>
      <c r="E129" s="289" t="s">
        <v>626</v>
      </c>
      <c r="F129" s="11" t="str">
        <f t="shared" si="5"/>
        <v>Vivienda PlurifamiliarB3Categoria B</v>
      </c>
      <c r="G129" s="165">
        <v>49.6</v>
      </c>
      <c r="H129" s="75">
        <v>6.8</v>
      </c>
      <c r="I129" s="94" t="s">
        <v>656</v>
      </c>
      <c r="J129" s="1"/>
      <c r="K129" s="1"/>
      <c r="L129" s="1"/>
      <c r="M129" s="1"/>
      <c r="N129" s="1"/>
      <c r="O129" s="11"/>
      <c r="P129" s="11"/>
      <c r="Q129" s="11"/>
      <c r="R129" s="11"/>
      <c r="S129" s="11"/>
      <c r="T129" s="11"/>
      <c r="U129" s="11"/>
      <c r="V129" s="11"/>
      <c r="W129" s="11"/>
      <c r="X129" s="11"/>
    </row>
    <row r="130" spans="2:24">
      <c r="B130" s="11"/>
      <c r="C130" s="239" t="str">
        <f t="shared" si="7"/>
        <v>Vivienda Plurifamiliar</v>
      </c>
      <c r="D130" s="323" t="s">
        <v>34</v>
      </c>
      <c r="E130" s="289" t="s">
        <v>627</v>
      </c>
      <c r="F130" s="11" t="str">
        <f t="shared" si="5"/>
        <v>Vivienda PlurifamiliarB3Categoria C</v>
      </c>
      <c r="G130" s="165">
        <v>83.8</v>
      </c>
      <c r="H130" s="75">
        <v>11.5</v>
      </c>
      <c r="I130" s="94" t="s">
        <v>656</v>
      </c>
      <c r="J130" s="1"/>
      <c r="K130" s="1"/>
      <c r="L130" s="1"/>
      <c r="M130" s="1"/>
      <c r="N130" s="1"/>
      <c r="O130" s="11"/>
      <c r="P130" s="11"/>
      <c r="Q130" s="11"/>
      <c r="R130" s="11"/>
      <c r="S130" s="11"/>
      <c r="T130" s="11"/>
      <c r="U130" s="11"/>
      <c r="V130" s="11"/>
      <c r="W130" s="11"/>
      <c r="X130" s="11"/>
    </row>
    <row r="131" spans="2:24">
      <c r="B131" s="11"/>
      <c r="C131" s="239" t="str">
        <f t="shared" si="7"/>
        <v>Vivienda Plurifamiliar</v>
      </c>
      <c r="D131" s="323" t="s">
        <v>34</v>
      </c>
      <c r="E131" s="289" t="s">
        <v>628</v>
      </c>
      <c r="F131" s="11" t="str">
        <f t="shared" si="5"/>
        <v>Vivienda PlurifamiliarB3Categoria D</v>
      </c>
      <c r="G131" s="165">
        <v>134.30000000000001</v>
      </c>
      <c r="H131" s="75">
        <v>18.5</v>
      </c>
      <c r="I131" s="94" t="s">
        <v>656</v>
      </c>
      <c r="J131" s="1"/>
      <c r="K131" s="1"/>
      <c r="L131" s="1"/>
      <c r="M131" s="1"/>
      <c r="N131" s="1"/>
      <c r="O131" s="11"/>
      <c r="P131" s="11"/>
      <c r="Q131" s="11"/>
      <c r="R131" s="11"/>
      <c r="S131" s="11"/>
      <c r="T131" s="11"/>
      <c r="U131" s="11"/>
      <c r="V131" s="11"/>
      <c r="W131" s="11"/>
      <c r="X131" s="11"/>
    </row>
    <row r="132" spans="2:24">
      <c r="B132" s="11"/>
      <c r="C132" s="239" t="str">
        <f t="shared" si="7"/>
        <v>Vivienda Plurifamiliar</v>
      </c>
      <c r="D132" s="323" t="s">
        <v>34</v>
      </c>
      <c r="E132" s="289" t="s">
        <v>629</v>
      </c>
      <c r="F132" s="11" t="str">
        <f t="shared" si="5"/>
        <v>Vivienda PlurifamiliarB3Categoria E</v>
      </c>
      <c r="G132" s="165">
        <v>242.7</v>
      </c>
      <c r="H132" s="75">
        <v>41.5</v>
      </c>
      <c r="I132" s="94" t="s">
        <v>656</v>
      </c>
      <c r="J132" s="1"/>
      <c r="K132" s="1"/>
      <c r="L132" s="1"/>
      <c r="M132" s="1"/>
      <c r="N132" s="1"/>
      <c r="O132" s="11"/>
      <c r="P132" s="11"/>
      <c r="Q132" s="11"/>
      <c r="R132" s="11"/>
      <c r="S132" s="11"/>
      <c r="T132" s="11"/>
      <c r="U132" s="11"/>
      <c r="V132" s="11"/>
      <c r="W132" s="11"/>
      <c r="X132" s="11"/>
    </row>
    <row r="133" spans="2:24">
      <c r="B133" s="11"/>
      <c r="C133" s="239" t="str">
        <f t="shared" si="7"/>
        <v>Vivienda Plurifamiliar</v>
      </c>
      <c r="D133" s="323" t="s">
        <v>34</v>
      </c>
      <c r="E133" s="289" t="s">
        <v>630</v>
      </c>
      <c r="F133" s="11" t="str">
        <f t="shared" si="5"/>
        <v>Vivienda PlurifamiliarB3Categoria F</v>
      </c>
      <c r="G133" s="165">
        <v>284</v>
      </c>
      <c r="H133" s="75">
        <v>46.9</v>
      </c>
      <c r="I133" s="94" t="s">
        <v>656</v>
      </c>
      <c r="J133" s="1"/>
      <c r="K133" s="1"/>
      <c r="L133" s="1"/>
      <c r="M133" s="1"/>
      <c r="N133" s="1"/>
      <c r="O133" s="11"/>
      <c r="P133" s="11"/>
      <c r="Q133" s="11"/>
      <c r="R133" s="11"/>
      <c r="S133" s="11"/>
      <c r="T133" s="11"/>
      <c r="U133" s="11"/>
      <c r="V133" s="11"/>
      <c r="W133" s="11"/>
      <c r="X133" s="11"/>
    </row>
    <row r="134" spans="2:24">
      <c r="B134" s="11"/>
      <c r="C134" s="239" t="str">
        <f t="shared" si="7"/>
        <v>Vivienda Plurifamiliar</v>
      </c>
      <c r="D134" s="323" t="s">
        <v>34</v>
      </c>
      <c r="E134" s="289" t="str">
        <f>IF(Idioma=Castellano,"Consumo nulo",IF(Idioma=Valencià,"Consum nul","Consumo nulo"))</f>
        <v>Consumo nulo</v>
      </c>
      <c r="F134" s="11" t="str">
        <f t="shared" si="5"/>
        <v>Vivienda PlurifamiliarB3Consumo nulo</v>
      </c>
      <c r="G134" s="165">
        <v>0</v>
      </c>
      <c r="H134" s="75">
        <v>0</v>
      </c>
      <c r="I134" s="186" t="s">
        <v>658</v>
      </c>
      <c r="J134" s="1"/>
      <c r="K134" s="1"/>
      <c r="L134" s="1"/>
      <c r="M134" s="1"/>
      <c r="N134" s="1"/>
      <c r="O134" s="11"/>
      <c r="P134" s="11"/>
      <c r="Q134" s="11"/>
      <c r="R134" s="11"/>
      <c r="S134" s="11"/>
      <c r="T134" s="11"/>
      <c r="U134" s="11"/>
      <c r="V134" s="11"/>
      <c r="W134" s="11"/>
      <c r="X134" s="11"/>
    </row>
    <row r="135" spans="2:24">
      <c r="B135" s="11"/>
      <c r="C135" s="239" t="str">
        <f t="shared" si="7"/>
        <v>Vivienda Plurifamiliar</v>
      </c>
      <c r="D135" s="323" t="s">
        <v>34</v>
      </c>
      <c r="E135" s="289" t="str">
        <f>IF(Idioma=Castellano,"Sin definir",IF(Idioma=Valencià,"Sense definir","Sin definir"))</f>
        <v>Sin definir</v>
      </c>
      <c r="F135" s="11" t="str">
        <f t="shared" si="5"/>
        <v>Vivienda PlurifamiliarB3Sin definir</v>
      </c>
      <c r="G135" s="165">
        <f>G131</f>
        <v>134.30000000000001</v>
      </c>
      <c r="H135" s="75">
        <v>18.5</v>
      </c>
      <c r="I135" s="161" t="s">
        <v>659</v>
      </c>
      <c r="J135" s="1"/>
      <c r="K135" s="1"/>
      <c r="L135" s="1"/>
      <c r="M135" s="1"/>
      <c r="N135" s="1"/>
      <c r="O135" s="11"/>
      <c r="P135" s="11"/>
      <c r="Q135" s="11"/>
      <c r="R135" s="11"/>
      <c r="S135" s="11"/>
      <c r="T135" s="11"/>
      <c r="U135" s="11"/>
      <c r="V135" s="11"/>
      <c r="W135" s="11"/>
      <c r="X135" s="11"/>
    </row>
    <row r="136" spans="2:24">
      <c r="B136" s="11"/>
      <c r="C136" s="239" t="str">
        <f t="shared" si="7"/>
        <v>Vivienda Plurifamiliar</v>
      </c>
      <c r="D136" s="323" t="s">
        <v>182</v>
      </c>
      <c r="E136" s="289" t="str">
        <f>IF(Idioma=Castellano,"Existente",IF(Idioma=Valencià,"Existent","Existente"))</f>
        <v>Existente</v>
      </c>
      <c r="F136" s="11" t="str">
        <f t="shared" si="5"/>
        <v>Vivienda PlurifamiliarB4Existente</v>
      </c>
      <c r="G136" s="165">
        <f>G141</f>
        <v>260.7</v>
      </c>
      <c r="H136" s="75">
        <v>44.1</v>
      </c>
      <c r="I136" s="94" t="s">
        <v>656</v>
      </c>
      <c r="J136" s="1"/>
      <c r="K136" s="1"/>
      <c r="L136" s="1"/>
      <c r="M136" s="1"/>
      <c r="N136" s="1"/>
      <c r="O136" s="11"/>
      <c r="P136" s="11"/>
      <c r="Q136" s="11"/>
      <c r="R136" s="11"/>
      <c r="S136" s="11"/>
      <c r="T136" s="11"/>
      <c r="U136" s="11"/>
      <c r="V136" s="11"/>
      <c r="W136" s="11"/>
      <c r="X136" s="11"/>
    </row>
    <row r="137" spans="2:24">
      <c r="B137" s="11"/>
      <c r="C137" s="239" t="str">
        <f t="shared" si="7"/>
        <v>Vivienda Plurifamiliar</v>
      </c>
      <c r="D137" s="323" t="s">
        <v>182</v>
      </c>
      <c r="E137" s="289" t="s">
        <v>625</v>
      </c>
      <c r="F137" s="11" t="str">
        <f t="shared" si="5"/>
        <v>Vivienda PlurifamiliarB4Categoria A</v>
      </c>
      <c r="G137" s="165">
        <v>33.4</v>
      </c>
      <c r="H137" s="75">
        <v>4.4000000000000004</v>
      </c>
      <c r="I137" s="94" t="s">
        <v>656</v>
      </c>
      <c r="J137" s="1"/>
      <c r="K137" s="1"/>
      <c r="L137" s="1"/>
      <c r="M137" s="1"/>
      <c r="N137" s="1"/>
      <c r="O137" s="11"/>
      <c r="P137" s="11"/>
      <c r="Q137" s="11"/>
      <c r="R137" s="11"/>
      <c r="S137" s="11"/>
      <c r="T137" s="11"/>
      <c r="U137" s="11"/>
      <c r="V137" s="11"/>
      <c r="W137" s="11"/>
      <c r="X137" s="11"/>
    </row>
    <row r="138" spans="2:24">
      <c r="B138" s="11"/>
      <c r="C138" s="239" t="str">
        <f t="shared" si="7"/>
        <v>Vivienda Plurifamiliar</v>
      </c>
      <c r="D138" s="323" t="s">
        <v>182</v>
      </c>
      <c r="E138" s="289" t="s">
        <v>626</v>
      </c>
      <c r="F138" s="11" t="str">
        <f t="shared" si="5"/>
        <v>Vivienda PlurifamiliarB4Categoria B</v>
      </c>
      <c r="G138" s="165">
        <v>57.7</v>
      </c>
      <c r="H138" s="75">
        <v>7.7</v>
      </c>
      <c r="I138" s="94" t="s">
        <v>656</v>
      </c>
      <c r="J138" s="1"/>
      <c r="K138" s="1"/>
      <c r="L138" s="1"/>
      <c r="M138" s="1"/>
      <c r="N138" s="1"/>
      <c r="O138" s="11"/>
      <c r="P138" s="11"/>
      <c r="Q138" s="11"/>
      <c r="R138" s="11"/>
      <c r="S138" s="11"/>
      <c r="T138" s="11"/>
      <c r="U138" s="11"/>
      <c r="V138" s="11"/>
      <c r="W138" s="11"/>
      <c r="X138" s="11"/>
    </row>
    <row r="139" spans="2:24">
      <c r="B139" s="11"/>
      <c r="C139" s="239" t="str">
        <f t="shared" si="7"/>
        <v>Vivienda Plurifamiliar</v>
      </c>
      <c r="D139" s="323" t="s">
        <v>182</v>
      </c>
      <c r="E139" s="289" t="s">
        <v>627</v>
      </c>
      <c r="F139" s="11" t="str">
        <f t="shared" ref="F139:F202" si="8">C139&amp;D139&amp;E139</f>
        <v>Vivienda PlurifamiliarB4Categoria C</v>
      </c>
      <c r="G139" s="165">
        <v>94.1</v>
      </c>
      <c r="H139" s="75">
        <v>12.5</v>
      </c>
      <c r="I139" s="94" t="s">
        <v>656</v>
      </c>
      <c r="J139" s="1"/>
      <c r="K139" s="1"/>
      <c r="L139" s="1"/>
      <c r="M139" s="1"/>
      <c r="N139" s="1"/>
      <c r="O139" s="11"/>
      <c r="P139" s="11"/>
      <c r="Q139" s="11"/>
      <c r="R139" s="11"/>
      <c r="S139" s="11"/>
      <c r="T139" s="11"/>
      <c r="U139" s="11"/>
      <c r="V139" s="11"/>
      <c r="W139" s="11"/>
      <c r="X139" s="11"/>
    </row>
    <row r="140" spans="2:24">
      <c r="B140" s="11"/>
      <c r="C140" s="239" t="str">
        <f t="shared" si="7"/>
        <v>Vivienda Plurifamiliar</v>
      </c>
      <c r="D140" s="323" t="s">
        <v>182</v>
      </c>
      <c r="E140" s="289" t="s">
        <v>628</v>
      </c>
      <c r="F140" s="11" t="str">
        <f t="shared" si="8"/>
        <v>Vivienda PlurifamiliarB4Categoria D</v>
      </c>
      <c r="G140" s="165">
        <v>147.80000000000001</v>
      </c>
      <c r="H140" s="75">
        <v>19.7</v>
      </c>
      <c r="I140" s="94" t="s">
        <v>656</v>
      </c>
      <c r="J140" s="1"/>
      <c r="K140" s="1"/>
      <c r="L140" s="1"/>
      <c r="M140" s="1"/>
      <c r="N140" s="1"/>
      <c r="O140" s="11"/>
      <c r="P140" s="11"/>
      <c r="Q140" s="11"/>
      <c r="R140" s="11"/>
      <c r="S140" s="11"/>
      <c r="T140" s="11"/>
      <c r="U140" s="11"/>
      <c r="V140" s="11"/>
      <c r="W140" s="11"/>
      <c r="X140" s="11"/>
    </row>
    <row r="141" spans="2:24">
      <c r="B141" s="11"/>
      <c r="C141" s="239" t="str">
        <f t="shared" ref="C141:C172" si="9">IF(Idioma=Castellano,"Vivienda Plurifamiliar",IF(Idioma=Valencià,"Habitatge Plurifamiliar","Vivienda Plurifamiliar"))</f>
        <v>Vivienda Plurifamiliar</v>
      </c>
      <c r="D141" s="323" t="s">
        <v>182</v>
      </c>
      <c r="E141" s="289" t="s">
        <v>629</v>
      </c>
      <c r="F141" s="11" t="str">
        <f t="shared" si="8"/>
        <v>Vivienda PlurifamiliarB4Categoria E</v>
      </c>
      <c r="G141" s="165">
        <v>260.7</v>
      </c>
      <c r="H141" s="75">
        <v>44.1</v>
      </c>
      <c r="I141" s="94" t="s">
        <v>656</v>
      </c>
      <c r="J141" s="1"/>
      <c r="K141" s="1"/>
      <c r="L141" s="1"/>
      <c r="M141" s="1"/>
      <c r="N141" s="1"/>
      <c r="O141" s="11"/>
      <c r="P141" s="11"/>
      <c r="Q141" s="11"/>
      <c r="R141" s="11"/>
      <c r="S141" s="11"/>
      <c r="T141" s="11"/>
      <c r="U141" s="11"/>
      <c r="V141" s="11"/>
      <c r="W141" s="11"/>
      <c r="X141" s="11"/>
    </row>
    <row r="142" spans="2:24">
      <c r="B142" s="11"/>
      <c r="C142" s="239" t="str">
        <f t="shared" si="9"/>
        <v>Vivienda Plurifamiliar</v>
      </c>
      <c r="D142" s="323" t="s">
        <v>182</v>
      </c>
      <c r="E142" s="289" t="s">
        <v>630</v>
      </c>
      <c r="F142" s="11" t="str">
        <f t="shared" si="8"/>
        <v>Vivienda PlurifamiliarB4Categoria F</v>
      </c>
      <c r="G142" s="165">
        <v>312.8</v>
      </c>
      <c r="H142" s="75">
        <v>48.1</v>
      </c>
      <c r="I142" s="94" t="s">
        <v>656</v>
      </c>
      <c r="J142" s="1"/>
      <c r="K142" s="1"/>
      <c r="L142" s="1"/>
      <c r="M142" s="1"/>
      <c r="N142" s="1"/>
      <c r="O142" s="11"/>
      <c r="P142" s="11"/>
      <c r="Q142" s="11"/>
      <c r="R142" s="11"/>
      <c r="S142" s="11"/>
      <c r="T142" s="11"/>
      <c r="U142" s="11"/>
      <c r="V142" s="11"/>
      <c r="W142" s="11"/>
      <c r="X142" s="11"/>
    </row>
    <row r="143" spans="2:24">
      <c r="B143" s="11"/>
      <c r="C143" s="239" t="str">
        <f t="shared" si="9"/>
        <v>Vivienda Plurifamiliar</v>
      </c>
      <c r="D143" s="323" t="s">
        <v>182</v>
      </c>
      <c r="E143" s="289" t="str">
        <f>IF(Idioma=Castellano,"Consumo nulo",IF(Idioma=Valencià,"Consum nul","Consumo nulo"))</f>
        <v>Consumo nulo</v>
      </c>
      <c r="F143" s="11" t="str">
        <f t="shared" si="8"/>
        <v>Vivienda PlurifamiliarB4Consumo nulo</v>
      </c>
      <c r="G143" s="165">
        <v>0</v>
      </c>
      <c r="H143" s="75">
        <v>0</v>
      </c>
      <c r="I143" s="186" t="s">
        <v>658</v>
      </c>
      <c r="J143" s="1"/>
      <c r="K143" s="1"/>
      <c r="L143" s="1"/>
      <c r="M143" s="1"/>
      <c r="N143" s="1"/>
      <c r="O143" s="11"/>
      <c r="P143" s="11"/>
      <c r="Q143" s="11"/>
      <c r="R143" s="11"/>
      <c r="S143" s="11"/>
      <c r="T143" s="11"/>
      <c r="U143" s="11"/>
      <c r="V143" s="11"/>
      <c r="W143" s="11"/>
      <c r="X143" s="11"/>
    </row>
    <row r="144" spans="2:24">
      <c r="B144" s="11"/>
      <c r="C144" s="239" t="str">
        <f t="shared" si="9"/>
        <v>Vivienda Plurifamiliar</v>
      </c>
      <c r="D144" s="323" t="s">
        <v>182</v>
      </c>
      <c r="E144" s="289" t="str">
        <f>IF(Idioma=Castellano,"Sin definir",IF(Idioma=Valencià,"Sense definir","Sin definir"))</f>
        <v>Sin definir</v>
      </c>
      <c r="F144" s="11" t="str">
        <f t="shared" si="8"/>
        <v>Vivienda PlurifamiliarB4Sin definir</v>
      </c>
      <c r="G144" s="165">
        <f>G140</f>
        <v>147.80000000000001</v>
      </c>
      <c r="H144" s="75">
        <v>19.7</v>
      </c>
      <c r="I144" s="161" t="s">
        <v>659</v>
      </c>
      <c r="J144" s="1"/>
      <c r="K144" s="1"/>
      <c r="L144" s="1"/>
      <c r="M144" s="1"/>
      <c r="N144" s="1"/>
      <c r="O144" s="11"/>
      <c r="P144" s="11"/>
      <c r="Q144" s="11"/>
      <c r="R144" s="11"/>
      <c r="S144" s="11"/>
      <c r="T144" s="11"/>
      <c r="U144" s="11"/>
      <c r="V144" s="11"/>
      <c r="W144" s="11"/>
      <c r="X144" s="11"/>
    </row>
    <row r="145" spans="2:24">
      <c r="B145" s="11"/>
      <c r="C145" s="239" t="str">
        <f t="shared" si="9"/>
        <v>Vivienda Plurifamiliar</v>
      </c>
      <c r="D145" s="323" t="s">
        <v>126</v>
      </c>
      <c r="E145" s="289" t="str">
        <f>IF(Idioma=Castellano,"Existente",IF(Idioma=Valencià,"Existent","Existente"))</f>
        <v>Existente</v>
      </c>
      <c r="F145" s="11" t="str">
        <f t="shared" si="8"/>
        <v>Vivienda PlurifamiliarC1Existente</v>
      </c>
      <c r="G145" s="165">
        <f>G150</f>
        <v>279.39999999999998</v>
      </c>
      <c r="H145" s="75">
        <v>45.9</v>
      </c>
      <c r="I145" s="94" t="s">
        <v>656</v>
      </c>
      <c r="J145" s="1"/>
      <c r="K145" s="1"/>
      <c r="L145" s="1"/>
      <c r="M145" s="1"/>
      <c r="N145" s="1"/>
      <c r="O145" s="11"/>
      <c r="P145" s="11"/>
      <c r="Q145" s="11"/>
      <c r="R145" s="11"/>
      <c r="S145" s="11"/>
      <c r="T145" s="11"/>
      <c r="U145" s="11"/>
      <c r="V145" s="11"/>
      <c r="W145" s="11"/>
      <c r="X145" s="11"/>
    </row>
    <row r="146" spans="2:24">
      <c r="B146" s="11"/>
      <c r="C146" s="239" t="str">
        <f t="shared" si="9"/>
        <v>Vivienda Plurifamiliar</v>
      </c>
      <c r="D146" s="323" t="s">
        <v>126</v>
      </c>
      <c r="E146" s="289" t="s">
        <v>625</v>
      </c>
      <c r="F146" s="11" t="str">
        <f t="shared" si="8"/>
        <v>Vivienda PlurifamiliarC1Categoria A</v>
      </c>
      <c r="G146" s="165">
        <v>34.9</v>
      </c>
      <c r="H146" s="75">
        <v>5.4</v>
      </c>
      <c r="I146" s="94" t="s">
        <v>656</v>
      </c>
      <c r="J146" s="1"/>
      <c r="K146" s="1"/>
      <c r="L146" s="1"/>
      <c r="M146" s="1"/>
      <c r="N146" s="1"/>
      <c r="O146" s="11"/>
      <c r="P146" s="11"/>
      <c r="Q146" s="11"/>
      <c r="R146" s="11"/>
      <c r="S146" s="11"/>
      <c r="T146" s="11"/>
      <c r="U146" s="11"/>
      <c r="V146" s="11"/>
      <c r="W146" s="11"/>
      <c r="X146" s="11"/>
    </row>
    <row r="147" spans="2:24">
      <c r="B147" s="11"/>
      <c r="C147" s="239" t="str">
        <f t="shared" si="9"/>
        <v>Vivienda Plurifamiliar</v>
      </c>
      <c r="D147" s="323" t="s">
        <v>126</v>
      </c>
      <c r="E147" s="289" t="s">
        <v>626</v>
      </c>
      <c r="F147" s="11" t="str">
        <f t="shared" si="8"/>
        <v>Vivienda PlurifamiliarC1Categoria B</v>
      </c>
      <c r="G147" s="165">
        <v>56.6</v>
      </c>
      <c r="H147" s="75">
        <v>8.8000000000000007</v>
      </c>
      <c r="I147" s="94" t="s">
        <v>656</v>
      </c>
      <c r="J147" s="1"/>
      <c r="K147" s="1"/>
      <c r="L147" s="1"/>
      <c r="M147" s="1"/>
      <c r="N147" s="1"/>
      <c r="O147" s="11"/>
      <c r="P147" s="11"/>
      <c r="Q147" s="11"/>
      <c r="R147" s="11"/>
      <c r="S147" s="11"/>
      <c r="T147" s="11"/>
      <c r="U147" s="11"/>
      <c r="V147" s="11"/>
      <c r="W147" s="11"/>
      <c r="X147" s="11"/>
    </row>
    <row r="148" spans="2:24">
      <c r="B148" s="11"/>
      <c r="C148" s="239" t="str">
        <f t="shared" si="9"/>
        <v>Vivienda Plurifamiliar</v>
      </c>
      <c r="D148" s="323" t="s">
        <v>126</v>
      </c>
      <c r="E148" s="289" t="s">
        <v>627</v>
      </c>
      <c r="F148" s="11" t="str">
        <f t="shared" si="8"/>
        <v>Vivienda PlurifamiliarC1Categoria C</v>
      </c>
      <c r="G148" s="165">
        <v>87.7</v>
      </c>
      <c r="H148" s="75">
        <v>13.7</v>
      </c>
      <c r="I148" s="94" t="s">
        <v>656</v>
      </c>
      <c r="J148" s="1"/>
      <c r="K148" s="1"/>
      <c r="L148" s="1"/>
      <c r="M148" s="1"/>
      <c r="N148" s="1"/>
      <c r="O148" s="11"/>
      <c r="P148" s="11"/>
      <c r="Q148" s="11"/>
      <c r="R148" s="11"/>
      <c r="S148" s="11"/>
      <c r="T148" s="11"/>
      <c r="U148" s="11"/>
      <c r="V148" s="11"/>
      <c r="W148" s="11"/>
      <c r="X148" s="11"/>
    </row>
    <row r="149" spans="2:24">
      <c r="B149" s="11"/>
      <c r="C149" s="239" t="str">
        <f t="shared" si="9"/>
        <v>Vivienda Plurifamiliar</v>
      </c>
      <c r="D149" s="323" t="s">
        <v>126</v>
      </c>
      <c r="E149" s="289" t="s">
        <v>628</v>
      </c>
      <c r="F149" s="11" t="str">
        <f t="shared" si="8"/>
        <v>Vivienda PlurifamiliarC1Categoria D</v>
      </c>
      <c r="G149" s="165">
        <v>134.9</v>
      </c>
      <c r="H149" s="75">
        <v>21</v>
      </c>
      <c r="I149" s="94" t="s">
        <v>656</v>
      </c>
      <c r="J149" s="1"/>
      <c r="K149" s="1"/>
      <c r="L149" s="1"/>
      <c r="M149" s="1"/>
      <c r="N149" s="1"/>
      <c r="O149" s="11"/>
      <c r="P149" s="11"/>
      <c r="Q149" s="11"/>
      <c r="R149" s="11"/>
      <c r="S149" s="11"/>
      <c r="T149" s="11"/>
      <c r="U149" s="11"/>
      <c r="V149" s="11"/>
      <c r="W149" s="11"/>
      <c r="X149" s="11"/>
    </row>
    <row r="150" spans="2:24">
      <c r="B150" s="11"/>
      <c r="C150" s="239" t="str">
        <f t="shared" si="9"/>
        <v>Vivienda Plurifamiliar</v>
      </c>
      <c r="D150" s="323" t="s">
        <v>126</v>
      </c>
      <c r="E150" s="289" t="s">
        <v>629</v>
      </c>
      <c r="F150" s="11" t="str">
        <f t="shared" si="8"/>
        <v>Vivienda PlurifamiliarC1Categoria E</v>
      </c>
      <c r="G150" s="165">
        <v>279.39999999999998</v>
      </c>
      <c r="H150" s="75">
        <v>45.9</v>
      </c>
      <c r="I150" s="94" t="s">
        <v>656</v>
      </c>
      <c r="J150" s="1"/>
      <c r="K150" s="1"/>
      <c r="L150" s="1"/>
      <c r="M150" s="1"/>
      <c r="N150" s="1"/>
      <c r="O150" s="11"/>
      <c r="P150" s="11"/>
      <c r="Q150" s="11"/>
      <c r="R150" s="11"/>
      <c r="S150" s="11"/>
      <c r="T150" s="11"/>
      <c r="U150" s="11"/>
      <c r="V150" s="11"/>
      <c r="W150" s="11"/>
      <c r="X150" s="11"/>
    </row>
    <row r="151" spans="2:24">
      <c r="B151" s="11"/>
      <c r="C151" s="239" t="str">
        <f t="shared" si="9"/>
        <v>Vivienda Plurifamiliar</v>
      </c>
      <c r="D151" s="323" t="s">
        <v>126</v>
      </c>
      <c r="E151" s="289" t="s">
        <v>630</v>
      </c>
      <c r="F151" s="11" t="str">
        <f t="shared" si="8"/>
        <v>Vivienda PlurifamiliarC1Categoria F</v>
      </c>
      <c r="G151" s="165">
        <v>335.3</v>
      </c>
      <c r="H151" s="75">
        <v>55</v>
      </c>
      <c r="I151" s="94" t="s">
        <v>656</v>
      </c>
      <c r="J151" s="1"/>
      <c r="K151" s="1"/>
      <c r="L151" s="1"/>
      <c r="M151" s="1"/>
      <c r="N151" s="1"/>
      <c r="O151" s="11"/>
      <c r="P151" s="11"/>
      <c r="Q151" s="11"/>
      <c r="R151" s="11"/>
      <c r="S151" s="11"/>
      <c r="T151" s="11"/>
      <c r="U151" s="11"/>
      <c r="V151" s="11"/>
      <c r="W151" s="11"/>
      <c r="X151" s="11"/>
    </row>
    <row r="152" spans="2:24">
      <c r="B152" s="11"/>
      <c r="C152" s="239" t="str">
        <f t="shared" si="9"/>
        <v>Vivienda Plurifamiliar</v>
      </c>
      <c r="D152" s="323" t="s">
        <v>126</v>
      </c>
      <c r="E152" s="289" t="str">
        <f>IF(Idioma=Castellano,"Consumo nulo",IF(Idioma=Valencià,"Consum nul","Consumo nulo"))</f>
        <v>Consumo nulo</v>
      </c>
      <c r="F152" s="11" t="str">
        <f t="shared" si="8"/>
        <v>Vivienda PlurifamiliarC1Consumo nulo</v>
      </c>
      <c r="G152" s="165">
        <v>0</v>
      </c>
      <c r="H152" s="75">
        <v>0</v>
      </c>
      <c r="I152" s="186" t="s">
        <v>658</v>
      </c>
      <c r="J152" s="1"/>
      <c r="K152" s="1"/>
      <c r="L152" s="1"/>
      <c r="M152" s="1"/>
      <c r="N152" s="1"/>
      <c r="O152" s="11"/>
      <c r="P152" s="11"/>
      <c r="Q152" s="11"/>
      <c r="R152" s="11"/>
      <c r="S152" s="11"/>
      <c r="T152" s="11"/>
      <c r="U152" s="11"/>
      <c r="V152" s="11"/>
      <c r="W152" s="11"/>
      <c r="X152" s="11"/>
    </row>
    <row r="153" spans="2:24">
      <c r="B153" s="11"/>
      <c r="C153" s="239" t="str">
        <f t="shared" si="9"/>
        <v>Vivienda Plurifamiliar</v>
      </c>
      <c r="D153" s="323" t="s">
        <v>126</v>
      </c>
      <c r="E153" s="289" t="str">
        <f>IF(Idioma=Castellano,"Sin definir",IF(Idioma=Valencià,"Sense definir","Sin definir"))</f>
        <v>Sin definir</v>
      </c>
      <c r="F153" s="11" t="str">
        <f t="shared" si="8"/>
        <v>Vivienda PlurifamiliarC1Sin definir</v>
      </c>
      <c r="G153" s="165">
        <f>G149</f>
        <v>134.9</v>
      </c>
      <c r="H153" s="75">
        <v>21</v>
      </c>
      <c r="I153" s="161" t="s">
        <v>659</v>
      </c>
      <c r="J153" s="1"/>
      <c r="K153" s="1"/>
      <c r="L153" s="1"/>
      <c r="M153" s="1"/>
      <c r="N153" s="1"/>
      <c r="O153" s="11"/>
      <c r="P153" s="11"/>
      <c r="Q153" s="11"/>
      <c r="R153" s="11"/>
      <c r="S153" s="11"/>
      <c r="T153" s="11"/>
      <c r="U153" s="11"/>
      <c r="V153" s="11"/>
      <c r="W153" s="11"/>
      <c r="X153" s="11"/>
    </row>
    <row r="154" spans="2:24">
      <c r="B154" s="11"/>
      <c r="C154" s="239" t="str">
        <f t="shared" si="9"/>
        <v>Vivienda Plurifamiliar</v>
      </c>
      <c r="D154" s="323" t="s">
        <v>26</v>
      </c>
      <c r="E154" s="289" t="str">
        <f>IF(Idioma=Castellano,"Existente",IF(Idioma=Valencià,"Existent","Existente"))</f>
        <v>Existente</v>
      </c>
      <c r="F154" s="11" t="str">
        <f t="shared" si="8"/>
        <v>Vivienda PlurifamiliarC2Existente</v>
      </c>
      <c r="G154" s="165">
        <f>G159</f>
        <v>303.10000000000002</v>
      </c>
      <c r="H154" s="75">
        <v>49</v>
      </c>
      <c r="I154" s="94" t="s">
        <v>656</v>
      </c>
      <c r="J154" s="1"/>
      <c r="K154" s="1"/>
      <c r="L154" s="1"/>
      <c r="M154" s="1"/>
      <c r="N154" s="1"/>
      <c r="O154" s="11"/>
      <c r="P154" s="11"/>
      <c r="Q154" s="11"/>
      <c r="R154" s="11"/>
      <c r="S154" s="11"/>
      <c r="T154" s="11"/>
      <c r="U154" s="11"/>
      <c r="V154" s="11"/>
      <c r="W154" s="11"/>
      <c r="X154" s="11"/>
    </row>
    <row r="155" spans="2:24">
      <c r="B155" s="11"/>
      <c r="C155" s="239" t="str">
        <f t="shared" si="9"/>
        <v>Vivienda Plurifamiliar</v>
      </c>
      <c r="D155" s="323" t="s">
        <v>26</v>
      </c>
      <c r="E155" s="289" t="s">
        <v>625</v>
      </c>
      <c r="F155" s="11" t="str">
        <f t="shared" si="8"/>
        <v>Vivienda PlurifamiliarC2Categoria A</v>
      </c>
      <c r="G155" s="165">
        <v>40</v>
      </c>
      <c r="H155" s="75">
        <v>6.1</v>
      </c>
      <c r="I155" s="94" t="s">
        <v>656</v>
      </c>
      <c r="J155" s="1"/>
      <c r="K155" s="1"/>
      <c r="L155" s="1"/>
      <c r="M155" s="1"/>
      <c r="N155" s="1"/>
      <c r="O155" s="11"/>
      <c r="P155" s="11"/>
      <c r="Q155" s="11"/>
      <c r="R155" s="11"/>
      <c r="S155" s="11"/>
      <c r="T155" s="11"/>
      <c r="U155" s="11"/>
      <c r="V155" s="11"/>
      <c r="W155" s="11"/>
      <c r="X155" s="11"/>
    </row>
    <row r="156" spans="2:24">
      <c r="B156" s="11"/>
      <c r="C156" s="239" t="str">
        <f t="shared" si="9"/>
        <v>Vivienda Plurifamiliar</v>
      </c>
      <c r="D156" s="323" t="s">
        <v>26</v>
      </c>
      <c r="E156" s="289" t="s">
        <v>626</v>
      </c>
      <c r="F156" s="11" t="str">
        <f t="shared" si="8"/>
        <v>Vivienda PlurifamiliarC2Categoria B</v>
      </c>
      <c r="G156" s="165">
        <v>64.900000000000006</v>
      </c>
      <c r="H156" s="75">
        <v>9.9</v>
      </c>
      <c r="I156" s="94" t="s">
        <v>656</v>
      </c>
      <c r="J156" s="1"/>
      <c r="K156" s="1"/>
      <c r="L156" s="1"/>
      <c r="M156" s="1"/>
      <c r="N156" s="1"/>
      <c r="O156" s="11"/>
      <c r="P156" s="11"/>
      <c r="Q156" s="11"/>
      <c r="R156" s="11"/>
      <c r="S156" s="11"/>
      <c r="T156" s="11"/>
      <c r="U156" s="11"/>
      <c r="V156" s="11"/>
      <c r="W156" s="11"/>
      <c r="X156" s="11"/>
    </row>
    <row r="157" spans="2:24">
      <c r="B157" s="11"/>
      <c r="C157" s="239" t="str">
        <f t="shared" si="9"/>
        <v>Vivienda Plurifamiliar</v>
      </c>
      <c r="D157" s="323" t="s">
        <v>26</v>
      </c>
      <c r="E157" s="289" t="s">
        <v>627</v>
      </c>
      <c r="F157" s="11" t="str">
        <f t="shared" si="8"/>
        <v>Vivienda PlurifamiliarC2Categoria C</v>
      </c>
      <c r="G157" s="165">
        <v>100.6</v>
      </c>
      <c r="H157" s="75">
        <v>15.3</v>
      </c>
      <c r="I157" s="94" t="s">
        <v>656</v>
      </c>
      <c r="J157" s="1"/>
      <c r="K157" s="1"/>
      <c r="L157" s="1"/>
      <c r="M157" s="1"/>
      <c r="N157" s="1"/>
      <c r="O157" s="11"/>
      <c r="P157" s="11"/>
      <c r="Q157" s="11"/>
      <c r="R157" s="11"/>
      <c r="S157" s="11"/>
      <c r="T157" s="11"/>
      <c r="U157" s="11"/>
      <c r="V157" s="11"/>
      <c r="W157" s="11"/>
      <c r="X157" s="11"/>
    </row>
    <row r="158" spans="2:24">
      <c r="B158" s="11"/>
      <c r="C158" s="239" t="str">
        <f t="shared" si="9"/>
        <v>Vivienda Plurifamiliar</v>
      </c>
      <c r="D158" s="323" t="s">
        <v>26</v>
      </c>
      <c r="E158" s="289" t="s">
        <v>628</v>
      </c>
      <c r="F158" s="11" t="str">
        <f t="shared" si="8"/>
        <v>Vivienda PlurifamiliarC2Categoria D</v>
      </c>
      <c r="G158" s="165">
        <v>154.6</v>
      </c>
      <c r="H158" s="75">
        <v>23.5</v>
      </c>
      <c r="I158" s="94" t="s">
        <v>656</v>
      </c>
      <c r="J158" s="1"/>
      <c r="K158" s="1"/>
      <c r="L158" s="1"/>
      <c r="M158" s="1"/>
      <c r="N158" s="1"/>
      <c r="O158" s="11"/>
      <c r="P158" s="11"/>
      <c r="Q158" s="11"/>
      <c r="R158" s="11"/>
      <c r="S158" s="11"/>
      <c r="T158" s="11"/>
      <c r="U158" s="11"/>
      <c r="V158" s="11"/>
      <c r="W158" s="11"/>
      <c r="X158" s="11"/>
    </row>
    <row r="159" spans="2:24">
      <c r="B159" s="11"/>
      <c r="C159" s="239" t="str">
        <f t="shared" si="9"/>
        <v>Vivienda Plurifamiliar</v>
      </c>
      <c r="D159" s="323" t="s">
        <v>26</v>
      </c>
      <c r="E159" s="289" t="s">
        <v>629</v>
      </c>
      <c r="F159" s="11" t="str">
        <f t="shared" si="8"/>
        <v>Vivienda PlurifamiliarC2Categoria E</v>
      </c>
      <c r="G159" s="165">
        <v>303.10000000000002</v>
      </c>
      <c r="H159" s="75">
        <v>49</v>
      </c>
      <c r="I159" s="94" t="s">
        <v>656</v>
      </c>
      <c r="J159" s="1"/>
      <c r="K159" s="1"/>
      <c r="L159" s="1"/>
      <c r="M159" s="1"/>
      <c r="N159" s="1"/>
      <c r="O159" s="11"/>
      <c r="P159" s="11"/>
      <c r="Q159" s="11"/>
      <c r="R159" s="11"/>
      <c r="S159" s="11"/>
      <c r="T159" s="11"/>
      <c r="U159" s="11"/>
      <c r="V159" s="11"/>
      <c r="W159" s="11"/>
      <c r="X159" s="11"/>
    </row>
    <row r="160" spans="2:24">
      <c r="B160" s="11"/>
      <c r="C160" s="239" t="str">
        <f t="shared" si="9"/>
        <v>Vivienda Plurifamiliar</v>
      </c>
      <c r="D160" s="323" t="s">
        <v>26</v>
      </c>
      <c r="E160" s="289" t="s">
        <v>630</v>
      </c>
      <c r="F160" s="11" t="str">
        <f t="shared" si="8"/>
        <v>Vivienda PlurifamiliarC2Categoria F</v>
      </c>
      <c r="G160" s="165">
        <v>354.6</v>
      </c>
      <c r="H160" s="75">
        <v>57.3</v>
      </c>
      <c r="I160" s="94" t="s">
        <v>656</v>
      </c>
      <c r="J160" s="1"/>
      <c r="K160" s="1"/>
      <c r="L160" s="1"/>
      <c r="M160" s="1"/>
      <c r="N160" s="1"/>
      <c r="O160" s="11"/>
      <c r="P160" s="11"/>
      <c r="Q160" s="11"/>
      <c r="R160" s="11"/>
      <c r="S160" s="11"/>
      <c r="T160" s="11"/>
      <c r="U160" s="11"/>
      <c r="V160" s="11"/>
      <c r="W160" s="11"/>
      <c r="X160" s="11"/>
    </row>
    <row r="161" spans="2:24">
      <c r="B161" s="11"/>
      <c r="C161" s="239" t="str">
        <f t="shared" si="9"/>
        <v>Vivienda Plurifamiliar</v>
      </c>
      <c r="D161" s="323" t="s">
        <v>26</v>
      </c>
      <c r="E161" s="289" t="str">
        <f>IF(Idioma=Castellano,"Consumo nulo",IF(Idioma=Valencià,"Consum nul","Consumo nulo"))</f>
        <v>Consumo nulo</v>
      </c>
      <c r="F161" s="11" t="str">
        <f t="shared" si="8"/>
        <v>Vivienda PlurifamiliarC2Consumo nulo</v>
      </c>
      <c r="G161" s="165">
        <v>0</v>
      </c>
      <c r="H161" s="75">
        <v>0</v>
      </c>
      <c r="I161" s="186" t="s">
        <v>658</v>
      </c>
      <c r="J161" s="1"/>
      <c r="K161" s="1"/>
      <c r="L161" s="1"/>
      <c r="M161" s="1"/>
      <c r="N161" s="1"/>
      <c r="O161" s="11"/>
      <c r="P161" s="11"/>
      <c r="Q161" s="11"/>
      <c r="R161" s="11"/>
      <c r="S161" s="11"/>
      <c r="T161" s="11"/>
      <c r="U161" s="11"/>
      <c r="V161" s="11"/>
      <c r="W161" s="11"/>
      <c r="X161" s="11"/>
    </row>
    <row r="162" spans="2:24">
      <c r="B162" s="11"/>
      <c r="C162" s="239" t="str">
        <f t="shared" si="9"/>
        <v>Vivienda Plurifamiliar</v>
      </c>
      <c r="D162" s="323" t="s">
        <v>26</v>
      </c>
      <c r="E162" s="289" t="str">
        <f>IF(Idioma=Castellano,"Sin definir",IF(Idioma=Valencià,"Sense definir","Sin definir"))</f>
        <v>Sin definir</v>
      </c>
      <c r="F162" s="11" t="str">
        <f t="shared" si="8"/>
        <v>Vivienda PlurifamiliarC2Sin definir</v>
      </c>
      <c r="G162" s="165">
        <f>G158</f>
        <v>154.6</v>
      </c>
      <c r="H162" s="75">
        <v>23.5</v>
      </c>
      <c r="I162" s="161" t="s">
        <v>659</v>
      </c>
      <c r="J162" s="1"/>
      <c r="K162" s="1"/>
      <c r="L162" s="1"/>
      <c r="M162" s="1"/>
      <c r="N162" s="1"/>
      <c r="O162" s="11"/>
      <c r="P162" s="11"/>
      <c r="Q162" s="11"/>
      <c r="R162" s="11"/>
      <c r="S162" s="11"/>
      <c r="T162" s="11"/>
      <c r="U162" s="11"/>
      <c r="V162" s="11"/>
      <c r="W162" s="11"/>
      <c r="X162" s="11"/>
    </row>
    <row r="163" spans="2:24">
      <c r="B163" s="11"/>
      <c r="C163" s="239" t="str">
        <f t="shared" si="9"/>
        <v>Vivienda Plurifamiliar</v>
      </c>
      <c r="D163" s="323" t="s">
        <v>19</v>
      </c>
      <c r="E163" s="289" t="str">
        <f>IF(Idioma=Castellano,"Existente",IF(Idioma=Valencià,"Existent","Existente"))</f>
        <v>Existente</v>
      </c>
      <c r="F163" s="11" t="str">
        <f t="shared" si="8"/>
        <v>Vivienda PlurifamiliarC3Existente</v>
      </c>
      <c r="G163" s="165">
        <f>G168</f>
        <v>327.2</v>
      </c>
      <c r="H163" s="75">
        <v>52.4</v>
      </c>
      <c r="I163" s="94" t="s">
        <v>656</v>
      </c>
      <c r="J163" s="1"/>
      <c r="K163" s="1"/>
      <c r="L163" s="1"/>
      <c r="M163" s="1"/>
      <c r="N163" s="1"/>
      <c r="O163" s="11"/>
      <c r="P163" s="11"/>
      <c r="Q163" s="11"/>
      <c r="R163" s="11"/>
      <c r="S163" s="11"/>
      <c r="T163" s="11"/>
      <c r="U163" s="11"/>
      <c r="V163" s="11"/>
      <c r="W163" s="11"/>
      <c r="X163" s="11"/>
    </row>
    <row r="164" spans="2:24">
      <c r="B164" s="11"/>
      <c r="C164" s="239" t="str">
        <f t="shared" si="9"/>
        <v>Vivienda Plurifamiliar</v>
      </c>
      <c r="D164" s="323" t="s">
        <v>19</v>
      </c>
      <c r="E164" s="289" t="s">
        <v>625</v>
      </c>
      <c r="F164" s="11" t="str">
        <f t="shared" si="8"/>
        <v>Vivienda PlurifamiliarC3Categoria A</v>
      </c>
      <c r="G164" s="165">
        <v>40.5</v>
      </c>
      <c r="H164" s="75">
        <v>5.6</v>
      </c>
      <c r="I164" s="94" t="s">
        <v>656</v>
      </c>
      <c r="J164" s="1"/>
      <c r="K164" s="1"/>
      <c r="L164" s="1"/>
      <c r="M164" s="1"/>
      <c r="N164" s="1"/>
      <c r="O164" s="11"/>
      <c r="P164" s="11"/>
      <c r="Q164" s="11"/>
      <c r="R164" s="11"/>
      <c r="S164" s="11"/>
      <c r="T164" s="11"/>
      <c r="U164" s="11"/>
      <c r="V164" s="11"/>
      <c r="W164" s="11"/>
      <c r="X164" s="11"/>
    </row>
    <row r="165" spans="2:24">
      <c r="B165" s="11"/>
      <c r="C165" s="239" t="str">
        <f t="shared" si="9"/>
        <v>Vivienda Plurifamiliar</v>
      </c>
      <c r="D165" s="323" t="s">
        <v>19</v>
      </c>
      <c r="E165" s="289" t="s">
        <v>626</v>
      </c>
      <c r="F165" s="11" t="str">
        <f t="shared" si="8"/>
        <v>Vivienda PlurifamiliarC3Categoria B</v>
      </c>
      <c r="G165" s="165">
        <v>69.900000000000006</v>
      </c>
      <c r="H165" s="75">
        <v>9.6999999999999993</v>
      </c>
      <c r="I165" s="94" t="s">
        <v>656</v>
      </c>
      <c r="J165" s="1"/>
      <c r="K165" s="1"/>
      <c r="L165" s="1"/>
      <c r="M165" s="1"/>
      <c r="N165" s="1"/>
      <c r="O165" s="11"/>
      <c r="P165" s="11"/>
      <c r="Q165" s="11"/>
      <c r="R165" s="11"/>
      <c r="S165" s="11"/>
      <c r="T165" s="11"/>
      <c r="U165" s="11"/>
      <c r="V165" s="11"/>
      <c r="W165" s="11"/>
      <c r="X165" s="11"/>
    </row>
    <row r="166" spans="2:24">
      <c r="B166" s="11"/>
      <c r="C166" s="239" t="str">
        <f t="shared" si="9"/>
        <v>Vivienda Plurifamiliar</v>
      </c>
      <c r="D166" s="323" t="s">
        <v>19</v>
      </c>
      <c r="E166" s="289" t="s">
        <v>627</v>
      </c>
      <c r="F166" s="11" t="str">
        <f t="shared" si="8"/>
        <v>Vivienda PlurifamiliarC3Categoria C</v>
      </c>
      <c r="G166" s="165">
        <v>114</v>
      </c>
      <c r="H166" s="75">
        <v>15.8</v>
      </c>
      <c r="I166" s="94" t="s">
        <v>656</v>
      </c>
      <c r="J166" s="1"/>
      <c r="K166" s="1"/>
      <c r="L166" s="1"/>
      <c r="M166" s="1"/>
      <c r="N166" s="1"/>
      <c r="O166" s="11"/>
      <c r="P166" s="11"/>
      <c r="Q166" s="11"/>
      <c r="R166" s="11"/>
      <c r="S166" s="11"/>
      <c r="T166" s="11"/>
      <c r="U166" s="11"/>
      <c r="V166" s="11"/>
      <c r="W166" s="11"/>
      <c r="X166" s="11"/>
    </row>
    <row r="167" spans="2:24">
      <c r="B167" s="11"/>
      <c r="C167" s="239" t="str">
        <f t="shared" si="9"/>
        <v>Vivienda Plurifamiliar</v>
      </c>
      <c r="D167" s="323" t="s">
        <v>19</v>
      </c>
      <c r="E167" s="289" t="s">
        <v>628</v>
      </c>
      <c r="F167" s="11" t="str">
        <f t="shared" si="8"/>
        <v>Vivienda PlurifamiliarC3Categoria D</v>
      </c>
      <c r="G167" s="165">
        <v>179</v>
      </c>
      <c r="H167" s="75">
        <v>24.7</v>
      </c>
      <c r="I167" s="94" t="s">
        <v>656</v>
      </c>
      <c r="J167" s="1"/>
      <c r="K167" s="1"/>
      <c r="L167" s="1"/>
      <c r="M167" s="1"/>
      <c r="N167" s="1"/>
      <c r="O167" s="11"/>
      <c r="P167" s="11"/>
      <c r="Q167" s="11"/>
      <c r="R167" s="11"/>
      <c r="S167" s="11"/>
      <c r="T167" s="11"/>
      <c r="U167" s="11"/>
      <c r="V167" s="11"/>
      <c r="W167" s="11"/>
      <c r="X167" s="11"/>
    </row>
    <row r="168" spans="2:24">
      <c r="B168" s="11"/>
      <c r="C168" s="239" t="str">
        <f t="shared" si="9"/>
        <v>Vivienda Plurifamiliar</v>
      </c>
      <c r="D168" s="323" t="s">
        <v>19</v>
      </c>
      <c r="E168" s="289" t="s">
        <v>629</v>
      </c>
      <c r="F168" s="11" t="str">
        <f t="shared" si="8"/>
        <v>Vivienda PlurifamiliarC3Categoria E</v>
      </c>
      <c r="G168" s="165">
        <v>327.2</v>
      </c>
      <c r="H168" s="75">
        <v>52.4</v>
      </c>
      <c r="I168" s="94" t="s">
        <v>656</v>
      </c>
      <c r="J168" s="1"/>
      <c r="K168" s="1"/>
      <c r="L168" s="1"/>
      <c r="M168" s="1"/>
      <c r="N168" s="1"/>
      <c r="O168" s="11"/>
      <c r="P168" s="11"/>
      <c r="Q168" s="11"/>
      <c r="R168" s="11"/>
      <c r="S168" s="11"/>
      <c r="T168" s="11"/>
      <c r="U168" s="11"/>
      <c r="V168" s="11"/>
      <c r="W168" s="11"/>
      <c r="X168" s="11"/>
    </row>
    <row r="169" spans="2:24">
      <c r="B169" s="11"/>
      <c r="C169" s="239" t="str">
        <f t="shared" si="9"/>
        <v>Vivienda Plurifamiliar</v>
      </c>
      <c r="D169" s="323" t="s">
        <v>19</v>
      </c>
      <c r="E169" s="289" t="s">
        <v>630</v>
      </c>
      <c r="F169" s="11" t="str">
        <f t="shared" si="8"/>
        <v>Vivienda PlurifamiliarC3Categoria F</v>
      </c>
      <c r="G169" s="165">
        <v>412.2</v>
      </c>
      <c r="H169" s="75">
        <v>59.2</v>
      </c>
      <c r="I169" s="94" t="s">
        <v>656</v>
      </c>
      <c r="J169" s="1"/>
      <c r="K169" s="1"/>
      <c r="L169" s="1"/>
      <c r="M169" s="1"/>
      <c r="N169" s="1"/>
      <c r="O169" s="11"/>
      <c r="P169" s="11"/>
      <c r="Q169" s="11"/>
      <c r="R169" s="11"/>
      <c r="S169" s="11"/>
      <c r="T169" s="11"/>
      <c r="U169" s="11"/>
      <c r="V169" s="11"/>
      <c r="W169" s="11"/>
      <c r="X169" s="11"/>
    </row>
    <row r="170" spans="2:24">
      <c r="B170" s="11"/>
      <c r="C170" s="239" t="str">
        <f t="shared" si="9"/>
        <v>Vivienda Plurifamiliar</v>
      </c>
      <c r="D170" s="323" t="s">
        <v>19</v>
      </c>
      <c r="E170" s="289" t="str">
        <f>IF(Idioma=Castellano,"Consumo nulo",IF(Idioma=Valencià,"Consum nul","Consumo nulo"))</f>
        <v>Consumo nulo</v>
      </c>
      <c r="F170" s="11" t="str">
        <f t="shared" si="8"/>
        <v>Vivienda PlurifamiliarC3Consumo nulo</v>
      </c>
      <c r="G170" s="165">
        <v>0</v>
      </c>
      <c r="H170" s="75">
        <v>0</v>
      </c>
      <c r="I170" s="186" t="s">
        <v>658</v>
      </c>
      <c r="J170" s="1"/>
      <c r="K170" s="1"/>
      <c r="L170" s="1"/>
      <c r="M170" s="1"/>
      <c r="N170" s="1"/>
      <c r="O170" s="11"/>
      <c r="P170" s="11"/>
      <c r="Q170" s="11"/>
      <c r="R170" s="11"/>
      <c r="S170" s="11"/>
      <c r="T170" s="11"/>
      <c r="U170" s="11"/>
      <c r="V170" s="11"/>
      <c r="W170" s="11"/>
      <c r="X170" s="11"/>
    </row>
    <row r="171" spans="2:24">
      <c r="B171" s="11"/>
      <c r="C171" s="239" t="str">
        <f t="shared" si="9"/>
        <v>Vivienda Plurifamiliar</v>
      </c>
      <c r="D171" s="323" t="s">
        <v>19</v>
      </c>
      <c r="E171" s="289" t="str">
        <f>IF(Idioma=Castellano,"Sin definir",IF(Idioma=Valencià,"Sense definir","Sin definir"))</f>
        <v>Sin definir</v>
      </c>
      <c r="F171" s="11" t="str">
        <f t="shared" si="8"/>
        <v>Vivienda PlurifamiliarC3Sin definir</v>
      </c>
      <c r="G171" s="165">
        <f>G167</f>
        <v>179</v>
      </c>
      <c r="H171" s="75">
        <v>24.7</v>
      </c>
      <c r="I171" s="161" t="s">
        <v>659</v>
      </c>
      <c r="J171" s="1"/>
      <c r="K171" s="1"/>
      <c r="L171" s="1"/>
      <c r="M171" s="1"/>
      <c r="N171" s="1"/>
      <c r="O171" s="11"/>
      <c r="P171" s="11"/>
      <c r="Q171" s="11"/>
      <c r="R171" s="11"/>
      <c r="S171" s="11"/>
      <c r="T171" s="11"/>
      <c r="U171" s="11"/>
      <c r="V171" s="11"/>
      <c r="W171" s="11"/>
      <c r="X171" s="11"/>
    </row>
    <row r="172" spans="2:24">
      <c r="B172" s="11"/>
      <c r="C172" s="239" t="str">
        <f t="shared" si="9"/>
        <v>Vivienda Plurifamiliar</v>
      </c>
      <c r="D172" s="323" t="s">
        <v>55</v>
      </c>
      <c r="E172" s="289" t="str">
        <f>IF(Idioma=Castellano,"Existente",IF(Idioma=Valencià,"Existent","Existente"))</f>
        <v>Existente</v>
      </c>
      <c r="F172" s="11" t="str">
        <f t="shared" si="8"/>
        <v>Vivienda PlurifamiliarD1Existente</v>
      </c>
      <c r="G172" s="165">
        <f>G177</f>
        <v>385.1</v>
      </c>
      <c r="H172" s="75">
        <v>59.9</v>
      </c>
      <c r="I172" s="94" t="s">
        <v>656</v>
      </c>
      <c r="J172" s="1"/>
      <c r="K172" s="1"/>
      <c r="L172" s="1"/>
      <c r="M172" s="1"/>
      <c r="N172" s="1"/>
      <c r="O172" s="11"/>
      <c r="P172" s="11"/>
      <c r="Q172" s="11"/>
      <c r="R172" s="11"/>
      <c r="S172" s="11"/>
      <c r="T172" s="11"/>
      <c r="U172" s="11"/>
      <c r="V172" s="11"/>
      <c r="W172" s="11"/>
      <c r="X172" s="11"/>
    </row>
    <row r="173" spans="2:24">
      <c r="B173" s="11"/>
      <c r="C173" s="239" t="str">
        <f t="shared" ref="C173:C207" si="10">IF(Idioma=Castellano,"Vivienda Plurifamiliar",IF(Idioma=Valencià,"Habitatge Plurifamiliar","Vivienda Plurifamiliar"))</f>
        <v>Vivienda Plurifamiliar</v>
      </c>
      <c r="D173" s="323" t="s">
        <v>55</v>
      </c>
      <c r="E173" s="289" t="s">
        <v>625</v>
      </c>
      <c r="F173" s="11" t="str">
        <f t="shared" si="8"/>
        <v>Vivienda PlurifamiliarD1Categoria A</v>
      </c>
      <c r="G173" s="165">
        <v>54.5</v>
      </c>
      <c r="H173" s="75">
        <v>8.4</v>
      </c>
      <c r="I173" s="94" t="s">
        <v>656</v>
      </c>
      <c r="J173" s="1"/>
      <c r="K173" s="1"/>
      <c r="L173" s="1"/>
      <c r="M173" s="1"/>
      <c r="N173" s="1"/>
      <c r="O173" s="11"/>
      <c r="P173" s="11"/>
      <c r="Q173" s="11"/>
      <c r="R173" s="11"/>
      <c r="S173" s="11"/>
      <c r="T173" s="11"/>
      <c r="U173" s="11"/>
      <c r="V173" s="11"/>
      <c r="W173" s="11"/>
      <c r="X173" s="11"/>
    </row>
    <row r="174" spans="2:24">
      <c r="B174" s="11"/>
      <c r="C174" s="239" t="str">
        <f t="shared" si="10"/>
        <v>Vivienda Plurifamiliar</v>
      </c>
      <c r="D174" s="323" t="s">
        <v>55</v>
      </c>
      <c r="E174" s="289" t="s">
        <v>626</v>
      </c>
      <c r="F174" s="11" t="str">
        <f t="shared" si="8"/>
        <v>Vivienda PlurifamiliarD1Categoria B</v>
      </c>
      <c r="G174" s="165">
        <v>83.8</v>
      </c>
      <c r="H174" s="75">
        <v>12.9</v>
      </c>
      <c r="I174" s="94" t="s">
        <v>656</v>
      </c>
      <c r="J174" s="1"/>
      <c r="K174" s="1"/>
      <c r="L174" s="1"/>
      <c r="M174" s="1"/>
      <c r="N174" s="1"/>
      <c r="O174" s="11"/>
      <c r="P174" s="11"/>
      <c r="Q174" s="11"/>
      <c r="R174" s="11"/>
      <c r="S174" s="11"/>
      <c r="T174" s="11"/>
      <c r="U174" s="11"/>
      <c r="V174" s="11"/>
      <c r="W174" s="11"/>
      <c r="X174" s="11"/>
    </row>
    <row r="175" spans="2:24">
      <c r="B175" s="11"/>
      <c r="C175" s="239" t="str">
        <f t="shared" si="10"/>
        <v>Vivienda Plurifamiliar</v>
      </c>
      <c r="D175" s="323" t="s">
        <v>55</v>
      </c>
      <c r="E175" s="289" t="s">
        <v>627</v>
      </c>
      <c r="F175" s="11" t="str">
        <f t="shared" si="8"/>
        <v>Vivienda PlurifamiliarD1Categoria C</v>
      </c>
      <c r="G175" s="165">
        <v>125</v>
      </c>
      <c r="H175" s="75">
        <v>19.3</v>
      </c>
      <c r="I175" s="94" t="s">
        <v>656</v>
      </c>
      <c r="J175" s="1"/>
      <c r="K175" s="1"/>
      <c r="L175" s="1"/>
      <c r="M175" s="1"/>
      <c r="N175" s="1"/>
      <c r="O175" s="11"/>
      <c r="P175" s="11"/>
      <c r="Q175" s="11"/>
      <c r="R175" s="11"/>
      <c r="S175" s="11"/>
      <c r="T175" s="11"/>
      <c r="U175" s="11"/>
      <c r="V175" s="11"/>
      <c r="W175" s="11"/>
      <c r="X175" s="11"/>
    </row>
    <row r="176" spans="2:24">
      <c r="B176" s="11"/>
      <c r="C176" s="239" t="str">
        <f t="shared" si="10"/>
        <v>Vivienda Plurifamiliar</v>
      </c>
      <c r="D176" s="323" t="s">
        <v>55</v>
      </c>
      <c r="E176" s="289" t="s">
        <v>628</v>
      </c>
      <c r="F176" s="11" t="str">
        <f t="shared" si="8"/>
        <v>Vivienda PlurifamiliarD1Categoria D</v>
      </c>
      <c r="G176" s="165">
        <v>186.2</v>
      </c>
      <c r="H176" s="75">
        <v>28.7</v>
      </c>
      <c r="I176" s="94" t="s">
        <v>656</v>
      </c>
      <c r="J176" s="1"/>
      <c r="K176" s="1"/>
      <c r="L176" s="1"/>
      <c r="M176" s="1"/>
      <c r="N176" s="1"/>
      <c r="O176" s="11"/>
      <c r="P176" s="11"/>
      <c r="Q176" s="11"/>
      <c r="R176" s="11"/>
      <c r="S176" s="11"/>
      <c r="T176" s="11"/>
      <c r="U176" s="11"/>
      <c r="V176" s="11"/>
      <c r="W176" s="11"/>
      <c r="X176" s="11"/>
    </row>
    <row r="177" spans="2:24">
      <c r="B177" s="11"/>
      <c r="C177" s="239" t="str">
        <f t="shared" si="10"/>
        <v>Vivienda Plurifamiliar</v>
      </c>
      <c r="D177" s="323" t="s">
        <v>55</v>
      </c>
      <c r="E177" s="289" t="s">
        <v>629</v>
      </c>
      <c r="F177" s="11" t="str">
        <f t="shared" si="8"/>
        <v>Vivienda PlurifamiliarD1Categoria E</v>
      </c>
      <c r="G177" s="165">
        <v>385.1</v>
      </c>
      <c r="H177" s="75">
        <v>59.9</v>
      </c>
      <c r="I177" s="94" t="s">
        <v>656</v>
      </c>
      <c r="J177" s="1"/>
      <c r="K177" s="1"/>
      <c r="L177" s="1"/>
      <c r="M177" s="1"/>
      <c r="N177" s="1"/>
      <c r="O177" s="11"/>
      <c r="P177" s="11"/>
      <c r="Q177" s="11"/>
      <c r="R177" s="11"/>
      <c r="S177" s="11"/>
      <c r="T177" s="11"/>
      <c r="U177" s="11"/>
      <c r="V177" s="11"/>
      <c r="W177" s="11"/>
      <c r="X177" s="11"/>
    </row>
    <row r="178" spans="2:24">
      <c r="B178" s="11"/>
      <c r="C178" s="239" t="str">
        <f t="shared" si="10"/>
        <v>Vivienda Plurifamiliar</v>
      </c>
      <c r="D178" s="323" t="s">
        <v>55</v>
      </c>
      <c r="E178" s="289" t="s">
        <v>630</v>
      </c>
      <c r="F178" s="11" t="str">
        <f t="shared" si="8"/>
        <v>Vivienda PlurifamiliarD1Categoria F</v>
      </c>
      <c r="G178" s="165">
        <v>473.7</v>
      </c>
      <c r="H178" s="75">
        <v>71.8</v>
      </c>
      <c r="I178" s="94" t="s">
        <v>656</v>
      </c>
      <c r="J178" s="1"/>
      <c r="K178" s="1"/>
      <c r="L178" s="1"/>
      <c r="M178" s="1"/>
      <c r="N178" s="1"/>
      <c r="O178" s="11"/>
      <c r="P178" s="11"/>
      <c r="Q178" s="11"/>
      <c r="R178" s="11"/>
      <c r="S178" s="11"/>
      <c r="T178" s="11"/>
      <c r="U178" s="11"/>
      <c r="V178" s="11"/>
      <c r="W178" s="11"/>
      <c r="X178" s="11"/>
    </row>
    <row r="179" spans="2:24">
      <c r="B179" s="11"/>
      <c r="C179" s="239" t="str">
        <f t="shared" si="10"/>
        <v>Vivienda Plurifamiliar</v>
      </c>
      <c r="D179" s="323" t="s">
        <v>55</v>
      </c>
      <c r="E179" s="289" t="str">
        <f>IF(Idioma=Castellano,"Consumo nulo",IF(Idioma=Valencià,"Consum nul","Consumo nulo"))</f>
        <v>Consumo nulo</v>
      </c>
      <c r="F179" s="11" t="str">
        <f t="shared" si="8"/>
        <v>Vivienda PlurifamiliarD1Consumo nulo</v>
      </c>
      <c r="G179" s="165">
        <v>0</v>
      </c>
      <c r="H179" s="75">
        <v>0</v>
      </c>
      <c r="I179" s="186" t="s">
        <v>658</v>
      </c>
      <c r="J179" s="1"/>
      <c r="K179" s="1"/>
      <c r="L179" s="1"/>
      <c r="M179" s="1"/>
      <c r="N179" s="1"/>
      <c r="O179" s="11"/>
      <c r="P179" s="11"/>
      <c r="Q179" s="11"/>
      <c r="R179" s="11"/>
      <c r="S179" s="11"/>
      <c r="T179" s="11"/>
      <c r="U179" s="11"/>
      <c r="V179" s="11"/>
      <c r="W179" s="11"/>
      <c r="X179" s="11"/>
    </row>
    <row r="180" spans="2:24">
      <c r="B180" s="11"/>
      <c r="C180" s="239" t="str">
        <f t="shared" si="10"/>
        <v>Vivienda Plurifamiliar</v>
      </c>
      <c r="D180" s="323" t="s">
        <v>55</v>
      </c>
      <c r="E180" s="289" t="str">
        <f>IF(Idioma=Castellano,"Sin definir",IF(Idioma=Valencià,"Sense definir","Sin definir"))</f>
        <v>Sin definir</v>
      </c>
      <c r="F180" s="11" t="str">
        <f t="shared" si="8"/>
        <v>Vivienda PlurifamiliarD1Sin definir</v>
      </c>
      <c r="G180" s="165">
        <f>G176</f>
        <v>186.2</v>
      </c>
      <c r="H180" s="75">
        <v>28.7</v>
      </c>
      <c r="I180" s="161" t="s">
        <v>659</v>
      </c>
      <c r="J180" s="1"/>
      <c r="K180" s="1"/>
      <c r="L180" s="1"/>
      <c r="M180" s="1"/>
      <c r="N180" s="1"/>
      <c r="O180" s="11"/>
      <c r="P180" s="11"/>
      <c r="Q180" s="11"/>
      <c r="R180" s="11"/>
      <c r="S180" s="11"/>
      <c r="T180" s="11"/>
      <c r="U180" s="11"/>
      <c r="V180" s="11"/>
      <c r="W180" s="11"/>
      <c r="X180" s="11"/>
    </row>
    <row r="181" spans="2:24">
      <c r="B181" s="11"/>
      <c r="C181" s="239" t="str">
        <f t="shared" si="10"/>
        <v>Vivienda Plurifamiliar</v>
      </c>
      <c r="D181" s="323" t="s">
        <v>63</v>
      </c>
      <c r="E181" s="289" t="str">
        <f>IF(Idioma=Castellano,"Existente",IF(Idioma=Valencià,"Existent","Existente"))</f>
        <v>Existente</v>
      </c>
      <c r="F181" s="11" t="str">
        <f t="shared" si="8"/>
        <v>Vivienda PlurifamiliarD2Existente</v>
      </c>
      <c r="G181" s="165">
        <f>G186</f>
        <v>408.8</v>
      </c>
      <c r="H181" s="75">
        <v>63</v>
      </c>
      <c r="I181" s="94" t="s">
        <v>656</v>
      </c>
      <c r="J181" s="1"/>
      <c r="K181" s="1"/>
      <c r="L181" s="1"/>
      <c r="M181" s="1"/>
      <c r="N181" s="1"/>
      <c r="O181" s="11"/>
      <c r="P181" s="11"/>
      <c r="Q181" s="11"/>
      <c r="R181" s="11"/>
      <c r="S181" s="11"/>
      <c r="T181" s="11"/>
      <c r="U181" s="11"/>
      <c r="V181" s="11"/>
      <c r="W181" s="11"/>
      <c r="X181" s="11"/>
    </row>
    <row r="182" spans="2:24">
      <c r="B182" s="11"/>
      <c r="C182" s="239" t="str">
        <f t="shared" si="10"/>
        <v>Vivienda Plurifamiliar</v>
      </c>
      <c r="D182" s="323" t="s">
        <v>63</v>
      </c>
      <c r="E182" s="289" t="s">
        <v>625</v>
      </c>
      <c r="F182" s="11" t="str">
        <f t="shared" si="8"/>
        <v>Vivienda PlurifamiliarD2Categoria A</v>
      </c>
      <c r="G182" s="165">
        <v>54.3</v>
      </c>
      <c r="H182" s="75">
        <v>7.9</v>
      </c>
      <c r="I182" s="94" t="s">
        <v>656</v>
      </c>
      <c r="J182" s="1"/>
      <c r="K182" s="1"/>
      <c r="L182" s="1"/>
      <c r="M182" s="1"/>
      <c r="N182" s="1"/>
      <c r="O182" s="11"/>
      <c r="P182" s="11"/>
      <c r="Q182" s="11"/>
      <c r="R182" s="11"/>
      <c r="S182" s="11"/>
      <c r="T182" s="11"/>
      <c r="U182" s="11"/>
      <c r="V182" s="11"/>
      <c r="W182" s="11"/>
      <c r="X182" s="11"/>
    </row>
    <row r="183" spans="2:24">
      <c r="B183" s="11"/>
      <c r="C183" s="239" t="str">
        <f t="shared" si="10"/>
        <v>Vivienda Plurifamiliar</v>
      </c>
      <c r="D183" s="323" t="s">
        <v>63</v>
      </c>
      <c r="E183" s="289" t="s">
        <v>626</v>
      </c>
      <c r="F183" s="11" t="str">
        <f t="shared" si="8"/>
        <v>Vivienda PlurifamiliarD2Categoria B</v>
      </c>
      <c r="G183" s="165">
        <v>88.1</v>
      </c>
      <c r="H183" s="75">
        <v>12.9</v>
      </c>
      <c r="I183" s="94" t="s">
        <v>656</v>
      </c>
      <c r="J183" s="1"/>
      <c r="K183" s="1"/>
      <c r="L183" s="1"/>
      <c r="M183" s="1"/>
      <c r="N183" s="1"/>
      <c r="O183" s="11"/>
      <c r="P183" s="11"/>
      <c r="Q183" s="11"/>
      <c r="R183" s="11"/>
      <c r="S183" s="11"/>
      <c r="T183" s="11"/>
      <c r="U183" s="11"/>
      <c r="V183" s="11"/>
      <c r="W183" s="11"/>
      <c r="X183" s="11"/>
    </row>
    <row r="184" spans="2:24">
      <c r="B184" s="11"/>
      <c r="C184" s="239" t="str">
        <f t="shared" si="10"/>
        <v>Vivienda Plurifamiliar</v>
      </c>
      <c r="D184" s="323" t="s">
        <v>63</v>
      </c>
      <c r="E184" s="289" t="s">
        <v>627</v>
      </c>
      <c r="F184" s="11" t="str">
        <f t="shared" si="8"/>
        <v>Vivienda PlurifamiliarD2Categoria C</v>
      </c>
      <c r="G184" s="165">
        <v>136.6</v>
      </c>
      <c r="H184" s="75">
        <v>20</v>
      </c>
      <c r="I184" s="94" t="s">
        <v>656</v>
      </c>
      <c r="J184" s="1"/>
      <c r="K184" s="1"/>
      <c r="L184" s="1"/>
      <c r="M184" s="1"/>
      <c r="N184" s="1"/>
      <c r="O184" s="11"/>
      <c r="P184" s="11"/>
      <c r="Q184" s="11"/>
      <c r="R184" s="11"/>
      <c r="S184" s="11"/>
      <c r="T184" s="11"/>
      <c r="U184" s="11"/>
      <c r="V184" s="11"/>
      <c r="W184" s="11"/>
      <c r="X184" s="11"/>
    </row>
    <row r="185" spans="2:24">
      <c r="B185" s="11"/>
      <c r="C185" s="239" t="str">
        <f t="shared" si="10"/>
        <v>Vivienda Plurifamiliar</v>
      </c>
      <c r="D185" s="323" t="s">
        <v>63</v>
      </c>
      <c r="E185" s="289" t="s">
        <v>628</v>
      </c>
      <c r="F185" s="11" t="str">
        <f t="shared" si="8"/>
        <v>Vivienda PlurifamiliarD2Categoria D</v>
      </c>
      <c r="G185" s="165">
        <v>210</v>
      </c>
      <c r="H185" s="75">
        <v>30.7</v>
      </c>
      <c r="I185" s="94" t="s">
        <v>656</v>
      </c>
      <c r="J185" s="1"/>
      <c r="K185" s="1"/>
      <c r="L185" s="1"/>
      <c r="M185" s="1"/>
      <c r="N185" s="1"/>
      <c r="O185" s="11"/>
      <c r="P185" s="11"/>
      <c r="Q185" s="11"/>
      <c r="R185" s="11"/>
      <c r="S185" s="11"/>
      <c r="T185" s="11"/>
      <c r="U185" s="11"/>
      <c r="V185" s="11"/>
      <c r="W185" s="11"/>
      <c r="X185" s="11"/>
    </row>
    <row r="186" spans="2:24">
      <c r="B186" s="11"/>
      <c r="C186" s="239" t="str">
        <f t="shared" si="10"/>
        <v>Vivienda Plurifamiliar</v>
      </c>
      <c r="D186" s="323" t="s">
        <v>63</v>
      </c>
      <c r="E186" s="289" t="s">
        <v>629</v>
      </c>
      <c r="F186" s="11" t="str">
        <f t="shared" si="8"/>
        <v>Vivienda PlurifamiliarD2Categoria E</v>
      </c>
      <c r="G186" s="165">
        <v>408.8</v>
      </c>
      <c r="H186" s="75">
        <v>63</v>
      </c>
      <c r="I186" s="94" t="s">
        <v>656</v>
      </c>
      <c r="J186" s="1"/>
      <c r="K186" s="1"/>
      <c r="L186" s="1"/>
      <c r="M186" s="1"/>
      <c r="N186" s="1"/>
      <c r="O186" s="11"/>
      <c r="P186" s="11"/>
      <c r="Q186" s="11"/>
      <c r="R186" s="11"/>
      <c r="S186" s="11"/>
      <c r="T186" s="11"/>
      <c r="U186" s="11"/>
      <c r="V186" s="11"/>
      <c r="W186" s="11"/>
      <c r="X186" s="11"/>
    </row>
    <row r="187" spans="2:24">
      <c r="B187" s="11"/>
      <c r="C187" s="239" t="str">
        <f t="shared" si="10"/>
        <v>Vivienda Plurifamiliar</v>
      </c>
      <c r="D187" s="323" t="s">
        <v>63</v>
      </c>
      <c r="E187" s="289" t="s">
        <v>630</v>
      </c>
      <c r="F187" s="11" t="str">
        <f t="shared" si="8"/>
        <v>Vivienda PlurifamiliarD2Categoria F</v>
      </c>
      <c r="G187" s="165">
        <v>527.29999999999995</v>
      </c>
      <c r="H187" s="75">
        <v>73.7</v>
      </c>
      <c r="I187" s="94" t="s">
        <v>656</v>
      </c>
      <c r="J187" s="1"/>
      <c r="K187" s="1"/>
      <c r="L187" s="1"/>
      <c r="M187" s="1"/>
      <c r="N187" s="1"/>
      <c r="O187" s="11"/>
      <c r="P187" s="11"/>
      <c r="Q187" s="11"/>
      <c r="R187" s="11"/>
      <c r="S187" s="11"/>
      <c r="T187" s="11"/>
      <c r="U187" s="11"/>
      <c r="V187" s="11"/>
      <c r="W187" s="11"/>
      <c r="X187" s="11"/>
    </row>
    <row r="188" spans="2:24">
      <c r="B188" s="11"/>
      <c r="C188" s="239" t="str">
        <f t="shared" si="10"/>
        <v>Vivienda Plurifamiliar</v>
      </c>
      <c r="D188" s="323" t="s">
        <v>63</v>
      </c>
      <c r="E188" s="289" t="str">
        <f>IF(Idioma=Castellano,"Consumo nulo",IF(Idioma=Valencià,"Consum nul","Consumo nulo"))</f>
        <v>Consumo nulo</v>
      </c>
      <c r="F188" s="11" t="str">
        <f t="shared" si="8"/>
        <v>Vivienda PlurifamiliarD2Consumo nulo</v>
      </c>
      <c r="G188" s="165">
        <v>0</v>
      </c>
      <c r="H188" s="75">
        <v>0</v>
      </c>
      <c r="I188" s="186" t="s">
        <v>658</v>
      </c>
      <c r="J188" s="1"/>
      <c r="K188" s="1"/>
      <c r="L188" s="1"/>
      <c r="M188" s="1"/>
      <c r="N188" s="1"/>
      <c r="O188" s="11"/>
      <c r="P188" s="11"/>
      <c r="Q188" s="11"/>
      <c r="R188" s="11"/>
      <c r="S188" s="11"/>
      <c r="T188" s="11"/>
      <c r="U188" s="11"/>
      <c r="V188" s="11"/>
      <c r="W188" s="11"/>
      <c r="X188" s="11"/>
    </row>
    <row r="189" spans="2:24">
      <c r="B189" s="11"/>
      <c r="C189" s="239" t="str">
        <f t="shared" si="10"/>
        <v>Vivienda Plurifamiliar</v>
      </c>
      <c r="D189" s="323" t="s">
        <v>63</v>
      </c>
      <c r="E189" s="289" t="str">
        <f>IF(Idioma=Castellano,"Sin definir",IF(Idioma=Valencià,"Sense definir","Sin definir"))</f>
        <v>Sin definir</v>
      </c>
      <c r="F189" s="11" t="str">
        <f t="shared" si="8"/>
        <v>Vivienda PlurifamiliarD2Sin definir</v>
      </c>
      <c r="G189" s="165">
        <f>G185</f>
        <v>210</v>
      </c>
      <c r="H189" s="75">
        <v>30.7</v>
      </c>
      <c r="I189" s="161" t="s">
        <v>659</v>
      </c>
      <c r="J189" s="1"/>
      <c r="K189" s="1"/>
      <c r="L189" s="1"/>
      <c r="M189" s="1"/>
      <c r="N189" s="1"/>
      <c r="O189" s="11"/>
      <c r="P189" s="11"/>
      <c r="Q189" s="11"/>
      <c r="R189" s="11"/>
      <c r="S189" s="11"/>
      <c r="T189" s="11"/>
      <c r="U189" s="11"/>
      <c r="V189" s="11"/>
      <c r="W189" s="11"/>
      <c r="X189" s="11"/>
    </row>
    <row r="190" spans="2:24">
      <c r="B190" s="11"/>
      <c r="C190" s="239" t="str">
        <f t="shared" si="10"/>
        <v>Vivienda Plurifamiliar</v>
      </c>
      <c r="D190" s="323" t="s">
        <v>231</v>
      </c>
      <c r="E190" s="289" t="str">
        <f>IF(Idioma=Castellano,"Existente",IF(Idioma=Valencià,"Existent","Existente"))</f>
        <v>Existente</v>
      </c>
      <c r="F190" s="11" t="str">
        <f t="shared" si="8"/>
        <v>Vivienda PlurifamiliarD3Existente</v>
      </c>
      <c r="G190" s="165">
        <f>G195</f>
        <v>432.2</v>
      </c>
      <c r="H190" s="75">
        <v>66.3</v>
      </c>
      <c r="I190" s="94" t="s">
        <v>656</v>
      </c>
      <c r="J190" s="1"/>
      <c r="K190" s="1"/>
      <c r="L190" s="1"/>
      <c r="M190" s="1"/>
      <c r="N190" s="1"/>
      <c r="O190" s="11"/>
      <c r="P190" s="11"/>
      <c r="Q190" s="11"/>
      <c r="R190" s="11"/>
      <c r="S190" s="11"/>
      <c r="T190" s="11"/>
      <c r="U190" s="11"/>
      <c r="V190" s="11"/>
      <c r="W190" s="11"/>
      <c r="X190" s="11"/>
    </row>
    <row r="191" spans="2:24">
      <c r="B191" s="11"/>
      <c r="C191" s="239" t="str">
        <f t="shared" si="10"/>
        <v>Vivienda Plurifamiliar</v>
      </c>
      <c r="D191" s="323" t="s">
        <v>231</v>
      </c>
      <c r="E191" s="289" t="s">
        <v>625</v>
      </c>
      <c r="F191" s="11" t="str">
        <f t="shared" si="8"/>
        <v>Vivienda PlurifamiliarD3Categoria A</v>
      </c>
      <c r="G191" s="165">
        <v>59.6</v>
      </c>
      <c r="H191" s="75">
        <v>8.4</v>
      </c>
      <c r="I191" s="94" t="s">
        <v>656</v>
      </c>
      <c r="J191" s="1"/>
      <c r="K191" s="1"/>
      <c r="L191" s="1"/>
      <c r="M191" s="1"/>
      <c r="N191" s="1"/>
      <c r="O191" s="11"/>
      <c r="P191" s="11"/>
      <c r="Q191" s="11"/>
      <c r="R191" s="11"/>
      <c r="S191" s="11"/>
      <c r="T191" s="11"/>
      <c r="U191" s="11"/>
      <c r="V191" s="11"/>
      <c r="W191" s="11"/>
      <c r="X191" s="11"/>
    </row>
    <row r="192" spans="2:24">
      <c r="B192" s="11"/>
      <c r="C192" s="239" t="str">
        <f t="shared" si="10"/>
        <v>Vivienda Plurifamiliar</v>
      </c>
      <c r="D192" s="323" t="s">
        <v>231</v>
      </c>
      <c r="E192" s="289" t="s">
        <v>626</v>
      </c>
      <c r="F192" s="11" t="str">
        <f t="shared" si="8"/>
        <v>Vivienda PlurifamiliarD3Categoria B</v>
      </c>
      <c r="G192" s="165">
        <v>96.6</v>
      </c>
      <c r="H192" s="75">
        <v>13.6</v>
      </c>
      <c r="I192" s="94" t="s">
        <v>656</v>
      </c>
      <c r="J192" s="1"/>
      <c r="K192" s="1"/>
      <c r="L192" s="1"/>
      <c r="M192" s="1"/>
      <c r="N192" s="1"/>
      <c r="O192" s="11"/>
      <c r="P192" s="11"/>
      <c r="Q192" s="11"/>
      <c r="R192" s="11"/>
      <c r="S192" s="11"/>
      <c r="T192" s="11"/>
      <c r="U192" s="11"/>
      <c r="V192" s="11"/>
      <c r="W192" s="11"/>
      <c r="X192" s="11"/>
    </row>
    <row r="193" spans="2:24">
      <c r="B193" s="11"/>
      <c r="C193" s="239" t="str">
        <f t="shared" si="10"/>
        <v>Vivienda Plurifamiliar</v>
      </c>
      <c r="D193" s="323" t="s">
        <v>231</v>
      </c>
      <c r="E193" s="289" t="s">
        <v>627</v>
      </c>
      <c r="F193" s="11" t="str">
        <f t="shared" si="8"/>
        <v>Vivienda PlurifamiliarD3Categoria C</v>
      </c>
      <c r="G193" s="165">
        <v>149.80000000000001</v>
      </c>
      <c r="H193" s="75">
        <v>21.1</v>
      </c>
      <c r="I193" s="94" t="s">
        <v>656</v>
      </c>
      <c r="J193" s="1"/>
      <c r="K193" s="1"/>
      <c r="L193" s="1"/>
      <c r="M193" s="1"/>
      <c r="N193" s="1"/>
      <c r="O193" s="11"/>
      <c r="P193" s="11"/>
      <c r="Q193" s="11"/>
      <c r="R193" s="11"/>
      <c r="S193" s="11"/>
      <c r="T193" s="11"/>
      <c r="U193" s="11"/>
      <c r="V193" s="11"/>
      <c r="W193" s="11"/>
      <c r="X193" s="11"/>
    </row>
    <row r="194" spans="2:24">
      <c r="B194" s="11"/>
      <c r="C194" s="239" t="str">
        <f t="shared" si="10"/>
        <v>Vivienda Plurifamiliar</v>
      </c>
      <c r="D194" s="323" t="s">
        <v>231</v>
      </c>
      <c r="E194" s="289" t="s">
        <v>628</v>
      </c>
      <c r="F194" s="11" t="str">
        <f t="shared" si="8"/>
        <v>Vivienda PlurifamiliarD3Categoria D</v>
      </c>
      <c r="G194" s="165">
        <v>230.3</v>
      </c>
      <c r="H194" s="75">
        <v>32.4</v>
      </c>
      <c r="I194" s="94" t="s">
        <v>656</v>
      </c>
      <c r="J194" s="1"/>
      <c r="K194" s="1"/>
      <c r="L194" s="1"/>
      <c r="M194" s="1"/>
      <c r="N194" s="1"/>
      <c r="O194" s="11"/>
      <c r="P194" s="11"/>
      <c r="Q194" s="11"/>
      <c r="R194" s="11"/>
      <c r="S194" s="11"/>
      <c r="T194" s="11"/>
      <c r="U194" s="11"/>
      <c r="V194" s="11"/>
      <c r="W194" s="11"/>
      <c r="X194" s="11"/>
    </row>
    <row r="195" spans="2:24">
      <c r="B195" s="11"/>
      <c r="C195" s="239" t="str">
        <f t="shared" si="10"/>
        <v>Vivienda Plurifamiliar</v>
      </c>
      <c r="D195" s="323" t="s">
        <v>231</v>
      </c>
      <c r="E195" s="289" t="s">
        <v>629</v>
      </c>
      <c r="F195" s="11" t="str">
        <f t="shared" si="8"/>
        <v>Vivienda PlurifamiliarD3Categoria E</v>
      </c>
      <c r="G195" s="165">
        <v>432.2</v>
      </c>
      <c r="H195" s="75">
        <v>66.3</v>
      </c>
      <c r="I195" s="94" t="s">
        <v>656</v>
      </c>
      <c r="J195" s="1"/>
      <c r="K195" s="1"/>
      <c r="L195" s="1"/>
      <c r="M195" s="1"/>
      <c r="N195" s="1"/>
      <c r="O195" s="11"/>
      <c r="P195" s="11"/>
      <c r="Q195" s="11"/>
      <c r="R195" s="11"/>
      <c r="S195" s="11"/>
      <c r="T195" s="11"/>
      <c r="U195" s="11"/>
      <c r="V195" s="11"/>
      <c r="W195" s="11"/>
      <c r="X195" s="11"/>
    </row>
    <row r="196" spans="2:24">
      <c r="B196" s="11"/>
      <c r="C196" s="239" t="str">
        <f t="shared" si="10"/>
        <v>Vivienda Plurifamiliar</v>
      </c>
      <c r="D196" s="323" t="s">
        <v>231</v>
      </c>
      <c r="E196" s="289" t="s">
        <v>630</v>
      </c>
      <c r="F196" s="11" t="str">
        <f t="shared" si="8"/>
        <v>Vivienda PlurifamiliarD3Categoria F</v>
      </c>
      <c r="G196" s="165">
        <v>544.6</v>
      </c>
      <c r="H196" s="75">
        <v>79.599999999999994</v>
      </c>
      <c r="I196" s="94" t="s">
        <v>656</v>
      </c>
      <c r="J196" s="1"/>
      <c r="K196" s="1"/>
      <c r="L196" s="1"/>
      <c r="M196" s="1"/>
      <c r="N196" s="1"/>
      <c r="O196" s="11"/>
      <c r="P196" s="11"/>
      <c r="Q196" s="11"/>
      <c r="R196" s="11"/>
      <c r="S196" s="11"/>
      <c r="T196" s="11"/>
      <c r="U196" s="11"/>
      <c r="V196" s="11"/>
      <c r="W196" s="11"/>
      <c r="X196" s="11"/>
    </row>
    <row r="197" spans="2:24">
      <c r="B197" s="11"/>
      <c r="C197" s="239" t="str">
        <f t="shared" si="10"/>
        <v>Vivienda Plurifamiliar</v>
      </c>
      <c r="D197" s="323" t="s">
        <v>231</v>
      </c>
      <c r="E197" s="289" t="str">
        <f>IF(Idioma=Castellano,"Consumo nulo",IF(Idioma=Valencià,"Consum nul","Consumo nulo"))</f>
        <v>Consumo nulo</v>
      </c>
      <c r="F197" s="11" t="str">
        <f t="shared" si="8"/>
        <v>Vivienda PlurifamiliarD3Consumo nulo</v>
      </c>
      <c r="G197" s="165">
        <v>0</v>
      </c>
      <c r="H197" s="75">
        <v>0</v>
      </c>
      <c r="I197" s="186" t="s">
        <v>658</v>
      </c>
      <c r="J197" s="1"/>
      <c r="K197" s="1"/>
      <c r="L197" s="1"/>
      <c r="M197" s="1"/>
      <c r="N197" s="1"/>
      <c r="O197" s="11"/>
      <c r="P197" s="11"/>
      <c r="Q197" s="11"/>
      <c r="R197" s="11"/>
      <c r="S197" s="11"/>
      <c r="T197" s="11"/>
      <c r="U197" s="11"/>
      <c r="V197" s="11"/>
      <c r="W197" s="11"/>
      <c r="X197" s="11"/>
    </row>
    <row r="198" spans="2:24">
      <c r="B198" s="11"/>
      <c r="C198" s="239" t="str">
        <f t="shared" si="10"/>
        <v>Vivienda Plurifamiliar</v>
      </c>
      <c r="D198" s="323" t="s">
        <v>231</v>
      </c>
      <c r="E198" s="289" t="str">
        <f>IF(Idioma=Castellano,"Sin definir",IF(Idioma=Valencià,"Sense definir","Sin definir"))</f>
        <v>Sin definir</v>
      </c>
      <c r="F198" s="11" t="str">
        <f t="shared" si="8"/>
        <v>Vivienda PlurifamiliarD3Sin definir</v>
      </c>
      <c r="G198" s="165">
        <f>G194</f>
        <v>230.3</v>
      </c>
      <c r="H198" s="75">
        <v>32.4</v>
      </c>
      <c r="I198" s="161" t="s">
        <v>659</v>
      </c>
      <c r="J198" s="1"/>
      <c r="K198" s="1"/>
      <c r="L198" s="1"/>
      <c r="M198" s="1"/>
      <c r="N198" s="1"/>
      <c r="O198" s="11"/>
      <c r="P198" s="11"/>
      <c r="Q198" s="11"/>
      <c r="R198" s="11"/>
      <c r="S198" s="11"/>
      <c r="T198" s="11"/>
      <c r="U198" s="11"/>
      <c r="V198" s="11"/>
      <c r="W198" s="11"/>
      <c r="X198" s="11"/>
    </row>
    <row r="199" spans="2:24">
      <c r="B199" s="11"/>
      <c r="C199" s="239" t="str">
        <f t="shared" si="10"/>
        <v>Vivienda Plurifamiliar</v>
      </c>
      <c r="D199" s="323" t="s">
        <v>86</v>
      </c>
      <c r="E199" s="289" t="str">
        <f>IF(Idioma=Castellano,"Existente",IF(Idioma=Valencià,"Existent","Existente"))</f>
        <v>Existente</v>
      </c>
      <c r="F199" s="11" t="str">
        <f t="shared" si="8"/>
        <v>Vivienda PlurifamiliarE1Existente</v>
      </c>
      <c r="G199" s="165">
        <f>G204</f>
        <v>492.8</v>
      </c>
      <c r="H199" s="75">
        <v>82.9</v>
      </c>
      <c r="I199" s="94" t="s">
        <v>656</v>
      </c>
      <c r="J199" s="1"/>
      <c r="K199" s="1"/>
      <c r="L199" s="1"/>
      <c r="M199" s="1"/>
      <c r="N199" s="1"/>
      <c r="O199" s="11"/>
      <c r="P199" s="11"/>
      <c r="Q199" s="11"/>
      <c r="R199" s="11"/>
      <c r="S199" s="11"/>
      <c r="T199" s="11"/>
      <c r="U199" s="11"/>
      <c r="V199" s="11"/>
      <c r="W199" s="11"/>
      <c r="X199" s="11"/>
    </row>
    <row r="200" spans="2:24">
      <c r="B200" s="11"/>
      <c r="C200" s="239" t="str">
        <f t="shared" si="10"/>
        <v>Vivienda Plurifamiliar</v>
      </c>
      <c r="D200" s="323" t="s">
        <v>86</v>
      </c>
      <c r="E200" s="289" t="s">
        <v>625</v>
      </c>
      <c r="F200" s="11" t="str">
        <f t="shared" si="8"/>
        <v>Vivienda PlurifamiliarE1Categoria A</v>
      </c>
      <c r="G200" s="165">
        <v>70.7</v>
      </c>
      <c r="H200" s="75">
        <v>10.4</v>
      </c>
      <c r="I200" s="94" t="s">
        <v>656</v>
      </c>
      <c r="J200" s="1"/>
      <c r="K200" s="1"/>
      <c r="L200" s="1"/>
      <c r="M200" s="1"/>
      <c r="N200" s="1"/>
      <c r="O200" s="11"/>
      <c r="P200" s="11"/>
      <c r="Q200" s="11"/>
      <c r="R200" s="11"/>
      <c r="S200" s="11"/>
      <c r="T200" s="11"/>
      <c r="U200" s="11"/>
      <c r="V200" s="11"/>
      <c r="W200" s="11"/>
      <c r="X200" s="11"/>
    </row>
    <row r="201" spans="2:24">
      <c r="B201" s="11"/>
      <c r="C201" s="239" t="str">
        <f t="shared" si="10"/>
        <v>Vivienda Plurifamiliar</v>
      </c>
      <c r="D201" s="323" t="s">
        <v>86</v>
      </c>
      <c r="E201" s="289" t="s">
        <v>626</v>
      </c>
      <c r="F201" s="11" t="str">
        <f t="shared" si="8"/>
        <v>Vivienda PlurifamiliarE1Categoria B</v>
      </c>
      <c r="G201" s="165">
        <v>108.7</v>
      </c>
      <c r="H201" s="75">
        <v>16.100000000000001</v>
      </c>
      <c r="I201" s="94" t="s">
        <v>656</v>
      </c>
      <c r="J201" s="1"/>
      <c r="K201" s="1"/>
      <c r="L201" s="1"/>
      <c r="M201" s="1"/>
      <c r="N201" s="1"/>
      <c r="O201" s="11"/>
      <c r="P201" s="11"/>
      <c r="Q201" s="11"/>
      <c r="R201" s="11"/>
      <c r="S201" s="11"/>
      <c r="T201" s="11"/>
      <c r="U201" s="11"/>
      <c r="V201" s="11"/>
      <c r="W201" s="11"/>
      <c r="X201" s="11"/>
    </row>
    <row r="202" spans="2:24">
      <c r="B202" s="11"/>
      <c r="C202" s="239" t="str">
        <f t="shared" si="10"/>
        <v>Vivienda Plurifamiliar</v>
      </c>
      <c r="D202" s="323" t="s">
        <v>86</v>
      </c>
      <c r="E202" s="289" t="s">
        <v>627</v>
      </c>
      <c r="F202" s="11" t="str">
        <f t="shared" si="8"/>
        <v>Vivienda PlurifamiliarE1Categoria C</v>
      </c>
      <c r="G202" s="165">
        <v>162.1</v>
      </c>
      <c r="H202" s="75">
        <v>24</v>
      </c>
      <c r="I202" s="94" t="s">
        <v>656</v>
      </c>
      <c r="J202" s="1"/>
      <c r="K202" s="1"/>
      <c r="L202" s="1"/>
      <c r="M202" s="1"/>
      <c r="N202" s="1"/>
      <c r="O202" s="11"/>
      <c r="P202" s="11"/>
      <c r="Q202" s="11"/>
      <c r="R202" s="11"/>
      <c r="S202" s="11"/>
      <c r="T202" s="11"/>
      <c r="U202" s="11"/>
      <c r="V202" s="11"/>
      <c r="W202" s="11"/>
      <c r="X202" s="11"/>
    </row>
    <row r="203" spans="2:24">
      <c r="B203" s="11"/>
      <c r="C203" s="239" t="str">
        <f t="shared" si="10"/>
        <v>Vivienda Plurifamiliar</v>
      </c>
      <c r="D203" s="323" t="s">
        <v>86</v>
      </c>
      <c r="E203" s="289" t="s">
        <v>628</v>
      </c>
      <c r="F203" s="11" t="str">
        <f t="shared" ref="F203:F207" si="11">C203&amp;D203&amp;E203</f>
        <v>Vivienda PlurifamiliarE1Categoria D</v>
      </c>
      <c r="G203" s="165">
        <v>241.5</v>
      </c>
      <c r="H203" s="75">
        <v>35.700000000000003</v>
      </c>
      <c r="I203" s="94" t="s">
        <v>656</v>
      </c>
      <c r="J203" s="1"/>
      <c r="K203" s="1"/>
      <c r="L203" s="1"/>
      <c r="M203" s="1"/>
      <c r="N203" s="1"/>
      <c r="O203" s="11"/>
      <c r="P203" s="11"/>
      <c r="Q203" s="11"/>
      <c r="R203" s="11"/>
      <c r="S203" s="11"/>
      <c r="T203" s="11"/>
      <c r="U203" s="11"/>
      <c r="V203" s="11"/>
      <c r="W203" s="11"/>
      <c r="X203" s="11"/>
    </row>
    <row r="204" spans="2:24">
      <c r="B204" s="11"/>
      <c r="C204" s="239" t="str">
        <f t="shared" si="10"/>
        <v>Vivienda Plurifamiliar</v>
      </c>
      <c r="D204" s="323" t="s">
        <v>86</v>
      </c>
      <c r="E204" s="289" t="s">
        <v>629</v>
      </c>
      <c r="F204" s="11" t="str">
        <f t="shared" si="11"/>
        <v>Vivienda PlurifamiliarE1Categoria E</v>
      </c>
      <c r="G204" s="165">
        <v>492.8</v>
      </c>
      <c r="H204" s="75">
        <v>82.9</v>
      </c>
      <c r="I204" s="94" t="s">
        <v>656</v>
      </c>
      <c r="J204" s="1"/>
      <c r="K204" s="1"/>
      <c r="L204" s="1"/>
      <c r="M204" s="1"/>
      <c r="N204" s="1"/>
      <c r="O204" s="11"/>
      <c r="P204" s="11"/>
      <c r="Q204" s="11"/>
      <c r="R204" s="11"/>
      <c r="S204" s="11"/>
      <c r="T204" s="11"/>
      <c r="U204" s="11"/>
      <c r="V204" s="11"/>
      <c r="W204" s="11"/>
      <c r="X204" s="11"/>
    </row>
    <row r="205" spans="2:24">
      <c r="B205" s="11"/>
      <c r="C205" s="239" t="str">
        <f t="shared" si="10"/>
        <v>Vivienda Plurifamiliar</v>
      </c>
      <c r="D205" s="323" t="s">
        <v>86</v>
      </c>
      <c r="E205" s="289" t="s">
        <v>630</v>
      </c>
      <c r="F205" s="11" t="str">
        <f t="shared" si="11"/>
        <v>Vivienda PlurifamiliarE1Categoria F</v>
      </c>
      <c r="G205" s="165">
        <v>576.6</v>
      </c>
      <c r="H205" s="75">
        <v>97</v>
      </c>
      <c r="I205" s="94" t="s">
        <v>656</v>
      </c>
      <c r="J205" s="1"/>
      <c r="K205" s="1"/>
      <c r="L205" s="1"/>
      <c r="M205" s="1"/>
      <c r="N205" s="1"/>
      <c r="O205" s="11"/>
      <c r="P205" s="11"/>
      <c r="Q205" s="11"/>
      <c r="R205" s="11"/>
      <c r="S205" s="11"/>
      <c r="T205" s="11"/>
      <c r="U205" s="11"/>
      <c r="V205" s="11"/>
      <c r="W205" s="11"/>
      <c r="X205" s="11"/>
    </row>
    <row r="206" spans="2:24">
      <c r="B206" s="11"/>
      <c r="C206" s="239" t="str">
        <f t="shared" si="10"/>
        <v>Vivienda Plurifamiliar</v>
      </c>
      <c r="D206" s="323" t="s">
        <v>86</v>
      </c>
      <c r="E206" s="289" t="str">
        <f>IF(Idioma=Castellano,"Consumo nulo",IF(Idioma=Valencià,"Consum nul","Consumo nulo"))</f>
        <v>Consumo nulo</v>
      </c>
      <c r="F206" s="11" t="str">
        <f t="shared" si="11"/>
        <v>Vivienda PlurifamiliarE1Consumo nulo</v>
      </c>
      <c r="G206" s="165">
        <v>0</v>
      </c>
      <c r="H206" s="75">
        <v>0</v>
      </c>
      <c r="I206" s="186" t="s">
        <v>658</v>
      </c>
      <c r="J206" s="1"/>
      <c r="K206" s="1"/>
      <c r="L206" s="1"/>
      <c r="M206" s="1"/>
      <c r="N206" s="1"/>
      <c r="O206" s="11"/>
      <c r="P206" s="11"/>
      <c r="Q206" s="11"/>
      <c r="R206" s="11"/>
      <c r="S206" s="11"/>
      <c r="T206" s="11"/>
      <c r="U206" s="11"/>
      <c r="V206" s="11"/>
      <c r="W206" s="11"/>
      <c r="X206" s="11"/>
    </row>
    <row r="207" spans="2:24">
      <c r="B207" s="11"/>
      <c r="C207" s="239" t="str">
        <f t="shared" si="10"/>
        <v>Vivienda Plurifamiliar</v>
      </c>
      <c r="D207" s="323" t="s">
        <v>86</v>
      </c>
      <c r="E207" s="289" t="str">
        <f>IF(Idioma=Castellano,"Sin definir",IF(Idioma=Valencià,"Sense definir","Sin definir"))</f>
        <v>Sin definir</v>
      </c>
      <c r="F207" s="11" t="str">
        <f t="shared" si="11"/>
        <v>Vivienda PlurifamiliarE1Sin definir</v>
      </c>
      <c r="G207" s="165">
        <f>G203</f>
        <v>241.5</v>
      </c>
      <c r="H207" s="75">
        <v>35.700000000000003</v>
      </c>
      <c r="I207" s="161" t="s">
        <v>659</v>
      </c>
      <c r="J207" s="1"/>
      <c r="K207" s="1"/>
      <c r="L207" s="1"/>
      <c r="M207" s="1"/>
      <c r="N207" s="1"/>
      <c r="O207" s="11"/>
      <c r="P207" s="11"/>
      <c r="Q207" s="11"/>
      <c r="R207" s="11"/>
      <c r="S207" s="11"/>
      <c r="T207" s="11"/>
      <c r="U207" s="11"/>
      <c r="V207" s="11"/>
      <c r="W207" s="11"/>
      <c r="X207" s="11"/>
    </row>
    <row r="208" spans="2:24">
      <c r="B208" s="11"/>
      <c r="C208" s="19"/>
      <c r="D208" s="76" t="s">
        <v>660</v>
      </c>
      <c r="E208" s="19"/>
      <c r="F208" s="19"/>
      <c r="G208" s="19"/>
      <c r="H208" s="19"/>
      <c r="I208" s="11"/>
      <c r="J208" s="1"/>
      <c r="K208" s="1"/>
      <c r="L208" s="1"/>
      <c r="M208" s="1"/>
      <c r="N208" s="1"/>
      <c r="O208" s="11"/>
      <c r="P208" s="11" t="s">
        <v>657</v>
      </c>
      <c r="Q208" s="11" t="s">
        <v>657</v>
      </c>
      <c r="R208" s="11"/>
      <c r="S208" s="11"/>
      <c r="T208" s="11"/>
      <c r="U208" s="11"/>
      <c r="V208" s="11"/>
      <c r="W208" s="11"/>
      <c r="X208" s="11"/>
    </row>
    <row r="209" spans="1:24">
      <c r="B209" s="11"/>
      <c r="C209" s="19"/>
      <c r="D209" s="76"/>
      <c r="E209" s="19"/>
      <c r="F209" s="19"/>
      <c r="G209" s="19"/>
      <c r="H209" s="19"/>
      <c r="I209" s="11"/>
      <c r="J209" s="11"/>
      <c r="K209" s="11"/>
      <c r="L209" s="11"/>
      <c r="M209" s="11"/>
      <c r="N209" s="11"/>
      <c r="O209" s="11"/>
      <c r="P209" s="11"/>
      <c r="Q209" s="11"/>
      <c r="R209" s="11"/>
      <c r="S209" s="11"/>
      <c r="T209" s="11"/>
      <c r="U209" s="11"/>
      <c r="V209" s="11"/>
      <c r="W209" s="11"/>
      <c r="X209" s="11"/>
    </row>
    <row r="210" spans="1:24">
      <c r="B210" s="11"/>
      <c r="C210" s="267" t="str">
        <f>IF(Idioma=Castellano,"FACTORES DE EMISIÓN",IF(Idioma=Valencià,"FACTORS D'EMISSIÓ"))</f>
        <v>FACTORES DE EMISIÓN</v>
      </c>
      <c r="D210" s="267"/>
      <c r="E210" s="267"/>
      <c r="F210" s="267"/>
      <c r="G210" s="267"/>
      <c r="I210" s="11"/>
      <c r="J210" s="11"/>
      <c r="K210" s="11"/>
      <c r="L210" s="11"/>
      <c r="M210" s="11"/>
      <c r="N210" s="11"/>
      <c r="O210" s="11"/>
      <c r="P210" s="11"/>
      <c r="Q210" s="11"/>
      <c r="R210" s="11"/>
      <c r="S210" s="11"/>
      <c r="T210" s="11"/>
      <c r="U210" s="11"/>
      <c r="V210" s="11"/>
      <c r="W210" s="11"/>
      <c r="X210" s="11"/>
    </row>
    <row r="211" spans="1:24">
      <c r="B211" s="11"/>
      <c r="C211" s="324" t="str">
        <f>IF(Idioma=Castellano,"Concepto",IF(Idioma=Valencià,"Concepte"))</f>
        <v>Concepto</v>
      </c>
      <c r="D211" s="324" t="str">
        <f>IF(Idioma=Castellano,"Demanda energética (kWh/m2*año)",IF(Idioma=Valencià,"Demanda energètica (kWh/m²*any)"))</f>
        <v>Demanda energética (kWh/m2*año)</v>
      </c>
      <c r="E211" s="324" t="str">
        <f>IF(Idioma=Castellano,"Factor de emisión  CO2 (kg CO2e/m2*año)",IF(Idioma=Valencià,"Factor d'emissió CO₂ (kg *CO2e/m²*any)"))</f>
        <v>Factor de emisión  CO2 (kg CO2e/m2*año)</v>
      </c>
      <c r="F211" s="268"/>
      <c r="G211" s="269" t="str">
        <f>IF(Idioma=Castellano,"Fuente",IF(Idioma=Valencià,"Font"))</f>
        <v>Fuente</v>
      </c>
      <c r="I211" s="11"/>
      <c r="J211" s="11"/>
      <c r="K211" s="11"/>
      <c r="L211" s="11"/>
      <c r="M211" s="11"/>
      <c r="N211" s="11"/>
      <c r="O211" s="11"/>
      <c r="P211" s="11"/>
      <c r="Q211" s="11"/>
      <c r="R211" s="11"/>
      <c r="S211" s="11"/>
      <c r="T211" s="11"/>
      <c r="U211" s="11"/>
      <c r="V211" s="11"/>
      <c r="W211" s="11"/>
      <c r="X211" s="11"/>
    </row>
    <row r="212" spans="1:24">
      <c r="B212" s="11"/>
      <c r="C212" s="13" t="s">
        <v>632</v>
      </c>
      <c r="D212" s="516">
        <f>'M_Cálculos propios'!O45*1000*'M_Cálculos propios'!D51/'M_Cálculos propios'!$E$28</f>
        <v>233.89085490512579</v>
      </c>
      <c r="E212" s="75">
        <f>'M_Cálculos propios'!I89/'M_Cálculos propios'!$E$28</f>
        <v>39.465761271707791</v>
      </c>
      <c r="F212" s="75"/>
      <c r="G212" s="74" t="s">
        <v>663</v>
      </c>
      <c r="I212" s="11"/>
      <c r="J212" s="11"/>
      <c r="K212" s="11"/>
      <c r="L212" s="11"/>
      <c r="M212" s="11"/>
      <c r="N212" s="11"/>
      <c r="O212" s="11"/>
      <c r="P212" s="11"/>
      <c r="Q212" s="11"/>
      <c r="R212" s="11"/>
      <c r="S212" s="11"/>
      <c r="T212" s="11"/>
      <c r="U212" s="11"/>
      <c r="V212" s="11"/>
      <c r="W212" s="11"/>
      <c r="X212" s="11"/>
    </row>
    <row r="213" spans="1:24">
      <c r="B213" s="11"/>
      <c r="C213" s="13" t="s">
        <v>634</v>
      </c>
      <c r="D213" s="517">
        <f>'M_Cálculos propios'!O46*1000*'M_Cálculos propios'!D51/'M_Cálculos propios'!F28</f>
        <v>734.77340701349124</v>
      </c>
      <c r="E213" s="75">
        <f>'M_Cálculos propios'!I90/'M_Cálculos propios'!F28</f>
        <v>106.69384650864086</v>
      </c>
      <c r="F213" s="75"/>
      <c r="G213" s="74" t="s">
        <v>663</v>
      </c>
      <c r="I213" s="11"/>
      <c r="J213" s="11"/>
      <c r="K213" s="11"/>
      <c r="L213" s="11"/>
      <c r="M213" s="11"/>
      <c r="N213" s="11"/>
      <c r="O213" s="11"/>
      <c r="P213" s="11"/>
      <c r="Q213" s="11"/>
      <c r="R213" s="11"/>
      <c r="S213" s="11"/>
      <c r="T213" s="11"/>
      <c r="U213" s="11"/>
      <c r="V213" s="11"/>
      <c r="W213" s="11"/>
      <c r="X213" s="11"/>
    </row>
    <row r="214" spans="1:24">
      <c r="B214" s="11"/>
      <c r="C214" s="77"/>
      <c r="D214" s="77"/>
      <c r="E214" s="77"/>
      <c r="F214" s="77"/>
      <c r="G214" s="77"/>
      <c r="H214" s="77"/>
      <c r="I214" s="77"/>
      <c r="J214" s="77"/>
      <c r="K214" s="78"/>
      <c r="L214" s="78"/>
      <c r="M214" s="78"/>
      <c r="N214" s="78"/>
      <c r="O214" s="11"/>
      <c r="P214" s="11"/>
      <c r="Q214" s="11"/>
      <c r="R214" s="11"/>
      <c r="S214" s="11"/>
      <c r="T214" s="11"/>
      <c r="U214" s="11"/>
      <c r="V214" s="11"/>
      <c r="W214" s="11"/>
      <c r="X214" s="11"/>
    </row>
    <row r="215" spans="1:24" s="257" customFormat="1">
      <c r="A215" s="145"/>
      <c r="B215" s="254"/>
      <c r="C215" s="255" t="str">
        <f>IF(Idioma=Castellano,"TRANSPORTE",IF(Idioma=Valencià,"TRANSPORT"))</f>
        <v>TRANSPORTE</v>
      </c>
      <c r="D215" s="256"/>
      <c r="E215" s="256"/>
      <c r="F215" s="256"/>
      <c r="G215" s="256"/>
      <c r="H215" s="256"/>
      <c r="I215" s="256"/>
      <c r="J215" s="256"/>
      <c r="K215" s="254"/>
      <c r="L215" s="254"/>
      <c r="M215" s="254"/>
      <c r="N215" s="254"/>
      <c r="O215" s="254"/>
      <c r="P215" s="254"/>
      <c r="Q215" s="254"/>
      <c r="R215" s="254"/>
      <c r="S215" s="254"/>
      <c r="T215" s="254"/>
      <c r="U215" s="254"/>
      <c r="V215" s="254"/>
      <c r="W215" s="254"/>
      <c r="X215" s="254"/>
    </row>
    <row r="216" spans="1:24">
      <c r="B216" s="11"/>
      <c r="C216" s="12"/>
      <c r="D216" s="12"/>
      <c r="E216" s="12"/>
      <c r="F216" s="12"/>
      <c r="G216" s="12"/>
      <c r="H216" s="12"/>
      <c r="I216" s="12"/>
      <c r="J216" s="12"/>
      <c r="K216" s="11"/>
      <c r="L216" s="11"/>
      <c r="M216" s="11"/>
      <c r="N216" s="11"/>
      <c r="O216" s="11"/>
      <c r="P216" s="11"/>
      <c r="Q216" s="11"/>
      <c r="R216" s="11"/>
      <c r="S216" s="11"/>
      <c r="T216" s="11"/>
      <c r="U216" s="11"/>
      <c r="V216" s="11"/>
      <c r="W216" s="11"/>
      <c r="X216" s="11"/>
    </row>
    <row r="217" spans="1:24">
      <c r="B217" s="11"/>
      <c r="C217" s="267" t="str">
        <f>IF(Idioma=Castellano,"Numero de viajes por uso del suelo ",IF(Idioma=Valencià,"Numere de viatges per ús del sòl "))</f>
        <v xml:space="preserve">Numero de viajes por uso del suelo </v>
      </c>
      <c r="D217" s="267"/>
      <c r="E217" s="267"/>
      <c r="F217" s="267"/>
      <c r="G217" s="267"/>
      <c r="H217" s="166"/>
      <c r="I217" s="12"/>
      <c r="J217" s="12"/>
      <c r="K217" s="11"/>
      <c r="L217" s="11"/>
      <c r="M217" s="11"/>
      <c r="N217" s="11"/>
      <c r="O217" s="11"/>
      <c r="P217" s="11"/>
      <c r="Q217" s="11"/>
      <c r="R217" s="11"/>
      <c r="S217" s="11"/>
      <c r="T217" s="11"/>
      <c r="U217" s="11"/>
      <c r="V217" s="11"/>
      <c r="W217" s="11"/>
      <c r="X217" s="11"/>
    </row>
    <row r="218" spans="1:24">
      <c r="B218" s="11"/>
      <c r="C218" s="260" t="str">
        <f>IF(Idioma=Castellano,"Uso del suelo",IF(Idioma=Valencià,"Ús del sòl"))</f>
        <v>Uso del suelo</v>
      </c>
      <c r="D218" s="270" t="str">
        <f>IF(Idioma=Castellano,"Nº viajes/día",IF(Idioma=Valencià,"Núm. viatges/dia"))</f>
        <v>Nº viajes/día</v>
      </c>
      <c r="E218" s="270" t="str">
        <f>IF(Idioma=Castellano,"Unidades",IF(Idioma=Valencià,"Unitats"))</f>
        <v>Unidades</v>
      </c>
      <c r="F218" s="270"/>
      <c r="G218" s="260" t="str">
        <f>IF(Idioma=Castellano,"Fuente",IF(Idioma=Valencià,"Font"))</f>
        <v>Fuente</v>
      </c>
      <c r="H218" s="1"/>
      <c r="I218" s="1"/>
      <c r="J218" s="12"/>
      <c r="K218" s="11"/>
      <c r="L218" s="11"/>
      <c r="M218" s="11"/>
      <c r="N218" s="11"/>
      <c r="O218" s="11"/>
      <c r="P218" s="1"/>
      <c r="Q218" s="1"/>
      <c r="R218" s="1"/>
      <c r="S218" s="11"/>
      <c r="T218" s="11"/>
      <c r="U218" s="11"/>
      <c r="V218" s="11"/>
      <c r="W218" s="11"/>
      <c r="X218" s="11"/>
    </row>
    <row r="219" spans="1:24">
      <c r="B219" s="11"/>
      <c r="C219" s="13" t="str">
        <f>M_A0!C69</f>
        <v>Uso residencial</v>
      </c>
      <c r="D219" s="79">
        <v>10</v>
      </c>
      <c r="E219" s="13" t="s">
        <v>665</v>
      </c>
      <c r="F219" s="13"/>
      <c r="G219" s="161" t="s">
        <v>666</v>
      </c>
      <c r="H219" s="167"/>
      <c r="I219" s="1" t="s">
        <v>657</v>
      </c>
      <c r="J219" s="12"/>
      <c r="K219" s="11"/>
      <c r="L219" s="11"/>
      <c r="M219" s="11"/>
      <c r="N219" s="11"/>
      <c r="O219" s="11"/>
      <c r="P219" s="1"/>
      <c r="Q219" s="1"/>
      <c r="R219" s="1"/>
      <c r="S219" s="11"/>
      <c r="T219" s="11"/>
      <c r="U219" s="11"/>
      <c r="V219" s="11"/>
      <c r="W219" s="11"/>
      <c r="X219" s="11"/>
    </row>
    <row r="220" spans="1:24">
      <c r="B220" s="11"/>
      <c r="C220" s="13" t="str">
        <f>M_A0!C70</f>
        <v>Uso comercial/terciario</v>
      </c>
      <c r="D220" s="79">
        <v>50</v>
      </c>
      <c r="E220" s="13" t="s">
        <v>665</v>
      </c>
      <c r="F220" s="13"/>
      <c r="G220" s="161" t="s">
        <v>666</v>
      </c>
      <c r="H220" s="167"/>
      <c r="I220" s="1" t="s">
        <v>657</v>
      </c>
      <c r="J220" s="12"/>
      <c r="K220" s="11"/>
      <c r="L220" s="11"/>
      <c r="M220" s="11"/>
      <c r="N220" s="11"/>
      <c r="O220" s="11"/>
      <c r="P220" s="1"/>
      <c r="Q220" s="1"/>
      <c r="R220" s="1"/>
      <c r="S220" s="11"/>
      <c r="T220" s="11"/>
      <c r="U220" s="11"/>
      <c r="V220" s="11"/>
      <c r="W220" s="11"/>
      <c r="X220" s="11"/>
    </row>
    <row r="221" spans="1:24">
      <c r="B221" s="11"/>
      <c r="C221" s="13" t="str">
        <f>M_A0!C71</f>
        <v>Uso de oficinas</v>
      </c>
      <c r="D221" s="79">
        <v>15</v>
      </c>
      <c r="E221" s="13" t="s">
        <v>665</v>
      </c>
      <c r="F221" s="13"/>
      <c r="G221" s="161" t="s">
        <v>666</v>
      </c>
      <c r="H221" s="167"/>
      <c r="I221" s="1" t="s">
        <v>657</v>
      </c>
      <c r="J221" s="12"/>
      <c r="K221" s="11"/>
      <c r="L221" s="11"/>
      <c r="M221" s="11"/>
      <c r="N221" s="11"/>
      <c r="O221" s="11"/>
      <c r="P221" s="11"/>
      <c r="Q221" s="11"/>
      <c r="R221" s="11"/>
      <c r="S221" s="11"/>
      <c r="T221" s="11"/>
      <c r="U221" s="11"/>
      <c r="V221" s="11"/>
      <c r="W221" s="11"/>
      <c r="X221" s="11"/>
    </row>
    <row r="222" spans="1:24">
      <c r="B222" s="11"/>
      <c r="C222" s="13" t="str">
        <f>M_A0!C72</f>
        <v>Uso industrial</v>
      </c>
      <c r="D222" s="79">
        <v>5</v>
      </c>
      <c r="E222" s="13" t="s">
        <v>665</v>
      </c>
      <c r="F222" s="13"/>
      <c r="G222" s="161" t="s">
        <v>666</v>
      </c>
      <c r="H222" s="167"/>
      <c r="I222" s="1" t="s">
        <v>657</v>
      </c>
      <c r="J222" s="12"/>
      <c r="K222" s="11"/>
      <c r="L222" s="11"/>
      <c r="M222" s="11"/>
      <c r="N222" s="11"/>
      <c r="O222" s="11"/>
      <c r="P222" s="11"/>
      <c r="Q222" s="11"/>
      <c r="R222" s="11"/>
      <c r="S222" s="11"/>
      <c r="T222" s="11"/>
      <c r="U222" s="11"/>
      <c r="V222" s="11"/>
      <c r="W222" s="11"/>
      <c r="X222" s="11"/>
    </row>
    <row r="223" spans="1:24">
      <c r="B223" s="11"/>
      <c r="C223" s="13" t="str">
        <f>M_A0!C73</f>
        <v>Equipamientos</v>
      </c>
      <c r="D223" s="79">
        <v>20</v>
      </c>
      <c r="E223" s="13" t="s">
        <v>665</v>
      </c>
      <c r="F223" s="13"/>
      <c r="G223" s="161" t="s">
        <v>666</v>
      </c>
      <c r="H223" s="167"/>
      <c r="I223" s="1" t="s">
        <v>657</v>
      </c>
      <c r="J223" s="12"/>
      <c r="K223" s="11"/>
      <c r="L223" s="80"/>
      <c r="M223" s="80"/>
      <c r="N223" s="80"/>
      <c r="O223" s="11"/>
      <c r="P223" s="11"/>
      <c r="Q223" s="11"/>
      <c r="R223" s="11"/>
      <c r="S223" s="11"/>
      <c r="T223" s="11"/>
      <c r="U223" s="11"/>
      <c r="V223" s="11"/>
      <c r="W223" s="11"/>
      <c r="X223" s="11"/>
    </row>
    <row r="224" spans="1:24">
      <c r="B224" s="11"/>
      <c r="C224" s="13" t="str">
        <f>M_A0!C74</f>
        <v>Zonas verdes</v>
      </c>
      <c r="D224" s="79">
        <v>5</v>
      </c>
      <c r="E224" s="13" t="s">
        <v>665</v>
      </c>
      <c r="F224" s="13"/>
      <c r="G224" s="161" t="s">
        <v>666</v>
      </c>
      <c r="H224" s="168"/>
      <c r="I224" s="1"/>
      <c r="J224" s="12"/>
      <c r="K224" s="11"/>
      <c r="L224" s="80"/>
      <c r="M224" s="80"/>
      <c r="N224" s="80"/>
      <c r="O224" s="11"/>
      <c r="P224" s="11"/>
      <c r="Q224" s="11"/>
      <c r="R224" s="11"/>
      <c r="S224" s="11"/>
      <c r="T224" s="11"/>
      <c r="U224" s="11"/>
      <c r="V224" s="11"/>
      <c r="W224" s="11"/>
      <c r="X224" s="11"/>
    </row>
    <row r="225" spans="1:24">
      <c r="B225" s="11"/>
      <c r="C225" s="13" t="str">
        <f>M_A0!C75</f>
        <v>Franja costera</v>
      </c>
      <c r="D225" s="162">
        <v>5</v>
      </c>
      <c r="E225" s="13" t="s">
        <v>665</v>
      </c>
      <c r="F225" s="13"/>
      <c r="G225" s="161" t="s">
        <v>666</v>
      </c>
      <c r="H225" s="168"/>
      <c r="I225" s="1"/>
      <c r="J225" s="12"/>
      <c r="K225" s="11"/>
      <c r="L225" s="80"/>
      <c r="M225" s="80"/>
      <c r="N225" s="80"/>
      <c r="O225" s="11"/>
      <c r="P225" s="11"/>
      <c r="Q225" s="11"/>
      <c r="R225" s="11"/>
      <c r="S225" s="11"/>
      <c r="T225" s="11"/>
      <c r="U225" s="11"/>
      <c r="V225" s="11"/>
      <c r="W225" s="11"/>
      <c r="X225" s="11"/>
    </row>
    <row r="226" spans="1:24">
      <c r="B226" s="11"/>
      <c r="C226" s="1"/>
      <c r="D226" s="1"/>
      <c r="E226" s="1"/>
      <c r="F226" s="1"/>
      <c r="G226" s="1"/>
      <c r="H226" s="1"/>
      <c r="I226" s="1"/>
      <c r="J226" s="1"/>
      <c r="K226" s="1"/>
      <c r="L226" s="11"/>
      <c r="M226" s="11"/>
      <c r="N226" s="11"/>
      <c r="O226" s="11"/>
      <c r="P226" s="11"/>
      <c r="Q226" s="11"/>
      <c r="R226" s="11"/>
      <c r="S226" s="11"/>
      <c r="T226" s="11"/>
      <c r="U226" s="11"/>
      <c r="V226" s="11"/>
      <c r="W226" s="11"/>
      <c r="X226" s="11"/>
    </row>
    <row r="227" spans="1:24">
      <c r="B227" s="11"/>
      <c r="C227" s="271" t="str">
        <f>IF(Idioma=Castellano,"FUENTES DE EMISIÓN MÓVILES (POR DISTANCIA RECORRIDA)",IF(Idioma=Valencià,"FONTS D'EMISSIÓ MÒBILS (PER DISTÀNCIA RECORREGUDA)"))</f>
        <v>FUENTES DE EMISIÓN MÓVILES (POR DISTANCIA RECORRIDA)</v>
      </c>
      <c r="D227" s="271"/>
      <c r="E227" s="271"/>
      <c r="F227" s="271"/>
      <c r="G227" s="271"/>
      <c r="H227" s="271"/>
      <c r="I227" s="271"/>
      <c r="J227" s="271"/>
      <c r="K227" s="11"/>
      <c r="L227" s="11"/>
      <c r="M227" s="11"/>
      <c r="N227" s="11"/>
      <c r="O227" s="11"/>
      <c r="P227" s="11"/>
      <c r="Q227" s="11"/>
      <c r="R227" s="11"/>
      <c r="S227" s="11"/>
      <c r="T227" s="11"/>
      <c r="U227" s="11"/>
      <c r="V227" s="11"/>
      <c r="W227" s="11"/>
      <c r="X227" s="11"/>
    </row>
    <row r="228" spans="1:24" ht="27.6">
      <c r="B228" s="11"/>
      <c r="C228" s="269" t="str">
        <f>IF(Idioma=Castellano,"Tipo de vehículo",IF(Idioma=Valencià,"Tipus de vehicle"))</f>
        <v>Tipo de vehículo</v>
      </c>
      <c r="D228" s="266" t="str">
        <f>IF(Idioma=Castellano,"Factor de emisión CO2e",IF(Idioma=Valencià,"Factor d'emissió CO2e"))</f>
        <v>Factor de emisión CO2e</v>
      </c>
      <c r="E228" s="266" t="str">
        <f>IF(Idioma=Castellano,"Factor de emisión CO2",IF(Idioma=Valencià,"Factor d'emissió CO2"))</f>
        <v>Factor de emisión CO2</v>
      </c>
      <c r="F228" s="266"/>
      <c r="G228" s="266" t="str">
        <f>IF(Idioma=Castellano,"Factor de emisión CH4 (en CO2e)",IF(Idioma=Valencià,"Factor d'emissió CH4 (en CO2e)"))</f>
        <v>Factor de emisión CH4 (en CO2e)</v>
      </c>
      <c r="H228" s="266" t="str">
        <f>IF(Idioma=Castellano,"Factor de emisión N2O (en CO2e)",IF(Idioma=Valencià,"Factor d'emissió N2O (en CO2e)"))</f>
        <v>Factor de emisión N2O (en CO2e)</v>
      </c>
      <c r="I228" s="270" t="str">
        <f>IF(Idioma=Castellano,"Unidades",IF(Idioma=Valencià,"Unitats"))</f>
        <v>Unidades</v>
      </c>
      <c r="J228" s="269" t="str">
        <f>IF(Idioma=Castellano,"Fuente",IF(Idioma=Valencià,"Font"))</f>
        <v>Fuente</v>
      </c>
      <c r="K228" s="1"/>
      <c r="L228" s="1"/>
      <c r="M228" s="1"/>
      <c r="N228" s="1"/>
      <c r="O228" s="11"/>
      <c r="P228" s="11"/>
      <c r="Q228" s="11"/>
      <c r="R228" s="11"/>
      <c r="S228" s="11"/>
      <c r="T228" s="11"/>
      <c r="U228" s="11"/>
      <c r="V228" s="11"/>
      <c r="W228" s="11"/>
      <c r="X228" s="11"/>
    </row>
    <row r="229" spans="1:24">
      <c r="B229" s="11"/>
      <c r="C229" s="13" t="str">
        <f>M_A0!C78</f>
        <v>Andando</v>
      </c>
      <c r="D229" s="163">
        <v>0</v>
      </c>
      <c r="E229" s="163">
        <v>0</v>
      </c>
      <c r="F229" s="163"/>
      <c r="G229" s="163">
        <v>0</v>
      </c>
      <c r="H229" s="163">
        <v>0</v>
      </c>
      <c r="I229" s="16" t="s">
        <v>667</v>
      </c>
      <c r="J229" s="83" t="s">
        <v>1007</v>
      </c>
      <c r="K229" s="1"/>
      <c r="L229" s="12"/>
      <c r="M229" s="12"/>
      <c r="N229" s="12"/>
      <c r="O229" s="11"/>
      <c r="P229" s="11"/>
      <c r="Q229" s="11"/>
      <c r="R229" s="11"/>
      <c r="S229" s="11"/>
      <c r="T229" s="11"/>
      <c r="U229" s="11"/>
      <c r="V229" s="11"/>
      <c r="W229" s="11"/>
      <c r="X229" s="11"/>
    </row>
    <row r="230" spans="1:24">
      <c r="B230" s="11"/>
      <c r="C230" s="13" t="str">
        <f>M_A0!C79</f>
        <v>Bici</v>
      </c>
      <c r="D230" s="163">
        <v>0</v>
      </c>
      <c r="E230" s="163">
        <v>0</v>
      </c>
      <c r="F230" s="163"/>
      <c r="G230" s="163">
        <v>0</v>
      </c>
      <c r="H230" s="163">
        <v>0</v>
      </c>
      <c r="I230" s="16" t="s">
        <v>667</v>
      </c>
      <c r="J230" s="83" t="s">
        <v>1007</v>
      </c>
      <c r="K230" s="1"/>
      <c r="L230" s="12"/>
      <c r="M230" s="12"/>
      <c r="N230" s="12"/>
      <c r="O230" s="11"/>
      <c r="P230" s="11"/>
      <c r="Q230" s="11"/>
      <c r="R230" s="11"/>
      <c r="S230" s="11"/>
      <c r="T230" s="11"/>
      <c r="U230" s="11"/>
      <c r="V230" s="11"/>
      <c r="W230" s="11"/>
      <c r="X230" s="11"/>
    </row>
    <row r="231" spans="1:24">
      <c r="B231" s="11"/>
      <c r="C231" s="13" t="str">
        <f>M_A0!C80</f>
        <v>Automóvil/Vehículo privado</v>
      </c>
      <c r="D231" s="163">
        <v>0.17066999999999999</v>
      </c>
      <c r="E231" s="163">
        <v>0.1694</v>
      </c>
      <c r="F231" s="163"/>
      <c r="G231" s="163">
        <v>1.7000000000000001E-4</v>
      </c>
      <c r="H231" s="163">
        <v>1.1000000000000001E-3</v>
      </c>
      <c r="I231" s="16" t="s">
        <v>667</v>
      </c>
      <c r="J231" s="83" t="s">
        <v>1007</v>
      </c>
      <c r="K231" s="12" t="s">
        <v>668</v>
      </c>
      <c r="L231" s="1"/>
      <c r="M231" s="1"/>
      <c r="N231" s="1"/>
      <c r="O231" s="11"/>
      <c r="P231" s="11"/>
      <c r="Q231" s="11"/>
      <c r="R231" s="11"/>
      <c r="S231" s="11"/>
      <c r="T231" s="11"/>
      <c r="U231" s="11"/>
      <c r="V231" s="11"/>
      <c r="W231" s="11"/>
      <c r="X231" s="11"/>
    </row>
    <row r="232" spans="1:24">
      <c r="B232" s="11"/>
      <c r="C232" s="13" t="s">
        <v>612</v>
      </c>
      <c r="D232" s="163">
        <v>0.11355</v>
      </c>
      <c r="E232" s="163">
        <v>0.11138000000000001</v>
      </c>
      <c r="F232" s="163"/>
      <c r="G232" s="163">
        <v>1.58E-3</v>
      </c>
      <c r="H232" s="163">
        <v>5.9000000000000003E-4</v>
      </c>
      <c r="I232" s="16" t="s">
        <v>667</v>
      </c>
      <c r="J232" s="83" t="s">
        <v>1007</v>
      </c>
      <c r="K232" s="12" t="s">
        <v>669</v>
      </c>
      <c r="L232" s="1"/>
      <c r="M232" s="1"/>
      <c r="N232" s="1"/>
      <c r="O232" s="11"/>
      <c r="P232" s="11"/>
      <c r="Q232" s="11"/>
      <c r="R232" s="11"/>
      <c r="S232" s="11"/>
      <c r="T232" s="11"/>
      <c r="U232" s="11"/>
      <c r="V232" s="11"/>
      <c r="W232" s="11"/>
      <c r="X232" s="11"/>
    </row>
    <row r="233" spans="1:24">
      <c r="B233" s="11"/>
      <c r="C233" s="13" t="str">
        <f>M_A0!C81</f>
        <v>Autobus discrecional</v>
      </c>
      <c r="D233" s="163">
        <v>9.6500000000000002E-2</v>
      </c>
      <c r="E233" s="163">
        <v>9.5670000000000005E-2</v>
      </c>
      <c r="F233" s="163"/>
      <c r="G233" s="163">
        <v>1.0000000000000001E-5</v>
      </c>
      <c r="H233" s="163">
        <v>8.1999999999999998E-4</v>
      </c>
      <c r="I233" s="16" t="s">
        <v>667</v>
      </c>
      <c r="J233" s="83" t="s">
        <v>1007</v>
      </c>
      <c r="K233" s="12" t="s">
        <v>670</v>
      </c>
      <c r="L233" s="1"/>
      <c r="M233" s="1"/>
      <c r="N233" s="1"/>
      <c r="O233" s="11"/>
      <c r="P233" s="11"/>
      <c r="Q233" s="11"/>
      <c r="R233" s="11"/>
      <c r="S233" s="11"/>
      <c r="T233" s="11"/>
      <c r="U233" s="11"/>
      <c r="V233" s="11"/>
      <c r="W233" s="11"/>
      <c r="X233" s="11"/>
    </row>
    <row r="234" spans="1:24">
      <c r="B234" s="11"/>
      <c r="C234" s="13" t="str">
        <f>M_A0!C82</f>
        <v>Autobús urbano e interurbano</v>
      </c>
      <c r="D234" s="163">
        <v>2.861E-2</v>
      </c>
      <c r="E234" s="163">
        <v>2.8320000000000001E-2</v>
      </c>
      <c r="F234" s="163"/>
      <c r="G234" s="163">
        <v>1.1E-4</v>
      </c>
      <c r="H234" s="163">
        <v>1.8000000000000001E-4</v>
      </c>
      <c r="I234" s="16" t="s">
        <v>667</v>
      </c>
      <c r="J234" s="83" t="s">
        <v>1007</v>
      </c>
      <c r="K234" s="12" t="s">
        <v>670</v>
      </c>
      <c r="L234" s="1"/>
      <c r="M234" s="1"/>
      <c r="N234" s="1"/>
      <c r="O234" s="11"/>
      <c r="P234" s="11"/>
      <c r="Q234" s="11"/>
      <c r="R234" s="11"/>
      <c r="S234" s="11"/>
      <c r="T234" s="11"/>
      <c r="U234" s="11"/>
      <c r="V234" s="11"/>
      <c r="W234" s="11"/>
      <c r="X234" s="11"/>
    </row>
    <row r="235" spans="1:24">
      <c r="B235" s="11"/>
      <c r="C235" s="13" t="str">
        <f>M_A0!C83</f>
        <v>Ferrocarril</v>
      </c>
      <c r="D235" s="163">
        <v>3.5490000000000001E-2</v>
      </c>
      <c r="E235" s="163">
        <v>3.5099999999999999E-2</v>
      </c>
      <c r="F235" s="163"/>
      <c r="G235" s="163">
        <v>6.9999999999999994E-5</v>
      </c>
      <c r="H235" s="163">
        <v>3.2000000000000003E-4</v>
      </c>
      <c r="I235" s="16" t="s">
        <v>667</v>
      </c>
      <c r="J235" s="83" t="s">
        <v>1007</v>
      </c>
      <c r="K235" s="12" t="s">
        <v>671</v>
      </c>
      <c r="L235" s="1"/>
      <c r="M235" s="1"/>
      <c r="N235" s="1"/>
      <c r="O235" s="11"/>
      <c r="P235" s="11"/>
      <c r="Q235" s="11"/>
      <c r="R235" s="11"/>
      <c r="S235" s="11"/>
      <c r="T235" s="11"/>
      <c r="U235" s="11"/>
      <c r="V235" s="11"/>
      <c r="W235" s="11"/>
      <c r="X235" s="11"/>
    </row>
    <row r="236" spans="1:24">
      <c r="B236" s="11"/>
      <c r="C236" s="13"/>
      <c r="D236" s="163"/>
      <c r="E236" s="163"/>
      <c r="F236" s="163"/>
      <c r="G236" s="163"/>
      <c r="H236" s="163"/>
      <c r="I236" s="16"/>
      <c r="J236" s="17"/>
      <c r="K236" s="1"/>
      <c r="L236" s="12"/>
      <c r="M236" s="12"/>
      <c r="N236" s="12"/>
      <c r="O236" s="11"/>
      <c r="P236" s="11"/>
      <c r="Q236" s="11"/>
      <c r="R236" s="11"/>
      <c r="S236" s="11"/>
      <c r="T236" s="11"/>
      <c r="U236" s="11"/>
      <c r="V236" s="11"/>
      <c r="W236" s="11"/>
      <c r="X236" s="11"/>
    </row>
    <row r="237" spans="1:24">
      <c r="B237" s="11"/>
      <c r="C237" s="1"/>
      <c r="D237" s="12"/>
      <c r="E237" s="12"/>
      <c r="F237" s="12"/>
      <c r="G237" s="12"/>
      <c r="H237" s="1"/>
      <c r="I237" s="11"/>
      <c r="J237" s="11"/>
      <c r="K237" s="12"/>
      <c r="L237" s="11"/>
      <c r="M237" s="11"/>
      <c r="N237" s="11"/>
      <c r="O237" s="11"/>
      <c r="P237" s="11"/>
      <c r="Q237" s="11"/>
      <c r="R237" s="11"/>
      <c r="S237" s="11"/>
      <c r="T237" s="11"/>
      <c r="U237" s="11"/>
      <c r="V237" s="11"/>
      <c r="W237" s="11"/>
      <c r="X237" s="11"/>
    </row>
    <row r="238" spans="1:24" s="257" customFormat="1">
      <c r="A238" s="145"/>
      <c r="B238" s="254"/>
      <c r="C238" s="255" t="str">
        <f>IF(Idioma=Castellano,"RESIDUOS",IF(Idioma=Valencià,"RESIDUS"))</f>
        <v>RESIDUOS</v>
      </c>
      <c r="D238" s="254"/>
      <c r="E238" s="254"/>
      <c r="F238" s="254"/>
      <c r="G238" s="254"/>
      <c r="H238" s="254"/>
      <c r="I238" s="254"/>
      <c r="J238" s="256"/>
      <c r="K238" s="254"/>
      <c r="L238" s="254"/>
      <c r="M238" s="254"/>
      <c r="N238" s="254"/>
      <c r="O238" s="254"/>
      <c r="P238" s="254"/>
      <c r="Q238" s="254"/>
      <c r="R238" s="254"/>
      <c r="S238" s="254"/>
      <c r="T238" s="254"/>
      <c r="U238" s="254"/>
      <c r="V238" s="254"/>
      <c r="W238" s="254"/>
      <c r="X238" s="254"/>
    </row>
    <row r="239" spans="1:24">
      <c r="B239" s="11"/>
      <c r="C239" s="81"/>
      <c r="D239" s="12"/>
      <c r="E239" s="12"/>
      <c r="F239" s="12"/>
      <c r="G239" s="12"/>
      <c r="H239" s="12"/>
      <c r="I239" s="11"/>
      <c r="J239" s="11"/>
      <c r="K239" s="11"/>
      <c r="L239" s="11"/>
      <c r="M239" s="11"/>
      <c r="N239" s="11"/>
      <c r="O239" s="11"/>
      <c r="P239" s="11"/>
      <c r="Q239" s="11"/>
      <c r="R239" s="11"/>
      <c r="S239" s="11"/>
      <c r="T239" s="11"/>
      <c r="U239" s="11"/>
      <c r="V239" s="11"/>
      <c r="W239" s="11"/>
      <c r="X239" s="11"/>
    </row>
    <row r="240" spans="1:24">
      <c r="B240" s="11"/>
      <c r="C240" s="325" t="str">
        <f>IF(Idioma=Castellano,"FACTORES DE EMISIÓN",IF(Idioma=Valencià,"FACTORS D'EMISSIÓ"))</f>
        <v>FACTORES DE EMISIÓN</v>
      </c>
      <c r="D240" s="325"/>
      <c r="E240" s="325"/>
      <c r="F240" s="325"/>
      <c r="G240" s="325"/>
      <c r="H240" s="1"/>
      <c r="I240" s="11"/>
      <c r="J240" s="11"/>
      <c r="K240" s="11"/>
      <c r="L240" s="11"/>
      <c r="M240" s="11"/>
      <c r="N240" s="11"/>
      <c r="O240" s="11"/>
      <c r="P240" s="11"/>
      <c r="Q240" s="11"/>
      <c r="R240" s="11"/>
      <c r="S240" s="11"/>
      <c r="T240" s="11"/>
      <c r="U240" s="11"/>
      <c r="V240" s="11"/>
      <c r="W240" s="11"/>
      <c r="X240" s="11"/>
    </row>
    <row r="241" spans="1:24">
      <c r="B241" s="11"/>
      <c r="C241" s="326" t="str">
        <f>IF(Idioma=Castellano,"Concepto",IF(Idioma=Valencià,"Concepte"))</f>
        <v>Concepto</v>
      </c>
      <c r="D241" s="266" t="str">
        <f>IF(Idioma=Castellano,"Factor de emisión CO2",IF(Idioma=Valencià,"Factor d'emissió CO2"))</f>
        <v>Factor de emisión CO2</v>
      </c>
      <c r="E241" s="270" t="str">
        <f>IF(Idioma=Castellano,"Unidades",IF(Idioma=Valencià,"Unitats"))</f>
        <v>Unidades</v>
      </c>
      <c r="F241" s="274"/>
      <c r="G241" s="260" t="str">
        <f>IF(Idioma=Castellano,"Fuente",IF(Idioma=Valencià,"Font"))</f>
        <v>Fuente</v>
      </c>
      <c r="H241" s="1"/>
      <c r="I241" s="11"/>
      <c r="J241" s="11"/>
      <c r="K241" s="11"/>
      <c r="L241" s="11"/>
      <c r="M241" s="11"/>
      <c r="N241" s="11"/>
      <c r="O241" s="11"/>
      <c r="P241" s="11"/>
      <c r="Q241" s="11"/>
      <c r="R241" s="11"/>
      <c r="S241" s="11"/>
      <c r="T241" s="11"/>
      <c r="U241" s="11"/>
      <c r="V241" s="11"/>
      <c r="W241" s="11"/>
      <c r="X241" s="11"/>
    </row>
    <row r="242" spans="1:24">
      <c r="B242" s="11"/>
      <c r="C242" s="13" t="str">
        <f>M_A0!I91</f>
        <v>Residencial, Terciario y Equipamientos</v>
      </c>
      <c r="D242" s="163">
        <f>'M_Cálculos propios'!K180</f>
        <v>0.61886658423362617</v>
      </c>
      <c r="E242" s="13" t="s">
        <v>1003</v>
      </c>
      <c r="F242" s="13"/>
      <c r="G242" s="17" t="s">
        <v>675</v>
      </c>
      <c r="H242" s="1"/>
      <c r="I242" s="11"/>
      <c r="J242" s="11"/>
      <c r="K242" s="11"/>
      <c r="L242" s="11"/>
      <c r="M242" s="11"/>
      <c r="N242" s="11"/>
      <c r="O242" s="11"/>
      <c r="P242" s="11"/>
      <c r="Q242" s="11"/>
      <c r="R242" s="11"/>
      <c r="S242" s="11"/>
      <c r="T242" s="11"/>
      <c r="U242" s="11"/>
      <c r="V242" s="11"/>
      <c r="W242" s="11"/>
      <c r="X242" s="11"/>
    </row>
    <row r="243" spans="1:24">
      <c r="B243" s="11"/>
      <c r="C243" s="13" t="s">
        <v>632</v>
      </c>
      <c r="D243" s="188">
        <f>'M_Cálculos propios'!H180</f>
        <v>1.5502263724858141</v>
      </c>
      <c r="E243" s="13" t="s">
        <v>676</v>
      </c>
      <c r="F243" s="13"/>
      <c r="G243" s="17" t="s">
        <v>675</v>
      </c>
      <c r="H243" s="1"/>
      <c r="I243" s="11"/>
      <c r="J243" s="11"/>
      <c r="K243" s="11"/>
      <c r="L243" s="11"/>
      <c r="M243" s="11"/>
      <c r="N243" s="11"/>
      <c r="O243" s="11"/>
      <c r="P243" s="11"/>
      <c r="Q243" s="11"/>
      <c r="R243" s="11"/>
      <c r="S243" s="11"/>
      <c r="T243" s="11"/>
      <c r="U243" s="11"/>
      <c r="V243" s="11"/>
      <c r="W243" s="11"/>
      <c r="X243" s="11"/>
    </row>
    <row r="244" spans="1:24">
      <c r="B244" s="11"/>
      <c r="C244" s="11"/>
      <c r="D244" s="11"/>
      <c r="E244" s="11"/>
      <c r="F244" s="11"/>
      <c r="G244" s="11"/>
      <c r="H244" s="11"/>
      <c r="I244" s="11"/>
      <c r="J244" s="11"/>
      <c r="K244" s="11"/>
      <c r="L244" s="11"/>
      <c r="M244" s="11"/>
      <c r="N244" s="11"/>
      <c r="O244" s="11"/>
      <c r="P244" s="11"/>
      <c r="Q244" s="11"/>
      <c r="R244" s="11"/>
      <c r="S244" s="11"/>
      <c r="T244" s="11"/>
      <c r="U244" s="11"/>
      <c r="V244" s="11"/>
      <c r="W244" s="11"/>
      <c r="X244" s="11"/>
    </row>
    <row r="245" spans="1:24">
      <c r="B245" s="11"/>
      <c r="C245" s="272" t="s">
        <v>678</v>
      </c>
      <c r="D245" s="273"/>
      <c r="E245" s="273"/>
      <c r="F245" s="273"/>
      <c r="G245" s="273"/>
      <c r="H245" s="273"/>
      <c r="I245" s="277"/>
      <c r="J245" s="12"/>
      <c r="K245" s="11"/>
      <c r="L245" s="11"/>
      <c r="M245" s="11"/>
      <c r="N245" s="11"/>
      <c r="O245" s="11"/>
      <c r="P245" s="11"/>
      <c r="Q245" s="11"/>
      <c r="R245" s="11"/>
      <c r="S245" s="11"/>
      <c r="T245" s="11"/>
      <c r="U245" s="11"/>
      <c r="V245" s="11"/>
      <c r="W245" s="11"/>
      <c r="X245" s="11"/>
    </row>
    <row r="246" spans="1:24">
      <c r="B246" s="11"/>
      <c r="C246" s="326" t="str">
        <f>IF(Idioma=Castellano,"Concepto",IF(Idioma=Valencià,"Concepte"))</f>
        <v>Concepto</v>
      </c>
      <c r="D246" s="260" t="s">
        <v>679</v>
      </c>
      <c r="E246" s="266" t="str">
        <f>IF(Idioma=Castellano,"Factor de emisión CO2",IF(Idioma=Valencià,"Factor d'emissió CO2"))</f>
        <v>Factor de emisión CO2</v>
      </c>
      <c r="F246" s="260"/>
      <c r="G246" s="270" t="str">
        <f>IF(Idioma=Castellano,"Unidades",IF(Idioma=Valencià,"Unitats"))</f>
        <v>Unidades</v>
      </c>
      <c r="H246" s="260" t="str">
        <f>IF(Idioma=Castellano,"Fuente",IF(Idioma=Valencià,"Font"))</f>
        <v>Fuente</v>
      </c>
      <c r="I246" s="1"/>
      <c r="J246" s="12"/>
      <c r="K246" s="12"/>
      <c r="L246" s="12"/>
      <c r="M246" s="12"/>
      <c r="N246" s="12"/>
      <c r="O246" s="11"/>
      <c r="P246" s="11"/>
      <c r="Q246" s="11"/>
      <c r="R246" s="11"/>
      <c r="S246" s="11"/>
      <c r="T246" s="11"/>
      <c r="U246" s="11"/>
      <c r="V246" s="11"/>
      <c r="W246" s="11"/>
      <c r="X246" s="11"/>
    </row>
    <row r="247" spans="1:24">
      <c r="B247" s="11"/>
      <c r="C247" s="13" t="s">
        <v>680</v>
      </c>
      <c r="D247" s="74" t="s">
        <v>681</v>
      </c>
      <c r="E247" s="160">
        <v>21</v>
      </c>
      <c r="F247" s="160"/>
      <c r="G247" s="16" t="s">
        <v>682</v>
      </c>
      <c r="H247" s="16" t="s">
        <v>683</v>
      </c>
      <c r="I247" s="1"/>
      <c r="J247" s="12"/>
      <c r="K247" s="12"/>
      <c r="L247" s="12"/>
      <c r="M247" s="12"/>
      <c r="N247" s="12"/>
      <c r="O247" s="11"/>
      <c r="P247" s="11"/>
      <c r="Q247" s="11"/>
      <c r="R247" s="11"/>
      <c r="S247" s="11"/>
      <c r="T247" s="11"/>
      <c r="U247" s="11"/>
      <c r="V247" s="11"/>
      <c r="W247" s="11"/>
      <c r="X247" s="11"/>
    </row>
    <row r="248" spans="1:24">
      <c r="B248" s="11"/>
      <c r="C248" s="13" t="s">
        <v>680</v>
      </c>
      <c r="D248" s="74" t="s">
        <v>684</v>
      </c>
      <c r="E248" s="160">
        <v>199</v>
      </c>
      <c r="F248" s="160"/>
      <c r="G248" s="16" t="s">
        <v>682</v>
      </c>
      <c r="H248" s="16" t="s">
        <v>683</v>
      </c>
      <c r="I248" s="1"/>
      <c r="J248" s="12"/>
      <c r="K248" s="12"/>
      <c r="L248" s="12"/>
      <c r="M248" s="12"/>
      <c r="N248" s="12"/>
      <c r="O248" s="11"/>
      <c r="P248" s="11"/>
      <c r="Q248" s="11"/>
      <c r="R248" s="11"/>
      <c r="S248" s="11"/>
      <c r="T248" s="11"/>
      <c r="U248" s="11"/>
      <c r="V248" s="11"/>
      <c r="W248" s="11"/>
      <c r="X248" s="11"/>
    </row>
    <row r="249" spans="1:24">
      <c r="B249" s="11"/>
      <c r="C249" s="13" t="s">
        <v>685</v>
      </c>
      <c r="D249" s="74" t="s">
        <v>681</v>
      </c>
      <c r="E249" s="160">
        <v>21</v>
      </c>
      <c r="F249" s="160"/>
      <c r="G249" s="16" t="s">
        <v>682</v>
      </c>
      <c r="H249" s="16" t="s">
        <v>683</v>
      </c>
      <c r="I249" s="1"/>
      <c r="J249" s="12"/>
      <c r="K249" s="12"/>
      <c r="L249" s="12"/>
      <c r="M249" s="12"/>
      <c r="N249" s="12"/>
      <c r="O249" s="11"/>
      <c r="P249" s="11"/>
      <c r="Q249" s="11"/>
      <c r="R249" s="11"/>
      <c r="S249" s="11"/>
      <c r="T249" s="11"/>
      <c r="U249" s="11"/>
      <c r="V249" s="11"/>
      <c r="W249" s="11"/>
      <c r="X249" s="11"/>
    </row>
    <row r="250" spans="1:24">
      <c r="B250" s="11"/>
      <c r="C250" s="13" t="s">
        <v>685</v>
      </c>
      <c r="D250" s="74" t="s">
        <v>684</v>
      </c>
      <c r="E250" s="523">
        <v>345.04227809523809</v>
      </c>
      <c r="F250" s="160"/>
      <c r="G250" s="16" t="s">
        <v>682</v>
      </c>
      <c r="H250" s="16" t="s">
        <v>683</v>
      </c>
      <c r="I250" s="1"/>
      <c r="J250" s="12"/>
      <c r="K250" s="12"/>
      <c r="L250" s="12"/>
      <c r="M250" s="12"/>
      <c r="N250" s="12"/>
      <c r="O250" s="11"/>
      <c r="P250" s="11"/>
      <c r="Q250" s="11"/>
      <c r="R250" s="11"/>
      <c r="S250" s="11"/>
      <c r="T250" s="11"/>
      <c r="U250" s="11"/>
      <c r="V250" s="11"/>
      <c r="W250" s="11"/>
      <c r="X250" s="11"/>
    </row>
    <row r="251" spans="1:24">
      <c r="B251" s="11"/>
      <c r="C251" s="13" t="s">
        <v>686</v>
      </c>
      <c r="D251" s="74" t="s">
        <v>687</v>
      </c>
      <c r="E251" s="160">
        <v>6</v>
      </c>
      <c r="F251" s="160"/>
      <c r="G251" s="16" t="s">
        <v>682</v>
      </c>
      <c r="H251" s="16" t="s">
        <v>683</v>
      </c>
      <c r="I251" s="1"/>
      <c r="J251" s="12"/>
      <c r="K251" s="12"/>
      <c r="L251" s="12"/>
      <c r="M251" s="12"/>
      <c r="N251" s="12"/>
      <c r="O251" s="11"/>
      <c r="P251" s="11"/>
      <c r="Q251" s="11"/>
      <c r="R251" s="11"/>
      <c r="S251" s="11"/>
      <c r="T251" s="11"/>
      <c r="U251" s="11"/>
      <c r="V251" s="11"/>
      <c r="W251" s="11"/>
      <c r="X251" s="11"/>
    </row>
    <row r="252" spans="1:24">
      <c r="B252" s="11"/>
      <c r="C252" s="13" t="s">
        <v>688</v>
      </c>
      <c r="D252" s="74" t="s">
        <v>689</v>
      </c>
      <c r="E252" s="160">
        <v>21</v>
      </c>
      <c r="F252" s="160"/>
      <c r="G252" s="16" t="s">
        <v>682</v>
      </c>
      <c r="H252" s="16" t="s">
        <v>683</v>
      </c>
      <c r="I252" s="1"/>
      <c r="J252" s="12"/>
      <c r="K252" s="12"/>
      <c r="L252" s="12"/>
      <c r="M252" s="12"/>
      <c r="N252" s="12"/>
      <c r="O252" s="11"/>
      <c r="P252" s="11"/>
      <c r="Q252" s="11"/>
      <c r="R252" s="11"/>
      <c r="S252" s="11"/>
      <c r="T252" s="11"/>
      <c r="U252" s="11"/>
      <c r="V252" s="11"/>
      <c r="W252" s="11"/>
      <c r="X252" s="11"/>
    </row>
    <row r="253" spans="1:24">
      <c r="B253" s="11"/>
      <c r="C253" s="13" t="s">
        <v>690</v>
      </c>
      <c r="D253" s="74" t="s">
        <v>689</v>
      </c>
      <c r="E253" s="160">
        <v>21</v>
      </c>
      <c r="F253" s="160"/>
      <c r="G253" s="16" t="s">
        <v>682</v>
      </c>
      <c r="H253" s="16" t="s">
        <v>683</v>
      </c>
      <c r="I253" s="1"/>
      <c r="J253" s="12"/>
      <c r="K253" s="12"/>
      <c r="L253" s="12"/>
      <c r="M253" s="12"/>
      <c r="N253" s="12"/>
      <c r="O253" s="11"/>
      <c r="P253" s="11"/>
      <c r="Q253" s="11"/>
      <c r="R253" s="11"/>
      <c r="S253" s="11"/>
      <c r="T253" s="11"/>
      <c r="U253" s="11"/>
      <c r="V253" s="11"/>
      <c r="W253" s="11"/>
      <c r="X253" s="11"/>
    </row>
    <row r="254" spans="1:24">
      <c r="B254" s="11"/>
      <c r="C254" s="13" t="s">
        <v>691</v>
      </c>
      <c r="D254" s="74" t="s">
        <v>689</v>
      </c>
      <c r="E254" s="160">
        <v>21</v>
      </c>
      <c r="F254" s="160"/>
      <c r="G254" s="16" t="s">
        <v>682</v>
      </c>
      <c r="H254" s="16" t="s">
        <v>683</v>
      </c>
      <c r="I254" s="1"/>
      <c r="J254" s="12"/>
      <c r="K254" s="12"/>
      <c r="L254" s="12"/>
      <c r="M254" s="12"/>
      <c r="N254" s="12"/>
      <c r="O254" s="11"/>
      <c r="P254" s="11"/>
      <c r="Q254" s="11"/>
      <c r="R254" s="11"/>
      <c r="S254" s="11"/>
      <c r="T254" s="11"/>
      <c r="U254" s="11"/>
      <c r="V254" s="11"/>
      <c r="W254" s="11"/>
      <c r="X254" s="11"/>
    </row>
    <row r="255" spans="1:24">
      <c r="B255" s="11"/>
      <c r="C255" s="11"/>
      <c r="D255" s="11"/>
      <c r="E255" s="11"/>
      <c r="F255" s="11"/>
      <c r="G255" s="11"/>
      <c r="H255" s="11"/>
      <c r="I255" s="12"/>
      <c r="J255" s="12"/>
      <c r="K255" s="12"/>
      <c r="L255" s="12"/>
      <c r="M255" s="12"/>
      <c r="N255" s="12"/>
      <c r="O255" s="11"/>
      <c r="P255" s="11"/>
      <c r="Q255" s="11"/>
      <c r="R255" s="11"/>
      <c r="S255" s="11"/>
      <c r="T255" s="11"/>
      <c r="U255" s="11"/>
      <c r="V255" s="11"/>
      <c r="W255" s="11"/>
      <c r="X255" s="11"/>
    </row>
    <row r="256" spans="1:24" s="257" customFormat="1">
      <c r="A256" s="145"/>
      <c r="B256" s="254"/>
      <c r="C256" s="255" t="s">
        <v>692</v>
      </c>
      <c r="D256" s="254"/>
      <c r="E256" s="254"/>
      <c r="F256" s="254"/>
      <c r="G256" s="254"/>
      <c r="H256" s="254"/>
      <c r="I256" s="254"/>
      <c r="J256" s="254"/>
      <c r="K256" s="254"/>
      <c r="L256" s="254"/>
      <c r="M256" s="254"/>
      <c r="N256" s="254"/>
      <c r="O256" s="254"/>
      <c r="P256" s="254"/>
      <c r="Q256" s="254"/>
      <c r="R256" s="254"/>
      <c r="S256" s="254"/>
      <c r="T256" s="254"/>
      <c r="U256" s="254"/>
      <c r="V256" s="254"/>
      <c r="W256" s="254"/>
      <c r="X256" s="254"/>
    </row>
    <row r="257" spans="1:24">
      <c r="B257" s="11"/>
      <c r="C257" s="1"/>
      <c r="D257" s="1"/>
      <c r="E257" s="1"/>
      <c r="F257" s="1"/>
      <c r="G257" s="1"/>
      <c r="H257" s="11"/>
      <c r="I257" s="11"/>
      <c r="J257" s="11"/>
      <c r="K257" s="11"/>
      <c r="L257" s="11"/>
      <c r="M257" s="11"/>
      <c r="N257" s="11"/>
      <c r="O257" s="11"/>
      <c r="P257" s="11"/>
      <c r="Q257" s="11"/>
      <c r="R257" s="11"/>
      <c r="S257" s="11"/>
      <c r="T257" s="11"/>
      <c r="U257" s="11"/>
      <c r="V257" s="11"/>
      <c r="W257" s="11"/>
      <c r="X257" s="11"/>
    </row>
    <row r="258" spans="1:24">
      <c r="B258" s="11"/>
      <c r="C258" s="325" t="s">
        <v>661</v>
      </c>
      <c r="D258" s="325"/>
      <c r="E258" s="325"/>
      <c r="F258" s="325"/>
      <c r="G258" s="325"/>
      <c r="H258" s="1"/>
      <c r="I258" s="11"/>
      <c r="J258" s="11"/>
      <c r="K258" s="11"/>
      <c r="L258" s="11"/>
      <c r="M258" s="11"/>
      <c r="N258" s="11"/>
      <c r="O258" s="11"/>
      <c r="P258" s="11"/>
      <c r="Q258" s="11"/>
      <c r="R258" s="11"/>
      <c r="S258" s="11"/>
      <c r="T258" s="11"/>
      <c r="U258" s="11"/>
      <c r="V258" s="11"/>
      <c r="W258" s="11"/>
      <c r="X258" s="11"/>
    </row>
    <row r="259" spans="1:24">
      <c r="B259" s="11"/>
      <c r="C259" s="326" t="str">
        <f>IF(Idioma=Castellano,"Concepto",IF(Idioma=Valencià,"Concepte"))</f>
        <v>Concepto</v>
      </c>
      <c r="D259" s="266" t="str">
        <f>IF(Idioma=Castellano,"Factor de emisión CO2",IF(Idioma=Valencià,"Factor d'emissió CO2"))</f>
        <v>Factor de emisión CO2</v>
      </c>
      <c r="E259" s="270" t="str">
        <f>IF(Idioma=Castellano,"Unidades",IF(Idioma=Valencià,"Unitats"))</f>
        <v>Unidades</v>
      </c>
      <c r="F259" s="274"/>
      <c r="G259" s="260" t="str">
        <f>IF(Idioma=Castellano,"Fuente",IF(Idioma=Valencià,"Font"))</f>
        <v>Fuente</v>
      </c>
      <c r="H259" s="1"/>
      <c r="I259" s="11"/>
      <c r="J259" s="11"/>
      <c r="K259" s="11"/>
      <c r="L259" s="11"/>
      <c r="M259" s="11"/>
      <c r="N259" s="11"/>
      <c r="O259" s="11"/>
      <c r="P259" s="11"/>
      <c r="Q259" s="11"/>
      <c r="R259" s="11"/>
      <c r="S259" s="11"/>
      <c r="T259" s="11"/>
      <c r="U259" s="11"/>
      <c r="V259" s="11"/>
      <c r="W259" s="11"/>
      <c r="X259" s="11"/>
    </row>
    <row r="260" spans="1:24">
      <c r="B260" s="11"/>
      <c r="C260" s="13" t="s">
        <v>674</v>
      </c>
      <c r="D260" s="163">
        <f>'M_Cálculos propios'!D205*D266</f>
        <v>4.2325751115518093</v>
      </c>
      <c r="E260" s="13" t="s">
        <v>693</v>
      </c>
      <c r="F260" s="13"/>
      <c r="G260" s="17" t="s">
        <v>675</v>
      </c>
      <c r="H260" s="1"/>
      <c r="I260" s="11"/>
      <c r="J260" s="11"/>
      <c r="K260" s="11"/>
      <c r="L260" s="11"/>
      <c r="M260" s="11"/>
      <c r="N260" s="11"/>
      <c r="O260" s="11"/>
      <c r="P260" s="11"/>
      <c r="Q260" s="11"/>
      <c r="R260" s="11"/>
      <c r="S260" s="11"/>
      <c r="T260" s="11"/>
      <c r="U260" s="11"/>
      <c r="V260" s="11"/>
      <c r="W260" s="11"/>
      <c r="X260" s="11"/>
    </row>
    <row r="261" spans="1:24">
      <c r="B261" s="11"/>
      <c r="C261" s="13" t="s">
        <v>601</v>
      </c>
      <c r="D261" s="163">
        <f>'M_Cálculos propios'!D206*M_Factores!D266</f>
        <v>0.31388156234306125</v>
      </c>
      <c r="E261" s="13" t="s">
        <v>694</v>
      </c>
      <c r="F261" s="13"/>
      <c r="G261" s="17" t="s">
        <v>675</v>
      </c>
      <c r="H261" s="1"/>
      <c r="I261" s="11"/>
      <c r="J261" s="11"/>
      <c r="K261" s="11"/>
      <c r="L261" s="11"/>
      <c r="M261" s="11"/>
      <c r="N261" s="11"/>
      <c r="O261" s="11"/>
      <c r="P261" s="11"/>
      <c r="Q261" s="11"/>
      <c r="R261" s="11"/>
      <c r="S261" s="11"/>
      <c r="T261" s="11"/>
      <c r="U261" s="11"/>
      <c r="V261" s="11"/>
      <c r="W261" s="11"/>
      <c r="X261" s="11"/>
    </row>
    <row r="262" spans="1:24">
      <c r="B262" s="11"/>
      <c r="C262" s="13" t="s">
        <v>677</v>
      </c>
      <c r="D262" s="163">
        <f>D266*'M_Cálculos propios'!D207</f>
        <v>5.515925649035279E-2</v>
      </c>
      <c r="E262" s="13" t="s">
        <v>695</v>
      </c>
      <c r="F262" s="13"/>
      <c r="G262" s="17" t="s">
        <v>675</v>
      </c>
      <c r="H262" s="1"/>
      <c r="I262" s="11"/>
      <c r="J262" s="11"/>
      <c r="K262" s="11"/>
      <c r="L262" s="11"/>
      <c r="M262" s="11"/>
      <c r="N262" s="11"/>
      <c r="O262" s="11"/>
      <c r="P262" s="11"/>
      <c r="Q262" s="11"/>
      <c r="R262" s="11"/>
      <c r="S262" s="11"/>
      <c r="T262" s="11"/>
      <c r="U262" s="11"/>
      <c r="V262" s="11"/>
      <c r="W262" s="11"/>
      <c r="X262" s="11"/>
    </row>
    <row r="263" spans="1:24">
      <c r="B263" s="11"/>
      <c r="C263" s="11"/>
      <c r="D263" s="11"/>
      <c r="E263" s="11"/>
      <c r="F263" s="11"/>
      <c r="G263" s="11"/>
      <c r="H263" s="11"/>
      <c r="I263" s="11"/>
      <c r="J263" s="11"/>
      <c r="K263" s="11"/>
      <c r="L263" s="11"/>
      <c r="M263" s="11"/>
      <c r="N263" s="11"/>
      <c r="O263" s="11"/>
      <c r="P263" s="11"/>
      <c r="Q263" s="11"/>
      <c r="R263" s="11"/>
      <c r="S263" s="11"/>
      <c r="T263" s="11"/>
      <c r="U263" s="11"/>
      <c r="V263" s="11"/>
      <c r="W263" s="11"/>
      <c r="X263" s="11"/>
    </row>
    <row r="264" spans="1:24">
      <c r="B264" s="11"/>
      <c r="C264" s="325" t="s">
        <v>696</v>
      </c>
      <c r="D264" s="325"/>
      <c r="E264" s="325"/>
      <c r="F264" s="325"/>
      <c r="G264" s="325"/>
      <c r="H264" s="1"/>
      <c r="I264" s="1"/>
      <c r="J264" s="1"/>
      <c r="K264" s="11"/>
      <c r="L264" s="11"/>
      <c r="M264" s="11"/>
      <c r="N264" s="11"/>
      <c r="O264" s="11"/>
      <c r="P264" s="11"/>
      <c r="Q264" s="11"/>
      <c r="R264" s="11"/>
      <c r="S264" s="11"/>
      <c r="T264" s="11"/>
      <c r="U264" s="11"/>
      <c r="V264" s="11"/>
      <c r="W264" s="11"/>
      <c r="X264" s="11"/>
    </row>
    <row r="265" spans="1:24">
      <c r="B265" s="11"/>
      <c r="C265" s="326" t="str">
        <f>IF(Idioma=Castellano,"Concepto",IF(Idioma=Valencià,"Concepte"))</f>
        <v>Concepto</v>
      </c>
      <c r="D265" s="266" t="str">
        <f>IF(Idioma=Castellano,"Factor de emisión CO2",IF(Idioma=Valencià,"Factor d'emissió CO2"))</f>
        <v>Factor de emisión CO2</v>
      </c>
      <c r="E265" s="270" t="str">
        <f>IF(Idioma=Castellano,"Unidades",IF(Idioma=Valencià,"Unitats"))</f>
        <v>Unidades</v>
      </c>
      <c r="F265" s="274"/>
      <c r="G265" s="260" t="str">
        <f>IF(Idioma=Castellano,"Fuente",IF(Idioma=Valencià,"Font"))</f>
        <v>Fuente</v>
      </c>
      <c r="H265" s="1"/>
      <c r="I265" s="1"/>
      <c r="J265" s="1"/>
      <c r="K265" s="11"/>
      <c r="L265" s="11"/>
      <c r="M265" s="11"/>
      <c r="N265" s="11"/>
      <c r="O265" s="11"/>
      <c r="P265" s="11"/>
      <c r="Q265" s="11"/>
      <c r="R265" s="11"/>
      <c r="S265" s="11"/>
      <c r="T265" s="11"/>
      <c r="U265" s="11"/>
      <c r="V265" s="11"/>
      <c r="W265" s="11"/>
      <c r="X265" s="11"/>
    </row>
    <row r="266" spans="1:24">
      <c r="B266" s="11"/>
      <c r="C266" s="13" t="s">
        <v>697</v>
      </c>
      <c r="D266" s="163">
        <v>0.14899999999999999</v>
      </c>
      <c r="E266" s="13" t="s">
        <v>698</v>
      </c>
      <c r="F266" s="13"/>
      <c r="G266" s="17" t="s">
        <v>699</v>
      </c>
      <c r="H266" s="1"/>
      <c r="I266" s="1" t="s">
        <v>657</v>
      </c>
      <c r="J266" s="1"/>
      <c r="K266" s="11"/>
      <c r="L266" s="11"/>
      <c r="M266" s="11"/>
      <c r="N266" s="11"/>
      <c r="O266" s="11"/>
      <c r="P266" s="11"/>
      <c r="Q266" s="11"/>
      <c r="R266" s="11"/>
      <c r="S266" s="11"/>
      <c r="T266" s="11"/>
      <c r="U266" s="11"/>
      <c r="V266" s="11"/>
      <c r="W266" s="11"/>
      <c r="X266" s="11"/>
    </row>
    <row r="267" spans="1:24">
      <c r="B267" s="11"/>
      <c r="C267" s="11"/>
      <c r="D267" s="11"/>
      <c r="E267" s="11"/>
      <c r="F267" s="11"/>
      <c r="G267" s="11"/>
      <c r="H267" s="1"/>
      <c r="I267" s="1"/>
      <c r="J267" s="1"/>
      <c r="K267" s="82"/>
      <c r="L267" s="11"/>
      <c r="M267" s="11"/>
      <c r="N267" s="11"/>
      <c r="O267" s="11"/>
      <c r="P267" s="11"/>
      <c r="Q267" s="11"/>
      <c r="R267" s="11"/>
      <c r="S267" s="11"/>
      <c r="T267" s="11"/>
      <c r="U267" s="11"/>
      <c r="V267" s="11"/>
      <c r="W267" s="11"/>
      <c r="X267" s="11"/>
    </row>
    <row r="268" spans="1:24" s="257" customFormat="1">
      <c r="A268" s="145"/>
      <c r="B268" s="254"/>
      <c r="C268" s="255" t="s">
        <v>700</v>
      </c>
      <c r="D268" s="254"/>
      <c r="E268" s="254"/>
      <c r="F268" s="254"/>
      <c r="G268" s="254"/>
      <c r="H268" s="254"/>
      <c r="I268" s="254"/>
      <c r="J268" s="254"/>
      <c r="K268" s="254"/>
      <c r="L268" s="254"/>
      <c r="M268" s="254"/>
      <c r="N268" s="254"/>
      <c r="O268" s="254"/>
      <c r="P268" s="254"/>
      <c r="Q268" s="254"/>
      <c r="R268" s="254"/>
      <c r="S268" s="254"/>
      <c r="T268" s="254"/>
      <c r="U268" s="254"/>
      <c r="V268" s="254"/>
      <c r="W268" s="254"/>
      <c r="X268" s="254"/>
    </row>
    <row r="269" spans="1:24">
      <c r="B269" s="11"/>
      <c r="C269" s="11"/>
      <c r="D269" s="11"/>
      <c r="E269" s="11"/>
      <c r="F269" s="11"/>
      <c r="G269" s="11"/>
      <c r="H269" s="11"/>
      <c r="I269" s="11"/>
      <c r="J269" s="11"/>
      <c r="K269" s="11"/>
      <c r="L269" s="11"/>
      <c r="M269" s="11"/>
      <c r="N269" s="11"/>
      <c r="O269" s="11"/>
      <c r="P269" s="11"/>
      <c r="Q269" s="11"/>
      <c r="R269" s="11"/>
      <c r="S269" s="11"/>
      <c r="T269" s="11"/>
      <c r="U269" s="11"/>
      <c r="V269" s="11"/>
      <c r="W269" s="11"/>
      <c r="X269" s="11"/>
    </row>
    <row r="270" spans="1:24">
      <c r="B270" s="11"/>
      <c r="C270" s="272" t="s">
        <v>878</v>
      </c>
      <c r="D270" s="273"/>
      <c r="E270" s="273"/>
      <c r="F270" s="273"/>
      <c r="G270" s="273"/>
      <c r="H270" s="11"/>
      <c r="I270" s="11"/>
      <c r="J270" s="11"/>
      <c r="K270" s="11"/>
      <c r="L270" s="11"/>
      <c r="M270" s="11"/>
      <c r="N270" s="11"/>
      <c r="O270" s="11"/>
      <c r="P270" s="11"/>
      <c r="Q270" s="11"/>
      <c r="R270" s="11"/>
      <c r="S270" s="11"/>
      <c r="T270" s="11"/>
      <c r="U270" s="11"/>
      <c r="V270" s="11"/>
      <c r="W270" s="11"/>
      <c r="X270" s="11"/>
    </row>
    <row r="271" spans="1:24">
      <c r="B271" s="11"/>
      <c r="C271" s="260" t="s">
        <v>702</v>
      </c>
      <c r="D271" s="260" t="s">
        <v>703</v>
      </c>
      <c r="E271" s="270" t="str">
        <f>IF(Idioma=Castellano,"Unidades",IF(Idioma=Valencià,"Unitats"))</f>
        <v>Unidades</v>
      </c>
      <c r="F271" s="260"/>
      <c r="G271" s="260" t="str">
        <f>IF(Idioma=Castellano,"Fuente",IF(Idioma=Valencià,"Font"))</f>
        <v>Fuente</v>
      </c>
      <c r="H271" s="11"/>
      <c r="I271" s="11"/>
      <c r="J271" s="11"/>
      <c r="K271" s="11"/>
      <c r="L271" s="11"/>
      <c r="M271" s="11"/>
      <c r="N271" s="11"/>
      <c r="O271" s="11"/>
      <c r="P271" s="11"/>
      <c r="Q271" s="11"/>
      <c r="R271" s="11"/>
      <c r="S271" s="11"/>
      <c r="T271" s="11"/>
      <c r="U271" s="11"/>
      <c r="V271" s="11"/>
      <c r="W271" s="11"/>
      <c r="X271" s="11"/>
    </row>
    <row r="272" spans="1:24">
      <c r="B272" s="11"/>
      <c r="C272" s="13" t="s">
        <v>704</v>
      </c>
      <c r="D272" s="160">
        <f>'M_Cálculos propios'!D214*'M_Cálculos propios'!E214*'M_Cálculos propios'!F214*'M_Cálculos propios'!G214*(44/12)*1000</f>
        <v>8.1675000000000011E-2</v>
      </c>
      <c r="E272" s="164" t="s">
        <v>705</v>
      </c>
      <c r="F272" s="82"/>
      <c r="G272" s="11"/>
      <c r="H272" s="11"/>
      <c r="I272" s="1"/>
      <c r="J272" s="11"/>
      <c r="K272" s="11"/>
      <c r="L272" s="11"/>
      <c r="M272" s="11"/>
      <c r="N272" s="11"/>
      <c r="O272" s="11"/>
      <c r="P272" s="11"/>
      <c r="Q272" s="11"/>
      <c r="R272" s="11"/>
      <c r="S272" s="11"/>
      <c r="T272" s="11"/>
      <c r="U272" s="11"/>
      <c r="V272" s="11"/>
      <c r="W272" s="11"/>
      <c r="X272" s="11"/>
    </row>
    <row r="273" spans="2:24">
      <c r="B273" s="11"/>
      <c r="C273" s="13" t="s">
        <v>706</v>
      </c>
      <c r="D273" s="160">
        <f>'M_Cálculos propios'!D215*'M_Cálculos propios'!E215*'M_Cálculos propios'!F215*'M_Cálculos propios'!G215*(44/12)*1000</f>
        <v>8.3159999999999998E-2</v>
      </c>
      <c r="E273" s="164" t="s">
        <v>705</v>
      </c>
      <c r="F273" s="82"/>
      <c r="G273" s="11"/>
      <c r="H273" s="11"/>
      <c r="I273" s="11"/>
      <c r="J273" s="11"/>
      <c r="K273" s="11"/>
      <c r="L273" s="11"/>
      <c r="M273" s="11"/>
      <c r="N273" s="11"/>
      <c r="O273" s="11"/>
      <c r="P273" s="11"/>
      <c r="Q273" s="11"/>
      <c r="R273" s="11"/>
      <c r="S273" s="11"/>
      <c r="T273" s="11"/>
      <c r="U273" s="11"/>
      <c r="V273" s="11"/>
      <c r="W273" s="11"/>
      <c r="X273" s="11"/>
    </row>
    <row r="274" spans="2:24">
      <c r="B274" s="11"/>
      <c r="C274" s="13" t="s">
        <v>707</v>
      </c>
      <c r="D274" s="160">
        <f>'M_Cálculos propios'!D216*'M_Cálculos propios'!E216*'M_Cálculos propios'!F216*'M_Cálculos propios'!G216*(44/12)*1000</f>
        <v>0.14116666666666666</v>
      </c>
      <c r="E274" s="164" t="s">
        <v>705</v>
      </c>
      <c r="F274" s="82"/>
      <c r="G274" s="11"/>
      <c r="H274" s="11"/>
      <c r="I274" s="11"/>
      <c r="J274" s="11"/>
      <c r="K274" s="11"/>
      <c r="L274" s="11"/>
      <c r="M274" s="11"/>
      <c r="N274" s="11"/>
      <c r="O274" s="11"/>
      <c r="P274" s="11"/>
      <c r="Q274" s="11"/>
      <c r="R274" s="11"/>
      <c r="S274" s="11"/>
      <c r="T274" s="11"/>
      <c r="U274" s="11"/>
      <c r="V274" s="11"/>
      <c r="W274" s="11"/>
      <c r="X274" s="11"/>
    </row>
    <row r="275" spans="2:24">
      <c r="B275" s="11"/>
      <c r="C275" s="13" t="s">
        <v>708</v>
      </c>
      <c r="D275" s="160">
        <f>'M_Cálculos propios'!D217*'M_Cálculos propios'!E217*'M_Cálculos propios'!F217*'M_Cálculos propios'!G217*(44/12)*1000</f>
        <v>0.43889999999999996</v>
      </c>
      <c r="E275" s="164" t="s">
        <v>705</v>
      </c>
      <c r="F275" s="82"/>
      <c r="G275" s="11"/>
      <c r="H275" s="11"/>
      <c r="I275" s="11"/>
      <c r="J275" s="11"/>
      <c r="K275" s="11"/>
      <c r="L275" s="11"/>
      <c r="M275" s="11"/>
      <c r="N275" s="11"/>
      <c r="O275" s="11"/>
      <c r="P275" s="11"/>
      <c r="Q275" s="11"/>
      <c r="R275" s="11"/>
      <c r="S275" s="11"/>
      <c r="T275" s="11"/>
      <c r="U275" s="11"/>
      <c r="V275" s="11"/>
      <c r="W275" s="11"/>
      <c r="X275" s="11"/>
    </row>
    <row r="276" spans="2:24">
      <c r="B276" s="11"/>
      <c r="C276" s="13" t="s">
        <v>709</v>
      </c>
      <c r="D276" s="160">
        <f>'M_Cálculos propios'!D218*'M_Cálculos propios'!E218*'M_Cálculos propios'!F218*'M_Cálculos propios'!G218*(44/12)*1000</f>
        <v>0.21089493333333334</v>
      </c>
      <c r="E276" s="164" t="s">
        <v>705</v>
      </c>
      <c r="F276" s="82"/>
      <c r="G276" s="11"/>
      <c r="H276" s="11"/>
      <c r="I276" s="11"/>
      <c r="J276" s="11"/>
      <c r="K276" s="11"/>
      <c r="L276" s="11"/>
      <c r="M276" s="11"/>
      <c r="N276" s="11"/>
      <c r="O276" s="11"/>
      <c r="P276" s="11"/>
      <c r="Q276" s="11"/>
      <c r="R276" s="11"/>
      <c r="S276" s="11"/>
      <c r="T276" s="11"/>
      <c r="U276" s="11"/>
      <c r="V276" s="11"/>
      <c r="W276" s="11"/>
      <c r="X276" s="11"/>
    </row>
    <row r="277" spans="2:24">
      <c r="B277" s="11"/>
      <c r="C277" s="13" t="s">
        <v>710</v>
      </c>
      <c r="D277" s="160">
        <f>'M_Cálculos propios'!D219*'M_Cálculos propios'!E219*'M_Cálculos propios'!F219*'M_Cálculos propios'!G219*(44/12)*1000</f>
        <v>0.11146666666666669</v>
      </c>
      <c r="E277" s="164" t="s">
        <v>705</v>
      </c>
      <c r="F277" s="82"/>
      <c r="G277" s="11"/>
      <c r="H277" s="11"/>
      <c r="I277" s="11"/>
      <c r="J277" s="11"/>
      <c r="K277" s="11"/>
      <c r="L277" s="11"/>
      <c r="M277" s="11"/>
      <c r="N277" s="11"/>
      <c r="O277" s="11"/>
      <c r="P277" s="11"/>
      <c r="Q277" s="11"/>
      <c r="R277" s="11"/>
      <c r="S277" s="11"/>
      <c r="T277" s="11"/>
      <c r="U277" s="11"/>
      <c r="V277" s="11"/>
      <c r="W277" s="11"/>
      <c r="X277" s="11"/>
    </row>
    <row r="278" spans="2:24">
      <c r="B278" s="11"/>
      <c r="C278" s="13" t="s">
        <v>711</v>
      </c>
      <c r="D278" s="160">
        <f>'M_Cálculos propios'!D220*'M_Cálculos propios'!E220*'M_Cálculos propios'!F220*'M_Cálculos propios'!G220*(44/12)*1000</f>
        <v>1.0547296466666667</v>
      </c>
      <c r="E278" s="164" t="s">
        <v>705</v>
      </c>
      <c r="F278" s="82"/>
      <c r="G278" s="11"/>
      <c r="H278" s="11"/>
      <c r="I278" s="11"/>
      <c r="J278" s="11"/>
      <c r="K278" s="11"/>
      <c r="L278" s="11"/>
      <c r="M278" s="11"/>
      <c r="N278" s="11"/>
      <c r="O278" s="11"/>
      <c r="P278" s="11"/>
      <c r="Q278" s="11"/>
      <c r="R278" s="11"/>
      <c r="S278" s="11"/>
      <c r="T278" s="11"/>
      <c r="U278" s="11"/>
      <c r="V278" s="11"/>
      <c r="W278" s="11"/>
      <c r="X278" s="11"/>
    </row>
    <row r="279" spans="2:24">
      <c r="B279" s="11"/>
      <c r="C279" s="13" t="s">
        <v>712</v>
      </c>
      <c r="D279" s="160">
        <f>'M_Cálculos propios'!D221*'M_Cálculos propios'!E221*'M_Cálculos propios'!F221*'M_Cálculos propios'!G221*(44/12)*1000</f>
        <v>1.2023319000000001</v>
      </c>
      <c r="E279" s="164" t="s">
        <v>705</v>
      </c>
      <c r="F279" s="82"/>
      <c r="G279" s="11"/>
      <c r="H279" s="11"/>
      <c r="I279" s="11"/>
      <c r="J279" s="11"/>
      <c r="K279" s="11"/>
      <c r="L279" s="11"/>
      <c r="M279" s="11"/>
      <c r="N279" s="11"/>
      <c r="O279" s="11"/>
      <c r="P279" s="11"/>
      <c r="Q279" s="11"/>
      <c r="R279" s="11"/>
      <c r="S279" s="11"/>
      <c r="T279" s="11"/>
      <c r="U279" s="11"/>
      <c r="V279" s="11"/>
      <c r="W279" s="11"/>
      <c r="X279" s="11"/>
    </row>
    <row r="280" spans="2:24">
      <c r="B280" s="11"/>
      <c r="C280" s="13" t="s">
        <v>713</v>
      </c>
      <c r="D280" s="160">
        <f>'M_Cálculos propios'!D222*'M_Cálculos propios'!E222*'M_Cálculos propios'!F222*'M_Cálculos propios'!G222*(44/12)*1000</f>
        <v>1.2335716799999998</v>
      </c>
      <c r="E280" s="164" t="s">
        <v>705</v>
      </c>
      <c r="F280" s="82"/>
      <c r="G280" s="11"/>
      <c r="H280" s="11"/>
      <c r="I280" s="11"/>
      <c r="J280" s="11"/>
      <c r="K280" s="11"/>
      <c r="L280" s="11"/>
      <c r="M280" s="11"/>
      <c r="N280" s="11"/>
      <c r="O280" s="11"/>
      <c r="P280" s="11"/>
      <c r="Q280" s="11"/>
      <c r="R280" s="11"/>
      <c r="S280" s="11"/>
      <c r="T280" s="11"/>
      <c r="U280" s="11"/>
      <c r="V280" s="11"/>
      <c r="W280" s="11"/>
      <c r="X280" s="11"/>
    </row>
    <row r="281" spans="2:24">
      <c r="B281" s="11"/>
      <c r="C281" s="13" t="s">
        <v>714</v>
      </c>
      <c r="D281" s="160">
        <f>'M_Cálculos propios'!D223*'M_Cálculos propios'!E223*'M_Cálculos propios'!F223*'M_Cálculos propios'!G223*(44/12)*1000</f>
        <v>1.1265407999999999</v>
      </c>
      <c r="E281" s="164" t="s">
        <v>705</v>
      </c>
      <c r="F281" s="82"/>
      <c r="G281" s="11"/>
      <c r="H281" s="11"/>
      <c r="I281" s="11"/>
      <c r="J281" s="11"/>
      <c r="K281" s="11"/>
      <c r="L281" s="11"/>
      <c r="M281" s="11"/>
      <c r="N281" s="11"/>
      <c r="O281" s="11"/>
      <c r="P281" s="11"/>
      <c r="Q281" s="11"/>
      <c r="R281" s="11"/>
      <c r="S281" s="11"/>
      <c r="T281" s="11"/>
      <c r="U281" s="11"/>
      <c r="V281" s="11"/>
      <c r="W281" s="11"/>
      <c r="X281" s="11"/>
    </row>
    <row r="282" spans="2:24">
      <c r="B282" s="11"/>
      <c r="C282" s="13" t="s">
        <v>715</v>
      </c>
      <c r="D282" s="160">
        <f>'M_Cálculos propios'!D224*'M_Cálculos propios'!E224*'M_Cálculos propios'!F224*'M_Cálculos propios'!G224*(44/12)*1000</f>
        <v>2.4717718666666668</v>
      </c>
      <c r="E282" s="164" t="s">
        <v>705</v>
      </c>
      <c r="F282" s="82"/>
      <c r="G282" s="11"/>
      <c r="H282" s="11"/>
      <c r="I282" s="11"/>
      <c r="J282" s="11"/>
      <c r="K282" s="11"/>
      <c r="L282" s="11"/>
      <c r="M282" s="11"/>
      <c r="N282" s="11"/>
      <c r="O282" s="11"/>
      <c r="P282" s="11"/>
      <c r="Q282" s="11"/>
      <c r="R282" s="11"/>
      <c r="S282" s="11"/>
      <c r="T282" s="11"/>
      <c r="U282" s="11"/>
      <c r="V282" s="11"/>
      <c r="W282" s="11"/>
      <c r="X282" s="11"/>
    </row>
    <row r="283" spans="2:24">
      <c r="B283" s="11"/>
      <c r="C283" s="13" t="s">
        <v>716</v>
      </c>
      <c r="D283" s="160">
        <f>'M_Cálculos propios'!D225*'M_Cálculos propios'!E225*'M_Cálculos propios'!F225*'M_Cálculos propios'!G225*(44/12)*1000</f>
        <v>2.2572000000000002E-2</v>
      </c>
      <c r="E283" s="164" t="s">
        <v>705</v>
      </c>
      <c r="F283" s="82"/>
      <c r="G283" s="11"/>
      <c r="H283" s="11"/>
      <c r="I283" s="11"/>
      <c r="J283" s="11"/>
      <c r="K283" s="11"/>
      <c r="L283" s="11"/>
      <c r="M283" s="11"/>
      <c r="N283" s="11"/>
      <c r="O283" s="11"/>
      <c r="P283" s="11"/>
      <c r="Q283" s="11"/>
      <c r="R283" s="11"/>
      <c r="S283" s="11"/>
      <c r="T283" s="11"/>
      <c r="U283" s="11"/>
      <c r="V283" s="11"/>
      <c r="W283" s="11"/>
      <c r="X283" s="11"/>
    </row>
    <row r="284" spans="2:24">
      <c r="B284" s="11"/>
      <c r="C284" s="13" t="s">
        <v>717</v>
      </c>
      <c r="D284" s="160">
        <f>'M_Cálculos propios'!D226*'M_Cálculos propios'!E226*'M_Cálculos propios'!F226*'M_Cálculos propios'!G226*(44/12)*1000</f>
        <v>2.9937600000000004</v>
      </c>
      <c r="E284" s="164" t="s">
        <v>705</v>
      </c>
      <c r="F284" s="82"/>
      <c r="G284" s="11"/>
      <c r="H284" s="11"/>
      <c r="I284" s="11"/>
      <c r="J284" s="11"/>
      <c r="K284" s="11"/>
      <c r="L284" s="11"/>
      <c r="M284" s="11"/>
      <c r="N284" s="11"/>
      <c r="O284" s="11"/>
      <c r="P284" s="11"/>
      <c r="Q284" s="11"/>
      <c r="R284" s="11"/>
      <c r="S284" s="11"/>
      <c r="T284" s="11"/>
      <c r="U284" s="11"/>
      <c r="V284" s="11"/>
      <c r="W284" s="11"/>
      <c r="X284" s="11"/>
    </row>
    <row r="285" spans="2:24">
      <c r="B285" s="11"/>
      <c r="C285" s="13" t="s">
        <v>718</v>
      </c>
      <c r="D285" s="160">
        <f>'M_Cálculos propios'!D227*'M_Cálculos propios'!E227*'M_Cálculos propios'!F227*'M_Cálculos propios'!G227*(44/12)*1000</f>
        <v>3.155063999999999</v>
      </c>
      <c r="E285" s="164" t="s">
        <v>705</v>
      </c>
      <c r="F285" s="82"/>
      <c r="G285" s="11"/>
      <c r="H285" s="11"/>
      <c r="I285" s="11"/>
      <c r="J285" s="11"/>
      <c r="K285" s="11"/>
      <c r="L285" s="11"/>
      <c r="M285" s="11"/>
      <c r="N285" s="11"/>
      <c r="O285" s="11"/>
      <c r="P285" s="11"/>
      <c r="Q285" s="11"/>
      <c r="R285" s="11"/>
      <c r="S285" s="11"/>
      <c r="T285" s="11"/>
      <c r="U285" s="11"/>
      <c r="V285" s="11"/>
      <c r="W285" s="11"/>
      <c r="X285" s="11"/>
    </row>
    <row r="286" spans="2:24">
      <c r="B286" s="11"/>
      <c r="C286" s="13" t="s">
        <v>617</v>
      </c>
      <c r="D286" s="160">
        <f>'M_Cálculos propios'!D228*'M_Cálculos propios'!E228*'M_Cálculos propios'!F228*'M_Cálculos propios'!G228*(44/12)*1000</f>
        <v>1.0459265334375001</v>
      </c>
      <c r="E286" s="164" t="s">
        <v>705</v>
      </c>
      <c r="F286" s="82"/>
      <c r="G286" s="11"/>
      <c r="H286" s="11"/>
      <c r="I286" s="11"/>
      <c r="J286" s="11"/>
      <c r="K286" s="11"/>
      <c r="L286" s="11"/>
      <c r="M286" s="11"/>
      <c r="N286" s="11"/>
      <c r="O286" s="11"/>
      <c r="P286" s="11"/>
      <c r="Q286" s="11"/>
      <c r="R286" s="11"/>
      <c r="S286" s="11"/>
      <c r="T286" s="11"/>
      <c r="U286" s="11"/>
      <c r="V286" s="11"/>
      <c r="W286" s="11"/>
      <c r="X286" s="11"/>
    </row>
    <row r="287" spans="2:24">
      <c r="B287" s="11"/>
      <c r="C287" s="13" t="s">
        <v>719</v>
      </c>
      <c r="D287" s="160">
        <f>'M_Cálculos propios'!D229*'M_Cálculos propios'!E229*'M_Cálculos propios'!F229*'M_Cálculos propios'!G229*(44/12)*1000</f>
        <v>1.0061587691358027</v>
      </c>
      <c r="E287" s="164" t="s">
        <v>705</v>
      </c>
      <c r="F287" s="82"/>
      <c r="G287" s="11"/>
      <c r="H287" s="11"/>
      <c r="I287" s="11"/>
      <c r="J287" s="11"/>
      <c r="K287" s="11"/>
      <c r="L287" s="11"/>
      <c r="M287" s="11"/>
      <c r="N287" s="11"/>
      <c r="O287" s="11"/>
      <c r="P287" s="11"/>
      <c r="Q287" s="11"/>
      <c r="R287" s="11"/>
      <c r="S287" s="11"/>
      <c r="T287" s="11"/>
      <c r="U287" s="11"/>
      <c r="V287" s="11"/>
      <c r="W287" s="11"/>
      <c r="X287" s="11"/>
    </row>
    <row r="288" spans="2:24">
      <c r="B288" s="11"/>
      <c r="C288" s="13" t="s">
        <v>49</v>
      </c>
      <c r="D288" s="160">
        <f>'M_Cálculos propios'!D230*'M_Cálculos propios'!E230*'M_Cálculos propios'!F230*'M_Cálculos propios'!G230*(44/12)*1000</f>
        <v>1.0778617339285712</v>
      </c>
      <c r="E288" s="164" t="s">
        <v>705</v>
      </c>
      <c r="F288" s="275"/>
      <c r="G288" s="276" t="s">
        <v>720</v>
      </c>
      <c r="H288" s="11"/>
      <c r="I288" s="11"/>
      <c r="J288" s="11"/>
      <c r="K288" s="11"/>
      <c r="L288" s="11"/>
      <c r="M288" s="11"/>
      <c r="N288" s="11"/>
      <c r="O288" s="11"/>
      <c r="P288" s="11"/>
      <c r="Q288" s="11"/>
      <c r="R288" s="11"/>
      <c r="S288" s="11"/>
      <c r="T288" s="11"/>
      <c r="U288" s="11"/>
      <c r="V288" s="11"/>
      <c r="W288" s="11"/>
      <c r="X288" s="11"/>
    </row>
    <row r="289" spans="2:24">
      <c r="B289" s="11"/>
      <c r="C289" s="337"/>
      <c r="D289" s="337"/>
      <c r="E289" s="339"/>
      <c r="F289" s="337"/>
      <c r="G289" s="340"/>
      <c r="H289" s="11"/>
      <c r="I289" s="11"/>
      <c r="J289" s="11"/>
      <c r="K289" s="11"/>
      <c r="L289" s="11"/>
      <c r="M289" s="11"/>
      <c r="N289" s="11"/>
      <c r="O289" s="11"/>
      <c r="P289" s="11"/>
      <c r="Q289" s="11"/>
      <c r="R289" s="11"/>
      <c r="S289" s="11"/>
      <c r="T289" s="11"/>
      <c r="U289" s="11"/>
      <c r="V289" s="11"/>
      <c r="W289" s="11"/>
      <c r="X289" s="11"/>
    </row>
    <row r="290" spans="2:24">
      <c r="B290" s="11"/>
      <c r="C290" s="337"/>
      <c r="D290" s="337"/>
      <c r="E290" s="589"/>
      <c r="F290" s="337"/>
      <c r="G290" s="590"/>
      <c r="H290" s="11"/>
      <c r="I290" s="11"/>
      <c r="J290" s="11"/>
      <c r="K290" s="11"/>
      <c r="L290" s="11"/>
      <c r="M290" s="11"/>
      <c r="N290" s="11"/>
      <c r="O290" s="11"/>
      <c r="P290" s="11"/>
      <c r="Q290" s="11"/>
      <c r="R290" s="11"/>
      <c r="S290" s="11"/>
      <c r="T290" s="11"/>
      <c r="U290" s="11"/>
      <c r="V290" s="11"/>
      <c r="W290" s="11"/>
      <c r="X290" s="11"/>
    </row>
    <row r="291" spans="2:24" hidden="1">
      <c r="B291" s="11"/>
      <c r="C291" s="591" t="s">
        <v>879</v>
      </c>
      <c r="D291" s="591"/>
      <c r="E291" s="591"/>
      <c r="F291" s="591"/>
      <c r="G291" s="591"/>
      <c r="H291" s="1"/>
      <c r="I291" s="11"/>
      <c r="J291" s="11"/>
      <c r="K291" s="11"/>
      <c r="L291" s="11"/>
      <c r="M291" s="11"/>
      <c r="N291" s="11"/>
      <c r="O291" s="11"/>
      <c r="P291" s="11"/>
      <c r="Q291" s="11"/>
      <c r="R291" s="11"/>
      <c r="S291" s="11"/>
      <c r="T291" s="11"/>
      <c r="U291" s="11"/>
      <c r="V291" s="11"/>
      <c r="W291" s="11"/>
      <c r="X291" s="11"/>
    </row>
    <row r="292" spans="2:24" hidden="1">
      <c r="B292" s="11"/>
      <c r="C292" s="592" t="str">
        <f>IF(Idioma=Castellano,"Concepto",IF(Idioma=Valencià,"Concepte"))</f>
        <v>Concepto</v>
      </c>
      <c r="D292" s="593" t="s">
        <v>703</v>
      </c>
      <c r="E292" s="594" t="str">
        <f>IF(Idioma=Castellano,"Unidades",IF(Idioma=Valencià,"Unitats"))</f>
        <v>Unidades</v>
      </c>
      <c r="F292" s="595"/>
      <c r="G292" s="593" t="str">
        <f>IF(Idioma=Castellano,"Fuente",IF(Idioma=Valencià,"Font"))</f>
        <v>Fuente</v>
      </c>
      <c r="H292" s="1"/>
      <c r="I292" s="11"/>
      <c r="J292" s="11"/>
      <c r="K292" s="11"/>
      <c r="L292" s="11"/>
      <c r="M292" s="11"/>
      <c r="N292" s="11"/>
      <c r="O292" s="11"/>
      <c r="P292" s="11"/>
      <c r="Q292" s="11"/>
      <c r="R292" s="11"/>
      <c r="S292" s="11"/>
      <c r="T292" s="11"/>
      <c r="U292" s="11"/>
      <c r="V292" s="11"/>
      <c r="W292" s="11"/>
      <c r="X292" s="11"/>
    </row>
    <row r="293" spans="2:24" hidden="1">
      <c r="B293" s="11"/>
      <c r="C293" s="473" t="str">
        <f>C303</f>
        <v>Bosque</v>
      </c>
      <c r="D293" s="596"/>
      <c r="E293" s="239" t="s">
        <v>898</v>
      </c>
      <c r="F293" s="239"/>
      <c r="G293" s="239" t="s">
        <v>920</v>
      </c>
      <c r="H293" s="1"/>
      <c r="I293" s="11"/>
      <c r="J293" s="11"/>
      <c r="K293" s="11"/>
      <c r="L293" s="11"/>
      <c r="M293" s="11"/>
      <c r="N293" s="11"/>
      <c r="O293" s="11"/>
      <c r="P293" s="11"/>
      <c r="Q293" s="11"/>
      <c r="R293" s="11"/>
      <c r="S293" s="11"/>
      <c r="T293" s="11"/>
      <c r="U293" s="11"/>
      <c r="V293" s="11"/>
      <c r="W293" s="11"/>
      <c r="X293" s="11"/>
    </row>
    <row r="294" spans="2:24" hidden="1">
      <c r="B294" s="11"/>
      <c r="C294" s="473" t="str">
        <f t="shared" ref="C294:C298" si="12">C304</f>
        <v>Garriga/Matorral (arbustivas)/Prado</v>
      </c>
      <c r="D294" s="596"/>
      <c r="E294" s="239" t="s">
        <v>898</v>
      </c>
      <c r="F294" s="239"/>
      <c r="G294" s="239" t="s">
        <v>921</v>
      </c>
      <c r="H294" s="1"/>
      <c r="I294" s="11"/>
      <c r="J294" s="11"/>
      <c r="K294" s="11"/>
      <c r="L294" s="11"/>
      <c r="M294" s="11"/>
      <c r="N294" s="11"/>
      <c r="O294" s="11"/>
      <c r="P294" s="11"/>
      <c r="Q294" s="11"/>
      <c r="R294" s="11"/>
      <c r="S294" s="11"/>
      <c r="T294" s="11"/>
      <c r="U294" s="11"/>
      <c r="V294" s="11"/>
      <c r="W294" s="11"/>
      <c r="X294" s="11"/>
    </row>
    <row r="295" spans="2:24" hidden="1">
      <c r="B295" s="11"/>
      <c r="C295" s="473" t="str">
        <f t="shared" si="12"/>
        <v>Cultivo</v>
      </c>
      <c r="D295" s="596"/>
      <c r="E295" s="239" t="s">
        <v>898</v>
      </c>
      <c r="F295" s="239"/>
      <c r="G295" s="239"/>
      <c r="H295" s="11"/>
      <c r="I295" s="11"/>
      <c r="J295" s="11"/>
      <c r="K295" s="11"/>
      <c r="L295" s="11"/>
      <c r="M295" s="11"/>
      <c r="N295" s="11"/>
      <c r="O295" s="11"/>
      <c r="P295" s="11"/>
      <c r="Q295" s="11"/>
      <c r="R295" s="11"/>
      <c r="S295" s="11"/>
      <c r="T295" s="11"/>
      <c r="U295" s="11"/>
      <c r="V295" s="11"/>
      <c r="W295" s="11"/>
      <c r="X295" s="11"/>
    </row>
    <row r="296" spans="2:24" hidden="1">
      <c r="B296" s="11"/>
      <c r="C296" s="473" t="str">
        <f t="shared" si="12"/>
        <v>Marismas y humedales</v>
      </c>
      <c r="D296" s="596"/>
      <c r="E296" s="239" t="s">
        <v>898</v>
      </c>
      <c r="F296" s="239"/>
      <c r="G296" s="239"/>
      <c r="H296" s="11"/>
      <c r="I296" s="11"/>
      <c r="J296" s="11"/>
      <c r="K296" s="11"/>
      <c r="L296" s="11"/>
      <c r="M296" s="11"/>
      <c r="N296" s="11"/>
      <c r="O296" s="11"/>
      <c r="P296" s="11"/>
      <c r="Q296" s="11"/>
      <c r="R296" s="11"/>
      <c r="S296" s="11"/>
      <c r="T296" s="11"/>
      <c r="U296" s="11"/>
      <c r="V296" s="11"/>
      <c r="W296" s="11"/>
      <c r="X296" s="11"/>
    </row>
    <row r="297" spans="2:24" hidden="1">
      <c r="B297" s="11"/>
      <c r="C297" s="473" t="str">
        <f t="shared" si="12"/>
        <v>Otras tierras</v>
      </c>
      <c r="D297" s="596"/>
      <c r="E297" s="239" t="s">
        <v>898</v>
      </c>
      <c r="F297" s="239"/>
      <c r="G297" s="239"/>
      <c r="H297" s="11"/>
      <c r="I297" s="11"/>
      <c r="J297" s="11"/>
      <c r="K297" s="11"/>
      <c r="L297" s="11"/>
      <c r="M297" s="11"/>
      <c r="N297" s="11"/>
      <c r="O297" s="11"/>
      <c r="P297" s="11"/>
      <c r="Q297" s="11"/>
      <c r="R297" s="11"/>
      <c r="S297" s="11"/>
      <c r="T297" s="11"/>
      <c r="U297" s="11"/>
      <c r="V297" s="11"/>
      <c r="W297" s="11"/>
      <c r="X297" s="11"/>
    </row>
    <row r="298" spans="2:24" hidden="1">
      <c r="B298" s="11"/>
      <c r="C298" s="473" t="str">
        <f t="shared" si="12"/>
        <v>Asentamientos</v>
      </c>
      <c r="D298" s="596"/>
      <c r="E298" s="239" t="s">
        <v>898</v>
      </c>
      <c r="F298" s="239"/>
      <c r="G298" s="239"/>
      <c r="H298" s="11"/>
      <c r="I298" s="11"/>
      <c r="J298" s="11"/>
      <c r="K298" s="11"/>
      <c r="L298" s="11"/>
      <c r="M298" s="11"/>
      <c r="N298" s="11"/>
      <c r="O298" s="11"/>
      <c r="P298" s="11"/>
      <c r="Q298" s="11"/>
      <c r="R298" s="11"/>
      <c r="S298" s="11"/>
      <c r="T298" s="11"/>
      <c r="U298" s="11"/>
      <c r="V298" s="11"/>
      <c r="W298" s="11"/>
      <c r="X298" s="11"/>
    </row>
    <row r="299" spans="2:24">
      <c r="B299" s="11"/>
      <c r="C299" s="1"/>
      <c r="D299" s="1"/>
      <c r="E299" s="1"/>
      <c r="F299" s="1"/>
      <c r="G299" s="1"/>
      <c r="H299" s="11"/>
      <c r="I299" s="11"/>
      <c r="J299" s="11"/>
      <c r="K299" s="11"/>
      <c r="L299" s="11"/>
      <c r="M299" s="11"/>
      <c r="N299" s="11"/>
      <c r="O299" s="11"/>
      <c r="P299" s="11"/>
      <c r="Q299" s="11"/>
      <c r="R299" s="11"/>
      <c r="S299" s="11"/>
      <c r="T299" s="11"/>
      <c r="U299" s="11"/>
      <c r="V299" s="11"/>
      <c r="W299" s="11"/>
      <c r="X299" s="11"/>
    </row>
    <row r="300" spans="2:24">
      <c r="B300" s="11"/>
      <c r="C300" s="1"/>
      <c r="D300" s="1"/>
      <c r="E300" s="1"/>
      <c r="F300" s="1"/>
      <c r="G300" s="1"/>
      <c r="H300" s="11"/>
      <c r="I300" s="11"/>
      <c r="J300" s="11"/>
      <c r="K300" s="11"/>
      <c r="L300" s="11"/>
      <c r="M300" s="11"/>
      <c r="N300" s="11"/>
      <c r="O300" s="11"/>
      <c r="P300" s="11"/>
      <c r="Q300" s="11"/>
      <c r="R300" s="11"/>
      <c r="S300" s="11"/>
      <c r="T300" s="11"/>
      <c r="U300" s="11"/>
      <c r="V300" s="11"/>
      <c r="W300" s="11"/>
      <c r="X300" s="11"/>
    </row>
    <row r="301" spans="2:24">
      <c r="B301" s="11"/>
      <c r="C301" s="325" t="s">
        <v>900</v>
      </c>
      <c r="D301" s="325"/>
      <c r="E301" s="325"/>
      <c r="F301" s="325"/>
      <c r="G301" s="325"/>
      <c r="H301" s="11"/>
      <c r="I301" s="11"/>
      <c r="J301" s="11"/>
      <c r="K301" s="11"/>
      <c r="L301" s="11"/>
      <c r="M301" s="11"/>
      <c r="N301" s="11"/>
      <c r="O301" s="11"/>
      <c r="P301" s="11"/>
      <c r="Q301" s="11"/>
      <c r="R301" s="11"/>
      <c r="S301" s="11"/>
      <c r="T301" s="11"/>
      <c r="U301" s="11"/>
      <c r="V301" s="11"/>
      <c r="W301" s="11"/>
      <c r="X301" s="11"/>
    </row>
    <row r="302" spans="2:24">
      <c r="B302" s="11"/>
      <c r="C302" s="326" t="str">
        <f>IF(Idioma=Castellano,"Concepto",IF(Idioma=Valencià,"Concepte"))</f>
        <v>Concepto</v>
      </c>
      <c r="D302" s="363" t="s">
        <v>897</v>
      </c>
      <c r="E302" s="270" t="str">
        <f>IF(Idioma=Castellano,"Unidades",IF(Idioma=Valencià,"Unitats"))</f>
        <v>Unidades</v>
      </c>
      <c r="F302" s="274"/>
      <c r="G302" s="363" t="str">
        <f>IF(Idioma=Castellano,"Fuente",IF(Idioma=Valencià,"Font"))</f>
        <v>Fuente</v>
      </c>
      <c r="H302" s="11"/>
      <c r="I302" s="11"/>
      <c r="J302" s="11"/>
      <c r="K302" s="11"/>
      <c r="L302" s="11"/>
      <c r="M302" s="11"/>
      <c r="N302" s="11"/>
      <c r="O302" s="11"/>
      <c r="P302" s="11"/>
      <c r="Q302" s="11"/>
      <c r="R302" s="11"/>
      <c r="S302" s="11"/>
      <c r="T302" s="11"/>
      <c r="U302" s="11"/>
      <c r="V302" s="11"/>
      <c r="W302" s="11"/>
      <c r="X302" s="11"/>
    </row>
    <row r="303" spans="2:24">
      <c r="B303" s="11"/>
      <c r="C303" s="473" t="str">
        <f>M_A0!Q96</f>
        <v>Bosque</v>
      </c>
      <c r="D303" s="79">
        <v>51.39</v>
      </c>
      <c r="E303" s="239" t="s">
        <v>898</v>
      </c>
      <c r="F303" s="239"/>
      <c r="G303" s="239" t="s">
        <v>901</v>
      </c>
      <c r="H303" s="11"/>
      <c r="I303" s="11"/>
      <c r="J303" s="11"/>
      <c r="K303" s="11"/>
      <c r="L303" s="11"/>
      <c r="M303" s="11"/>
      <c r="N303" s="11"/>
      <c r="O303" s="11"/>
      <c r="P303" s="11"/>
      <c r="Q303" s="11"/>
      <c r="R303" s="11"/>
      <c r="S303" s="11"/>
      <c r="T303" s="11"/>
      <c r="U303" s="11"/>
      <c r="V303" s="11"/>
      <c r="W303" s="11"/>
      <c r="X303" s="11"/>
    </row>
    <row r="304" spans="2:24">
      <c r="B304" s="11"/>
      <c r="C304" s="473" t="str">
        <f>M_A0!Q97</f>
        <v>Garriga/Matorral (arbustivas)/Prado</v>
      </c>
      <c r="D304" s="79">
        <v>31.48</v>
      </c>
      <c r="E304" s="239" t="s">
        <v>898</v>
      </c>
      <c r="F304" s="239"/>
      <c r="G304" s="239"/>
      <c r="H304" s="11"/>
      <c r="I304" s="11"/>
      <c r="J304" s="11"/>
      <c r="K304" s="11"/>
      <c r="L304" s="11"/>
      <c r="M304" s="11"/>
      <c r="N304" s="11"/>
      <c r="O304" s="11"/>
      <c r="P304" s="11"/>
      <c r="Q304" s="11"/>
      <c r="R304" s="11"/>
      <c r="S304" s="11"/>
      <c r="T304" s="11"/>
      <c r="U304" s="11"/>
      <c r="V304" s="11"/>
      <c r="W304" s="11"/>
      <c r="X304" s="11"/>
    </row>
    <row r="305" spans="1:24">
      <c r="B305" s="11"/>
      <c r="C305" s="473" t="str">
        <f>M_A0!Q98</f>
        <v>Cultivo</v>
      </c>
      <c r="D305" s="79">
        <v>48.73</v>
      </c>
      <c r="E305" s="239" t="s">
        <v>898</v>
      </c>
      <c r="F305" s="239"/>
      <c r="G305" s="239"/>
      <c r="H305" s="11"/>
      <c r="I305" s="11"/>
      <c r="J305" s="11"/>
      <c r="K305" s="11"/>
      <c r="L305" s="11"/>
      <c r="M305" s="11"/>
      <c r="N305" s="11"/>
      <c r="O305" s="11"/>
      <c r="P305" s="11"/>
      <c r="Q305" s="11"/>
      <c r="R305" s="11"/>
      <c r="S305" s="11"/>
      <c r="T305" s="11"/>
      <c r="U305" s="11"/>
      <c r="V305" s="11"/>
      <c r="W305" s="11"/>
      <c r="X305" s="11"/>
    </row>
    <row r="306" spans="1:24">
      <c r="B306" s="11"/>
      <c r="C306" s="473" t="str">
        <f>M_A0!Q99</f>
        <v>Marismas y humedales</v>
      </c>
      <c r="D306" s="79">
        <v>62.95</v>
      </c>
      <c r="E306" s="239" t="s">
        <v>898</v>
      </c>
      <c r="F306" s="239"/>
      <c r="G306" s="239"/>
      <c r="H306" s="11"/>
      <c r="I306" s="11"/>
      <c r="J306" s="11"/>
      <c r="K306" s="11"/>
      <c r="L306" s="11"/>
      <c r="M306" s="11"/>
      <c r="N306" s="11"/>
      <c r="O306" s="11"/>
      <c r="P306" s="11"/>
      <c r="Q306" s="11"/>
      <c r="R306" s="11"/>
      <c r="S306" s="11"/>
      <c r="T306" s="11"/>
      <c r="U306" s="11"/>
      <c r="V306" s="11"/>
      <c r="W306" s="11"/>
      <c r="X306" s="11"/>
    </row>
    <row r="307" spans="1:24">
      <c r="B307" s="11"/>
      <c r="C307" s="473" t="str">
        <f>M_A0!Q100</f>
        <v>Otras tierras</v>
      </c>
      <c r="D307" s="79" t="s">
        <v>899</v>
      </c>
      <c r="E307" s="239" t="s">
        <v>898</v>
      </c>
      <c r="F307" s="239"/>
      <c r="G307" s="239"/>
      <c r="H307" s="11"/>
      <c r="I307" s="11"/>
      <c r="J307" s="11"/>
      <c r="K307" s="11"/>
      <c r="L307" s="11"/>
      <c r="M307" s="11"/>
      <c r="N307" s="11"/>
      <c r="O307" s="11"/>
      <c r="P307" s="11"/>
      <c r="Q307" s="11"/>
      <c r="R307" s="11"/>
      <c r="S307" s="11"/>
      <c r="T307" s="11"/>
      <c r="U307" s="11"/>
      <c r="V307" s="11"/>
      <c r="W307" s="11"/>
      <c r="X307" s="11"/>
    </row>
    <row r="308" spans="1:24">
      <c r="B308" s="11"/>
      <c r="C308" s="473" t="str">
        <f>M_A0!Q101</f>
        <v>Asentamientos</v>
      </c>
      <c r="D308" s="79">
        <v>0</v>
      </c>
      <c r="E308" s="239" t="s">
        <v>898</v>
      </c>
      <c r="F308" s="239"/>
      <c r="G308" s="239"/>
      <c r="H308" s="11"/>
      <c r="I308" s="11"/>
      <c r="J308" s="11"/>
      <c r="K308" s="11"/>
      <c r="L308" s="11"/>
      <c r="M308" s="11"/>
      <c r="N308" s="11"/>
      <c r="O308" s="11"/>
      <c r="P308" s="11"/>
      <c r="Q308" s="11"/>
      <c r="R308" s="11"/>
      <c r="S308" s="11"/>
      <c r="T308" s="11"/>
      <c r="U308" s="11"/>
      <c r="V308" s="11"/>
      <c r="W308" s="11"/>
      <c r="X308" s="11"/>
    </row>
    <row r="309" spans="1:24">
      <c r="B309" s="11"/>
      <c r="C309" s="11"/>
      <c r="D309" s="11"/>
      <c r="E309" s="11"/>
      <c r="F309" s="11"/>
      <c r="G309" s="11"/>
      <c r="H309" s="11"/>
      <c r="I309" s="11"/>
      <c r="J309" s="11"/>
      <c r="K309" s="11"/>
      <c r="L309" s="11"/>
      <c r="M309" s="11"/>
      <c r="N309" s="11"/>
      <c r="O309" s="11"/>
      <c r="P309" s="11"/>
      <c r="Q309" s="11"/>
      <c r="R309" s="11"/>
      <c r="S309" s="11"/>
      <c r="T309" s="11"/>
      <c r="U309" s="11"/>
      <c r="V309" s="11"/>
      <c r="W309" s="11"/>
      <c r="X309" s="11"/>
    </row>
    <row r="310" spans="1:24">
      <c r="B310" s="11"/>
      <c r="C310" s="11"/>
      <c r="D310" s="11"/>
      <c r="E310" s="11"/>
      <c r="F310" s="11"/>
      <c r="G310" s="11"/>
      <c r="H310" s="11"/>
      <c r="I310" s="11"/>
      <c r="J310" s="11"/>
      <c r="K310" s="11"/>
      <c r="L310" s="11"/>
      <c r="M310" s="11"/>
      <c r="N310" s="11"/>
      <c r="O310" s="11"/>
      <c r="P310" s="11"/>
      <c r="Q310" s="11"/>
      <c r="R310" s="11"/>
      <c r="S310" s="11"/>
      <c r="T310" s="11"/>
      <c r="U310" s="11"/>
      <c r="V310" s="11"/>
      <c r="W310" s="11"/>
      <c r="X310" s="11"/>
    </row>
    <row r="311" spans="1:24" s="470" customFormat="1">
      <c r="A311" s="145"/>
      <c r="B311" s="490"/>
      <c r="C311" s="491" t="s">
        <v>721</v>
      </c>
      <c r="D311" s="490"/>
      <c r="E311" s="490"/>
      <c r="F311" s="490"/>
      <c r="G311" s="490"/>
      <c r="H311" s="490"/>
      <c r="I311" s="490"/>
      <c r="J311" s="490"/>
      <c r="K311" s="490"/>
      <c r="L311" s="490"/>
      <c r="M311" s="490"/>
      <c r="N311" s="490"/>
      <c r="O311" s="490"/>
      <c r="P311" s="490"/>
      <c r="Q311" s="490"/>
      <c r="R311" s="490"/>
      <c r="S311" s="490"/>
      <c r="T311" s="490"/>
      <c r="U311" s="490"/>
      <c r="V311" s="490"/>
      <c r="W311" s="490"/>
      <c r="X311" s="490"/>
    </row>
    <row r="312" spans="1:24">
      <c r="B312" s="11"/>
      <c r="C312" s="11"/>
      <c r="D312" s="11"/>
      <c r="E312" s="11"/>
      <c r="F312" s="11"/>
      <c r="G312" s="11"/>
      <c r="H312" s="11"/>
      <c r="I312" s="11"/>
      <c r="J312" s="11"/>
      <c r="K312" s="11"/>
      <c r="L312" s="11"/>
      <c r="M312" s="11"/>
      <c r="N312" s="11"/>
      <c r="O312" s="11"/>
      <c r="P312" s="11"/>
      <c r="Q312" s="11"/>
      <c r="R312" s="11"/>
      <c r="S312" s="11"/>
      <c r="T312" s="11"/>
      <c r="U312" s="11"/>
      <c r="V312" s="11"/>
      <c r="W312" s="11"/>
      <c r="X312" s="11"/>
    </row>
    <row r="313" spans="1:24">
      <c r="B313" s="11"/>
      <c r="C313" s="325" t="s">
        <v>721</v>
      </c>
      <c r="D313" s="325"/>
      <c r="E313" s="325"/>
      <c r="F313" s="325"/>
      <c r="G313" s="325"/>
      <c r="H313" s="1"/>
      <c r="I313" s="11"/>
      <c r="J313" s="11"/>
      <c r="K313" s="11"/>
      <c r="L313" s="11"/>
      <c r="M313" s="11"/>
      <c r="N313" s="11"/>
      <c r="O313" s="11"/>
      <c r="P313" s="11"/>
      <c r="Q313" s="11"/>
      <c r="R313" s="11"/>
      <c r="S313" s="11"/>
      <c r="T313" s="11"/>
      <c r="U313" s="11"/>
      <c r="V313" s="11"/>
      <c r="W313" s="11"/>
      <c r="X313" s="11"/>
    </row>
    <row r="314" spans="1:24">
      <c r="B314" s="11"/>
      <c r="C314" s="326" t="s">
        <v>722</v>
      </c>
      <c r="D314" s="326" t="s">
        <v>723</v>
      </c>
      <c r="E314" s="270" t="str">
        <f>IF(Idioma=Castellano,"Unidades",IF(Idioma=Valencià,"Unitats"))</f>
        <v>Unidades</v>
      </c>
      <c r="F314" s="326"/>
      <c r="G314" s="326" t="str">
        <f>IF(Idioma=Castellano,"Fuente",IF(Idioma=Valencià,"Font"))</f>
        <v>Fuente</v>
      </c>
      <c r="H314" s="1"/>
      <c r="I314" s="11"/>
      <c r="J314" s="11"/>
      <c r="K314" s="11"/>
      <c r="L314" s="11"/>
      <c r="M314" s="11"/>
      <c r="N314" s="11"/>
      <c r="O314" s="11"/>
      <c r="P314" s="11"/>
      <c r="Q314" s="11"/>
      <c r="R314" s="11"/>
      <c r="S314" s="11"/>
      <c r="T314" s="11"/>
      <c r="U314" s="11"/>
      <c r="V314" s="11"/>
      <c r="W314" s="11"/>
      <c r="X314" s="11"/>
    </row>
    <row r="315" spans="1:24">
      <c r="B315" s="11"/>
      <c r="C315" s="13" t="s">
        <v>724</v>
      </c>
      <c r="D315" s="79">
        <v>1</v>
      </c>
      <c r="E315" s="13" t="s">
        <v>725</v>
      </c>
      <c r="F315" s="13"/>
      <c r="G315" s="83" t="s">
        <v>726</v>
      </c>
      <c r="H315" s="1"/>
      <c r="I315" s="11" t="s">
        <v>657</v>
      </c>
      <c r="J315" s="11"/>
      <c r="K315" s="11"/>
      <c r="L315" s="11"/>
      <c r="M315" s="11"/>
      <c r="N315" s="11"/>
      <c r="O315" s="11"/>
      <c r="P315" s="11"/>
      <c r="Q315" s="11"/>
      <c r="R315" s="11"/>
      <c r="S315" s="11"/>
      <c r="T315" s="11"/>
      <c r="U315" s="11"/>
      <c r="V315" s="11"/>
      <c r="W315" s="11"/>
      <c r="X315" s="11"/>
    </row>
    <row r="316" spans="1:24">
      <c r="B316" s="11"/>
      <c r="C316" s="13" t="s">
        <v>727</v>
      </c>
      <c r="D316" s="79">
        <v>28</v>
      </c>
      <c r="E316" s="13" t="s">
        <v>728</v>
      </c>
      <c r="F316" s="13"/>
      <c r="G316" s="83" t="s">
        <v>726</v>
      </c>
      <c r="H316" s="1"/>
      <c r="I316" s="11" t="s">
        <v>657</v>
      </c>
      <c r="J316" s="11"/>
      <c r="K316" s="11"/>
      <c r="L316" s="11"/>
      <c r="M316" s="11"/>
      <c r="N316" s="11"/>
      <c r="O316" s="11"/>
      <c r="P316" s="11"/>
      <c r="Q316" s="11"/>
      <c r="R316" s="11"/>
      <c r="S316" s="11"/>
      <c r="T316" s="11"/>
      <c r="U316" s="11"/>
      <c r="V316" s="11"/>
      <c r="W316" s="11"/>
      <c r="X316" s="11"/>
    </row>
    <row r="317" spans="1:24">
      <c r="B317" s="11"/>
      <c r="C317" s="13" t="s">
        <v>729</v>
      </c>
      <c r="D317" s="79">
        <v>265</v>
      </c>
      <c r="E317" s="13" t="s">
        <v>730</v>
      </c>
      <c r="F317" s="13"/>
      <c r="G317" s="83" t="s">
        <v>726</v>
      </c>
      <c r="H317" s="1"/>
      <c r="I317" s="11" t="s">
        <v>657</v>
      </c>
      <c r="J317" s="11"/>
      <c r="K317" s="11"/>
      <c r="L317" s="11"/>
      <c r="M317" s="11"/>
      <c r="N317" s="11"/>
      <c r="O317" s="11"/>
      <c r="P317" s="11"/>
      <c r="Q317" s="11"/>
      <c r="R317" s="11"/>
      <c r="S317" s="11"/>
      <c r="T317" s="11"/>
      <c r="U317" s="11"/>
      <c r="V317" s="11"/>
      <c r="W317" s="11"/>
      <c r="X317" s="11"/>
    </row>
    <row r="318" spans="1:24">
      <c r="B318" s="11"/>
      <c r="C318" s="11"/>
      <c r="D318" s="11"/>
      <c r="E318" s="11"/>
      <c r="F318" s="11"/>
      <c r="G318" s="11"/>
      <c r="H318" s="11"/>
      <c r="I318" s="11"/>
      <c r="J318" s="11"/>
      <c r="K318" s="11"/>
      <c r="L318" s="11"/>
      <c r="M318" s="11"/>
      <c r="N318" s="11"/>
      <c r="O318" s="11"/>
      <c r="P318" s="11"/>
      <c r="Q318" s="11"/>
      <c r="R318" s="11"/>
      <c r="S318" s="11"/>
      <c r="T318" s="11"/>
      <c r="U318" s="11"/>
      <c r="V318" s="11"/>
      <c r="W318" s="11"/>
      <c r="X318" s="11"/>
    </row>
    <row r="319" spans="1:24">
      <c r="B319" s="11"/>
      <c r="C319" s="11"/>
      <c r="D319" s="11"/>
      <c r="E319" s="11"/>
      <c r="F319" s="11"/>
      <c r="G319" s="11"/>
      <c r="H319" s="11"/>
      <c r="I319" s="11"/>
      <c r="J319" s="11"/>
      <c r="K319" s="11"/>
      <c r="L319" s="11"/>
      <c r="M319" s="11"/>
      <c r="N319" s="11"/>
      <c r="O319" s="11"/>
      <c r="P319" s="11"/>
      <c r="Q319" s="11"/>
      <c r="R319" s="11"/>
      <c r="S319" s="11"/>
      <c r="T319" s="11"/>
      <c r="U319" s="11"/>
      <c r="V319" s="11"/>
      <c r="W319" s="11"/>
      <c r="X319" s="11"/>
    </row>
  </sheetData>
  <sheetProtection algorithmName="SHA-512" hashValue="urr+sI2sB016Q+oBJUd/LGYDZyde8Tubbq6sGiYGutq4Nx4BgHEGx3Gu8gaxbpEQs7cLlclnTewnAT910z2Fng==" saltValue="1u+gz77NzsPEUMOkqGfoEA==" spinCount="100000" sheet="1" objects="1" scenarios="1"/>
  <mergeCells count="4">
    <mergeCell ref="N8:P8"/>
    <mergeCell ref="G8:H8"/>
    <mergeCell ref="K8:K9"/>
    <mergeCell ref="L8:L9"/>
  </mergeCells>
  <phoneticPr fontId="71" type="noConversion"/>
  <hyperlinks>
    <hyperlink ref="D208" r:id="rId1" xr:uid="{8B3F4AF0-63BE-4AE8-84F0-150C30C666EC}"/>
    <hyperlink ref="I10" r:id="rId2" display="https://energia.gob.es/desarrollo/EficienciaEnergetica/CertificacionEnergetica/DocumentosReconocidos/normativamodelosutilizacion/20151123-Calificacion-eficiencia-energetica-edificios.pdf" xr:uid="{F3EAFB00-CC1B-42BE-9ADD-8DE254204A12}"/>
    <hyperlink ref="I11" r:id="rId3" display="https://energia.gob.es/desarrollo/EficienciaEnergetica/CertificacionEnergetica/DocumentosReconocidos/normativamodelosutilizacion/20151123-Calificacion-eficiencia-energetica-edificios.pdf" xr:uid="{465862AD-6F4D-400D-835E-54D47A169BE8}"/>
    <hyperlink ref="G288" r:id="rId4" display="https://politicaterritorial.gva.es/documents/20551069/174233262/Cartograf%C3%ADa+Territorial+del+Stock+de+Carbono+en+la+Comunitat+Valenciana/7e2501f8-2737-426e-80c5-617f33e98f36" xr:uid="{51B97CD6-C450-48D3-85ED-E50E89785FE1}"/>
    <hyperlink ref="A7" location="Instrucciones_Valencia!A1" display="Instrucciones_Valencia!A1" xr:uid="{ED5B567A-5F39-4C73-928D-1DABE67B16D9}"/>
    <hyperlink ref="A9" location="M_Datos_Valencia!A1" display="M_Datos_Valencia!A1" xr:uid="{13556F5B-B710-49C0-ACEB-7CDB09787AD9}"/>
    <hyperlink ref="A11" location="V_A0!A1" display="2.1. Alternativa 0 (A0)" xr:uid="{C64E9CA7-B26D-4744-80A8-C3631563252D}"/>
    <hyperlink ref="A12" location="V_A1!A1" display="2.2. Alternativa 1 (A1)" xr:uid="{05EB4612-1CF2-413E-B36A-B9ED1F74D52C}"/>
    <hyperlink ref="A13" location="V_A2!A1" display="2.3. Alternativa 2 (A2)" xr:uid="{95A8F841-D65F-405C-AC86-5C4B558E51D4}"/>
    <hyperlink ref="A14" location="V_A3!A1" display="2.4. Alternativa 3 (A3)" xr:uid="{22D42133-9A07-401A-B792-8C7C725FCF99}"/>
    <hyperlink ref="A15" location="V_A4!A1" display="2.5. Alternativa 4 (A4)" xr:uid="{C3E0859F-316F-4F4C-A191-76B84B4C8075}"/>
    <hyperlink ref="A16" location="B_Resultados!A1" display="B_Resultados!A1" xr:uid="{5F14F93C-02EE-422F-9319-18D016413C2E}"/>
    <hyperlink ref="A17" location="V_Factores!A1" display="V_Factores!A1" xr:uid="{67C35359-3052-4AFC-8AB8-A910A1AAB1E7}"/>
    <hyperlink ref="A19" location="B_Alcance!A1" display="B_Alcance!A1" xr:uid="{8D476DFF-86AC-4CED-9437-0D68A96EF3E8}"/>
    <hyperlink ref="A20" location="B_Checklist!A1" display="2. Checklist" xr:uid="{16B894B9-B8A9-4589-A3E3-1AC4D14B998D}"/>
    <hyperlink ref="A21" location="B_Resultados!A1" display="B_Resultados!A1" xr:uid="{77DCCCE7-4182-4B47-A3F3-9EECCBBCE584}"/>
    <hyperlink ref="A22" location="Resultados_generales!A1" display="Resultados_generales!A1" xr:uid="{5CC83375-5356-4F89-B019-5D860AA21F95}"/>
    <hyperlink ref="A23" location="Medidas_Propuestas!A1" display="Medidas_Propuestas!A1" xr:uid="{65036D25-22DD-4E71-84D6-B6ED1C94FFE8}"/>
  </hyperlinks>
  <pageMargins left="0.7" right="0.7" top="0.75" bottom="0.75" header="0.3" footer="0.3"/>
  <pageSetup paperSize="9" orientation="portrait" verticalDpi="0"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E694B-C890-4E20-864C-EAAD9B9F8AB8}">
  <sheetPr>
    <tabColor theme="7" tint="0.79998168889431442"/>
  </sheetPr>
  <dimension ref="A1:F23"/>
  <sheetViews>
    <sheetView workbookViewId="0">
      <selection activeCell="E31" sqref="E31"/>
    </sheetView>
  </sheetViews>
  <sheetFormatPr baseColWidth="10" defaultColWidth="11.44140625" defaultRowHeight="15.6"/>
  <cols>
    <col min="1" max="1" width="29.88671875" style="145" customWidth="1"/>
    <col min="2" max="2" width="0.5546875" style="138" customWidth="1"/>
    <col min="3" max="3" width="11.44140625" style="1"/>
    <col min="4" max="4" width="54.88671875" style="1" customWidth="1"/>
    <col min="5" max="5" width="62.6640625" style="1" customWidth="1"/>
    <col min="6" max="16384" width="11.44140625" style="1"/>
  </cols>
  <sheetData>
    <row r="1" spans="1:6" s="138" customFormat="1" ht="30" customHeight="1">
      <c r="A1" s="1"/>
      <c r="E1" s="139"/>
    </row>
    <row r="2" spans="1:6" s="138" customFormat="1" ht="30" customHeight="1">
      <c r="A2" s="1"/>
      <c r="D2" s="136" t="str">
        <f>IF(Idioma=Castellano,"1. Alcance",IF(Idioma=Valencià,"1. Abast","1. Alcance"))</f>
        <v>1. Alcance</v>
      </c>
      <c r="E2" s="139"/>
    </row>
    <row r="3" spans="1:6" s="138" customFormat="1" ht="30" customHeight="1">
      <c r="A3" s="1"/>
      <c r="E3" s="139"/>
    </row>
    <row r="4" spans="1:6" ht="14.4">
      <c r="A4" s="143"/>
    </row>
    <row r="5" spans="1:6" s="141" customFormat="1" ht="14.4">
      <c r="A5" s="143"/>
      <c r="B5" s="138"/>
      <c r="D5" s="141" t="str">
        <f>IF(Idioma=Castellano,"1. ALCANCE GEOGRÁFICO",IF(Idioma=Valencià,"1. ABAST GEOGRÀFIC","1. ALCANCE GEOGRÁFICO"))</f>
        <v>1. ALCANCE GEOGRÁFICO</v>
      </c>
    </row>
    <row r="6" spans="1:6">
      <c r="A6" s="335" t="str">
        <f>IF(Idioma=Castellano,"Índice",IF(Idioma=Valencià,"Índex","Índice"))</f>
        <v>Índice</v>
      </c>
    </row>
    <row r="7" spans="1:6" ht="14.4">
      <c r="A7" s="202" t="str">
        <f>IF(Idioma=Castellano,"Instrucciones",IF(Idioma=Valencià,"Instruccions","Instrucciones"))</f>
        <v>Instrucciones</v>
      </c>
      <c r="D7" s="31" t="str">
        <f>IF(Idioma=Castellano,"Nombre del plan",IF(Idioma=Valencià,"Nom del pla","Nombre del plan"))</f>
        <v>Nombre del plan</v>
      </c>
      <c r="E7" s="597">
        <f>M_Datos!E7</f>
        <v>0</v>
      </c>
    </row>
    <row r="8" spans="1:6" ht="14.4">
      <c r="A8" s="203" t="str">
        <f>IF(Idioma=Castellano,"Sección de Mitigación",IF(Idioma=Valencià,"Secció de Mitigació", "Sección de Mitigación"))</f>
        <v>Sección de Mitigación</v>
      </c>
      <c r="D8" s="31" t="str">
        <f>IF(Idioma=Castellano,"Municipio",IF(Idioma=Valencià,"Municipi","Municipo"))</f>
        <v>Municipio</v>
      </c>
      <c r="E8" s="598">
        <f>M_Datos!E9</f>
        <v>0</v>
      </c>
    </row>
    <row r="9" spans="1:6" ht="14.4">
      <c r="A9" s="204" t="str">
        <f>IF(Idioma=Castellano,"1. Datos de entrada",IF(Idioma=Valencià,"1.Dades d'entrada","1. Datos de entrada"))</f>
        <v>1. Datos de entrada</v>
      </c>
    </row>
    <row r="10" spans="1:6" ht="14.4">
      <c r="A10" s="204" t="str">
        <f>IF(Idioma=Castellano,"2. Cálculo de Alternativas:",IF(Idioma=Valencià,"2. Càlcul d'alternatives :","2. Cálculo de Alternativas:"))</f>
        <v>2. Cálculo de Alternativas:</v>
      </c>
    </row>
    <row r="11" spans="1:6" ht="14.4">
      <c r="A11" s="205" t="s">
        <v>1</v>
      </c>
      <c r="D11" s="31" t="str">
        <f>IF(Idioma=Castellano,"Área de estudio",IF(Idioma=Valencià,"Àrea d'estudi","Área de estudio"))</f>
        <v>Área de estudio</v>
      </c>
      <c r="E11" s="294">
        <f>647.66</f>
        <v>647.66</v>
      </c>
      <c r="F11" s="1" t="s">
        <v>1012</v>
      </c>
    </row>
    <row r="12" spans="1:6" ht="14.4">
      <c r="A12" s="205" t="s">
        <v>2</v>
      </c>
    </row>
    <row r="13" spans="1:6" s="141" customFormat="1" ht="14.4">
      <c r="A13" s="205" t="s">
        <v>3</v>
      </c>
      <c r="B13" s="138"/>
      <c r="D13" s="141" t="str">
        <f>IF(Idioma=Castellano,"2. ALCANCE TEMPORAL",IF(Idioma=Valencià,"2. ABAST TEMPORAL","2. ALCANCE TEMPORAL"))</f>
        <v>2. ALCANCE TEMPORAL</v>
      </c>
    </row>
    <row r="14" spans="1:6" ht="14.4">
      <c r="A14" s="205" t="s">
        <v>4</v>
      </c>
      <c r="D14" s="4"/>
    </row>
    <row r="15" spans="1:6" ht="28.8">
      <c r="A15" s="205" t="s">
        <v>5</v>
      </c>
      <c r="D15" s="84" t="str">
        <f>IF(Idioma=Castellano,"Seleccionar periodo temporal (periodos de las proyecciones de IPCC)",IF(Idioma=Valencià,"Seleccionar període temporal (períodes de les projeccions d'IPCC)","Seleccionar periodo temporal (periodos de las proyecciones de IPCC)"))</f>
        <v>Seleccionar periodo temporal (periodos de las proyecciones de IPCC)</v>
      </c>
      <c r="E15" s="305" t="s">
        <v>969</v>
      </c>
    </row>
    <row r="16" spans="1:6" ht="28.8">
      <c r="A16" s="204" t="str">
        <f>IF(Idioma=Castellano,"3. Resultados",IF(Idioma=Valencià,"3. Resultats","3. Resultados"))</f>
        <v>3. Resultados</v>
      </c>
      <c r="D16" s="84" t="str">
        <f>IF(Idioma=Castellano,"¿Por qué se escoge ese periodo temporal?",IF(Idioma=Valencià,"Per què es tria aqueix període temporal?","¿Por qué se escoge ese periodo temporal?"))</f>
        <v>¿Por qué se escoge ese periodo temporal?</v>
      </c>
      <c r="E16" s="306" t="str">
        <f>IF(Idioma=Castellano,"Se recomienda escoger el periodo de años 2071-2100 de acuerdo con el principio de precaución",IF(Idioma=Valencià,"Es recomana triar el període d'anys 2071-2100 d'acord amb el principi de precaució","Se recomienda escoger el periodo de años 2071-2100 de acuerdo con el principio de precaución"))</f>
        <v>Se recomienda escoger el periodo de años 2071-2100 de acuerdo con el principio de precaución</v>
      </c>
    </row>
    <row r="17" spans="1:5" ht="14.4">
      <c r="A17" s="204" t="str">
        <f>IF(Idioma=Castellano,"4. Factores de emisión",IF(Idioma=Valencià,"4. Factors d'emissió","4. Factores de emisión"))</f>
        <v>4. Factores de emisión</v>
      </c>
      <c r="D17" s="4"/>
    </row>
    <row r="18" spans="1:5" s="141" customFormat="1" ht="14.4">
      <c r="A18" s="203" t="str">
        <f>IF(Idioma=Castellano,"Sección de Adaptación",IF(Idioma=Valencià,"Secció d'Adaptació","Sección de Adaptación"))</f>
        <v>Sección de Adaptación</v>
      </c>
      <c r="B18" s="138"/>
      <c r="D18" s="141" t="str">
        <f>IF(Idioma=Castellano,"3. ESCENARIO DE EMISIONES",IF(Idioma=Valencià,"3. ESCENARI D'EMISSIONS","3. ESCENARIO DE EMISIONES"))</f>
        <v>3. ESCENARIO DE EMISIONES</v>
      </c>
    </row>
    <row r="19" spans="1:5" ht="14.4">
      <c r="A19" s="204" t="str">
        <f>IF(Idioma=Castellano,"1. Alcance",IF(Idioma=Valencià,"1. Abast","1. Alcance"))</f>
        <v>1. Alcance</v>
      </c>
      <c r="D19" s="4"/>
    </row>
    <row r="20" spans="1:5" ht="14.4">
      <c r="A20" s="204" t="s">
        <v>6</v>
      </c>
      <c r="D20" s="43" t="str">
        <f>IF(Idioma=Castellano,"Escenario de emisiones seleccionado",IF(Idioma=Valencià,"Escenari d'emissions seleccionat","Escenario de emisiones seleccionado"))</f>
        <v>Escenario de emisiones seleccionado</v>
      </c>
      <c r="E20" s="295" t="s">
        <v>852</v>
      </c>
    </row>
    <row r="21" spans="1:5" ht="28.8">
      <c r="A21" s="204" t="str">
        <f>IF(Idioma=Castellano,"3. Resultados",IF(Idioma=Valencià,"3. Resultats","3. Resultados"))</f>
        <v>3. Resultados</v>
      </c>
      <c r="D21" s="84" t="str">
        <f>IF(Idioma=Castellano,"¿Por qué se escoge ese escenario de emisiones?",IF(Idioma=Valencià,"Per què es tria aqueix escenari d'emissions?","¿Por qué se escoge ese escenario de emisiones?"))</f>
        <v>¿Por qué se escoge ese escenario de emisiones?</v>
      </c>
      <c r="E21" s="306" t="str">
        <f>IF(Idioma=Castellano,"Se recomienda escoger el escenario de emisiones RCP8.5 de acuerdo con el principio de precaución",IF(Idioma=Valencià,"Es recomana triar l'escenari d'emissions RCP8.5 d'acord amb el principi de precaució","Se recomienda escoger el escenario de emisiones RCP8.5 de acuerdo con el principio de precaución"))</f>
        <v>Se recomienda escoger el escenario de emisiones RCP8.5 de acuerdo con el principio de precaución</v>
      </c>
    </row>
    <row r="22" spans="1:5" ht="14.4">
      <c r="A22" s="203" t="str">
        <f>IF(Idioma=Castellano,"Resultados generales",IF(Idioma=Valencià,"Resultats generals","Resultados generales"))</f>
        <v>Resultados generales</v>
      </c>
      <c r="D22" s="4"/>
    </row>
    <row r="23" spans="1:5" ht="14.4">
      <c r="A23" s="203" t="str">
        <f>IF(Idioma=Castellano,"Medidas Propuestas",IF(Idioma=Valencià,"Mesures Proposades","Medidas Propuestas"))</f>
        <v>Medidas Propuestas</v>
      </c>
      <c r="D23" s="4"/>
    </row>
  </sheetData>
  <hyperlinks>
    <hyperlink ref="A7" location="Instrucciones_Valencia!A1" display="Instrucciones_Valencia!A1" xr:uid="{E98A4CEF-3F61-4B6E-A627-1C1DC8289E0D}"/>
    <hyperlink ref="A9" location="M_Datos_Valencia!A1" display="M_Datos_Valencia!A1" xr:uid="{0BDF7809-CCA7-4CA6-ADFB-C4318D11931C}"/>
    <hyperlink ref="A11" location="V_A0!A1" display="2.1. Alternativa 0 (A0)" xr:uid="{99720F3D-8B00-43B4-B70A-549788ECD5CD}"/>
    <hyperlink ref="A12" location="V_A1!A1" display="2.2. Alternativa 1 (A1)" xr:uid="{5F09B351-5602-47FE-9E51-CD345EA482D9}"/>
    <hyperlink ref="A13" location="V_A2!A1" display="2.3. Alternativa 2 (A2)" xr:uid="{B2250604-2F31-48FB-B755-B7BD4B162FA4}"/>
    <hyperlink ref="A14" location="V_A3!A1" display="2.4. Alternativa 3 (A3)" xr:uid="{E519C834-D318-40A1-9C86-3E6F52973921}"/>
    <hyperlink ref="A15" location="V_A4!A1" display="2.5. Alternativa 4 (A4)" xr:uid="{11044EE7-1E5D-47C8-8F07-86BA2B155CA3}"/>
    <hyperlink ref="A16" location="B_Resultados!A1" display="B_Resultados!A1" xr:uid="{5C8DBC33-3AB4-418D-9B33-7D8C58B3E388}"/>
    <hyperlink ref="A17" location="V_Factores!A1" display="V_Factores!A1" xr:uid="{7A006D60-AEB9-4B35-8B43-3FE24FFD2209}"/>
    <hyperlink ref="A19" location="B_Alcance!A1" display="B_Alcance!A1" xr:uid="{AAD9A922-FB0F-4028-A2DA-192416297985}"/>
    <hyperlink ref="A20" location="B_Checklist!A1" display="2. Checklist" xr:uid="{5C9B9CC5-2455-4037-B1CD-35FD04F42547}"/>
    <hyperlink ref="A21" location="B_Resultados!A1" display="B_Resultados!A1" xr:uid="{1828CBB2-5341-462E-BBC3-922EF56BE0E4}"/>
    <hyperlink ref="A22" location="Resultados_generales!A1" display="Resultados_generales!A1" xr:uid="{319CFD50-095E-4178-B024-6808D4D9D3E9}"/>
    <hyperlink ref="A23" location="Medidas_Propuestas!A1" display="Medidas_Propuestas!A1" xr:uid="{E423F35E-1696-4E96-80D5-A8B85A3564E4}"/>
  </hyperlink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B08BC83-DB3F-465A-9E8D-066E42EDA143}">
          <x14:formula1>
            <xm:f>B_Desplegable!$D$2:$D$4</xm:f>
          </x14:formula1>
          <xm:sqref>E15</xm:sqref>
        </x14:dataValidation>
        <x14:dataValidation type="list" allowBlank="1" showInputMessage="1" showErrorMessage="1" xr:uid="{7F779CFF-D0E3-45AC-B568-E7C397DE96DB}">
          <x14:formula1>
            <xm:f>B_Desplegable!$E$2:$E$5</xm:f>
          </x14:formula1>
          <xm:sqref>E20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F1DD-7B3B-46F7-B39A-5034B5A67F3C}">
  <sheetPr codeName="Hoja18">
    <tabColor theme="7" tint="0.79998168889431442"/>
  </sheetPr>
  <dimension ref="A1:O138"/>
  <sheetViews>
    <sheetView zoomScale="60" zoomScaleNormal="60" workbookViewId="0">
      <selection activeCell="J42" sqref="J42"/>
    </sheetView>
  </sheetViews>
  <sheetFormatPr baseColWidth="10" defaultColWidth="11.44140625" defaultRowHeight="15.6"/>
  <cols>
    <col min="1" max="1" width="30.44140625" style="148" customWidth="1"/>
    <col min="2" max="2" width="0.44140625" style="135" customWidth="1"/>
    <col min="3" max="3" width="13.6640625" customWidth="1"/>
    <col min="4" max="4" width="33.88671875" customWidth="1"/>
    <col min="5" max="5" width="25.44140625" customWidth="1"/>
    <col min="6" max="6" width="61.109375" bestFit="1" customWidth="1"/>
    <col min="7" max="7" width="67.33203125" customWidth="1"/>
    <col min="8" max="8" width="40.88671875" customWidth="1"/>
    <col min="9" max="9" width="29.88671875" customWidth="1"/>
    <col min="10" max="10" width="19.44140625" customWidth="1"/>
    <col min="11" max="11" width="16.5546875" customWidth="1"/>
    <col min="12" max="12" width="20.6640625" customWidth="1"/>
    <col min="13" max="13" width="19.33203125" customWidth="1"/>
    <col min="14" max="14" width="22.33203125" customWidth="1"/>
    <col min="16" max="16" width="11.44140625" customWidth="1"/>
  </cols>
  <sheetData>
    <row r="1" spans="1:14" s="138" customFormat="1" ht="30" customHeight="1">
      <c r="A1" s="24"/>
      <c r="E1" s="139"/>
    </row>
    <row r="2" spans="1:14" s="138" customFormat="1" ht="30" customHeight="1">
      <c r="A2" s="134"/>
      <c r="D2" s="139" t="s">
        <v>6</v>
      </c>
      <c r="E2" s="139"/>
    </row>
    <row r="3" spans="1:14" s="138" customFormat="1" ht="30" customHeight="1">
      <c r="A3" s="134"/>
      <c r="E3" s="139"/>
    </row>
    <row r="4" spans="1:14" ht="17.25" customHeight="1" thickBot="1">
      <c r="A4" s="144"/>
    </row>
    <row r="5" spans="1:14" ht="27" customHeight="1" thickBot="1">
      <c r="A5" s="336" t="str">
        <f>IF(Idioma=Castellano,"Índice",IF(Idioma=Valencià,"Índex","Índice"))</f>
        <v>Índice</v>
      </c>
      <c r="F5" s="119" t="str">
        <f>IF(Idioma=Castellano,"¿Se dispone de información pormenorizada del área de estudio?",IF(Idioma=Valencià,"Es disposa d'informació detallada de l'àrea d'estudi?","¿Se dispone de información pormenorizada del área de estudio?"))</f>
        <v>¿Se dispone de información pormenorizada del área de estudio?</v>
      </c>
      <c r="G5" s="118" t="s">
        <v>808</v>
      </c>
    </row>
    <row r="6" spans="1:14" ht="57.75" customHeight="1" thickBot="1">
      <c r="A6" s="202" t="str">
        <f>IF(Idioma=Castellano,"Instrucciones",IF(Idioma=Valencià,"Instruccions","Instrucciones"))</f>
        <v>Instrucciones</v>
      </c>
      <c r="F6" s="119" t="str">
        <f>IF(Idioma=Castellano,"¿Está afectado el municipio o ámbito estudiado por aguas costeras o aguas de transición? 
¿Está el ámbito de estudio afectado por inundaciones costeras?",IF(Idioma=Valencià,"Està afectat el municipi o àmbit estudiat per aigües costaneres o aigües de transició? 
Està l'àmbit d'estudi afectat per inundacions costaneres?","¿Está afectado el municipio o ámbito estudiado por aguas costeras o aguas de transición? 
¿Está el ámbito de estudio afectado por inundaciones costeras?"))</f>
        <v>¿Está afectado el municipio o ámbito estudiado por aguas costeras o aguas de transición? 
¿Está el ámbito de estudio afectado por inundaciones costeras?</v>
      </c>
      <c r="G6" s="118" t="s">
        <v>808</v>
      </c>
      <c r="L6" s="304"/>
    </row>
    <row r="7" spans="1:14" ht="28.8">
      <c r="A7" s="203" t="str">
        <f>IF(Idioma=Castellano,"Sección de Mitigación",IF(Idioma=Valencià,"Secció de Mitigació", "Sección de Mitigación"))</f>
        <v>Sección de Mitigación</v>
      </c>
      <c r="F7" s="119" t="str">
        <f>IF(Idioma=Castellano,"¿Se trata de un municipio adyacente a una zona de riesgo de inundaciones fluviales ?",IF(Idioma=Valencià,"Es tracta d'un municipi adjacent a una zona de risc d'inundacions fluvials ?","¿Se trata de un municipio adyacente a una zona de riesgo de inundaciones fluviales ?"))</f>
        <v>¿Se trata de un municipio adyacente a una zona de riesgo de inundaciones fluviales ?</v>
      </c>
      <c r="G7" s="118" t="s">
        <v>808</v>
      </c>
    </row>
    <row r="8" spans="1:14" ht="38.25" customHeight="1" thickBot="1">
      <c r="A8" s="204" t="str">
        <f>IF(Idioma=Castellano,"1. Datos de entrada",IF(Idioma=Valencià,"1.Dades d'entrada","1. Datos de entrada"))</f>
        <v>1. Datos de entrada</v>
      </c>
      <c r="F8" s="119" t="str">
        <f>IF(Idioma=Castellano,"¿Está afectado el municipio o ámbito estudiado por deslizamientos con riesgo alto?",IF(Idioma=Valencià,"Està afectat el municipi o àmbit estudiat per lliscaments amb risc alt?","¿Está afectado el municipio o ámbito estudiado por deslizamientos con riesgo alto?"))</f>
        <v>¿Está afectado el municipio o ámbito estudiado por deslizamientos con riesgo alto?</v>
      </c>
      <c r="G8" s="118" t="s">
        <v>808</v>
      </c>
    </row>
    <row r="9" spans="1:14" ht="14.4">
      <c r="A9" s="204" t="str">
        <f>IF(Idioma=Castellano,"2. Cálculo de Alternativas:",IF(Idioma=Valencià,"2. Càlcul d'alternatives :","2. Cálculo de Alternativas:"))</f>
        <v>2. Cálculo de Alternativas:</v>
      </c>
      <c r="F9" s="119" t="str">
        <f>IF(Idioma=Castellano,"¿Se trata de un municipio afectado por sequías?",IF(Idioma=Valencià,"Es tracta d'un municipi afectat per sequeres?","¿Se trata de un municipio afectado por sequías?"))</f>
        <v>¿Se trata de un municipio afectado por sequías?</v>
      </c>
      <c r="G9" s="118" t="s">
        <v>808</v>
      </c>
    </row>
    <row r="10" spans="1:14" ht="15.75" customHeight="1">
      <c r="A10" s="205" t="s">
        <v>1</v>
      </c>
    </row>
    <row r="11" spans="1:14" ht="15.75" customHeight="1">
      <c r="A11" s="205" t="s">
        <v>2</v>
      </c>
    </row>
    <row r="12" spans="1:14" s="282" customFormat="1" ht="21.6" thickBot="1">
      <c r="A12" s="205" t="s">
        <v>3</v>
      </c>
      <c r="B12" s="135"/>
      <c r="E12" s="282" t="str">
        <f>IF(Idioma=Castellano,"1. IMPACTO POR INUNDACIONES FLUVIALES",IF(Idioma=Valencià,"1. IMPACTE PER INUNDACIONS FLUVIALS","1. IMPACTO POR INUNDACIONES FLUVIALES"))</f>
        <v>1. IMPACTO POR INUNDACIONES FLUVIALES</v>
      </c>
    </row>
    <row r="13" spans="1:14" ht="46.5" customHeight="1" thickBot="1">
      <c r="A13" s="205" t="s">
        <v>4</v>
      </c>
      <c r="D13" s="734" t="str">
        <f>IF(Idioma=Castellano,"Amenaza",IF(Idioma=Valencià,"Amenaça","Amenaza"))</f>
        <v>Amenaza</v>
      </c>
      <c r="E13" s="735"/>
      <c r="F13" s="463" t="str">
        <f>IF(Idioma=Castellano,"Inundaciones fluviales",IF(Idioma=Valencià,"Inundacions fluvials","Inundaciones fluviales"))</f>
        <v>Inundaciones fluviales</v>
      </c>
      <c r="G13" s="396" t="str">
        <f>IF(Idioma=Castellano,"Fuente",IF(Idioma=Valencià,"Font","Fuente"))</f>
        <v>Fuente</v>
      </c>
      <c r="H13" s="396" t="str">
        <f>IF(Idioma=Castellano,"Valor a introducir",IF(Idioma=Valencià,"Valor a introduir","Valor a introducir"))</f>
        <v>Valor a introducir</v>
      </c>
      <c r="I13" s="396" t="str">
        <f>IF(Idioma=Castellano,"¿Se dispone del dato y/o es aplicable?",IF(Idioma=Valencià,"Es disposa de la dada i/o és aplicable?","¿Se dispone del dato y/o es aplicable?"))</f>
        <v>¿Se dispone del dato y/o es aplicable?</v>
      </c>
      <c r="J13" s="433" t="s">
        <v>603</v>
      </c>
      <c r="K13" s="464" t="s">
        <v>31</v>
      </c>
      <c r="L13" s="465" t="s">
        <v>36</v>
      </c>
      <c r="M13" s="466" t="s">
        <v>39</v>
      </c>
      <c r="N13" s="467" t="s">
        <v>42</v>
      </c>
    </row>
    <row r="14" spans="1:14" ht="36" customHeight="1" thickBot="1">
      <c r="A14" s="205" t="s">
        <v>5</v>
      </c>
      <c r="D14" s="734"/>
      <c r="E14" s="736"/>
      <c r="F14" s="716" t="str">
        <f>IF(Idioma=Castellano,"Precipitación media",IF(Idioma=Valencià,"Precipitació mitjana","Precipitación media"))</f>
        <v>Precipitación media</v>
      </c>
      <c r="G14" s="708" t="s">
        <v>803</v>
      </c>
      <c r="H14" s="412" t="str">
        <f>IF(Idioma=Castellano,"Indicar valor máximo histórico en la zona de exposición",IF(Idioma=Valencià,"Indicar valor màxim històric en la zona d'exposició","Indicar valor máximo histórico en la zona de exposición"))</f>
        <v>Indicar valor máximo histórico en la zona de exposición</v>
      </c>
      <c r="I14" s="740" t="s">
        <v>808</v>
      </c>
      <c r="J14" s="413"/>
      <c r="K14" s="415"/>
      <c r="L14" s="414"/>
      <c r="M14" s="414"/>
      <c r="N14" s="414"/>
    </row>
    <row r="15" spans="1:14" ht="42.75" customHeight="1" thickBot="1">
      <c r="A15" s="204" t="str">
        <f>IF(Idioma=Castellano,"3. Resultados",IF(Idioma=Valencià,"3. Resultats","3. Resultados"))</f>
        <v>3. Resultados</v>
      </c>
      <c r="D15" s="734" t="s">
        <v>804</v>
      </c>
      <c r="E15" s="736"/>
      <c r="F15" s="717"/>
      <c r="G15" s="733"/>
      <c r="H15" s="410" t="str">
        <f>IF(Idioma=Castellano,"Indicar valor máximo proyectado para el periodo temporal escogido (ver A_Alcance)",IF(Idioma=Valencià,"Indicar valor màxim projectat per al període temporal triat (veure A_Abast)","Indicar valor máximo proyectado para el periodo temporal escogido (ver A_Alcance)"))</f>
        <v>Indicar valor máximo proyectado para el periodo temporal escogido (ver A_Alcance)</v>
      </c>
      <c r="I15" s="741"/>
      <c r="J15" s="411"/>
      <c r="K15" s="93"/>
      <c r="L15" s="93"/>
      <c r="M15" s="93"/>
      <c r="N15" s="93"/>
    </row>
    <row r="16" spans="1:14" ht="29.4" customHeight="1" thickBot="1">
      <c r="A16" s="204" t="str">
        <f>IF(Idioma=Castellano,"4. Factores de emisión",IF(Idioma=Valencià,"4. Factors d'emissió","4. Factores de emisión"))</f>
        <v>4. Factores de emisión</v>
      </c>
      <c r="D16" s="697" t="str">
        <f>IF(Idioma=Castellano,"Exposición",IF(Idioma=Valencià,"Exposició","Exposición"))</f>
        <v>Exposición</v>
      </c>
      <c r="E16" s="737"/>
      <c r="F16" s="119" t="str">
        <f>IF(Idioma=Castellano,"Porcentaje de suelo expuesto en mancha de inundación fluvial ",IF(Idioma=Valencià,"Percentatge de sòl exposat en taca d'inundació fluvial ","Porcentaje de suelo expuesto en mancha de inundación fluvial "))</f>
        <v xml:space="preserve">Porcentaje de suelo expuesto en mancha de inundación fluvial </v>
      </c>
      <c r="G16" s="116" t="s">
        <v>805</v>
      </c>
      <c r="H16" s="99" t="str">
        <f t="shared" ref="H16:H21" si="0">IF(Idioma=Castellano,"Indicar porcentaje (%)",IF(Idioma=Valencià,"Indicar percentatge (%)","Indicar porcentaje (%)"))</f>
        <v>Indicar porcentaje (%)</v>
      </c>
      <c r="I16" s="98" t="s">
        <v>808</v>
      </c>
      <c r="J16" s="600"/>
      <c r="K16" s="149"/>
      <c r="L16" s="149"/>
      <c r="M16" s="600"/>
      <c r="N16" s="149"/>
    </row>
    <row r="17" spans="1:14" ht="29.4" thickBot="1">
      <c r="A17" s="203" t="str">
        <f>IF(Idioma=Castellano,"Sección de Adaptación",IF(Idioma=Valencià,"Secció d'Adaptació","Sección de Adaptación"))</f>
        <v>Sección de Adaptación</v>
      </c>
      <c r="D17" s="699" t="str">
        <f>IF(Idioma=Castellano,"Vulnerabilidad",IF(Idioma=Valencià,"Vulnerabilitat","Vulnerabilidad"))</f>
        <v>Vulnerabilidad</v>
      </c>
      <c r="E17" s="738" t="str">
        <f>IF(Idioma=Castellano,"Sensibilidad",IF(Idioma=Valencià,"Sensibilitat","Sensibilidad"))</f>
        <v>Sensibilidad</v>
      </c>
      <c r="F17" s="120" t="str">
        <f>IF(Idioma=Castellano,"Porcentaje de viviendas individuales sobre el total de viviendas expuestas a inundaciones fluviales",IF(Idioma=Valencià,"Percentatge d'habitatges individuals sobre el total d'habitatges exposats a inundacions fluvials","Porcentaje de viviendas individuales sobre el total de viviendas expuestas a inundaciones fluviales"))</f>
        <v>Porcentaje de viviendas individuales sobre el total de viviendas expuestas a inundaciones fluviales</v>
      </c>
      <c r="G17" s="117" t="s">
        <v>806</v>
      </c>
      <c r="H17" s="113" t="str">
        <f t="shared" si="0"/>
        <v>Indicar porcentaje (%)</v>
      </c>
      <c r="I17" s="98" t="s">
        <v>808</v>
      </c>
      <c r="J17" s="149"/>
      <c r="K17" s="149"/>
      <c r="L17" s="149"/>
      <c r="M17" s="149"/>
      <c r="N17" s="149"/>
    </row>
    <row r="18" spans="1:14" ht="27.75" customHeight="1" thickBot="1">
      <c r="A18" s="204" t="str">
        <f>IF(Idioma=Castellano,"1. Alcance",IF(Idioma=Valencià,"1. Abast","1. Alcance"))</f>
        <v>1. Alcance</v>
      </c>
      <c r="D18" s="699"/>
      <c r="E18" s="738"/>
      <c r="F18" s="120" t="str">
        <f>IF(Idioma=Castellano,"Porcentaje de suelo urbano expuesto a inundaciones fluviales",IF(Idioma=Valencià,"Percentatge de sòl urbà exposat a inundacions fluvials","Porcentaje de suelo urbano expuesto a inundaciones fluviales"))</f>
        <v>Porcentaje de suelo urbano expuesto a inundaciones fluviales</v>
      </c>
      <c r="G18" s="112" t="s">
        <v>806</v>
      </c>
      <c r="H18" s="113" t="str">
        <f t="shared" si="0"/>
        <v>Indicar porcentaje (%)</v>
      </c>
      <c r="I18" s="98" t="s">
        <v>808</v>
      </c>
      <c r="J18" s="150"/>
      <c r="K18" s="150"/>
      <c r="L18" s="150"/>
      <c r="M18" s="150"/>
      <c r="N18" s="150"/>
    </row>
    <row r="19" spans="1:14" ht="27.75" customHeight="1" thickBot="1">
      <c r="A19" s="204" t="s">
        <v>6</v>
      </c>
      <c r="D19" s="699"/>
      <c r="E19" s="738"/>
      <c r="F19" s="120" t="str">
        <f>IF(Idioma=Castellano,"Porcentaje de suelo urbanizable expuesto a inundaciones fluviales",IF(Idioma=Valencià,"Percentatge de sòl urbanitzable exposat a inundacions fluvials","Porcentaje de suelo urbanizable expuesto a inundaciones fluviales"))</f>
        <v>Porcentaje de suelo urbanizable expuesto a inundaciones fluviales</v>
      </c>
      <c r="G19" s="112" t="s">
        <v>806</v>
      </c>
      <c r="H19" s="113" t="str">
        <f t="shared" si="0"/>
        <v>Indicar porcentaje (%)</v>
      </c>
      <c r="I19" s="98" t="s">
        <v>808</v>
      </c>
      <c r="J19" s="150"/>
      <c r="K19" s="150"/>
      <c r="L19" s="150"/>
      <c r="M19" s="150"/>
      <c r="N19" s="150"/>
    </row>
    <row r="20" spans="1:14" ht="39.75" customHeight="1" thickBot="1">
      <c r="A20" s="204" t="str">
        <f>IF(Idioma=Castellano,"3. Resultados",IF(Idioma=Valencià,"3. Resultats","3. Resultados"))</f>
        <v>3. Resultados</v>
      </c>
      <c r="D20" s="699"/>
      <c r="E20" s="738"/>
      <c r="F20" s="120" t="str">
        <f>IF(Idioma=Castellano,"Porcentaje de suelo residencial expuesto a inundaciones fluviales",IF(Idioma=Valencià,"Percentatge de sòl residencial exposat a inundacions fluvials","Porcentaje de suelo residencial expuesto a inundaciones fluviales"))</f>
        <v>Porcentaje de suelo residencial expuesto a inundaciones fluviales</v>
      </c>
      <c r="G20" s="112" t="s">
        <v>806</v>
      </c>
      <c r="H20" s="113" t="str">
        <f t="shared" si="0"/>
        <v>Indicar porcentaje (%)</v>
      </c>
      <c r="I20" s="98" t="s">
        <v>808</v>
      </c>
      <c r="J20" s="150"/>
      <c r="K20" s="150"/>
      <c r="L20" s="150"/>
      <c r="M20" s="150"/>
      <c r="N20" s="150"/>
    </row>
    <row r="21" spans="1:14" ht="35.25" customHeight="1" thickBot="1">
      <c r="A21" s="203" t="str">
        <f>IF(Idioma=Castellano,"Resultados generales",IF(Idioma=Valencià,"Resultats generals","Resultados generales"))</f>
        <v>Resultados generales</v>
      </c>
      <c r="D21" s="699"/>
      <c r="E21" s="738"/>
      <c r="F21" s="120" t="str">
        <f>IF(Idioma=Castellano,"Porcentaje de suelo de actividades económicas expuesto a inundaciones fluviales",IF(Idioma=Valencià,"Percentatge de sòl d'activitats econòmiques exposat a inundacions fluvials","Porcentaje de suelo de actividades económicas expuesto a inundaciones fluviales"))</f>
        <v>Porcentaje de suelo de actividades económicas expuesto a inundaciones fluviales</v>
      </c>
      <c r="G21" s="112" t="s">
        <v>806</v>
      </c>
      <c r="H21" s="113" t="str">
        <f t="shared" si="0"/>
        <v>Indicar porcentaje (%)</v>
      </c>
      <c r="I21" s="98" t="s">
        <v>27</v>
      </c>
      <c r="J21" s="150"/>
      <c r="K21" s="150"/>
      <c r="L21" s="150"/>
      <c r="M21" s="150"/>
      <c r="N21" s="150"/>
    </row>
    <row r="22" spans="1:14" ht="29.4" customHeight="1" thickBot="1">
      <c r="A22" s="203" t="str">
        <f>IF(Idioma=Castellano,"Medidas Propuestas",IF(Idioma=Valencià,"Mesures Proposades","Medidas Propuestas"))</f>
        <v>Medidas Propuestas</v>
      </c>
      <c r="D22" s="699"/>
      <c r="E22" s="738"/>
      <c r="F22" s="120" t="str">
        <f>IF(Idioma=Castellano,"Zonas expuestas a inundaciones fluviales con un estado químico de las masas de agua deficiente",IF(Idioma=Valencià,"Zones exposades a inundacions fluvials amb un estat químic de les masses d'aigua deficient","Zonas expuestas a inundaciones fluviales con un estado químico de las masas de agua deficiente"))</f>
        <v>Zonas expuestas a inundaciones fluviales con un estado químico de las masas de agua deficiente</v>
      </c>
      <c r="G22" s="112" t="s">
        <v>806</v>
      </c>
      <c r="H22" s="102" t="s">
        <v>807</v>
      </c>
      <c r="I22" s="98" t="s">
        <v>27</v>
      </c>
      <c r="J22" s="149"/>
      <c r="K22" s="149"/>
      <c r="L22" s="149"/>
      <c r="M22" s="149"/>
      <c r="N22" s="149"/>
    </row>
    <row r="23" spans="1:14" ht="29.4" customHeight="1" thickBot="1">
      <c r="A23" s="144"/>
      <c r="D23" s="699"/>
      <c r="E23" s="738"/>
      <c r="F23" s="120" t="str">
        <f>IF(Idioma=Castellano,"¿Hay suelo potencialmente contaminado sobre suelo expuesto a inundaciones fluviales?",IF(Idioma=Valencià,"Hi ha sòl potencialment contaminat sobre sòl exposat a inundacions fluvials?","¿Hay suelo potencialmente contaminado sobre suelo expuesto a inundaciones fluviales?"))</f>
        <v>¿Hay suelo potencialmente contaminado sobre suelo expuesto a inundaciones fluviales?</v>
      </c>
      <c r="G23" s="112" t="s">
        <v>1011</v>
      </c>
      <c r="H23" s="102" t="s">
        <v>807</v>
      </c>
      <c r="I23" s="98" t="s">
        <v>27</v>
      </c>
      <c r="J23" s="149"/>
      <c r="K23" s="149"/>
      <c r="L23" s="149"/>
      <c r="M23" s="149"/>
      <c r="N23" s="149"/>
    </row>
    <row r="24" spans="1:14" ht="31.5" customHeight="1" thickBot="1">
      <c r="A24" s="144"/>
      <c r="D24" s="699"/>
      <c r="E24" s="738"/>
      <c r="F24" s="120" t="str">
        <f>IF(Idioma=Castellano,"¿Hay garajes subterráneos expuestos a inundaciones fluviales?",IF(Idioma=Valencià,"Hi ha garatges subterranis exposats a inundacions fluvials?","¿Hay garajes subterráneos expuestos a inundaciones fluviales?"))</f>
        <v>¿Hay garajes subterráneos expuestos a inundaciones fluviales?</v>
      </c>
      <c r="G24" s="112" t="s">
        <v>1011</v>
      </c>
      <c r="H24" s="102" t="s">
        <v>807</v>
      </c>
      <c r="I24" s="98" t="s">
        <v>27</v>
      </c>
      <c r="J24" s="149"/>
      <c r="K24" s="149"/>
      <c r="L24" s="149"/>
      <c r="M24" s="149"/>
      <c r="N24" s="149"/>
    </row>
    <row r="25" spans="1:14" ht="33.75" customHeight="1">
      <c r="A25" s="144"/>
      <c r="D25" s="699"/>
      <c r="E25" s="738"/>
      <c r="F25" s="120" t="str">
        <f>IF(Idioma=Castellano,"¿Hay infraestructuras básicas expuestas a inundaciones fluviales?",IF(Idioma=Valencià,"Hi ha infraestructures bàsiques exposades a inundacions fluvials?","¿Hay infraestructuras básicas expuestas a inundaciones fluviales?"))</f>
        <v>¿Hay infraestructuras básicas expuestas a inundaciones fluviales?</v>
      </c>
      <c r="G25" s="112" t="s">
        <v>806</v>
      </c>
      <c r="H25" s="102" t="s">
        <v>807</v>
      </c>
      <c r="I25" s="98" t="s">
        <v>808</v>
      </c>
      <c r="J25" s="149"/>
      <c r="K25" s="149"/>
      <c r="L25" s="149"/>
      <c r="M25" s="149"/>
      <c r="N25" s="149"/>
    </row>
    <row r="26" spans="1:14" ht="29.4" customHeight="1">
      <c r="D26" s="699"/>
      <c r="E26" s="738"/>
      <c r="F26" s="120" t="str">
        <f>IF(Idioma=Castellano,"¿Hay infraestructuras de transporte y comunicaciones expuestas a inundaciones fluviales (ferrocarril, aeropuerto y/o redes comarcales, básicas y preferentes)?",IF(Idioma=Valencià,"Hi ha infraestructures de transport i comunicacions exposades a inundacions fluvials (ferrocarril, aeroport i/o xarxes comarcals, bàsiques i preferents)?","¿Hay infraestructuras de transporte y comunicaciones expuestas a inundaciones fluviales (ferrocarril, aeropuerto y/o redes comarcales, básicas y preferentes)?"))</f>
        <v>¿Hay infraestructuras de transporte y comunicaciones expuestas a inundaciones fluviales (ferrocarril, aeropuerto y/o redes comarcales, básicas y preferentes)?</v>
      </c>
      <c r="G26" s="112" t="s">
        <v>806</v>
      </c>
      <c r="H26" s="102" t="s">
        <v>807</v>
      </c>
      <c r="I26" s="98" t="s">
        <v>808</v>
      </c>
      <c r="J26" s="149"/>
      <c r="K26" s="149"/>
      <c r="L26" s="149"/>
      <c r="M26" s="149"/>
      <c r="N26" s="149"/>
    </row>
    <row r="27" spans="1:14" ht="29.4" customHeight="1">
      <c r="D27" s="699"/>
      <c r="E27" s="738"/>
      <c r="F27" s="120" t="str">
        <f>IF(Idioma=Castellano,"¿Hay equipamientos expuestos a inundaciones fluviales? (excluyendo paseos y espacios públicos)",IF(Idioma=Valencià,"Hi ha equipaments exposats a inundacions fluvials? (excloent passejos i espais públics)","¿Hay equipamientos expuestos a inundaciones fluviales? (excluyendo paseos y espacios públicos)"))</f>
        <v>¿Hay equipamientos expuestos a inundaciones fluviales? (excluyendo paseos y espacios públicos)</v>
      </c>
      <c r="G27" s="112" t="s">
        <v>806</v>
      </c>
      <c r="H27" s="102" t="s">
        <v>807</v>
      </c>
      <c r="I27" s="98" t="s">
        <v>808</v>
      </c>
      <c r="J27" s="149"/>
      <c r="K27" s="149"/>
      <c r="L27" s="149"/>
      <c r="M27" s="149"/>
      <c r="N27" s="149"/>
    </row>
    <row r="28" spans="1:14" ht="41.25" customHeight="1">
      <c r="D28" s="699"/>
      <c r="E28" s="738"/>
      <c r="F28" s="120" t="str">
        <f>IF(Idioma=Castellano,"Viviendas y otras construcciones ilegales en áreas inundables",IF(Idioma=Valencià,"Habitatges i altres construccions il·legals en àrees inundables","Viviendas y otras construcciones ilegales en áreas inundables"))</f>
        <v>Viviendas y otras construcciones ilegales en áreas inundables</v>
      </c>
      <c r="G28" s="112" t="s">
        <v>806</v>
      </c>
      <c r="H28" s="102" t="s">
        <v>807</v>
      </c>
      <c r="I28" s="98" t="s">
        <v>808</v>
      </c>
      <c r="J28" s="149"/>
      <c r="K28" s="149"/>
      <c r="L28" s="149"/>
      <c r="M28" s="149"/>
      <c r="N28" s="149"/>
    </row>
    <row r="29" spans="1:14" ht="29.25" customHeight="1" thickBot="1">
      <c r="D29" s="699"/>
      <c r="E29" s="738"/>
      <c r="F29" s="120" t="str">
        <f>IF(Idioma=Castellano,"Porcentaje de suelo con permeabilidad baja",IF(Idioma=Valencià,"Percentatge de sòl amb permeabilitat baixa","Porcentaje de suelo con permeabilidad baja"))</f>
        <v>Porcentaje de suelo con permeabilidad baja</v>
      </c>
      <c r="G29" s="104" t="s">
        <v>806</v>
      </c>
      <c r="H29" s="102" t="str">
        <f>IF(Idioma=Castellano,"Indicar porcentaje (%)",IF(Idioma=Valencià,"Indicar percentatge (%)","Indicar porcentaje (%)"))</f>
        <v>Indicar porcentaje (%)</v>
      </c>
      <c r="I29" s="98" t="s">
        <v>808</v>
      </c>
      <c r="J29" s="149"/>
      <c r="K29" s="149"/>
      <c r="L29" s="149"/>
      <c r="M29" s="149"/>
      <c r="N29" s="149"/>
    </row>
    <row r="30" spans="1:14" ht="36.75" customHeight="1" thickBot="1">
      <c r="D30" s="699"/>
      <c r="E30" s="739" t="str">
        <f>IF(Idioma=Castellano,"Capacidad de adaptación",IF(Idioma=Valencià,"Capacitat d'adaptació","Capacidad de adaptación"))</f>
        <v>Capacidad de adaptación</v>
      </c>
      <c r="F30" s="120" t="str">
        <f>IF(Idioma=Castellano,"Superficie expuesta a inundaciones fluviales destinada al sistema de espacios libres/zonas verdes",IF(Idioma=Valencià,"Superfície exposada a inundacions fluvials destinada al sistema d'espais lliures/zones verdes","Superficie expuesta a inundaciones fluviales destinada al sistema de espacios libres/zonas verdes"))</f>
        <v>Superficie expuesta a inundaciones fluviales destinada al sistema de espacios libres/zonas verdes</v>
      </c>
      <c r="G30" s="104" t="s">
        <v>806</v>
      </c>
      <c r="H30" s="102" t="s">
        <v>809</v>
      </c>
      <c r="I30" s="98" t="s">
        <v>27</v>
      </c>
      <c r="J30" s="93"/>
      <c r="K30" s="93"/>
      <c r="L30" s="93"/>
      <c r="M30" s="93"/>
      <c r="N30" s="93"/>
    </row>
    <row r="31" spans="1:14" ht="29.4" customHeight="1" thickBot="1">
      <c r="D31" s="699"/>
      <c r="E31" s="739"/>
      <c r="F31" s="120" t="str">
        <f>IF(Idioma=Castellano,"Superficie expuesta a inundaciones fluviales destinada a suelo no urbanizable",IF(Idioma=Valencià,"Superfície exposada a inundacions fluvials destinada a sòl no urbanitzable","Superficie expuesta a inundaciones fluviales destinada a suelo no urbanizable"))</f>
        <v>Superficie expuesta a inundaciones fluviales destinada a suelo no urbanizable</v>
      </c>
      <c r="G31" s="104" t="s">
        <v>810</v>
      </c>
      <c r="H31" s="102" t="s">
        <v>809</v>
      </c>
      <c r="I31" s="98" t="s">
        <v>27</v>
      </c>
      <c r="J31" s="93"/>
      <c r="K31" s="93"/>
      <c r="L31" s="93"/>
      <c r="M31" s="93"/>
      <c r="N31" s="93"/>
    </row>
    <row r="32" spans="1:14" ht="29.4" customHeight="1" thickBot="1">
      <c r="D32" s="699"/>
      <c r="E32" s="739"/>
      <c r="F32" s="120" t="str">
        <f>IF(Idioma=Castellano,"¿Se ha considerado la restauración de cauces fluviales?",IF(Idioma=Valencià,"S'ha considerat la restauració de llits fluvials?","¿Se ha considerado la restauración de cauces fluviales?"))</f>
        <v>¿Se ha considerado la restauración de cauces fluviales?</v>
      </c>
      <c r="G32" s="103" t="str">
        <f>IF(Idioma=Castellano,"Plan de evaluación",IF(Idioma=Valencià,"Pla d'avaluació","Plan de evaluación"))</f>
        <v>Plan de evaluación</v>
      </c>
      <c r="H32" s="102" t="s">
        <v>811</v>
      </c>
      <c r="I32" s="98" t="s">
        <v>808</v>
      </c>
      <c r="J32" s="93"/>
      <c r="K32" s="93"/>
      <c r="L32" s="93"/>
      <c r="M32" s="93"/>
      <c r="N32" s="93"/>
    </row>
    <row r="33" spans="1:14" ht="29.4" customHeight="1" thickBot="1">
      <c r="D33" s="699"/>
      <c r="E33" s="739"/>
      <c r="F33" s="120" t="str">
        <f>IF(Idioma=Castellano,"¿Se ha considerado el desarrollo de planes o estrategias relacionadas con la adaptación al cambio climático?",IF(Idioma=Valencià,"S'ha considerat el desenvolupament de plans o estratègies relacionades amb l'adaptació al canvi climàtic?","¿Se ha considerado el desarrollo de planes o estrategias relacionadas con la adaptación al cambio climático?"))</f>
        <v>¿Se ha considerado el desarrollo de planes o estrategias relacionadas con la adaptación al cambio climático?</v>
      </c>
      <c r="G33" s="103" t="str">
        <f>IF(Idioma=Castellano,"Plan de evaluación",IF(Idioma=Valencià,"Pla d'avaluació","Plan de evaluación"))</f>
        <v>Plan de evaluación</v>
      </c>
      <c r="H33" s="102" t="s">
        <v>811</v>
      </c>
      <c r="I33" s="98" t="s">
        <v>27</v>
      </c>
      <c r="J33" s="93"/>
      <c r="K33" s="93"/>
      <c r="L33" s="93"/>
      <c r="M33" s="93"/>
      <c r="N33" s="93"/>
    </row>
    <row r="34" spans="1:14" ht="29.4" customHeight="1" thickBot="1">
      <c r="D34" s="699"/>
      <c r="E34" s="739"/>
      <c r="F34" s="120" t="str">
        <f>IF(Idioma=Castellano,"¿Se han considerado los sistemas urbanos de drenaje sostenible?",IF(Idioma=Valencià,"S'han considerat els sistemes urbans de drenatge sostenible?","¿Se han considerado los sistemas urbanos de drenaje sostenible?"))</f>
        <v>¿Se han considerado los sistemas urbanos de drenaje sostenible?</v>
      </c>
      <c r="G34" s="103" t="str">
        <f>IF(Idioma=Castellano,"Plan de evaluación",IF(Idioma=Valencià,"Pla d'avaluació","Plan de evaluación"))</f>
        <v>Plan de evaluación</v>
      </c>
      <c r="H34" s="102" t="s">
        <v>811</v>
      </c>
      <c r="I34" s="98" t="s">
        <v>808</v>
      </c>
      <c r="J34" s="93"/>
      <c r="K34" s="93"/>
      <c r="L34" s="93"/>
      <c r="M34" s="93"/>
      <c r="N34" s="93"/>
    </row>
    <row r="35" spans="1:14" ht="16.2" customHeight="1"/>
    <row r="36" spans="1:14" ht="29.4" customHeight="1"/>
    <row r="37" spans="1:14" s="282" customFormat="1" ht="31.5" customHeight="1" thickBot="1">
      <c r="A37" s="148"/>
      <c r="B37" s="135"/>
      <c r="E37" s="282" t="str">
        <f>IF(Idioma=Castellano,"2. IMPACTO POR INUNDACIONES COSTERAS",IF(Idioma=Valencià,"2. IMPACTE PER INUNDACIONS COSTANERES","2. IMPACTO POR INUNDACIONES COSTERAS"))</f>
        <v>2. IMPACTO POR INUNDACIONES COSTERAS</v>
      </c>
    </row>
    <row r="38" spans="1:14" ht="15.75" customHeight="1" thickBot="1">
      <c r="D38" s="734" t="str">
        <f>IF(Idioma=Castellano,"Amenaza",IF(Idioma=Valencià,"Amenaça","Amenaza"))</f>
        <v>Amenaza</v>
      </c>
      <c r="E38" s="735"/>
      <c r="F38" s="463" t="str">
        <f>IF(Idioma=Castellano,"Inundación litoral",IF(Idioma=Valencià,"Inundació litoral","Inundación litoral"))</f>
        <v>Inundación litoral</v>
      </c>
      <c r="G38" s="745" t="str">
        <f>IF(Idioma=Castellano,"Fuente",IF(Idioma=Valencià,"Font","Fuente"))</f>
        <v>Fuente</v>
      </c>
      <c r="H38" s="748" t="s">
        <v>862</v>
      </c>
      <c r="I38" s="751" t="s">
        <v>863</v>
      </c>
      <c r="J38" s="718" t="s">
        <v>603</v>
      </c>
      <c r="K38" s="721" t="s">
        <v>31</v>
      </c>
      <c r="L38" s="724" t="s">
        <v>36</v>
      </c>
      <c r="M38" s="727" t="s">
        <v>39</v>
      </c>
      <c r="N38" s="730" t="s">
        <v>42</v>
      </c>
    </row>
    <row r="39" spans="1:14" ht="15" customHeight="1">
      <c r="D39" s="734"/>
      <c r="E39" s="735"/>
      <c r="F39" s="743" t="str">
        <f>IF(Idioma=Castellano,"Ascenso del nivel del mar, marea meteorológica y marea astronómica",IF(Idioma=Valencià,"Ascens del nivell de la mar, marea meteorològica i marea astronòmica","Ascenso del nivel del mar, marea meteorológica y marea astronómica"))</f>
        <v>Ascenso del nivel del mar, marea meteorológica y marea astronómica</v>
      </c>
      <c r="G39" s="746"/>
      <c r="H39" s="749"/>
      <c r="I39" s="752"/>
      <c r="J39" s="719"/>
      <c r="K39" s="722"/>
      <c r="L39" s="725"/>
      <c r="M39" s="728"/>
      <c r="N39" s="731"/>
    </row>
    <row r="40" spans="1:14" ht="47.25" customHeight="1" thickBot="1">
      <c r="D40" s="734"/>
      <c r="E40" s="735"/>
      <c r="F40" s="744"/>
      <c r="G40" s="747"/>
      <c r="H40" s="750"/>
      <c r="I40" s="753"/>
      <c r="J40" s="720"/>
      <c r="K40" s="723"/>
      <c r="L40" s="726"/>
      <c r="M40" s="729"/>
      <c r="N40" s="732"/>
    </row>
    <row r="41" spans="1:14" ht="58.2" thickBot="1">
      <c r="D41" s="697" t="str">
        <f>IF(Idioma=Castellano,"Exposición",IF(Idioma=Valencià,"Exposició","Exposición"))</f>
        <v>Exposición</v>
      </c>
      <c r="E41" s="737"/>
      <c r="F41" s="461" t="str">
        <f>IF(Idioma=Castellano,"Porcentaje de suelo expuesto a inundaciones costeras y conectado con una masa de agua",IF(Idioma=Valencià,"Percentatge de sòl exposat a inundacions costaneres i connectat amb una massa d'aigua","Porcentaje de suelo expuesto a inundaciones costeras y conectado con una masa de agua"))</f>
        <v>Porcentaje de suelo expuesto a inundaciones costeras y conectado con una masa de agua</v>
      </c>
      <c r="G41" s="462" t="s">
        <v>813</v>
      </c>
      <c r="H41" s="405" t="str">
        <f t="shared" ref="H41:H46" si="1">IF(Idioma=Castellano,"Indicar porcentaje (%)",IF(Idioma=Valencià,"Indicar percentatge (%)","Indicar porcentaje (%)"))</f>
        <v>Indicar porcentaje (%)</v>
      </c>
      <c r="I41" s="380" t="s">
        <v>808</v>
      </c>
      <c r="J41" s="149"/>
      <c r="K41" s="149"/>
      <c r="L41" s="149"/>
      <c r="M41" s="149"/>
      <c r="N41" s="149"/>
    </row>
    <row r="42" spans="1:14" ht="58.2" customHeight="1" thickBot="1">
      <c r="D42" s="699" t="str">
        <f>IF(Idioma=Castellano,"Vulnerabilidad",IF(Idioma=Valencià,"Vulnerabilitat","Vulnerabilidad"))</f>
        <v>Vulnerabilidad</v>
      </c>
      <c r="E42" s="738" t="str">
        <f>IF(Idioma=Castellano,"Sensibilidad",IF(Idioma=Valencià,"Sensibilitat","Sensibilidad"))</f>
        <v>Sensibilidad</v>
      </c>
      <c r="F42" s="366" t="str">
        <f>IF(Idioma=Castellano,"Porcentaje de viviendas individuales sobre el total de viviendas expuestas a inundaciones fluviales",IF(Idioma=Valencià,"Percentatge d'habitatges individuals sobre el total d'habitatges exposats a inundacions costaneres","Porcentaje de viviendas individuales sobre el total de viviendas expuestas a inundaciones fluviales"))</f>
        <v>Porcentaje de viviendas individuales sobre el total de viviendas expuestas a inundaciones fluviales</v>
      </c>
      <c r="G42" s="416" t="s">
        <v>806</v>
      </c>
      <c r="H42" s="368" t="str">
        <f t="shared" si="1"/>
        <v>Indicar porcentaje (%)</v>
      </c>
      <c r="I42" s="380" t="s">
        <v>808</v>
      </c>
      <c r="J42" s="149"/>
      <c r="K42" s="149"/>
      <c r="L42" s="149"/>
      <c r="M42" s="149"/>
      <c r="N42" s="149"/>
    </row>
    <row r="43" spans="1:14" ht="95.25" customHeight="1" thickBot="1">
      <c r="D43" s="699"/>
      <c r="E43" s="738"/>
      <c r="F43" s="366" t="str">
        <f>IF(Idioma=Castellano,"Porcentaje de suelo urbano expuesto a inundaciones costeras",IF(Idioma=Valencià,"Percentatge de sòl urbà exposat a inundacions costaneres","Porcentaje de suelo urbano expuesto a inundaciones costeras"))</f>
        <v>Porcentaje de suelo urbano expuesto a inundaciones costeras</v>
      </c>
      <c r="G43" s="367" t="s">
        <v>806</v>
      </c>
      <c r="H43" s="404" t="str">
        <f t="shared" si="1"/>
        <v>Indicar porcentaje (%)</v>
      </c>
      <c r="I43" s="380" t="s">
        <v>808</v>
      </c>
      <c r="J43" s="149"/>
      <c r="K43" s="149"/>
      <c r="L43" s="149"/>
      <c r="M43" s="149"/>
      <c r="N43" s="149"/>
    </row>
    <row r="44" spans="1:14" ht="36.75" customHeight="1" thickBot="1">
      <c r="D44" s="699"/>
      <c r="E44" s="738"/>
      <c r="F44" s="120" t="str">
        <f>IF(Idioma=Castellano,"Porcentaje de suelo urbanizable expuesto a inundaciones costeras",IF(Idioma=Valencià,"Percentatge de sòl urbanitzable exposat a inundacions costaneres","Porcentaje de suelo urbanizable expuesto a inundaciones costeras"))</f>
        <v>Porcentaje de suelo urbanizable expuesto a inundaciones costeras</v>
      </c>
      <c r="G44" s="104" t="s">
        <v>806</v>
      </c>
      <c r="H44" s="365" t="str">
        <f t="shared" si="1"/>
        <v>Indicar porcentaje (%)</v>
      </c>
      <c r="I44" s="380" t="s">
        <v>808</v>
      </c>
      <c r="J44" s="149"/>
      <c r="K44" s="149"/>
      <c r="L44" s="149"/>
      <c r="M44" s="149"/>
      <c r="N44" s="149"/>
    </row>
    <row r="45" spans="1:14" ht="24.75" customHeight="1" thickBot="1">
      <c r="D45" s="699"/>
      <c r="E45" s="738"/>
      <c r="F45" s="366" t="str">
        <f>IF(Idioma=Castellano,"Porcentaje de suelo residencial expuesto a inundaciones costeras",IF(Idioma=Valencià,"Percentatge de sòl residencial exposat a inundacions costaneres","Porcentaje de suelo residencial expuesto a inundaciones costeras"))</f>
        <v>Porcentaje de suelo residencial expuesto a inundaciones costeras</v>
      </c>
      <c r="G45" s="391" t="s">
        <v>806</v>
      </c>
      <c r="H45" s="404" t="str">
        <f t="shared" si="1"/>
        <v>Indicar porcentaje (%)</v>
      </c>
      <c r="I45" s="380" t="s">
        <v>27</v>
      </c>
      <c r="J45" s="93"/>
      <c r="K45" s="93"/>
      <c r="L45" s="93"/>
      <c r="M45" s="149"/>
      <c r="N45" s="149"/>
    </row>
    <row r="46" spans="1:14" ht="29.4" customHeight="1" thickBot="1">
      <c r="D46" s="699"/>
      <c r="E46" s="738"/>
      <c r="F46" s="366" t="str">
        <f>IF(Idioma=Castellano,"Porcentaje de suelo de actividades económicas expuesto a inundaciones costeras",IF(Idioma=Valencià,"Percentatge de sòl d'activitats econòmiques exposat a inundacions costaneres","Porcentaje de suelo de actividades económicas expuesto a inundaciones costeras"))</f>
        <v>Porcentaje de suelo de actividades económicas expuesto a inundaciones costeras</v>
      </c>
      <c r="G46" s="392" t="s">
        <v>806</v>
      </c>
      <c r="H46" s="365" t="str">
        <f t="shared" si="1"/>
        <v>Indicar porcentaje (%)</v>
      </c>
      <c r="I46" s="380" t="s">
        <v>27</v>
      </c>
      <c r="J46" s="93"/>
      <c r="K46" s="93"/>
      <c r="L46" s="93"/>
      <c r="M46" s="149"/>
      <c r="N46" s="149"/>
    </row>
    <row r="47" spans="1:14" ht="29.4" customHeight="1" thickBot="1">
      <c r="D47" s="699"/>
      <c r="E47" s="738"/>
      <c r="F47" s="366" t="str">
        <f>IF(Idioma=Castellano,"Zonas expuestas a inundaciones costeras con un estado químico de las masas de agua deficiente",IF(Idioma=Valencià,"Zones exposades a inundacions costaneres amb un estat químic de les masses d'aigua deficient","Zonas expuestas a inundaciones costeras con un estado químico de las masas de agua deficiente"))</f>
        <v>Zonas expuestas a inundaciones costeras con un estado químico de las masas de agua deficiente</v>
      </c>
      <c r="G47" s="393" t="s">
        <v>806</v>
      </c>
      <c r="H47" s="403" t="s">
        <v>807</v>
      </c>
      <c r="I47" s="380" t="s">
        <v>808</v>
      </c>
      <c r="J47" s="149"/>
      <c r="K47" s="149"/>
      <c r="L47" s="149"/>
      <c r="M47" s="149"/>
      <c r="N47" s="149"/>
    </row>
    <row r="48" spans="1:14" ht="30" customHeight="1" thickBot="1">
      <c r="D48" s="699"/>
      <c r="E48" s="738"/>
      <c r="F48" s="366" t="str">
        <f>IF(Idioma=Castellano,"¿Hay suelo potencialmente contaminado sobre suelo expuesto a inundaciones costeras?",IF(Idioma=Valencià,"Hi ha sòl potencialment contaminat sobre sòl exposat a inundacions costaneres?","¿Hay suelo potencialmente contaminado sobre suelo expuesto a inundaciones costeras?"))</f>
        <v>¿Hay suelo potencialmente contaminado sobre suelo expuesto a inundaciones costeras?</v>
      </c>
      <c r="G48" s="394" t="s">
        <v>806</v>
      </c>
      <c r="H48" s="403" t="s">
        <v>807</v>
      </c>
      <c r="I48" s="380" t="s">
        <v>27</v>
      </c>
      <c r="J48" s="149"/>
      <c r="K48" s="149"/>
      <c r="L48" s="149"/>
      <c r="M48" s="149"/>
      <c r="N48" s="149"/>
    </row>
    <row r="49" spans="1:14" ht="32.25" customHeight="1" thickBot="1">
      <c r="D49" s="699"/>
      <c r="E49" s="738"/>
      <c r="F49" s="366" t="str">
        <f>IF(Idioma=Castellano,"¿Hay garajes subterráneos expuestos a inundaciones costeras?",IF(Idioma=Valencià,"Hi ha garatges subterranis exposats a inundacions costaneres?","¿Hay garajes subterráneos expuestos a inundaciones costeras?"))</f>
        <v>¿Hay garajes subterráneos expuestos a inundaciones costeras?</v>
      </c>
      <c r="G49" s="390" t="s">
        <v>806</v>
      </c>
      <c r="H49" s="403" t="s">
        <v>807</v>
      </c>
      <c r="I49" s="380" t="s">
        <v>27</v>
      </c>
      <c r="J49" s="149"/>
      <c r="K49" s="149"/>
      <c r="L49" s="149"/>
      <c r="M49" s="149"/>
      <c r="N49" s="149"/>
    </row>
    <row r="50" spans="1:14" ht="29.4" customHeight="1" thickBot="1">
      <c r="D50" s="699"/>
      <c r="E50" s="738"/>
      <c r="F50" s="366" t="str">
        <f>IF(Idioma=Castellano,"¿Hay infraestructuras básicas expuestas a inundaciones costeras?",IF(Idioma=Valencià,"Hi ha infraestructures bàsiques exposades a inundacions costaneres?","¿Hay infraestructuras básicas expuestas a inundaciones costeras?"))</f>
        <v>¿Hay infraestructuras básicas expuestas a inundaciones costeras?</v>
      </c>
      <c r="G50" s="390" t="s">
        <v>806</v>
      </c>
      <c r="H50" s="403" t="s">
        <v>807</v>
      </c>
      <c r="I50" s="380" t="s">
        <v>27</v>
      </c>
      <c r="J50" s="149"/>
      <c r="K50" s="149"/>
      <c r="L50" s="149"/>
      <c r="M50" s="149"/>
      <c r="N50" s="149"/>
    </row>
    <row r="51" spans="1:14" ht="29.4" customHeight="1" thickBot="1">
      <c r="D51" s="699"/>
      <c r="E51" s="738"/>
      <c r="F51" s="366" t="str">
        <f>IF(Idioma=Castellano,"¿Hay infraestructuras de transporte y comunicaciones expuestas a inundaciones costerass (ferrocarril, aeropuerto y/o redes comarcales, básicas y preferentes)?",IF(Idioma=Valencià,"Hi ha infraestructures de transport i comunicacions exposades a inundacions costaneres (ferrocarril, aeroport i/o xarxes comarcals, bàsiques i preferents)?","¿Hay infraestructuras de transporte y comunicaciones expuestas a inundaciones costeras (ferrocarril, aeropuerto y/o redes comarcales, básicas y preferentes)?"))</f>
        <v>¿Hay infraestructuras de transporte y comunicaciones expuestas a inundaciones costerass (ferrocarril, aeropuerto y/o redes comarcales, básicas y preferentes)?</v>
      </c>
      <c r="G51" s="390" t="s">
        <v>806</v>
      </c>
      <c r="H51" s="403" t="s">
        <v>807</v>
      </c>
      <c r="I51" s="380" t="s">
        <v>27</v>
      </c>
      <c r="J51" s="149"/>
      <c r="K51" s="149"/>
      <c r="L51" s="149"/>
      <c r="M51" s="149"/>
      <c r="N51" s="149"/>
    </row>
    <row r="52" spans="1:14" ht="29.4" customHeight="1" thickBot="1">
      <c r="D52" s="699"/>
      <c r="E52" s="738"/>
      <c r="F52" s="366" t="str">
        <f>IF(Idioma=Castellano,"¿Hay equipamientos expuestos a inundaciones costeras? (excluyendo paseos y espacios públicos)",IF(Idioma=Valencià,"Hi ha equipaments exposats a inundacions costaneres? (excloent passejos i espais públics)","¿Hay equipamientos expuestos a inundaciones costeras? (excluyendo paseos y espacios públicos)"))</f>
        <v>¿Hay equipamientos expuestos a inundaciones costeras? (excluyendo paseos y espacios públicos)</v>
      </c>
      <c r="G52" s="390" t="s">
        <v>806</v>
      </c>
      <c r="H52" s="403" t="s">
        <v>807</v>
      </c>
      <c r="I52" s="380" t="s">
        <v>27</v>
      </c>
      <c r="J52" s="149"/>
      <c r="K52" s="149"/>
      <c r="L52" s="149"/>
      <c r="M52" s="149"/>
      <c r="N52" s="149"/>
    </row>
    <row r="53" spans="1:14" ht="29.4" customHeight="1" thickBot="1">
      <c r="D53" s="699"/>
      <c r="E53" s="738"/>
      <c r="F53" s="418" t="str">
        <f>IF(Idioma=Castellano,"Viviendas y otras construcciones ilegales en áreas inundables",IF(Idioma=Valencià,"Habitatges i altres construccions il·legals en àrees inundables","Viviendas y otras construcciones ilegales en áreas inundables"))</f>
        <v>Viviendas y otras construcciones ilegales en áreas inundables</v>
      </c>
      <c r="G53" s="390" t="s">
        <v>806</v>
      </c>
      <c r="H53" s="403" t="s">
        <v>807</v>
      </c>
      <c r="I53" s="380" t="s">
        <v>27</v>
      </c>
      <c r="J53" s="149"/>
      <c r="K53" s="149"/>
      <c r="L53" s="149"/>
      <c r="M53" s="149"/>
      <c r="N53" s="149"/>
    </row>
    <row r="54" spans="1:14" ht="43.95" customHeight="1" thickBot="1">
      <c r="D54" s="699"/>
      <c r="E54" s="696" t="str">
        <f>IF(Idioma=Castellano,"Capacidad de adaptación",IF(Idioma=Valencià,"Capacitat d'adaptació","Capacidad de adaptación"))</f>
        <v>Capacidad de adaptación</v>
      </c>
      <c r="F54" s="119" t="str">
        <f>IF(Idioma=Castellano,"Superficie expuesta a inundaciones costeras destinada al sistema de espacios libres",IF(Idioma=Valencià,"Superfície exposada a inundacions costaneres destinada al sistema d'espais lliures","Superficie expuesta a inundaciones costeras destinada al sistema de espacios libres"))</f>
        <v>Superficie expuesta a inundaciones costeras destinada al sistema de espacios libres</v>
      </c>
      <c r="G54" s="417" t="s">
        <v>806</v>
      </c>
      <c r="H54" s="403" t="s">
        <v>809</v>
      </c>
      <c r="I54" s="380" t="s">
        <v>808</v>
      </c>
      <c r="J54" s="609"/>
      <c r="K54" s="609"/>
      <c r="L54" s="609"/>
      <c r="M54" s="610"/>
      <c r="N54" s="610"/>
    </row>
    <row r="55" spans="1:14" ht="29.4" customHeight="1" thickBot="1">
      <c r="D55" s="699"/>
      <c r="E55" s="696"/>
      <c r="F55" s="419" t="str">
        <f>IF(Idioma=Castellano,"Superficie expuesta a inundaciones costeras destinada a suelo no urbanizable",IF(Idioma=Valencià,"Superfície exposada a inundacions costaneres destinada a sòl no urbanitzable","Superficie expuesta a inundaciones costeras destinada a suelo no urbanizable"))</f>
        <v>Superficie expuesta a inundaciones costeras destinada a suelo no urbanizable</v>
      </c>
      <c r="G55" s="391" t="s">
        <v>806</v>
      </c>
      <c r="H55" s="403" t="s">
        <v>809</v>
      </c>
      <c r="I55" s="98" t="s">
        <v>27</v>
      </c>
      <c r="J55" s="93"/>
      <c r="K55" s="93"/>
      <c r="L55" s="93"/>
      <c r="M55" s="93"/>
      <c r="N55" s="93"/>
    </row>
    <row r="56" spans="1:14" ht="29.4" customHeight="1" thickBot="1">
      <c r="D56" s="699"/>
      <c r="E56" s="696"/>
      <c r="F56" s="420" t="str">
        <f>IF(Idioma=Castellano,"¿Se ha considerado la restauración de dunas y/o marismas costeras?",IF(Idioma=Valencià,"S'ha considerat la restauració de dunes i/o marenys costaners?","¿Se ha considerado la restauración de dunas y/o marismas costeras?"))</f>
        <v>¿Se ha considerado la restauración de dunas y/o marismas costeras?</v>
      </c>
      <c r="G56" s="407" t="str">
        <f>IF(Idioma=Castellano,"Plan de evaluación",IF(Idioma=Valencià,"Pla d'avaluació","Plan de evaluación"))</f>
        <v>Plan de evaluación</v>
      </c>
      <c r="H56" s="403" t="s">
        <v>811</v>
      </c>
      <c r="I56" s="98" t="s">
        <v>808</v>
      </c>
      <c r="J56" s="93"/>
      <c r="K56" s="93"/>
      <c r="L56" s="93"/>
      <c r="M56" s="93"/>
      <c r="N56" s="93"/>
    </row>
    <row r="57" spans="1:14" ht="29.4" customHeight="1" thickBot="1">
      <c r="D57" s="699"/>
      <c r="E57" s="696"/>
      <c r="F57" s="421" t="str">
        <f>IF(Idioma=Castellano,"¿Se ha considerado el desarrollo de planes o estrategias relacionadas con la adaptación al cambio climático?",IF(Idioma=Valencià,"S'ha considerat el desenvolupament de plans o estratègies relacionades amb l'adaptació al canvi climàtic?","¿Se ha considerado el desarrollo de planes o estrategias relacionadas con la adaptación al cambio climático?"))</f>
        <v>¿Se ha considerado el desarrollo de planes o estrategias relacionadas con la adaptación al cambio climático?</v>
      </c>
      <c r="G57" s="407" t="str">
        <f>IF(Idioma=Castellano,"Plan de evaluación",IF(Idioma=Valencià,"Pla d'avaluació","Plan de evaluación"))</f>
        <v>Plan de evaluación</v>
      </c>
      <c r="H57" s="403" t="s">
        <v>811</v>
      </c>
      <c r="I57" s="98" t="s">
        <v>20</v>
      </c>
      <c r="J57" s="93"/>
      <c r="K57" s="93"/>
      <c r="L57" s="93"/>
      <c r="M57" s="93"/>
      <c r="N57" s="93"/>
    </row>
    <row r="58" spans="1:14" ht="29.4" customHeight="1">
      <c r="F58" s="101"/>
    </row>
    <row r="59" spans="1:14" s="282" customFormat="1" ht="30.75" customHeight="1" thickBot="1">
      <c r="A59" s="148"/>
      <c r="B59" s="135"/>
      <c r="E59" s="282" t="str">
        <f>IF(Idioma=Castellano,"3. IMPACTO POR DESLIZAMIENTOS",IF(Idioma=Valencià,"3. IMPACTE PER LLISCAMENTS","3. IMPACTO POR DESLIZAMIENTOS"))</f>
        <v>3. IMPACTO POR DESLIZAMIENTOS</v>
      </c>
    </row>
    <row r="60" spans="1:14" ht="29.4" customHeight="1" thickBot="1">
      <c r="D60" s="734" t="str">
        <f>IF(Idioma=Castellano,"Amenaza",IF(Idioma=Valencià,"Amenaça","Amenaza"))</f>
        <v>Amenaza</v>
      </c>
      <c r="E60" s="735"/>
      <c r="F60" s="455" t="str">
        <f>IF(Idioma=Castellano,"Deslizamientos",IF(Idioma=Valencià,"Lliscaments","Deslizamientos"))</f>
        <v>Deslizamientos</v>
      </c>
      <c r="G60" s="395" t="str">
        <f>IF(Idioma=Castellano,"Fuente",IF(Idioma=Valencià,"Font","Fuente"))</f>
        <v>Fuente</v>
      </c>
      <c r="H60" s="395" t="str">
        <f>IF(Idioma=Castellano,"Valor a introducir",IF(Idioma=Valencià,"Valor a introduir","Valor a introducir"))</f>
        <v>Valor a introducir</v>
      </c>
      <c r="I60" s="395" t="str">
        <f>IF(Idioma=Castellano,"¿Se dispone del dato y/o es aplicable?",IF(Idioma=Valencià,"Es disposa de la dada i/o és aplicable?","¿Se dispone del dato y/o es aplicable?"))</f>
        <v>¿Se dispone del dato y/o es aplicable?</v>
      </c>
      <c r="J60" s="456" t="s">
        <v>603</v>
      </c>
      <c r="K60" s="457" t="s">
        <v>31</v>
      </c>
      <c r="L60" s="458" t="s">
        <v>36</v>
      </c>
      <c r="M60" s="459" t="s">
        <v>39</v>
      </c>
      <c r="N60" s="460" t="s">
        <v>42</v>
      </c>
    </row>
    <row r="61" spans="1:14" ht="29.4" thickBot="1">
      <c r="D61" s="734"/>
      <c r="E61" s="736"/>
      <c r="F61" s="716" t="str">
        <f>IF(Idioma=Castellano,"Precipitación media",IF(Idioma=Valencià,"Precipitació mitjana","Precipitación media"))</f>
        <v>Precipitación media</v>
      </c>
      <c r="G61" s="710" t="s">
        <v>803</v>
      </c>
      <c r="H61" s="454" t="str">
        <f>IF(Idioma=Castellano,"Indicar valor máximo histórico en la zona de exposición",IF(Idioma=Valencià,"Indicar valor màxim històric en la zona d'exposició","Indicar valor máximo histórico en la zona de exposición"))</f>
        <v>Indicar valor máximo histórico en la zona de exposición</v>
      </c>
      <c r="I61" s="704" t="s">
        <v>20</v>
      </c>
      <c r="J61" s="381"/>
      <c r="K61" s="415"/>
      <c r="L61" s="414"/>
      <c r="M61" s="414"/>
      <c r="N61" s="414"/>
    </row>
    <row r="62" spans="1:14" ht="29.4" thickBot="1">
      <c r="D62" s="734"/>
      <c r="E62" s="736"/>
      <c r="F62" s="717"/>
      <c r="G62" s="711"/>
      <c r="H62" s="453" t="str">
        <f>IF(Idioma=Castellano,"Indicar valor máximo proyectado para el periodo temporal escogido ",IF(Idioma=Valencià,"Indicar valor màxim projectat per al període temporal triat ","Indicar valor máximo proyectado para el periodo temporal escogido"))</f>
        <v xml:space="preserve">Indicar valor máximo proyectado para el periodo temporal escogido </v>
      </c>
      <c r="I62" s="705"/>
      <c r="J62" s="152"/>
      <c r="K62" s="93"/>
      <c r="L62" s="93"/>
      <c r="M62" s="93"/>
      <c r="N62" s="93"/>
    </row>
    <row r="63" spans="1:14" ht="29.4" customHeight="1" thickBot="1">
      <c r="D63" s="734"/>
      <c r="E63" s="735"/>
      <c r="F63" s="716" t="str">
        <f>IF(Idioma=Castellano,"Número de días húmedos consecutivos (precipitaciones&gt;1mm)",IF(Idioma=Valencià,"Nombre de dies humits consecutius (precipitacions&gt;1mm)","Número de días húmedos consecutivos (precipitaciones&gt;1mm)"))</f>
        <v>Número de días húmedos consecutivos (precipitaciones&gt;1mm)</v>
      </c>
      <c r="G63" s="712" t="s">
        <v>803</v>
      </c>
      <c r="H63" s="402" t="str">
        <f>IF(Idioma=Castellano,"Indicar valor máximo histórico en la zona de exposición",IF(Idioma=Valencià,"Indicar valor màxim històric en la zona d'exposició","Indicar valor máximo histórico en la zona de exposición"))</f>
        <v>Indicar valor máximo histórico en la zona de exposición</v>
      </c>
      <c r="I63" s="754" t="s">
        <v>808</v>
      </c>
      <c r="J63" s="93"/>
      <c r="K63" s="96"/>
      <c r="L63" s="96"/>
      <c r="M63" s="96"/>
      <c r="N63" s="96"/>
    </row>
    <row r="64" spans="1:14" ht="29.4" thickBot="1">
      <c r="D64" s="734"/>
      <c r="E64" s="735"/>
      <c r="F64" s="717"/>
      <c r="G64" s="713"/>
      <c r="H64" s="402" t="str">
        <f>IF(Idioma=Castellano,"Indicar valor máximo proyectado para el periodo temporal escogido ",IF(Idioma=Valencià,"Indicar valor màxim projectat per al període temporal triat ","Indicar valor máximo proyectado para el periodo temporal escogido"))</f>
        <v xml:space="preserve">Indicar valor máximo proyectado para el periodo temporal escogido </v>
      </c>
      <c r="I64" s="755"/>
      <c r="J64" s="152"/>
      <c r="K64" s="93"/>
      <c r="L64" s="93"/>
      <c r="M64" s="93"/>
      <c r="N64" s="93"/>
    </row>
    <row r="65" spans="4:14" ht="75.75" customHeight="1" thickBot="1">
      <c r="D65" s="697" t="str">
        <f>IF(Idioma=Castellano,"Exposición",IF(Idioma=Valencià,"Exposició","Exposición"))</f>
        <v>Exposición</v>
      </c>
      <c r="E65" s="698"/>
      <c r="F65" s="422" t="str">
        <f>IF(Idioma=Castellano,"Superficie expuesta a zona potencial de deslizamientos",IF(Idioma=Valencià,"Superfície exposada a zona potencial de lliscaments","Superficie expuesta a zona potencial de deslizamientos"))</f>
        <v>Superficie expuesta a zona potencial de deslizamientos</v>
      </c>
      <c r="G65" s="417" t="s">
        <v>806</v>
      </c>
      <c r="H65" s="401" t="s">
        <v>816</v>
      </c>
      <c r="I65" s="98" t="s">
        <v>808</v>
      </c>
      <c r="J65" s="93"/>
      <c r="K65" s="93"/>
      <c r="L65" s="93"/>
      <c r="M65" s="93"/>
      <c r="N65" s="93"/>
    </row>
    <row r="66" spans="4:14" ht="29.4" customHeight="1" thickBot="1">
      <c r="D66" s="699" t="str">
        <f>IF(Idioma=Castellano,"Vulnerabilidad",IF(Idioma=Valencià,"Vulnerabilitat","Vulnerabilidad"))</f>
        <v>Vulnerabilidad</v>
      </c>
      <c r="E66" s="695" t="str">
        <f>IF(Idioma=Castellano,"Sensibilidad",IF(Idioma=Valencià,"Sensibilitat","Sensibilidad"))</f>
        <v>Sensibilidad</v>
      </c>
      <c r="F66" s="424" t="str">
        <f>IF(Idioma=Castellano,"Porcentaje de suelo urbano susceptible a deslizamientos",IF(Idioma=Valencià,"Porcentaje de suelo urbano susceptible a deslizamientos","Porcentaje de suelo urbano susceptible a deslizamientos"))</f>
        <v>Porcentaje de suelo urbano susceptible a deslizamientos</v>
      </c>
      <c r="G66" s="417" t="s">
        <v>806</v>
      </c>
      <c r="H66" s="401" t="str">
        <f t="shared" ref="H66:H70" si="2">IF(Idioma=Castellano,"Indicar porcentaje (%)",IF(Idioma=Valencià,"Indicar percentatge (%)","Indicar porcentaje (%)"))</f>
        <v>Indicar porcentaje (%)</v>
      </c>
      <c r="I66" s="98" t="s">
        <v>808</v>
      </c>
      <c r="J66" s="149"/>
      <c r="K66" s="149"/>
      <c r="L66" s="149"/>
      <c r="M66" s="149"/>
      <c r="N66" s="149"/>
    </row>
    <row r="67" spans="4:14" ht="43.95" customHeight="1" thickBot="1">
      <c r="D67" s="699"/>
      <c r="E67" s="695"/>
      <c r="F67" s="119" t="str">
        <f>IF(Idioma=Castellano,"Porcentaje de suelo urbanizable susceptible a deslizamientos",IF(Idioma=Valencià,"Percentatge de sòl urbanitzable susceptible a lliscaments","Porcentaje de suelo urbanizable susceptible a deslizamientos"))</f>
        <v>Porcentaje de suelo urbanizable susceptible a deslizamientos</v>
      </c>
      <c r="G67" s="417" t="s">
        <v>806</v>
      </c>
      <c r="H67" s="401" t="str">
        <f t="shared" si="2"/>
        <v>Indicar porcentaje (%)</v>
      </c>
      <c r="I67" s="98" t="s">
        <v>808</v>
      </c>
      <c r="J67" s="149"/>
      <c r="K67" s="149"/>
      <c r="L67" s="149"/>
      <c r="M67" s="149"/>
      <c r="N67" s="149"/>
    </row>
    <row r="68" spans="4:14" ht="29.4" customHeight="1" thickBot="1">
      <c r="D68" s="699"/>
      <c r="E68" s="695"/>
      <c r="F68" s="119" t="str">
        <f>IF(Idioma=Castellano,"Porcentaje de suelo residencial susceptible a deslizamientos ",IF(Idioma=Valencià,"Percentatge de sòl residencial susceptible a lliscaments ","Porcentaje de suelo residencial susceptible a deslizamientos "))</f>
        <v xml:space="preserve">Porcentaje de suelo residencial susceptible a deslizamientos </v>
      </c>
      <c r="G68" s="417" t="s">
        <v>806</v>
      </c>
      <c r="H68" s="401" t="str">
        <f t="shared" si="2"/>
        <v>Indicar porcentaje (%)</v>
      </c>
      <c r="I68" s="98" t="s">
        <v>20</v>
      </c>
      <c r="J68" s="149"/>
      <c r="K68" s="149"/>
      <c r="L68" s="149"/>
      <c r="M68" s="149"/>
      <c r="N68" s="149"/>
    </row>
    <row r="69" spans="4:14" ht="29.4" customHeight="1" thickBot="1">
      <c r="D69" s="699"/>
      <c r="E69" s="695"/>
      <c r="F69" s="423" t="str">
        <f>IF(Idioma=Castellano,"Porcentaje de suelo de actividades económicas susceptible a deslizamientos",IF(Idioma=Valencià,"Percentatge de sòl d'activitats econòmiques susceptible a lliscaments","Porcentaje de suelo de actividades económicas susceptible a deslizamientos"))</f>
        <v>Porcentaje de suelo de actividades económicas susceptible a deslizamientos</v>
      </c>
      <c r="G69" s="417" t="s">
        <v>806</v>
      </c>
      <c r="H69" s="401" t="str">
        <f t="shared" si="2"/>
        <v>Indicar porcentaje (%)</v>
      </c>
      <c r="I69" s="98" t="s">
        <v>20</v>
      </c>
      <c r="J69" s="149"/>
      <c r="K69" s="149"/>
      <c r="L69" s="149"/>
      <c r="M69" s="149"/>
      <c r="N69" s="149"/>
    </row>
    <row r="70" spans="4:14" ht="29.4" customHeight="1" thickBot="1">
      <c r="D70" s="699"/>
      <c r="E70" s="695"/>
      <c r="F70" s="422" t="str">
        <f>IF(Idioma=Castellano,"¿Existen zonas con riesgo de incendio forestal susceptibles a deslizamientos?",IF(Idioma=Valencià,"Existeixen zones amb el risc d'incendi forestal susceptibles a lliscaments?","¿Existen zonas con riesgo de incendio forestal susceptibles a deslizamientos?"))</f>
        <v>¿Existen zonas con riesgo de incendio forestal susceptibles a deslizamientos?</v>
      </c>
      <c r="G70" s="417" t="s">
        <v>806</v>
      </c>
      <c r="H70" s="401" t="str">
        <f t="shared" si="2"/>
        <v>Indicar porcentaje (%)</v>
      </c>
      <c r="I70" s="98" t="s">
        <v>27</v>
      </c>
      <c r="J70" s="149"/>
      <c r="K70" s="149"/>
      <c r="L70" s="149"/>
      <c r="M70" s="149"/>
      <c r="N70" s="149"/>
    </row>
    <row r="71" spans="4:14" ht="29.4" customHeight="1" thickBot="1">
      <c r="D71" s="699"/>
      <c r="E71" s="695"/>
      <c r="F71" s="119" t="str">
        <f>IF(Idioma=Castellano,"¿Hay infraestructuras básicas en zonas susceptibles a deslizamientos?",IF(Idioma=Valencià,"Hi ha infraestructures bàsiques en zones susceptibles a lliscaments?","¿Hay infraestructuras básicas en zonas susceptibles a deslizamientos?"))</f>
        <v>¿Hay infraestructuras básicas en zonas susceptibles a deslizamientos?</v>
      </c>
      <c r="G71" s="417" t="s">
        <v>806</v>
      </c>
      <c r="H71" s="403" t="s">
        <v>817</v>
      </c>
      <c r="I71" s="98" t="s">
        <v>808</v>
      </c>
      <c r="J71" s="149"/>
      <c r="K71" s="149"/>
      <c r="L71" s="149"/>
      <c r="M71" s="149"/>
      <c r="N71" s="149"/>
    </row>
    <row r="72" spans="4:14" ht="29.4" customHeight="1" thickBot="1">
      <c r="D72" s="699"/>
      <c r="E72" s="695"/>
      <c r="F72" s="119" t="str">
        <f>IF(Idioma=Castellano,"¿Hay infraestructuras de transporte y comunicaciones en zonas susceptibles a deslizamientos?",IF(Idioma=Valencià,"Hi ha infraestructures de transport i comunicacions en zones susceptibles a lliscaments?","¿Hay infraestructuras de transporte y comunicaciones en zonas susceptibles a deslizamientos?"))</f>
        <v>¿Hay infraestructuras de transporte y comunicaciones en zonas susceptibles a deslizamientos?</v>
      </c>
      <c r="G72" s="417" t="s">
        <v>806</v>
      </c>
      <c r="H72" s="403" t="s">
        <v>817</v>
      </c>
      <c r="I72" s="98" t="s">
        <v>20</v>
      </c>
      <c r="J72" s="149"/>
      <c r="K72" s="149"/>
      <c r="L72" s="149"/>
      <c r="M72" s="149"/>
      <c r="N72" s="149"/>
    </row>
    <row r="73" spans="4:14" ht="29.4" customHeight="1" thickBot="1">
      <c r="D73" s="699"/>
      <c r="E73" s="695"/>
      <c r="F73" s="119" t="str">
        <f>IF(Idioma=Castellano,"¿Hay equipamientos sensibles en zonas susceptibles a deslizamientos? (excluyendo paseos y espacios públicos)",IF(Idioma=Valencià,"Hi ha equipaments sensibles en zones susceptibles a lliscaments? (excloent passejos i espais públics)","¿Hay equipamientos sensibles en zonas susceptibles a deslizamientos? (excluyendo paseos y espacios públicos)"))</f>
        <v>¿Hay equipamientos sensibles en zonas susceptibles a deslizamientos? (excluyendo paseos y espacios públicos)</v>
      </c>
      <c r="G73" s="417" t="s">
        <v>806</v>
      </c>
      <c r="H73" s="403" t="s">
        <v>817</v>
      </c>
      <c r="I73" s="98" t="s">
        <v>808</v>
      </c>
      <c r="J73" s="149"/>
      <c r="K73" s="149"/>
      <c r="L73" s="149"/>
      <c r="M73" s="149"/>
      <c r="N73" s="149"/>
    </row>
    <row r="74" spans="4:14" ht="29.4" customHeight="1" thickBot="1">
      <c r="D74" s="699"/>
      <c r="E74" s="696" t="str">
        <f>IF(Idioma=Castellano,"Capacidad de adaptación",IF(Idioma=Valencià,"Capacitat d'adaptació","Capacidad de adaptación"))</f>
        <v>Capacidad de adaptación</v>
      </c>
      <c r="F74" s="119" t="str">
        <f>IF(Idioma=Castellano,"Superficie susceptible a deslizamientos destinada al sistema de espacios libres/zonas verdes",IF(Idioma=Valencià,"Superfície susceptible a lliscaments destinada al sistema d'espais lliures/zones verdes","Superficie susceptible a deslizamientos destinada al sistema de espacios libres/zonas verdes"))</f>
        <v>Superficie susceptible a deslizamientos destinada al sistema de espacios libres/zonas verdes</v>
      </c>
      <c r="G74" s="417" t="s">
        <v>806</v>
      </c>
      <c r="H74" s="400" t="s">
        <v>818</v>
      </c>
      <c r="I74" s="98" t="s">
        <v>808</v>
      </c>
      <c r="J74" s="93"/>
      <c r="K74" s="93"/>
      <c r="L74" s="93"/>
      <c r="M74" s="93"/>
      <c r="N74" s="93"/>
    </row>
    <row r="75" spans="4:14" ht="29.4" customHeight="1" thickBot="1">
      <c r="D75" s="699"/>
      <c r="E75" s="696"/>
      <c r="F75" s="119" t="str">
        <f>IF(Idioma=Castellano,"Superficie susceptible a deslizamientos destinada a suelo no urbanizable",IF(Idioma=Valencià,"Superfície susceptible a lliscaments destinada a sòl no urbanitzable","Superficie susceptible a deslizamientos destinada a suelo no urbanizable"))</f>
        <v>Superficie susceptible a deslizamientos destinada a suelo no urbanizable</v>
      </c>
      <c r="G75" s="417" t="s">
        <v>806</v>
      </c>
      <c r="H75" s="399" t="s">
        <v>818</v>
      </c>
      <c r="I75" s="98" t="s">
        <v>808</v>
      </c>
      <c r="J75" s="93"/>
      <c r="K75" s="93"/>
      <c r="L75" s="93"/>
      <c r="M75" s="93"/>
      <c r="N75" s="93"/>
    </row>
    <row r="76" spans="4:14" ht="29.4" customHeight="1" thickBot="1">
      <c r="D76" s="699"/>
      <c r="E76" s="696"/>
      <c r="F76" s="119" t="str">
        <f>IF(Idioma=Castellano,"Estudios geológicos suelo urbano (si/no) con criterios de cambio climático",IF(Idioma=Valencià,"Estudis geològics sòl urbà (si/no) amb criteris de canvi climàtic","Estudios geológicos suelo urbano (si/no) con criterios de cambio climático"))</f>
        <v>Estudios geológicos suelo urbano (si/no) con criterios de cambio climático</v>
      </c>
      <c r="G76" s="407" t="str">
        <f>IF(Idioma=Castellano,"Plan de evaluación",IF(Idioma=Valencià,"Pla d'avaluació","Plan de evaluación"))</f>
        <v>Plan de evaluación</v>
      </c>
      <c r="H76" s="365" t="s">
        <v>819</v>
      </c>
      <c r="I76" s="98" t="s">
        <v>27</v>
      </c>
      <c r="J76" s="93"/>
      <c r="K76" s="93"/>
      <c r="L76" s="93"/>
      <c r="M76" s="93"/>
      <c r="N76" s="93"/>
    </row>
    <row r="77" spans="4:14" ht="29.4" customHeight="1" thickBot="1">
      <c r="D77" s="699"/>
      <c r="E77" s="696"/>
      <c r="F77" s="119" t="str">
        <f>IF(Idioma=Castellano,"Estudios geológicos suelo no urbanizable (si/no) con criterios de cambio climático",IF(Idioma=Valencià,"Estudis geològics sòl no urbanitzable (si/no) amb criteris de canvi climàtic","Estudios geológicos suelo no urbanizable (si/no) con criterios de cambio climático"))</f>
        <v>Estudios geológicos suelo no urbanizable (si/no) con criterios de cambio climático</v>
      </c>
      <c r="G77" s="407" t="str">
        <f>IF(Idioma=Castellano,"Plan de evaluación",IF(Idioma=Valencià,"Pla d'avaluació","Plan de evaluación"))</f>
        <v>Plan de evaluación</v>
      </c>
      <c r="H77" s="402" t="s">
        <v>819</v>
      </c>
      <c r="I77" s="98" t="s">
        <v>27</v>
      </c>
      <c r="J77" s="93"/>
      <c r="K77" s="93"/>
      <c r="L77" s="93"/>
      <c r="M77" s="93"/>
      <c r="N77" s="93"/>
    </row>
    <row r="78" spans="4:14" ht="29.4" customHeight="1" thickBot="1">
      <c r="D78" s="699"/>
      <c r="E78" s="696"/>
      <c r="F78" s="422" t="str">
        <f>IF(Idioma=Castellano,"Estructuras de contención de laderas y/o taludes",IF(Idioma=Valencià,"Estructures de contenció de vessants i/o talussos","Estructuras de contención de laderas y/o taludes"))</f>
        <v>Estructuras de contención de laderas y/o taludes</v>
      </c>
      <c r="G78" s="407" t="str">
        <f>IF(Idioma=Castellano,"Plan de evaluación",IF(Idioma=Valencià,"Pla d'avaluació","Plan de evaluación"))</f>
        <v>Plan de evaluación</v>
      </c>
      <c r="H78" s="402" t="s">
        <v>819</v>
      </c>
      <c r="I78" s="98" t="s">
        <v>808</v>
      </c>
      <c r="J78" s="93"/>
      <c r="K78" s="93"/>
      <c r="L78" s="93"/>
      <c r="M78" s="93"/>
      <c r="N78" s="93"/>
    </row>
    <row r="79" spans="4:14" ht="29.4" customHeight="1" thickBot="1">
      <c r="D79" s="699"/>
      <c r="E79" s="696"/>
      <c r="F79" s="119" t="str">
        <f>IF(Idioma=Castellano,"Medidas de estabilización de laderas y/o taludes (bermas, abatimiento de pendientes, forestación, etc).",IF(Idioma=Valencià,"Mesures d'estabilització de vessants i/o talussos (bermes, abatiment de pendents, repoblament, etc.)","Medidas de estabilización de laderas y/o taludes (bermas, abatimiento de pendientes, forestación, etc.)"))</f>
        <v>Medidas de estabilización de laderas y/o taludes (bermas, abatimiento de pendientes, forestación, etc).</v>
      </c>
      <c r="G79" s="407" t="str">
        <f>IF(Idioma=Castellano,"Plan de evaluación",IF(Idioma=Valencià,"Pla d'avaluació","Plan de evaluación"))</f>
        <v>Plan de evaluación</v>
      </c>
      <c r="H79" s="402" t="s">
        <v>819</v>
      </c>
      <c r="I79" s="98" t="s">
        <v>808</v>
      </c>
      <c r="J79" s="93"/>
      <c r="K79" s="93"/>
      <c r="L79" s="93"/>
      <c r="M79" s="93"/>
      <c r="N79" s="93"/>
    </row>
    <row r="80" spans="4:14" ht="29.4" customHeight="1">
      <c r="F80" s="101"/>
    </row>
    <row r="81" spans="1:15" ht="29.4" customHeight="1"/>
    <row r="82" spans="1:15" s="282" customFormat="1" ht="32.25" customHeight="1" thickBot="1">
      <c r="A82" s="148"/>
      <c r="B82" s="135"/>
      <c r="E82" s="282" t="str">
        <f>IF(Idioma=Castellano,"4. IMPACTO POR OLAS DE CALOR",IF(Idioma=Valencià,"4. IMPACTE PER ONADES DE CALOR","4. IMPACTO POR OLAS DE CALOR"))</f>
        <v>4. IMPACTO POR OLAS DE CALOR</v>
      </c>
    </row>
    <row r="83" spans="1:15" ht="29.4" customHeight="1" thickBot="1">
      <c r="D83" s="734" t="str">
        <f>IF(Idioma=Castellano,"Amenaza",IF(Idioma=Valencià,"Amenaça","Amenaza"))</f>
        <v>Amenaza</v>
      </c>
      <c r="E83" s="735"/>
      <c r="F83" s="439" t="str">
        <f>IF(Idioma=Castellano,"Olas de calor",IF(Idioma=Valencià,"Onades de calor","Olas de calor"))</f>
        <v>Olas de calor</v>
      </c>
      <c r="G83" s="406" t="str">
        <f>IF(Idioma=Castellano,"Fuente",IF(Idioma=Valencià,"Font","Fuente"))</f>
        <v>Fuente</v>
      </c>
      <c r="H83" s="440" t="str">
        <f>IF(Idioma=Castellano,"Valor a introducir",IF(Idioma=Valencià,"Valor a introduir","Valor a introducir"))</f>
        <v>Valor a introducir</v>
      </c>
      <c r="I83" s="446" t="str">
        <f>IF(Idioma=Castellano,"¿Se dispone del dato y/o es aplicable?",IF(Idioma=Valencià,"Es disposa de la dada i/o és aplicable?","¿Se dispone del dato y/o es aplicable?"))</f>
        <v>¿Se dispone del dato y/o es aplicable?</v>
      </c>
      <c r="J83" s="447" t="s">
        <v>603</v>
      </c>
      <c r="K83" s="448" t="s">
        <v>31</v>
      </c>
      <c r="L83" s="449" t="s">
        <v>36</v>
      </c>
      <c r="M83" s="450" t="s">
        <v>39</v>
      </c>
      <c r="N83" s="451" t="s">
        <v>42</v>
      </c>
      <c r="O83" s="452"/>
    </row>
    <row r="84" spans="1:15" ht="29.4" thickBot="1">
      <c r="D84" s="734"/>
      <c r="E84" s="735"/>
      <c r="F84" s="716" t="str">
        <f>IF(Idioma=Castellano,"Temperatura máxima",IF(Idioma=Valencià,"Temperatura màxima","Temperatura máxima"))</f>
        <v>Temperatura máxima</v>
      </c>
      <c r="G84" s="714" t="s">
        <v>803</v>
      </c>
      <c r="H84" s="445" t="str">
        <f>IF(Idioma=Castellano,"Indicar valor máximo histórico en la zona de exposición",IF(Idioma=Valencià,"Indicar valor màxim històric en la zona d'exposició","Indicar valor máximo histórico en la zona de exposición"))</f>
        <v>Indicar valor máximo histórico en la zona de exposición</v>
      </c>
      <c r="I84" s="702" t="s">
        <v>20</v>
      </c>
      <c r="J84" s="151"/>
      <c r="K84" s="92"/>
      <c r="L84" s="92"/>
      <c r="M84" s="432"/>
      <c r="N84" s="441"/>
    </row>
    <row r="85" spans="1:15" ht="29.4" thickBot="1">
      <c r="D85" s="734"/>
      <c r="E85" s="735"/>
      <c r="F85" s="717" t="s">
        <v>815</v>
      </c>
      <c r="G85" s="715"/>
      <c r="H85" s="444" t="str">
        <f>IF(Idioma=Castellano,"Indicar valor máximo proyectado para el periodo temporal escogido ",IF(Idioma=Valencià,"Indicar valor màxim projectat per al període temporal triat ","Indicar valor máximo proyectado para el periodo temporal escogido"))</f>
        <v xml:space="preserve">Indicar valor máximo proyectado para el periodo temporal escogido </v>
      </c>
      <c r="I85" s="703"/>
      <c r="J85" s="442"/>
      <c r="K85" s="443"/>
      <c r="L85" s="443"/>
      <c r="M85" s="443"/>
      <c r="N85" s="443"/>
    </row>
    <row r="86" spans="1:15" ht="29.4" thickBot="1">
      <c r="D86" s="697" t="str">
        <f>IF(Idioma=Castellano,"Exposición",IF(Idioma=Valencià,"Exposició","Exposición"))</f>
        <v>Exposición</v>
      </c>
      <c r="E86" s="698"/>
      <c r="F86" s="423" t="str">
        <f>IF(Idioma=Castellano,"Densidad de población estimada del suelo residencial, terciario y equipamientos",IF(Idioma=Valencià,"Densitat de població estimada del sòl residencial, terciari i equipaments","Densidad de población estimada del suelo residencial, terciario y equipamientos"))</f>
        <v>Densidad de población estimada del suelo residencial, terciario y equipamientos</v>
      </c>
      <c r="G86" s="369" t="str">
        <f>IF(Idioma=Castellano,"Plan de evaluación",IF(Idioma=Valencià,"Pla d'avaluació","Plan de evaluación"))</f>
        <v>Plan de evaluación</v>
      </c>
      <c r="H86" s="397" t="s">
        <v>820</v>
      </c>
      <c r="I86" s="380" t="s">
        <v>20</v>
      </c>
      <c r="J86" s="381"/>
      <c r="K86" s="381"/>
      <c r="L86" s="381"/>
      <c r="M86" s="381"/>
      <c r="N86" s="381"/>
    </row>
    <row r="87" spans="1:15" ht="29.4" thickBot="1">
      <c r="D87" s="699" t="str">
        <f>IF(Idioma=Castellano,"Vulnerabilidad",IF(Idioma=Valencià,"Vulnerabilitat","Vulnerabilidad"))</f>
        <v>Vulnerabilidad</v>
      </c>
      <c r="E87" s="695" t="str">
        <f>IF(Idioma=Castellano,"Sensibilidad",IF(Idioma=Valencià,"Sensibilitat","Sensibilidad"))</f>
        <v>Sensibilidad</v>
      </c>
      <c r="F87" s="119" t="str">
        <f>IF(Idioma=Castellano,"Porcentaje de suelo urbano con respecto al total del área de estudio",IF(Idioma=Valencià,"Percentatge de sòl urbà respecte al total de l'àrea d'estudi","Porcentaje de suelo urbano con respecto al total del área de estudio"))</f>
        <v>Porcentaje de suelo urbano con respecto al total del área de estudio</v>
      </c>
      <c r="G87" s="425" t="s">
        <v>806</v>
      </c>
      <c r="H87" s="375" t="str">
        <f t="shared" ref="H87:H93" si="3">IF(Idioma=Castellano,"Indicar porcentaje (%)",IF(Idioma=Valencià,"Indicar percentatge (%)","Indicar porcentaje (%)"))</f>
        <v>Indicar porcentaje (%)</v>
      </c>
      <c r="I87" s="98" t="s">
        <v>20</v>
      </c>
      <c r="J87" s="149"/>
      <c r="K87" s="149"/>
      <c r="L87" s="149"/>
      <c r="M87" s="149"/>
      <c r="N87" s="149"/>
    </row>
    <row r="88" spans="1:15" ht="29.4" customHeight="1" thickBot="1">
      <c r="D88" s="699"/>
      <c r="E88" s="695"/>
      <c r="F88" s="422" t="str">
        <f>IF(Idioma=Castellano,"Porcentaje de suelo urbanizable con respecto al total del área de estudio",IF(Idioma=Valencià,"Percentatge de sòl urbanitzable respecte al total de l'àrea d'estudi","Porcentaje de suelo urbanizable con respecto al total del área de estudio"))</f>
        <v>Porcentaje de suelo urbanizable con respecto al total del área de estudio</v>
      </c>
      <c r="G88" s="425" t="s">
        <v>806</v>
      </c>
      <c r="H88" s="375" t="str">
        <f t="shared" si="3"/>
        <v>Indicar porcentaje (%)</v>
      </c>
      <c r="I88" s="98" t="s">
        <v>20</v>
      </c>
      <c r="J88" s="149"/>
      <c r="K88" s="149"/>
      <c r="L88" s="149"/>
      <c r="M88" s="149"/>
      <c r="N88" s="149"/>
    </row>
    <row r="89" spans="1:15" ht="29.4" customHeight="1" thickBot="1">
      <c r="D89" s="699"/>
      <c r="E89" s="695"/>
      <c r="F89" s="424" t="str">
        <f>IF(Idioma=Castellano,"Porcentaje de suelo residencial con respecto al total del área de estudio",IF(Idioma=Valencià,"Percentatge de sòl residencial respecte al total de l'àrea d'estudi","Porcentaje de suelo residencial con respecto al total del área de estudio"))</f>
        <v>Porcentaje de suelo residencial con respecto al total del área de estudio</v>
      </c>
      <c r="G89" s="425" t="s">
        <v>806</v>
      </c>
      <c r="H89" s="375" t="str">
        <f t="shared" si="3"/>
        <v>Indicar porcentaje (%)</v>
      </c>
      <c r="I89" s="98" t="s">
        <v>20</v>
      </c>
      <c r="J89" s="149"/>
      <c r="K89" s="149"/>
      <c r="L89" s="149"/>
      <c r="M89" s="149"/>
      <c r="N89" s="149"/>
    </row>
    <row r="90" spans="1:15" ht="29.4" customHeight="1" thickBot="1">
      <c r="D90" s="699"/>
      <c r="E90" s="695"/>
      <c r="F90" s="427" t="str">
        <f>IF(Idioma=Castellano,"Porcentaje de suelo de actividades económicas con respecto al total del área de estudio",IF(Idioma=Valencià,"Percentatge de sòl d'activitats econòmiques respecte al total de l'àrea d'estudi","Porcentaje de suelo de actividades económicas con respecto al total del área de estudio"))</f>
        <v>Porcentaje de suelo de actividades económicas con respecto al total del área de estudio</v>
      </c>
      <c r="G90" s="425" t="s">
        <v>806</v>
      </c>
      <c r="H90" s="375" t="str">
        <f t="shared" si="3"/>
        <v>Indicar porcentaje (%)</v>
      </c>
      <c r="I90" s="98" t="s">
        <v>27</v>
      </c>
      <c r="J90" s="93"/>
      <c r="K90" s="93"/>
      <c r="L90" s="93"/>
      <c r="M90" s="93"/>
      <c r="N90" s="93"/>
    </row>
    <row r="91" spans="1:15" ht="29.4" customHeight="1" thickBot="1">
      <c r="D91" s="699"/>
      <c r="E91" s="695"/>
      <c r="F91" s="428" t="str">
        <f>IF(Idioma=Castellano,"Porcentaje de suelo identificado como espacio urbano sensible",IF(Idioma=Valencià,"Percentatge de sòl identificat com a espai urbà sensible","Porcentaje de suelo identificado como espacio urbano sensible"))</f>
        <v>Porcentaje de suelo identificado como espacio urbano sensible</v>
      </c>
      <c r="G91" s="425" t="s">
        <v>821</v>
      </c>
      <c r="H91" s="375" t="str">
        <f t="shared" si="3"/>
        <v>Indicar porcentaje (%)</v>
      </c>
      <c r="I91" s="98" t="s">
        <v>20</v>
      </c>
      <c r="J91" s="93"/>
      <c r="K91" s="93"/>
      <c r="L91" s="93"/>
      <c r="M91" s="93"/>
      <c r="N91" s="93"/>
    </row>
    <row r="92" spans="1:15" ht="29.4" customHeight="1" thickBot="1">
      <c r="D92" s="699"/>
      <c r="E92" s="695"/>
      <c r="F92" s="429" t="str">
        <f>IF(Idioma=Castellano,"Personas de &gt; 70 años",IF(Idioma=Valencià,"Persones de &gt; 70 anys ","Personas de &gt; 70 años"))</f>
        <v>Personas de &gt; 70 años</v>
      </c>
      <c r="G92" s="425" t="s">
        <v>814</v>
      </c>
      <c r="H92" s="375" t="str">
        <f t="shared" si="3"/>
        <v>Indicar porcentaje (%)</v>
      </c>
      <c r="I92" s="98" t="s">
        <v>27</v>
      </c>
      <c r="J92" s="93"/>
      <c r="K92" s="93"/>
      <c r="L92" s="93"/>
      <c r="M92" s="93"/>
      <c r="N92" s="93"/>
    </row>
    <row r="93" spans="1:15" ht="29.4" customHeight="1" thickBot="1">
      <c r="D93" s="699"/>
      <c r="E93" s="695"/>
      <c r="F93" s="427" t="str">
        <f>IF(Idioma=Castellano,"Personas de &lt; 12 años",IF(Idioma=Valencià,"Persones de &lt; 12 anys","Personas de &lt; 12 años"))</f>
        <v>Personas de &lt; 12 años</v>
      </c>
      <c r="G93" s="425" t="s">
        <v>814</v>
      </c>
      <c r="H93" s="375" t="str">
        <f t="shared" si="3"/>
        <v>Indicar porcentaje (%)</v>
      </c>
      <c r="I93" s="98" t="s">
        <v>27</v>
      </c>
      <c r="J93" s="93"/>
      <c r="K93" s="93"/>
      <c r="L93" s="93"/>
      <c r="M93" s="93"/>
      <c r="N93" s="93"/>
    </row>
    <row r="94" spans="1:15" ht="16.2" customHeight="1" thickBot="1">
      <c r="D94" s="699"/>
      <c r="E94" s="696" t="str">
        <f>IF(Idioma=Castellano,"Capacidad de adaptación",IF(Idioma=Valencià,"Capacitat d'adaptació","Capacidad de adaptación"))</f>
        <v>Capacidad de adaptación</v>
      </c>
      <c r="F94" s="422" t="str">
        <f>IF(Idioma=Castellano,"Dotación arbórea urbana per cápita",IF(Idioma=Valencià,"Dotació arbòria urbana per càpita.","Dotación arbórea urbana per cápita"))</f>
        <v>Dotación arbórea urbana per cápita</v>
      </c>
      <c r="G94" s="369" t="str">
        <f>IF(Idioma=Castellano,"Plan de evaluación",IF(Idioma=Valencià,"Pla d'avaluació","Plan de evaluación"))</f>
        <v>Plan de evaluación</v>
      </c>
      <c r="H94" s="373" t="s">
        <v>822</v>
      </c>
      <c r="I94" s="98" t="s">
        <v>27</v>
      </c>
      <c r="J94" s="93"/>
      <c r="K94" s="93"/>
      <c r="L94" s="93"/>
      <c r="M94" s="93"/>
      <c r="N94" s="93"/>
    </row>
    <row r="95" spans="1:15" ht="29.4" thickBot="1">
      <c r="D95" s="699"/>
      <c r="E95" s="696"/>
      <c r="F95" s="424" t="str">
        <f>IF(Idioma=Castellano,"Superficie de zonas verdes o naturales en el área urbana por cada habitante",IF(Idioma=Valencià,"Superfície de zones verdes o naturals en l'àrea urbana per cada habitant","Superficie de zonas verdes o naturales en el área urbana por cada habitante"))</f>
        <v>Superficie de zonas verdes o naturales en el área urbana por cada habitante</v>
      </c>
      <c r="G95" s="426" t="s">
        <v>823</v>
      </c>
      <c r="H95" s="385" t="s">
        <v>824</v>
      </c>
      <c r="I95" s="98" t="s">
        <v>20</v>
      </c>
      <c r="J95" s="602"/>
      <c r="K95" s="602"/>
      <c r="L95" s="602"/>
      <c r="M95" s="602"/>
      <c r="N95" s="602"/>
    </row>
    <row r="96" spans="1:15" ht="33" customHeight="1" thickBot="1">
      <c r="D96" s="699"/>
      <c r="E96" s="696"/>
      <c r="F96" s="430" t="str">
        <f>IF(Idioma=Castellano,"Centros de salud y hospitales por cada 1.000 habitantes",IF(Idioma=Valencià,"Centres de salut i hospitals per cada 1.000 habitants","Centros de salud y hospitales por cada 1.000 habitantes"))</f>
        <v>Centros de salud y hospitales por cada 1.000 habitantes</v>
      </c>
      <c r="G96" s="369" t="str">
        <f t="shared" ref="G96:G101" si="4">IF(Idioma=Castellano,"Plan de evaluación",IF(Idioma=Valencià,"Pla d'avaluació","Plan de evaluación"))</f>
        <v>Plan de evaluación</v>
      </c>
      <c r="H96" s="382" t="s">
        <v>825</v>
      </c>
      <c r="I96" s="98" t="s">
        <v>27</v>
      </c>
      <c r="J96" s="93"/>
      <c r="K96" s="93"/>
      <c r="L96" s="93"/>
      <c r="M96" s="93"/>
      <c r="N96" s="93"/>
    </row>
    <row r="97" spans="1:14" ht="29.4" customHeight="1" thickBot="1">
      <c r="D97" s="699"/>
      <c r="E97" s="696"/>
      <c r="F97" s="119" t="str">
        <f>IF(Idioma=Castellano,"¿Se ha considerado la disposición de corredores de sombras en las áreas peatonales y carriles bici?",IF(Idioma=Valencià,"S'ha considerat la disposició de corredors d'ombres en les àrees per als vianants i carrils bici?","¿Se ha considerado la disposición de corredores de sombras en las áreas peatonales y carriles bici?"))</f>
        <v>¿Se ha considerado la disposición de corredores de sombras en las áreas peatonales y carriles bici?</v>
      </c>
      <c r="G97" s="369" t="str">
        <f t="shared" si="4"/>
        <v>Plan de evaluación</v>
      </c>
      <c r="H97" s="397" t="s">
        <v>819</v>
      </c>
      <c r="I97" s="98" t="s">
        <v>20</v>
      </c>
      <c r="J97" s="93"/>
      <c r="K97" s="93"/>
      <c r="L97" s="93"/>
      <c r="M97" s="93"/>
      <c r="N97" s="93"/>
    </row>
    <row r="98" spans="1:14" ht="29.4" thickBot="1">
      <c r="D98" s="699"/>
      <c r="E98" s="696"/>
      <c r="F98" s="422" t="str">
        <f>IF(Idioma=Castellano,"¿Se ha considerado la disposición de edificios equipados con cubiertas y/o fachadas verdes?",IF(Idioma=Valencià,"S'ha considerat la disposició d'edificis equipats amb cobertes i/o façanes verdes?","¿Se ha considerado la disposición de edificios equipados con cubiertas y/o fachadas verdes?"))</f>
        <v>¿Se ha considerado la disposición de edificios equipados con cubiertas y/o fachadas verdes?</v>
      </c>
      <c r="G98" s="369" t="str">
        <f t="shared" si="4"/>
        <v>Plan de evaluación</v>
      </c>
      <c r="H98" s="382" t="s">
        <v>819</v>
      </c>
      <c r="I98" s="98" t="s">
        <v>20</v>
      </c>
      <c r="J98" s="93"/>
      <c r="K98" s="93"/>
      <c r="L98" s="93"/>
      <c r="M98" s="93"/>
      <c r="N98" s="93"/>
    </row>
    <row r="99" spans="1:14" ht="29.4" customHeight="1" thickBot="1">
      <c r="D99" s="699"/>
      <c r="E99" s="696"/>
      <c r="F99" s="424" t="str">
        <f>IF(Idioma=Castellano,"¿Se ha considerado el desarrollo de planes o estrategias relacionadas con la adaptación al cambio climático?",IF(Idioma=Valencià,"S'ha considerat el desenvolupament de plans o estratègies relacionades amb l'adaptació al canvi climàtic?","¿Se ha considerado el desarrollo de planes o estrategias relacionadas con la adaptación al cambio climático?"))</f>
        <v>¿Se ha considerado el desarrollo de planes o estrategias relacionadas con la adaptación al cambio climático?</v>
      </c>
      <c r="G99" s="369" t="str">
        <f t="shared" si="4"/>
        <v>Plan de evaluación</v>
      </c>
      <c r="H99" s="409" t="s">
        <v>819</v>
      </c>
      <c r="I99" s="98" t="s">
        <v>27</v>
      </c>
      <c r="J99" s="93"/>
      <c r="K99" s="93"/>
      <c r="L99" s="93"/>
      <c r="M99" s="93"/>
      <c r="N99" s="93"/>
    </row>
    <row r="100" spans="1:14" ht="29.4" customHeight="1" thickBot="1">
      <c r="D100" s="699"/>
      <c r="E100" s="696"/>
      <c r="F100" s="119" t="str">
        <f>IF(Idioma=Castellano,"¿Se han considerado criterios de eficiencia energética en edificaciones nuevas o existentes?",IF(Idioma=Valencià,"S'han considerat criteris d'eficiència energètica en edificacions noves o existents?","¿Se han considerado criterios de eficiencia energética en edificaciones nuevas o existentes?"))</f>
        <v>¿Se han considerado criterios de eficiencia energética en edificaciones nuevas o existentes?</v>
      </c>
      <c r="G100" s="369" t="str">
        <f t="shared" si="4"/>
        <v>Plan de evaluación</v>
      </c>
      <c r="H100" s="409" t="s">
        <v>819</v>
      </c>
      <c r="I100" s="98" t="s">
        <v>20</v>
      </c>
      <c r="J100" s="93"/>
      <c r="K100" s="93"/>
      <c r="L100" s="93"/>
      <c r="M100" s="93"/>
      <c r="N100" s="93"/>
    </row>
    <row r="101" spans="1:14" ht="29.4" customHeight="1" thickBot="1">
      <c r="D101" s="349"/>
      <c r="E101" s="696"/>
      <c r="F101" s="119" t="str">
        <f>IF(Idioma=Castellano,"¿Se ha considera la ventilación urbana como un criterio para la planificación urbana?",IF(Idioma=Valencià,"S'ha considera la ventilació urbana com un criteri per a la planificació urbana?","¿Se ha considera la ventilación urbana como un criterio para la planificación urbana?"))</f>
        <v>¿Se ha considera la ventilación urbana como un criterio para la planificación urbana?</v>
      </c>
      <c r="G101" s="369" t="str">
        <f t="shared" si="4"/>
        <v>Plan de evaluación</v>
      </c>
      <c r="H101" s="409" t="s">
        <v>819</v>
      </c>
      <c r="I101" s="98" t="s">
        <v>27</v>
      </c>
      <c r="J101" s="93"/>
      <c r="K101" s="93"/>
      <c r="L101" s="93"/>
      <c r="M101" s="93"/>
      <c r="N101" s="93"/>
    </row>
    <row r="102" spans="1:14" ht="29.4" customHeight="1"/>
    <row r="103" spans="1:14" s="282" customFormat="1" ht="29.25" customHeight="1" thickBot="1">
      <c r="A103" s="148"/>
      <c r="B103" s="135"/>
      <c r="E103" s="282" t="str">
        <f>IF(Idioma=Castellano,"5. IMPACTO POR ESTRÉS TERMICO Y SEQUIA",IF(Idioma=Valencià,"5. IMPACTE PER ESTRÉS TERMICO I SEQUIA","5. IMPACTO POR ESTRÉS TERMICO Y SEQUIA"))</f>
        <v>5. IMPACTO POR ESTRÉS TERMICO Y SEQUIA</v>
      </c>
      <c r="F103" s="436"/>
      <c r="M103" s="436"/>
    </row>
    <row r="104" spans="1:14" ht="29.4" thickBot="1">
      <c r="D104" s="735" t="str">
        <f>IF(Idioma=Castellano,"Amenaza",IF(Idioma=Valencià,"Amenaça","Amenaza"))</f>
        <v>Amenaza</v>
      </c>
      <c r="E104" s="736"/>
      <c r="F104" s="29" t="str">
        <f>IF(Idioma=Castellano,"Reducción de aportación hídrica",IF(Idioma=Valencià,"Reducció d'aportació hídrica","Reducción de aportación hídrica"))</f>
        <v>Reducción de aportación hídrica</v>
      </c>
      <c r="G104" s="396" t="str">
        <f>IF(Idioma=Castellano,"Fuente",IF(Idioma=Valencià,"Font","Fuente"))</f>
        <v>Fuente</v>
      </c>
      <c r="H104" s="396" t="str">
        <f>IF(Idioma=Castellano,"Valor a introducir",IF(Idioma=Valencià,"Valor a introduir","Valor a introducir"))</f>
        <v>Valor a introducir</v>
      </c>
      <c r="I104" s="396" t="str">
        <f>IF(Idioma=Castellano,"¿Se dispone del dato y/o es aplicable?",IF(Idioma=Valencià,"Es disposa de la dada i/o és aplicable?","¿Se dispone del dato y/o es aplicable?"))</f>
        <v>¿Se dispone del dato y/o es aplicable?</v>
      </c>
      <c r="J104" s="433" t="s">
        <v>603</v>
      </c>
      <c r="K104" s="434" t="s">
        <v>31</v>
      </c>
      <c r="L104" s="435" t="s">
        <v>36</v>
      </c>
      <c r="M104" s="437" t="s">
        <v>39</v>
      </c>
      <c r="N104" s="438" t="s">
        <v>42</v>
      </c>
    </row>
    <row r="105" spans="1:14" ht="29.4" thickBot="1">
      <c r="D105" s="735"/>
      <c r="E105" s="735"/>
      <c r="F105" s="716" t="str">
        <f>IF(Idioma=Castellano,"Precipitación máxima acumulada en 5 días",IF(Idioma=Valencià,"Precipitació màxima acumulada en 5 dies","Precipitación máxima acumulada en 5 días"))</f>
        <v>Precipitación máxima acumulada en 5 días</v>
      </c>
      <c r="G105" s="708" t="s">
        <v>826</v>
      </c>
      <c r="H105" s="398" t="str">
        <f>IF(Idioma=Castellano,"Indicar valor máximo histórico en la zona de exposición",IF(Idioma=Valencià,"Indicar valor màxim històric en la zona d'exposició","Indicar valor máximo histórico en la zona de exposición"))</f>
        <v>Indicar valor máximo histórico en la zona de exposición</v>
      </c>
      <c r="I105" s="702" t="s">
        <v>20</v>
      </c>
      <c r="J105" s="381"/>
      <c r="K105" s="432"/>
      <c r="L105" s="432"/>
      <c r="M105" s="432"/>
      <c r="N105" s="432"/>
    </row>
    <row r="106" spans="1:14" ht="29.4" thickBot="1">
      <c r="D106" s="735"/>
      <c r="E106" s="735"/>
      <c r="F106" s="742"/>
      <c r="G106" s="709"/>
      <c r="H106" s="370" t="str">
        <f>IF(Idioma=Castellano,"Indicar valor máximo proyectado para el periodo temporal escogido ",IF(Idioma=Valencià,"Indicar valor màxim projectat per al període temporal triat ","Indicar valor máximo proyectado para el periodo temporal escogido"))</f>
        <v xml:space="preserve">Indicar valor máximo proyectado para el periodo temporal escogido </v>
      </c>
      <c r="I106" s="701"/>
      <c r="J106" s="152"/>
      <c r="K106" s="93"/>
      <c r="L106" s="93"/>
      <c r="M106" s="93"/>
      <c r="N106" s="93"/>
    </row>
    <row r="107" spans="1:14" ht="29.4" customHeight="1" thickBot="1">
      <c r="D107" s="735"/>
      <c r="E107" s="735"/>
      <c r="F107" s="706" t="str">
        <f>IF(Idioma=Castellano,"Máximo N° de días consecutivos con precipitación &lt; 1mm",IF(Idioma=Valencià,"Màxim N° de dies consecutius amb precipitació &lt; 1mm","Máximo N° de días consecutivos con precipitación &lt; 1mm"))</f>
        <v>Máximo N° de días consecutivos con precipitación &lt; 1mm</v>
      </c>
      <c r="G107" s="714" t="s">
        <v>803</v>
      </c>
      <c r="H107" s="371" t="str">
        <f>IF(Idioma=Castellano,"Indicar valor máximo histórico en la zona de exposición",IF(Idioma=Valencià,"Indicar valor màxim històric en la zona d'exposició","Indicar valor máximo histórico en la zona de exposición"))</f>
        <v>Indicar valor máximo histórico en la zona de exposición</v>
      </c>
      <c r="I107" s="700" t="s">
        <v>20</v>
      </c>
      <c r="J107" s="93"/>
      <c r="K107" s="92"/>
      <c r="L107" s="92"/>
      <c r="M107" s="92"/>
      <c r="N107" s="92"/>
    </row>
    <row r="108" spans="1:14" ht="29.4" thickBot="1">
      <c r="D108" s="735"/>
      <c r="E108" s="735"/>
      <c r="F108" s="707"/>
      <c r="G108" s="709"/>
      <c r="H108" s="372" t="str">
        <f>IF(Idioma=Castellano,"Indicar valor máximo proyectado para el periodo temporal escogido ",IF(Idioma=Valencià,"Indicar valor màxim projectat per al període temporal triat ","Indicar valor máximo proyectado para el periodo temporal escogido"))</f>
        <v xml:space="preserve">Indicar valor máximo proyectado para el periodo temporal escogido </v>
      </c>
      <c r="I108" s="701"/>
      <c r="J108" s="152"/>
      <c r="K108" s="93"/>
      <c r="L108" s="93"/>
      <c r="M108" s="93"/>
      <c r="N108" s="93"/>
    </row>
    <row r="109" spans="1:14" ht="29.4" customHeight="1" thickBot="1">
      <c r="D109" s="697" t="str">
        <f>IF(Idioma=Castellano,"Exposición",IF(Idioma=Valencià,"Exposició","Exposición"))</f>
        <v>Exposición</v>
      </c>
      <c r="E109" s="698"/>
      <c r="F109" s="422" t="str">
        <f>IF(Idioma=Castellano,"Densidad de población estimada del suelo residencial, terciario y equipamientos",IF(Idioma=Valencià,"Densitat de població estimada del sòl residencial, terciari i equipaments","Densidad de población estimada del suelo residencial, terciario y equipamientos"))</f>
        <v>Densidad de población estimada del suelo residencial, terciario y equipamientos</v>
      </c>
      <c r="G109" s="369" t="str">
        <f>IF(Idioma=Castellano,"Plan de evaluación",IF(Idioma=Valencià,"Pla d'avaluació","Plan de evaluación"))</f>
        <v>Plan de evaluación</v>
      </c>
      <c r="H109" s="373" t="s">
        <v>820</v>
      </c>
      <c r="I109" s="98"/>
      <c r="J109" s="381"/>
      <c r="K109" s="381"/>
      <c r="L109" s="381"/>
      <c r="M109" s="381"/>
      <c r="N109" s="381"/>
    </row>
    <row r="110" spans="1:14" ht="16.2" customHeight="1" thickBot="1">
      <c r="D110" s="697"/>
      <c r="E110" s="698"/>
      <c r="F110" s="424" t="str">
        <f>IF(Idioma=Castellano,"Áreas de cultivo de regadío (superficie / superficie total)",IF(Idioma=Valencià,"Àrees de cultiu de regadiu (superfície / superfície total)","Áreas de cultivo de regadío (superficie / superficie total)"))</f>
        <v>Áreas de cultivo de regadío (superficie / superficie total)</v>
      </c>
      <c r="G110" s="425" t="s">
        <v>810</v>
      </c>
      <c r="H110" s="372" t="s">
        <v>818</v>
      </c>
      <c r="I110" s="98" t="s">
        <v>20</v>
      </c>
      <c r="J110" s="93"/>
      <c r="K110" s="93"/>
      <c r="L110" s="93"/>
      <c r="M110" s="93"/>
      <c r="N110" s="93"/>
    </row>
    <row r="111" spans="1:14" ht="30.75" customHeight="1" thickBot="1">
      <c r="D111" s="697"/>
      <c r="E111" s="698"/>
      <c r="F111" s="119" t="str">
        <f>IF(Idioma=Castellano,"Zonas verdes con necesidades de riego en suelo urbano o urbanizable",IF(Idioma=Valencià,"Zones verdes amb necessitats de reg en sòl urbà o urbanitzable","Zonas verdes con necesidades de riego en suelo urbano o urbanizable"))</f>
        <v>Zonas verdes con necesidades de riego en suelo urbano o urbanizable</v>
      </c>
      <c r="G111" s="425" t="s">
        <v>810</v>
      </c>
      <c r="H111" s="372" t="s">
        <v>818</v>
      </c>
      <c r="I111" s="98" t="s">
        <v>20</v>
      </c>
      <c r="J111" s="93"/>
      <c r="K111" s="93"/>
      <c r="L111" s="93"/>
      <c r="M111" s="93"/>
      <c r="N111" s="93"/>
    </row>
    <row r="112" spans="1:14" ht="16.2" thickBot="1">
      <c r="D112" s="699" t="str">
        <f>IF(Idioma=Castellano,"Vulnerabilidad",IF(Idioma=Valencià,"Vulnerabilitat","Vulnerabilidad"))</f>
        <v>Vulnerabilidad</v>
      </c>
      <c r="E112" s="695" t="str">
        <f>IF(Idioma=Castellano,"Sensibilidad",IF(Idioma=Valencià,"Sensibilitat","Sensibilidad"))</f>
        <v>Sensibilidad</v>
      </c>
      <c r="F112" s="119" t="str">
        <f>IF(Idioma=Castellano,"Superficie de suelo con accesibilidad a acuíferos baja",IF(Idioma=Valencià,"Superfície de sòl amb accessibilitat a aqüífers baixa","Superficie de suelo con accesibilidad a acuíferos baja"))</f>
        <v>Superficie de suelo con accesibilidad a acuíferos baja</v>
      </c>
      <c r="G112" s="425" t="s">
        <v>810</v>
      </c>
      <c r="H112" s="372" t="s">
        <v>818</v>
      </c>
      <c r="I112" s="98" t="s">
        <v>27</v>
      </c>
      <c r="J112" s="93"/>
      <c r="K112" s="93"/>
      <c r="L112" s="93"/>
      <c r="M112" s="93"/>
      <c r="N112" s="93"/>
    </row>
    <row r="113" spans="4:14" ht="16.2" thickBot="1">
      <c r="D113" s="699"/>
      <c r="E113" s="695"/>
      <c r="F113" s="119" t="str">
        <f>IF(Idioma=Castellano,"Superficie de suelo con vulnerabilidad de acuiferos alta",IF(Idioma=Valencià,"Superfície de sòl amb vulnerabilitat d'aqüífers alta","Superficie de suelo con vulnerabilidad de acuiferos alta"))</f>
        <v>Superficie de suelo con vulnerabilidad de acuiferos alta</v>
      </c>
      <c r="G113" s="425" t="s">
        <v>810</v>
      </c>
      <c r="H113" s="372" t="s">
        <v>818</v>
      </c>
      <c r="I113" s="98" t="s">
        <v>20</v>
      </c>
      <c r="J113" s="93"/>
      <c r="K113" s="93"/>
      <c r="L113" s="93"/>
      <c r="M113" s="93"/>
      <c r="N113" s="93"/>
    </row>
    <row r="114" spans="4:14" ht="16.2" thickBot="1">
      <c r="D114" s="699"/>
      <c r="E114" s="695"/>
      <c r="F114" s="423" t="str">
        <f>IF(Idioma=Castellano,"Superficie de suelo con permeabilidad baja",IF(Idioma=Valencià,"Superfície de sòl amb permeabilitat baixa","Superficie de suelo con permeabilidad baja"))</f>
        <v>Superficie de suelo con permeabilidad baja</v>
      </c>
      <c r="G114" s="425" t="s">
        <v>810</v>
      </c>
      <c r="H114" s="372" t="s">
        <v>818</v>
      </c>
      <c r="I114" s="98" t="s">
        <v>27</v>
      </c>
      <c r="J114" s="93"/>
      <c r="K114" s="93"/>
      <c r="L114" s="93"/>
      <c r="M114" s="93"/>
      <c r="N114" s="93"/>
    </row>
    <row r="115" spans="4:14" ht="29.4" thickBot="1">
      <c r="D115" s="699"/>
      <c r="E115" s="695"/>
      <c r="F115" s="422" t="str">
        <f>IF(Idioma=Castellano,"¿Se ha encontrado la cuenca hidrográfica del área de estudio en estado de emergencia por sequía en los últimos años?",IF(Idioma=Valencià,"S'ha trobat la conca hidrogràfica de l'àrea d'estudi en estat d'emergència per sequera en els últims anys?","¿Se ha encontrado la cuenca hidrográfica del área de estudio en estado de emergencia por sequía en los últimos años?"))</f>
        <v>¿Se ha encontrado la cuenca hidrográfica del área de estudio en estado de emergencia por sequía en los últimos años?</v>
      </c>
      <c r="G115" s="425" t="s">
        <v>828</v>
      </c>
      <c r="H115" s="374" t="s">
        <v>817</v>
      </c>
      <c r="I115" s="98" t="s">
        <v>20</v>
      </c>
      <c r="J115" s="149"/>
      <c r="K115" s="149"/>
      <c r="L115" s="149"/>
      <c r="M115" s="149"/>
      <c r="N115" s="149"/>
    </row>
    <row r="116" spans="4:14" ht="29.4" thickBot="1">
      <c r="D116" s="699"/>
      <c r="E116" s="695"/>
      <c r="F116" s="119" t="str">
        <f>IF(Idioma=Castellano,"¿Se ha dado un estado de sequía prolongada en la cuenca hidrográfica del área de estudio en los últimos años?",IF(Idioma=Valencià,"S'ha donat un estat de sequera prolongada en la conca hidrogràfica de l'àrea d'estudi en els últims anys?","¿Se ha dado un estado de sequía prolongada en la cuenca hidrográfica del área de estudio en los últimos años?"))</f>
        <v>¿Se ha dado un estado de sequía prolongada en la cuenca hidrográfica del área de estudio en los últimos años?</v>
      </c>
      <c r="G116" s="425" t="s">
        <v>828</v>
      </c>
      <c r="H116" s="374" t="s">
        <v>817</v>
      </c>
      <c r="I116" s="98" t="s">
        <v>20</v>
      </c>
      <c r="J116" s="149"/>
      <c r="K116" s="149"/>
      <c r="L116" s="149"/>
      <c r="M116" s="149"/>
      <c r="N116" s="149"/>
    </row>
    <row r="117" spans="4:14" ht="30.75" customHeight="1" thickBot="1">
      <c r="D117" s="699"/>
      <c r="E117" s="695"/>
      <c r="F117" s="427" t="str">
        <f>IF(Idioma=Castellano,"Personas de &gt; 70 años",IF(Idioma=Valencià,"Persones de &gt; 70 anys ","Personas de &gt; 70 años"))</f>
        <v>Personas de &gt; 70 años</v>
      </c>
      <c r="G117" s="425" t="s">
        <v>814</v>
      </c>
      <c r="H117" s="375" t="str">
        <f>IF(Idioma=Castellano,"Indicar porcentaje (%)",IF(Idioma=Valencià,"Indicar percentatge (%)","Indicar porcentaje (%)"))</f>
        <v>Indicar porcentaje (%)</v>
      </c>
      <c r="I117" s="98" t="s">
        <v>27</v>
      </c>
      <c r="J117" s="93"/>
      <c r="K117" s="93"/>
      <c r="L117" s="93"/>
      <c r="M117" s="93"/>
      <c r="N117" s="93"/>
    </row>
    <row r="118" spans="4:14" ht="30.75" customHeight="1" thickBot="1">
      <c r="D118" s="699"/>
      <c r="E118" s="695"/>
      <c r="F118" s="427" t="str">
        <f>IF(Idioma=Castellano,"Personas de &lt; 12 años",IF(Idioma=Valencià,"Persones de &lt; 12 anys","Personas de &lt; 12 años"))</f>
        <v>Personas de &lt; 12 años</v>
      </c>
      <c r="G118" s="425" t="s">
        <v>814</v>
      </c>
      <c r="H118" s="375" t="str">
        <f>IF(Idioma=Castellano,"Indicar porcentaje (%)",IF(Idioma=Valencià,"Indicar percentatge (%)","Indicar porcentaje (%)"))</f>
        <v>Indicar porcentaje (%)</v>
      </c>
      <c r="I118" s="98" t="s">
        <v>27</v>
      </c>
      <c r="J118" s="93"/>
      <c r="K118" s="93"/>
      <c r="L118" s="93"/>
      <c r="M118" s="93"/>
      <c r="N118" s="93"/>
    </row>
    <row r="119" spans="4:14" ht="30.75" customHeight="1" thickBot="1">
      <c r="D119" s="699"/>
      <c r="E119" s="695"/>
      <c r="F119" s="423" t="str">
        <f>IF(Idioma=Castellano,"Estado Global de las Masas de agua subterránea",IF(Idioma=Valencià,"Estat Global de les Masses d'aigua subterràniat","Estado Global de las Masas de agua subterránea"))</f>
        <v>Estado Global de las Masas de agua subterránea</v>
      </c>
      <c r="G119" s="425" t="s">
        <v>810</v>
      </c>
      <c r="H119" s="375" t="s">
        <v>829</v>
      </c>
      <c r="I119" s="98" t="s">
        <v>27</v>
      </c>
      <c r="J119" s="93"/>
      <c r="K119" s="93"/>
      <c r="L119" s="93"/>
      <c r="M119" s="93"/>
      <c r="N119" s="93"/>
    </row>
    <row r="120" spans="4:14" ht="32.25" customHeight="1" thickBot="1">
      <c r="D120" s="699"/>
      <c r="E120" s="695"/>
      <c r="F120" s="423" t="str">
        <f>IF(Idioma=Castellano,"Necesidades de agua potable",IF(Idioma=Valencià,"Necessitats d'aigua potable ","Necesidades de agua potable"))</f>
        <v>Necesidades de agua potable</v>
      </c>
      <c r="G120" s="369" t="str">
        <f t="shared" ref="G120:G128" si="5">IF(Idioma=Castellano,"Plan de evaluación",IF(Idioma=Valencià,"Pla d'avaluació","Plan de evaluación"))</f>
        <v>Plan de evaluación</v>
      </c>
      <c r="H120" s="375" t="s">
        <v>830</v>
      </c>
      <c r="I120" s="98" t="s">
        <v>20</v>
      </c>
      <c r="J120" s="93"/>
      <c r="K120" s="93"/>
      <c r="L120" s="93"/>
      <c r="M120" s="93"/>
      <c r="N120" s="93"/>
    </row>
    <row r="121" spans="4:14" ht="32.25" customHeight="1" thickBot="1">
      <c r="D121" s="699"/>
      <c r="E121" s="695"/>
      <c r="F121" s="423" t="str">
        <f>IF(Idioma=Castellano,"Necesidades de agua de riego ",IF(Idioma=Valencià,"Necessitats d'aigua de reg ","Necesidades de agua de riego "))</f>
        <v xml:space="preserve">Necesidades de agua de riego </v>
      </c>
      <c r="G121" s="369" t="str">
        <f t="shared" si="5"/>
        <v>Plan de evaluación</v>
      </c>
      <c r="H121" s="375" t="s">
        <v>831</v>
      </c>
      <c r="I121" s="98" t="s">
        <v>27</v>
      </c>
      <c r="J121" s="93"/>
      <c r="K121" s="93"/>
      <c r="L121" s="93"/>
      <c r="M121" s="93"/>
      <c r="N121" s="93"/>
    </row>
    <row r="122" spans="4:14" ht="42.75" customHeight="1" thickBot="1">
      <c r="D122" s="699"/>
      <c r="E122" s="695"/>
      <c r="F122" s="422" t="str">
        <f>IF(Idioma=Castellano,"¿Hay explotaciones agrícolas en el área de estudio?",IF(Idioma=Valencià,"Hi ha explotacions agrícoles en l'àrea d'estudi?","¿Hay explotaciones agrícolas en el área de estudio?"))</f>
        <v>¿Hay explotaciones agrícolas en el área de estudio?</v>
      </c>
      <c r="G122" s="377" t="str">
        <f t="shared" si="5"/>
        <v>Plan de evaluación</v>
      </c>
      <c r="H122" s="382" t="s">
        <v>832</v>
      </c>
      <c r="I122" s="378" t="s">
        <v>20</v>
      </c>
      <c r="J122" s="379"/>
      <c r="K122" s="379"/>
      <c r="L122" s="379"/>
      <c r="M122" s="379"/>
      <c r="N122" s="379"/>
    </row>
    <row r="123" spans="4:14" ht="16.2" customHeight="1" thickBot="1">
      <c r="D123" s="699"/>
      <c r="E123" s="695"/>
      <c r="F123" s="119" t="str">
        <f>IF(Idioma=Castellano,"¿Hay explotaciones ganaderas en el área de estudio?",IF(Idioma=Valencià,"Hi ha explotacions ramaderes en l'àrea d'estudi?","¿Hay explotaciones ganaderas en el área de estudio?"))</f>
        <v>¿Hay explotaciones ganaderas en el área de estudio?</v>
      </c>
      <c r="G123" s="431" t="str">
        <f t="shared" si="5"/>
        <v>Plan de evaluación</v>
      </c>
      <c r="H123" s="409" t="s">
        <v>832</v>
      </c>
      <c r="I123" s="389" t="s">
        <v>20</v>
      </c>
      <c r="J123" s="383"/>
      <c r="K123" s="383"/>
      <c r="L123" s="384"/>
      <c r="M123" s="384"/>
      <c r="N123" s="384"/>
    </row>
    <row r="124" spans="4:14" ht="29.4" thickBot="1">
      <c r="D124" s="699"/>
      <c r="E124" s="696" t="str">
        <f>IF(Idioma=Castellano,"Capacidad de adaptación",IF(Idioma=Valencià,"Capacitat d'adaptació","Capacidad de adaptación"))</f>
        <v>Capacidad de adaptación</v>
      </c>
      <c r="F124" s="119" t="str">
        <f>IF(Idioma=Castellano,"¿Se han tenido en cuenta sistemas de recogida de agua de lluvia para riego?",IF(Idioma=Valencià,"S'han tingut en compte sistemes de recollida d'aigua de pluja per a reg?","¿Se han tenido en cuenta sistemas de recogida de agua de lluvia para riego?"))</f>
        <v>¿Se han tenido en cuenta sistemas de recogida de agua de lluvia para riego?</v>
      </c>
      <c r="G124" s="387" t="str">
        <f t="shared" si="5"/>
        <v>Plan de evaluación</v>
      </c>
      <c r="H124" s="382" t="s">
        <v>819</v>
      </c>
      <c r="I124" s="386" t="s">
        <v>27</v>
      </c>
      <c r="J124" s="93"/>
      <c r="K124" s="93"/>
      <c r="L124" s="93"/>
      <c r="M124" s="93"/>
      <c r="N124" s="93"/>
    </row>
    <row r="125" spans="4:14" ht="29.4" thickBot="1">
      <c r="D125" s="699"/>
      <c r="E125" s="696"/>
      <c r="F125" s="119" t="str">
        <f>IF(Idioma=Castellano,"¿Se han considerado suministros de agua alternativos a fuentes naturales?",IF(Idioma=Valencià,"S'han considerat subministraments d'aigua alternatius a fonts naturals?","¿Se han considerado suministros de agua alternativos a fuentes naturales?"))</f>
        <v>¿Se han considerado suministros de agua alternativos a fuentes naturales?</v>
      </c>
      <c r="G125" s="369" t="str">
        <f t="shared" si="5"/>
        <v>Plan de evaluación</v>
      </c>
      <c r="H125" s="397" t="s">
        <v>819</v>
      </c>
      <c r="I125" s="388" t="s">
        <v>27</v>
      </c>
      <c r="J125" s="93"/>
      <c r="K125" s="93"/>
      <c r="L125" s="93"/>
      <c r="M125" s="93"/>
      <c r="N125" s="93"/>
    </row>
    <row r="126" spans="4:14" ht="16.2" thickBot="1">
      <c r="D126" s="699"/>
      <c r="E126" s="696"/>
      <c r="F126" s="422" t="str">
        <f>IF(Idioma=Castellano,"¿Se han considerado sistemas de recogida de agua de lluvia? ",IF(Idioma=Valencià,"S'han considerat sistemes de recollida d'aigua de pluja? ","¿Se han considerado sistemas de recogida de agua de lluvia? "))</f>
        <v xml:space="preserve">¿Se han considerado sistemas de recogida de agua de lluvia? </v>
      </c>
      <c r="G126" s="369" t="str">
        <f t="shared" si="5"/>
        <v>Plan de evaluación</v>
      </c>
      <c r="H126" s="382" t="s">
        <v>819</v>
      </c>
      <c r="I126" s="98" t="s">
        <v>20</v>
      </c>
      <c r="J126" s="93"/>
      <c r="K126" s="93"/>
      <c r="L126" s="93"/>
      <c r="M126" s="93"/>
      <c r="N126" s="93"/>
    </row>
    <row r="127" spans="4:14" ht="39" customHeight="1" thickBot="1">
      <c r="D127" s="699"/>
      <c r="E127" s="696"/>
      <c r="F127" s="119" t="str">
        <f>IF(Idioma=Castellano,"¿Se han considerado sistemas de recuperación aguas grises?",IF(Idioma=Valencià,"S'han considerat sistemes de recuperació aigües grises?","¿Se han considerado sistemas de recuperación aguas grises?"))</f>
        <v>¿Se han considerado sistemas de recuperación aguas grises?</v>
      </c>
      <c r="G127" s="369" t="str">
        <f t="shared" si="5"/>
        <v>Plan de evaluación</v>
      </c>
      <c r="H127" s="382" t="s">
        <v>819</v>
      </c>
      <c r="I127" s="98" t="s">
        <v>20</v>
      </c>
      <c r="J127" s="93"/>
      <c r="K127" s="93"/>
      <c r="L127" s="93"/>
      <c r="M127" s="93"/>
      <c r="N127" s="93"/>
    </row>
    <row r="128" spans="4:14" ht="16.2" thickBot="1">
      <c r="D128" s="699"/>
      <c r="E128" s="696"/>
      <c r="F128" s="119" t="str">
        <f>IF(Idioma=Castellano,"¿Se han considerado sistemas de recogida de agua de lluvia para riego?",IF(Idioma=Valencià,"S'han considerat sistemes de recollida d'aigua de pluja per a reg?","¿Se han considerado sistemas de recogida de agua de lluvia para riego?"))</f>
        <v>¿Se han considerado sistemas de recogida de agua de lluvia para riego?</v>
      </c>
      <c r="G128" s="369" t="str">
        <f t="shared" si="5"/>
        <v>Plan de evaluación</v>
      </c>
      <c r="H128" s="408" t="s">
        <v>819</v>
      </c>
      <c r="I128" s="98" t="s">
        <v>27</v>
      </c>
      <c r="J128" s="93"/>
      <c r="K128" s="93"/>
      <c r="L128" s="93"/>
      <c r="M128" s="93"/>
      <c r="N128" s="93"/>
    </row>
    <row r="129" spans="4:14" ht="69" customHeight="1" thickBot="1">
      <c r="D129" s="699"/>
      <c r="E129" s="696"/>
      <c r="F129" s="423" t="str">
        <f>IF(Idioma=Castellano,"Áreas de cultivo de secano",IF(Idioma=Valencià,"Àrees de cultiu de secà","Áreas de cultivo de secano"))</f>
        <v>Áreas de cultivo de secano</v>
      </c>
      <c r="G129" s="425" t="s">
        <v>810</v>
      </c>
      <c r="H129" s="376" t="s">
        <v>818</v>
      </c>
      <c r="I129" s="98" t="s">
        <v>27</v>
      </c>
      <c r="J129" s="93"/>
      <c r="K129" s="93"/>
      <c r="L129" s="93"/>
      <c r="M129" s="93"/>
      <c r="N129" s="93"/>
    </row>
    <row r="130" spans="4:14" ht="86.25" customHeight="1"/>
    <row r="137" spans="4:14" ht="21.75" customHeight="1"/>
    <row r="138" spans="4:14" ht="26.25" customHeight="1"/>
  </sheetData>
  <dataConsolidate link="1"/>
  <mergeCells count="54">
    <mergeCell ref="E74:E77"/>
    <mergeCell ref="E78:E79"/>
    <mergeCell ref="D87:D100"/>
    <mergeCell ref="H38:H40"/>
    <mergeCell ref="I38:I40"/>
    <mergeCell ref="D41:E41"/>
    <mergeCell ref="D42:D57"/>
    <mergeCell ref="E42:E53"/>
    <mergeCell ref="E87:E93"/>
    <mergeCell ref="E94:E101"/>
    <mergeCell ref="I63:I64"/>
    <mergeCell ref="I14:I15"/>
    <mergeCell ref="G107:G108"/>
    <mergeCell ref="D104:E108"/>
    <mergeCell ref="D86:E86"/>
    <mergeCell ref="D66:D79"/>
    <mergeCell ref="F105:F106"/>
    <mergeCell ref="F39:F40"/>
    <mergeCell ref="D38:E40"/>
    <mergeCell ref="G38:G40"/>
    <mergeCell ref="E66:E73"/>
    <mergeCell ref="D83:E85"/>
    <mergeCell ref="D60:E64"/>
    <mergeCell ref="D65:E65"/>
    <mergeCell ref="E54:E57"/>
    <mergeCell ref="F61:F62"/>
    <mergeCell ref="F63:F64"/>
    <mergeCell ref="F14:F15"/>
    <mergeCell ref="G14:G15"/>
    <mergeCell ref="D13:E15"/>
    <mergeCell ref="D16:E16"/>
    <mergeCell ref="D17:D34"/>
    <mergeCell ref="E17:E29"/>
    <mergeCell ref="E30:E34"/>
    <mergeCell ref="J38:J40"/>
    <mergeCell ref="K38:K40"/>
    <mergeCell ref="L38:L40"/>
    <mergeCell ref="M38:M40"/>
    <mergeCell ref="N38:N40"/>
    <mergeCell ref="I107:I108"/>
    <mergeCell ref="I84:I85"/>
    <mergeCell ref="I61:I62"/>
    <mergeCell ref="F107:F108"/>
    <mergeCell ref="G105:G106"/>
    <mergeCell ref="I105:I106"/>
    <mergeCell ref="G61:G62"/>
    <mergeCell ref="G63:G64"/>
    <mergeCell ref="G84:G85"/>
    <mergeCell ref="F84:F85"/>
    <mergeCell ref="E112:E123"/>
    <mergeCell ref="E124:E129"/>
    <mergeCell ref="D109:E111"/>
    <mergeCell ref="D112:D125"/>
    <mergeCell ref="D126:D129"/>
  </mergeCells>
  <phoneticPr fontId="71" type="noConversion"/>
  <conditionalFormatting sqref="H14:H15">
    <cfRule type="expression" dxfId="251" priority="641">
      <formula>#REF!="No"</formula>
    </cfRule>
  </conditionalFormatting>
  <conditionalFormatting sqref="F16">
    <cfRule type="expression" dxfId="250" priority="632">
      <formula>#REF!="No"</formula>
    </cfRule>
  </conditionalFormatting>
  <conditionalFormatting sqref="H29">
    <cfRule type="expression" dxfId="249" priority="631">
      <formula>#REF!="No"</formula>
    </cfRule>
  </conditionalFormatting>
  <conditionalFormatting sqref="F22:N29">
    <cfRule type="expression" dxfId="248" priority="630">
      <formula>$G$5="No"</formula>
    </cfRule>
  </conditionalFormatting>
  <conditionalFormatting sqref="G62:I62 H76:H79 F76:F79 G63:H64 F65:H75 G61:J61 K62:N62 J65:N70 J74:N75">
    <cfRule type="expression" dxfId="247" priority="573">
      <formula>$G$8="No"</formula>
    </cfRule>
  </conditionalFormatting>
  <conditionalFormatting sqref="F71:N73 F76:N79">
    <cfRule type="expression" dxfId="246" priority="572">
      <formula>$G$5="No"</formula>
    </cfRule>
  </conditionalFormatting>
  <conditionalFormatting sqref="F92">
    <cfRule type="expression" dxfId="245" priority="568">
      <formula>#REF!="No"</formula>
    </cfRule>
  </conditionalFormatting>
  <conditionalFormatting sqref="F93">
    <cfRule type="expression" dxfId="244" priority="567">
      <formula>#REF!="No"</formula>
    </cfRule>
  </conditionalFormatting>
  <conditionalFormatting sqref="G92">
    <cfRule type="expression" dxfId="243" priority="566">
      <formula>$G$6="No"</formula>
    </cfRule>
  </conditionalFormatting>
  <conditionalFormatting sqref="G93">
    <cfRule type="expression" dxfId="242" priority="565">
      <formula>$G$6="No"</formula>
    </cfRule>
  </conditionalFormatting>
  <conditionalFormatting sqref="J90:N91">
    <cfRule type="expression" dxfId="241" priority="563">
      <formula>$I90="No"</formula>
    </cfRule>
  </conditionalFormatting>
  <conditionalFormatting sqref="J96:N96">
    <cfRule type="expression" dxfId="240" priority="562">
      <formula>$I96="Sí"</formula>
    </cfRule>
  </conditionalFormatting>
  <conditionalFormatting sqref="F101:N101 F91:N96">
    <cfRule type="expression" dxfId="239" priority="559">
      <formula>$G$5="No"</formula>
    </cfRule>
  </conditionalFormatting>
  <conditionalFormatting sqref="I14:N14 I16:I34 I20:N20 J29:N29 J32:N34 J15:N15">
    <cfRule type="expression" dxfId="238" priority="547">
      <formula>"$G$7=""No"""</formula>
    </cfRule>
  </conditionalFormatting>
  <conditionalFormatting sqref="J29:N29">
    <cfRule type="expression" dxfId="237" priority="519">
      <formula>$I$29="No"</formula>
    </cfRule>
  </conditionalFormatting>
  <conditionalFormatting sqref="I22">
    <cfRule type="expression" dxfId="236" priority="530">
      <formula>$G$5="No"</formula>
    </cfRule>
  </conditionalFormatting>
  <conditionalFormatting sqref="I16:I31 I29:N34">
    <cfRule type="expression" dxfId="235" priority="514">
      <formula>$G$7="No"</formula>
    </cfRule>
  </conditionalFormatting>
  <conditionalFormatting sqref="F41:N57">
    <cfRule type="expression" dxfId="234" priority="498">
      <formula>$G$6="No"</formula>
    </cfRule>
  </conditionalFormatting>
  <conditionalFormatting sqref="F124:N125 F117:N121 F129:N129">
    <cfRule type="expression" dxfId="233" priority="483">
      <formula>$G$5="No"</formula>
    </cfRule>
  </conditionalFormatting>
  <conditionalFormatting sqref="F109:I109 F110:N129 F105:N108">
    <cfRule type="expression" dxfId="232" priority="481">
      <formula>$G$9="No"</formula>
    </cfRule>
  </conditionalFormatting>
  <conditionalFormatting sqref="J63 K64:N64">
    <cfRule type="expression" dxfId="231" priority="480">
      <formula>$G$8="No"</formula>
    </cfRule>
  </conditionalFormatting>
  <conditionalFormatting sqref="J71:N71">
    <cfRule type="expression" dxfId="230" priority="303">
      <formula>$G$8="No"</formula>
    </cfRule>
  </conditionalFormatting>
  <conditionalFormatting sqref="J72:N72">
    <cfRule type="expression" dxfId="229" priority="302">
      <formula>$G$8="No"</formula>
    </cfRule>
  </conditionalFormatting>
  <conditionalFormatting sqref="J73:N73">
    <cfRule type="expression" dxfId="228" priority="301">
      <formula>$G$8="No"</formula>
    </cfRule>
  </conditionalFormatting>
  <conditionalFormatting sqref="G94">
    <cfRule type="expression" dxfId="227" priority="287">
      <formula>"$G$7=""No"""</formula>
    </cfRule>
  </conditionalFormatting>
  <conditionalFormatting sqref="G94">
    <cfRule type="expression" dxfId="226" priority="286">
      <formula>$G$7="No"</formula>
    </cfRule>
  </conditionalFormatting>
  <conditionalFormatting sqref="G86">
    <cfRule type="expression" dxfId="225" priority="253">
      <formula>"$G$7=""No"""</formula>
    </cfRule>
  </conditionalFormatting>
  <conditionalFormatting sqref="G86">
    <cfRule type="expression" dxfId="224" priority="252">
      <formula>$G$7="No"</formula>
    </cfRule>
  </conditionalFormatting>
  <conditionalFormatting sqref="F13">
    <cfRule type="expression" dxfId="223" priority="218">
      <formula>#REF!="No"</formula>
    </cfRule>
  </conditionalFormatting>
  <conditionalFormatting sqref="F13">
    <cfRule type="expression" dxfId="222" priority="217">
      <formula>"$G$7=""No"""</formula>
    </cfRule>
  </conditionalFormatting>
  <conditionalFormatting sqref="F13">
    <cfRule type="expression" dxfId="221" priority="216">
      <formula>$G$7="No"</formula>
    </cfRule>
  </conditionalFormatting>
  <conditionalFormatting sqref="F14">
    <cfRule type="expression" dxfId="220" priority="215">
      <formula>#REF!="No"</formula>
    </cfRule>
  </conditionalFormatting>
  <conditionalFormatting sqref="F14">
    <cfRule type="expression" dxfId="219" priority="214">
      <formula>"$G$7=""No"""</formula>
    </cfRule>
  </conditionalFormatting>
  <conditionalFormatting sqref="F14">
    <cfRule type="expression" dxfId="218" priority="213">
      <formula>$G$7="No"</formula>
    </cfRule>
  </conditionalFormatting>
  <conditionalFormatting sqref="F39">
    <cfRule type="expression" dxfId="217" priority="209">
      <formula>#REF!="No"</formula>
    </cfRule>
  </conditionalFormatting>
  <conditionalFormatting sqref="F63">
    <cfRule type="expression" dxfId="216" priority="203">
      <formula>#REF!="No"</formula>
    </cfRule>
  </conditionalFormatting>
  <conditionalFormatting sqref="F63">
    <cfRule type="expression" dxfId="215" priority="202">
      <formula>"$G$7=""No"""</formula>
    </cfRule>
  </conditionalFormatting>
  <conditionalFormatting sqref="F63">
    <cfRule type="expression" dxfId="214" priority="201">
      <formula>$G$7="No"</formula>
    </cfRule>
  </conditionalFormatting>
  <conditionalFormatting sqref="F84">
    <cfRule type="expression" dxfId="213" priority="200">
      <formula>#REF!="No"</formula>
    </cfRule>
  </conditionalFormatting>
  <conditionalFormatting sqref="F84">
    <cfRule type="expression" dxfId="212" priority="199">
      <formula>"$G$7=""No"""</formula>
    </cfRule>
  </conditionalFormatting>
  <conditionalFormatting sqref="F84">
    <cfRule type="expression" dxfId="211" priority="198">
      <formula>$G$7="No"</formula>
    </cfRule>
  </conditionalFormatting>
  <conditionalFormatting sqref="F47:N53">
    <cfRule type="expression" dxfId="210" priority="241">
      <formula>$G$5="No"</formula>
    </cfRule>
  </conditionalFormatting>
  <conditionalFormatting sqref="J30:N30">
    <cfRule type="expression" dxfId="209" priority="515">
      <formula>$I$30="No"</formula>
    </cfRule>
  </conditionalFormatting>
  <conditionalFormatting sqref="J30:N31">
    <cfRule type="expression" dxfId="208" priority="159">
      <formula>"$G$7=""No"""</formula>
    </cfRule>
  </conditionalFormatting>
  <conditionalFormatting sqref="J31:N31">
    <cfRule type="expression" dxfId="207" priority="156">
      <formula>$I$31="No"</formula>
    </cfRule>
  </conditionalFormatting>
  <conditionalFormatting sqref="F63:N63 F64:H64 G61:N62 J64:N64 F65:N79">
    <cfRule type="expression" dxfId="206" priority="131">
      <formula>$G$8="No"</formula>
    </cfRule>
  </conditionalFormatting>
  <conditionalFormatting sqref="J54:N54">
    <cfRule type="expression" dxfId="205" priority="88">
      <formula>$I$54="No"</formula>
    </cfRule>
  </conditionalFormatting>
  <conditionalFormatting sqref="J55:N55">
    <cfRule type="expression" dxfId="204" priority="84">
      <formula>$I$55="No"</formula>
    </cfRule>
  </conditionalFormatting>
  <conditionalFormatting sqref="F61">
    <cfRule type="expression" dxfId="203" priority="10">
      <formula>#REF!="No"</formula>
    </cfRule>
  </conditionalFormatting>
  <conditionalFormatting sqref="F61">
    <cfRule type="expression" dxfId="202" priority="9">
      <formula>"$G$7=""No"""</formula>
    </cfRule>
  </conditionalFormatting>
  <conditionalFormatting sqref="F61">
    <cfRule type="expression" dxfId="201" priority="8">
      <formula>$G$7="No"</formula>
    </cfRule>
  </conditionalFormatting>
  <hyperlinks>
    <hyperlink ref="A19:B19" location="Resultados!A1" display="Resultados agregados" xr:uid="{FC93A180-9E34-4655-B4EC-32DF7939E414}"/>
    <hyperlink ref="G14" r:id="rId1" display="https://escenarios.adaptecca.es/" xr:uid="{5192D163-8F71-4EFC-A0E2-A0B2F2556D42}"/>
    <hyperlink ref="G31" r:id="rId2" display="https://visor.gva.es/" xr:uid="{CDE17627-1CE1-4693-84E3-C308B6377B84}"/>
    <hyperlink ref="G61" r:id="rId3" display="https://escenarios.adaptecca.es/" xr:uid="{3391846B-3305-4072-A3E7-FBCD7C910BC5}"/>
    <hyperlink ref="G63" r:id="rId4" display="https://escenarios.adaptecca.es/" xr:uid="{CD6B116C-1373-4558-8BFE-A6ECCC374986}"/>
    <hyperlink ref="G84" r:id="rId5" display="https://escenarios.adaptecca.es/" xr:uid="{EF861DC8-3F23-4BF8-BF68-5C19C972EB0A}"/>
    <hyperlink ref="G92" r:id="rId6" display="https://pegv.gva.es/es/" xr:uid="{52E69671-9B68-425A-9DA7-FBAB0C593AC1}"/>
    <hyperlink ref="G93" r:id="rId7" display="https://pegv.gva.es/es/" xr:uid="{0B7E0220-B969-4618-B2FE-E78FE2BD7519}"/>
    <hyperlink ref="G105" r:id="rId8" display="https://escenarios.adaptecca.es/" xr:uid="{3B818791-2531-47D3-9265-74A08EAD09C5}"/>
    <hyperlink ref="G107" r:id="rId9" display="https://escenarios.adaptecca.es/" xr:uid="{4B6D7204-39A5-44F5-9AFC-0EAAFFA5DFFF}"/>
    <hyperlink ref="G112" r:id="rId10" display="https://visor.gva.es/" xr:uid="{D3AD27DF-026D-4B43-9D58-843DE06FF434}"/>
    <hyperlink ref="G119" r:id="rId11" display="https://visor.gva.es/" xr:uid="{424326DE-339D-4264-AB9A-B6F962736DDD}"/>
    <hyperlink ref="G117" r:id="rId12" display="https://pegv.gva.es/es/" xr:uid="{9E5845B0-B67D-43C1-A3A5-D55CCFED7FC6}"/>
    <hyperlink ref="G118" r:id="rId13" display="https://pegv.gva.es/es/" xr:uid="{E5A0626A-52B6-4934-AF7E-3FD09C4182DD}"/>
    <hyperlink ref="G129" r:id="rId14" display="https://visor.gva.es/" xr:uid="{FFA7D224-F858-4814-887C-122DAAA1073D}"/>
    <hyperlink ref="G113" r:id="rId15" display="https://visor.gva.es/" xr:uid="{FC14362A-0793-480A-B366-772DB87DD392}"/>
    <hyperlink ref="G114" r:id="rId16" display="https://visor.gva.es/" xr:uid="{D7E24B18-1194-4DAA-9C55-8D2B7B858F03}"/>
    <hyperlink ref="G110" r:id="rId17" display="https://visor.gva.es/" xr:uid="{C85E547B-5C5D-4C3B-9386-7D3E807F4158}"/>
    <hyperlink ref="G111" r:id="rId18" display="https://visor.gva.es/" xr:uid="{06BEEBE9-E1EB-4086-AB74-8268A6231AA6}"/>
    <hyperlink ref="A6" location="Instrucciones_Valencia!A1" display="Instrucciones_Valencia!A1" xr:uid="{6FA3B53A-0D65-4C8F-BB7F-723377D0FC5B}"/>
    <hyperlink ref="A8" location="M_Datos_Valencia!A1" display="M_Datos_Valencia!A1" xr:uid="{75B5C048-3084-4B11-8851-E8834E0DC044}"/>
    <hyperlink ref="A10" location="V_A0!A1" display="2.1. Alternativa 0 (A0)" xr:uid="{923D066F-3719-4672-8555-1E5A869E0AFC}"/>
    <hyperlink ref="A11" location="V_A1!A1" display="2.2. Alternativa 1 (A1)" xr:uid="{39A94131-FDCB-4AA0-8FDE-0863AFF5E360}"/>
    <hyperlink ref="A12" location="V_A2!A1" display="2.3. Alternativa 2 (A2)" xr:uid="{01176111-A2DC-4189-AD55-797BD49DF139}"/>
    <hyperlink ref="A13" location="V_A3!A1" display="2.4. Alternativa 3 (A3)" xr:uid="{BE03CB8B-9FD8-4AA7-9D47-6DD5D95C7A74}"/>
    <hyperlink ref="A14" location="V_A4!A1" display="2.5. Alternativa 4 (A4)" xr:uid="{BDA2331E-6FE7-4073-BB66-2D2556F73B70}"/>
    <hyperlink ref="A15" location="B_Resultados!A1" display="B_Resultados!A1" xr:uid="{CFFDD22C-C35E-431A-8E3D-91C796C3FEDE}"/>
    <hyperlink ref="A16" location="V_Factores!A1" display="V_Factores!A1" xr:uid="{65263A1D-6084-4379-8C80-8F987CDFE7A9}"/>
    <hyperlink ref="A18" location="B_Alcance!A1" display="B_Alcance!A1" xr:uid="{6C64D946-5D6E-4AAE-97A4-5C9BFF6CAD8B}"/>
    <hyperlink ref="A19" location="B_Checklist!A1" display="2. Checklist" xr:uid="{033FBD18-56F2-4C7A-BC30-517EC918E0E3}"/>
    <hyperlink ref="A20" location="B_Resultados!A1" display="B_Resultados!A1" xr:uid="{892A6DAD-5CB7-411D-89E2-FA04AEC6022F}"/>
    <hyperlink ref="A21" location="Resultados_generales!A1" display="Resultados_generales!A1" xr:uid="{96C522FB-D260-4B6C-88C1-F632805CAFF7}"/>
    <hyperlink ref="A22" location="Medidas_Propuestas!A1" display="Medidas_Propuestas!A1" xr:uid="{2DA46615-4DD6-4E26-BC4C-E6F0931D23CE}"/>
  </hyperlinks>
  <pageMargins left="0.7" right="0.7" top="0.75" bottom="0.75" header="0.3" footer="0.3"/>
  <pageSetup paperSize="9" orientation="portrait" r:id="rId19"/>
  <drawing r:id="rId20"/>
  <extLst>
    <ext xmlns:x14="http://schemas.microsoft.com/office/spreadsheetml/2009/9/main" uri="{78C0D931-6437-407d-A8EE-F0AAD7539E65}">
      <x14:conditionalFormattings>
        <x14:conditionalFormatting xmlns:xm="http://schemas.microsoft.com/office/excel/2006/main">
          <x14:cfRule type="expression" priority="35" id="{45E65D58-0806-427E-963F-D0D74CB5A700}">
            <xm:f>$I$89=M_Lista!$E$4</xm:f>
            <x14:dxf>
              <font>
                <color theme="0" tint="-0.14996795556505021"/>
              </font>
              <fill>
                <patternFill>
                  <bgColor theme="0" tint="-4.9989318521683403E-2"/>
                </patternFill>
              </fill>
            </x14:dxf>
          </x14:cfRule>
          <xm:sqref>J89:N89</xm:sqref>
        </x14:conditionalFormatting>
        <x14:conditionalFormatting xmlns:xm="http://schemas.microsoft.com/office/excel/2006/main">
          <x14:cfRule type="expression" priority="126" id="{10942E00-8864-484D-B867-56FDFC9273A5}">
            <xm:f>$I$96=M_Lista!$E$4</xm:f>
            <x14:dxf>
              <font>
                <color theme="0" tint="-0.14996795556505021"/>
              </font>
              <fill>
                <patternFill>
                  <bgColor theme="0" tint="-4.9989318521683403E-2"/>
                </patternFill>
              </fill>
            </x14:dxf>
          </x14:cfRule>
          <xm:sqref>J96:N96</xm:sqref>
        </x14:conditionalFormatting>
        <x14:conditionalFormatting xmlns:xm="http://schemas.microsoft.com/office/excel/2006/main">
          <x14:cfRule type="expression" priority="46" id="{2BA662E6-6C23-4F17-B573-5505A46C2BD3}">
            <xm:f>$I$71=M_Lista!$E$4</xm:f>
            <x14:dxf>
              <font>
                <color theme="0" tint="-0.14996795556505021"/>
              </font>
              <fill>
                <patternFill>
                  <bgColor theme="0" tint="-4.9989318521683403E-2"/>
                </patternFill>
              </fill>
            </x14:dxf>
          </x14:cfRule>
          <xm:sqref>J71:N71</xm:sqref>
        </x14:conditionalFormatting>
        <x14:conditionalFormatting xmlns:xm="http://schemas.microsoft.com/office/excel/2006/main">
          <x14:cfRule type="expression" priority="45" id="{A8006B4E-78E3-4A44-A096-924645266AB3}">
            <xm:f>$I$72=M_Lista!$E$4</xm:f>
            <x14:dxf>
              <font>
                <color theme="0" tint="-0.14996795556505021"/>
              </font>
              <fill>
                <patternFill>
                  <bgColor theme="0" tint="-4.9989318521683403E-2"/>
                </patternFill>
              </fill>
            </x14:dxf>
          </x14:cfRule>
          <xm:sqref>J72:N72</xm:sqref>
        </x14:conditionalFormatting>
        <x14:conditionalFormatting xmlns:xm="http://schemas.microsoft.com/office/excel/2006/main">
          <x14:cfRule type="expression" priority="44" id="{93514011-57AD-43A2-A186-B91089D47DF0}">
            <xm:f>$I$73=M_Lista!$E$4</xm:f>
            <x14:dxf>
              <font>
                <color theme="0" tint="-0.14996795556505021"/>
              </font>
              <fill>
                <patternFill>
                  <bgColor theme="0" tint="-4.9989318521683403E-2"/>
                </patternFill>
              </fill>
            </x14:dxf>
          </x14:cfRule>
          <xm:sqref>J73:N73</xm:sqref>
        </x14:conditionalFormatting>
        <x14:conditionalFormatting xmlns:xm="http://schemas.microsoft.com/office/excel/2006/main">
          <x14:cfRule type="expression" priority="171" id="{88BBF51B-F09F-4C28-ADA1-4566B329EF33}">
            <xm:f>$I$19=M_Lista!$E$4</xm:f>
            <x14:dxf>
              <font>
                <color theme="0" tint="-0.14996795556505021"/>
              </font>
              <fill>
                <patternFill>
                  <bgColor theme="0" tint="-4.9989318521683403E-2"/>
                </patternFill>
              </fill>
            </x14:dxf>
          </x14:cfRule>
          <xm:sqref>J19:N19</xm:sqref>
        </x14:conditionalFormatting>
        <x14:conditionalFormatting xmlns:xm="http://schemas.microsoft.com/office/excel/2006/main">
          <x14:cfRule type="expression" priority="167" id="{CE4E9513-8E2D-4ED0-8740-3473CAF7819D}">
            <xm:f>$I$33=M_Lista!$E$4</xm:f>
            <x14:dxf>
              <font>
                <color theme="0" tint="-0.14996795556505021"/>
              </font>
              <fill>
                <patternFill>
                  <bgColor theme="0" tint="-4.9989318521683403E-2"/>
                </patternFill>
              </fill>
            </x14:dxf>
          </x14:cfRule>
          <xm:sqref>J33:N33</xm:sqref>
        </x14:conditionalFormatting>
        <x14:conditionalFormatting xmlns:xm="http://schemas.microsoft.com/office/excel/2006/main">
          <x14:cfRule type="expression" priority="178" id="{9A0B052C-FE28-4677-B5B7-C003CF7B0E31}">
            <xm:f>$I$14=M_Lista!$E$4</xm:f>
            <x14:dxf>
              <font>
                <color theme="0" tint="-0.14996795556505021"/>
              </font>
              <fill>
                <patternFill>
                  <bgColor theme="0" tint="-4.9989318521683403E-2"/>
                </patternFill>
              </fill>
            </x14:dxf>
          </x14:cfRule>
          <xm:sqref>J14:N15</xm:sqref>
        </x14:conditionalFormatting>
        <x14:conditionalFormatting xmlns:xm="http://schemas.microsoft.com/office/excel/2006/main">
          <x14:cfRule type="expression" priority="533" id="{00000000-000E-0000-0D00-000059010000}">
            <xm:f>$G$7=M_Lista!$E$4</xm:f>
            <x14:dxf>
              <font>
                <color theme="0" tint="-0.14996795556505021"/>
              </font>
              <fill>
                <patternFill>
                  <bgColor theme="0" tint="-4.9989318521683403E-2"/>
                </patternFill>
              </fill>
            </x14:dxf>
          </x14:cfRule>
          <xm:sqref>F14:N34</xm:sqref>
        </x14:conditionalFormatting>
        <x14:conditionalFormatting xmlns:xm="http://schemas.microsoft.com/office/excel/2006/main">
          <x14:cfRule type="expression" priority="176" id="{47D75DF5-11B8-489B-B116-851D809DF3F7}">
            <xm:f>$I$16=M_Lista!$E$4</xm:f>
            <x14:dxf>
              <font>
                <color theme="0" tint="-0.14996795556505021"/>
              </font>
              <fill>
                <patternFill>
                  <bgColor theme="0" tint="-4.9989318521683403E-2"/>
                </patternFill>
              </fill>
            </x14:dxf>
          </x14:cfRule>
          <xm:sqref>J16:N16</xm:sqref>
        </x14:conditionalFormatting>
        <x14:conditionalFormatting xmlns:xm="http://schemas.microsoft.com/office/excel/2006/main">
          <x14:cfRule type="expression" priority="174" id="{B4C6C1DD-109F-415B-9121-FE47638E6CD3}">
            <xm:f>$I$17=M_Lista!$E$4</xm:f>
            <x14:dxf>
              <font>
                <color theme="0" tint="-0.14996795556505021"/>
              </font>
              <fill>
                <patternFill>
                  <bgColor theme="0" tint="-4.9989318521683403E-2"/>
                </patternFill>
              </fill>
            </x14:dxf>
          </x14:cfRule>
          <xm:sqref>J17:N17</xm:sqref>
        </x14:conditionalFormatting>
        <x14:conditionalFormatting xmlns:xm="http://schemas.microsoft.com/office/excel/2006/main">
          <x14:cfRule type="expression" priority="172" id="{F7A0646D-6141-4622-8C11-6E0514E9FFC7}">
            <xm:f>$I$18=M_Lista!$E$4</xm:f>
            <x14:dxf>
              <font>
                <color theme="0" tint="-0.14996795556505021"/>
              </font>
              <fill>
                <patternFill>
                  <bgColor theme="0" tint="-4.9989318521683403E-2"/>
                </patternFill>
              </fill>
            </x14:dxf>
          </x14:cfRule>
          <xm:sqref>J18:N18</xm:sqref>
        </x14:conditionalFormatting>
        <x14:conditionalFormatting xmlns:xm="http://schemas.microsoft.com/office/excel/2006/main">
          <x14:cfRule type="expression" priority="169" id="{C6E6801A-D448-402C-8B00-2343DEF7E78B}">
            <xm:f>$I$32=M_Lista!$E$4</xm:f>
            <x14:dxf>
              <font>
                <color theme="0" tint="-0.14996795556505021"/>
              </font>
              <fill>
                <patternFill>
                  <bgColor theme="0" tint="-4.9989318521683403E-2"/>
                </patternFill>
              </fill>
            </x14:dxf>
          </x14:cfRule>
          <xm:sqref>J32:N32</xm:sqref>
        </x14:conditionalFormatting>
        <x14:conditionalFormatting xmlns:xm="http://schemas.microsoft.com/office/excel/2006/main">
          <x14:cfRule type="expression" priority="166" id="{54B4E3E6-641D-4A4F-8AD6-67C189CE332F}">
            <xm:f>$I$20=M_Lista!$E$4</xm:f>
            <x14:dxf>
              <font>
                <color theme="0" tint="-0.14996795556505021"/>
              </font>
              <fill>
                <patternFill>
                  <bgColor theme="0" tint="-4.9989318521683403E-2"/>
                </patternFill>
              </fill>
            </x14:dxf>
          </x14:cfRule>
          <xm:sqref>J20:N20</xm:sqref>
        </x14:conditionalFormatting>
        <x14:conditionalFormatting xmlns:xm="http://schemas.microsoft.com/office/excel/2006/main">
          <x14:cfRule type="expression" priority="165" id="{208C89DE-8543-4C2F-B32A-350EF4F7AE41}">
            <xm:f>$I$21=M_Lista!$E$4</xm:f>
            <x14:dxf>
              <font>
                <color theme="0" tint="-0.14996795556505021"/>
              </font>
              <fill>
                <patternFill>
                  <bgColor theme="0" tint="-4.9989318521683403E-2"/>
                </patternFill>
              </fill>
            </x14:dxf>
          </x14:cfRule>
          <xm:sqref>J21:N21</xm:sqref>
        </x14:conditionalFormatting>
        <x14:conditionalFormatting xmlns:xm="http://schemas.microsoft.com/office/excel/2006/main">
          <x14:cfRule type="expression" priority="164" id="{E7690FFE-DA5A-41F5-9667-500ACC7EE60E}">
            <xm:f>$I$22=M_Lista!$E$4</xm:f>
            <x14:dxf>
              <font>
                <color theme="0" tint="-0.14996795556505021"/>
              </font>
              <fill>
                <patternFill>
                  <bgColor theme="0" tint="-4.9989318521683403E-2"/>
                </patternFill>
              </fill>
            </x14:dxf>
          </x14:cfRule>
          <xm:sqref>J22:N22</xm:sqref>
        </x14:conditionalFormatting>
        <x14:conditionalFormatting xmlns:xm="http://schemas.microsoft.com/office/excel/2006/main">
          <x14:cfRule type="expression" priority="163" id="{0092D990-73C7-4621-B77D-95064304CFFD}">
            <xm:f>$I$23=M_Lista!$E$4</xm:f>
            <x14:dxf>
              <font>
                <color theme="0" tint="-0.14996795556505021"/>
              </font>
              <fill>
                <patternFill>
                  <bgColor theme="0" tint="-4.9989318521683403E-2"/>
                </patternFill>
              </fill>
            </x14:dxf>
          </x14:cfRule>
          <xm:sqref>J23:N23</xm:sqref>
        </x14:conditionalFormatting>
        <x14:conditionalFormatting xmlns:xm="http://schemas.microsoft.com/office/excel/2006/main">
          <x14:cfRule type="expression" priority="162" id="{5F6E1753-252E-417C-9853-1CA669A46A89}">
            <xm:f>$I$24=M_Lista!$E$4</xm:f>
            <x14:dxf>
              <font>
                <color theme="0" tint="-0.14996795556505021"/>
              </font>
              <fill>
                <patternFill>
                  <bgColor theme="0" tint="-4.9989318521683403E-2"/>
                </patternFill>
              </fill>
            </x14:dxf>
          </x14:cfRule>
          <xm:sqref>J24:N24</xm:sqref>
        </x14:conditionalFormatting>
        <x14:conditionalFormatting xmlns:xm="http://schemas.microsoft.com/office/excel/2006/main">
          <x14:cfRule type="expression" priority="161" id="{0C5BB30B-B4FA-41A2-9824-90D4B777D967}">
            <xm:f>$I$25=M_Lista!$E$4</xm:f>
            <x14:dxf>
              <font>
                <color theme="0" tint="-0.14996795556505021"/>
              </font>
              <fill>
                <patternFill>
                  <bgColor theme="0" tint="-4.9989318521683403E-2"/>
                </patternFill>
              </fill>
            </x14:dxf>
          </x14:cfRule>
          <xm:sqref>J25:N25</xm:sqref>
        </x14:conditionalFormatting>
        <x14:conditionalFormatting xmlns:xm="http://schemas.microsoft.com/office/excel/2006/main">
          <x14:cfRule type="expression" priority="160" id="{A35D5DFC-DF23-4CAF-9478-98ABBB0DE189}">
            <xm:f>$I$26=M_Lista!$E$4</xm:f>
            <x14:dxf>
              <font>
                <color theme="0" tint="-0.14996795556505021"/>
              </font>
              <fill>
                <patternFill>
                  <bgColor theme="0" tint="-4.9989318521683403E-2"/>
                </patternFill>
              </fill>
            </x14:dxf>
          </x14:cfRule>
          <xm:sqref>J26:N26</xm:sqref>
        </x14:conditionalFormatting>
        <x14:conditionalFormatting xmlns:xm="http://schemas.microsoft.com/office/excel/2006/main">
          <x14:cfRule type="expression" priority="157" id="{2013F9CA-A0D6-4D71-B010-01FCEA5FE766}">
            <xm:f>$I$34=M_Lista!$E$4</xm:f>
            <x14:dxf>
              <font>
                <color theme="0" tint="-0.14996795556505021"/>
              </font>
              <fill>
                <patternFill>
                  <bgColor theme="0" tint="-4.9989318521683403E-2"/>
                </patternFill>
              </fill>
            </x14:dxf>
          </x14:cfRule>
          <xm:sqref>J34:N34</xm:sqref>
        </x14:conditionalFormatting>
        <x14:conditionalFormatting xmlns:xm="http://schemas.microsoft.com/office/excel/2006/main">
          <x14:cfRule type="expression" priority="155" id="{E62CA542-3F5F-40A3-AB18-E0E01E3AFA76}">
            <xm:f>$I$27=M_Lista!$E$4</xm:f>
            <x14:dxf>
              <font>
                <color theme="0" tint="-0.14996795556505021"/>
              </font>
              <fill>
                <patternFill>
                  <bgColor theme="0" tint="-4.9989318521683403E-2"/>
                </patternFill>
              </fill>
            </x14:dxf>
          </x14:cfRule>
          <xm:sqref>J27:N27</xm:sqref>
        </x14:conditionalFormatting>
        <x14:conditionalFormatting xmlns:xm="http://schemas.microsoft.com/office/excel/2006/main">
          <x14:cfRule type="expression" priority="154" id="{FA473201-6EF3-4170-9D15-2D3FCDEEF20C}">
            <xm:f>$I$28=M_Lista!$E$4</xm:f>
            <x14:dxf>
              <font>
                <color theme="0" tint="-0.14996795556505021"/>
              </font>
              <fill>
                <patternFill>
                  <bgColor theme="0" tint="-4.9989318521683403E-2"/>
                </patternFill>
              </fill>
            </x14:dxf>
          </x14:cfRule>
          <xm:sqref>J28:N28</xm:sqref>
        </x14:conditionalFormatting>
        <x14:conditionalFormatting xmlns:xm="http://schemas.microsoft.com/office/excel/2006/main">
          <x14:cfRule type="expression" priority="150" id="{CFA6B416-AA97-496E-B21E-126B2E0D9480}">
            <xm:f>$I$56=M_Lista!$E$4</xm:f>
            <x14:dxf>
              <font>
                <color theme="0" tint="-0.14996795556505021"/>
              </font>
              <fill>
                <patternFill>
                  <bgColor theme="0" tint="-4.9989318521683403E-2"/>
                </patternFill>
              </fill>
            </x14:dxf>
          </x14:cfRule>
          <xm:sqref>J56:N56</xm:sqref>
        </x14:conditionalFormatting>
        <x14:conditionalFormatting xmlns:xm="http://schemas.microsoft.com/office/excel/2006/main">
          <x14:cfRule type="expression" priority="146" id="{C0D9A272-70D4-4312-B622-B06CDA144661}">
            <xm:f>$I$57=M_Lista!$E$4</xm:f>
            <x14:dxf>
              <font>
                <color theme="0" tint="-0.14996795556505021"/>
              </font>
              <fill>
                <patternFill>
                  <bgColor theme="0" tint="-4.9989318521683403E-2"/>
                </patternFill>
              </fill>
            </x14:dxf>
          </x14:cfRule>
          <xm:sqref>J57:N57</xm:sqref>
        </x14:conditionalFormatting>
        <x14:conditionalFormatting xmlns:xm="http://schemas.microsoft.com/office/excel/2006/main">
          <x14:cfRule type="expression" priority="142" id="{912B409C-9FF7-4C62-8892-D1A0C44C11FC}">
            <xm:f>$I$76=M_Lista!$E$4</xm:f>
            <x14:dxf>
              <font>
                <color theme="0" tint="-0.14996795556505021"/>
              </font>
              <fill>
                <patternFill>
                  <bgColor theme="0" tint="-4.9989318521683403E-2"/>
                </patternFill>
              </fill>
            </x14:dxf>
          </x14:cfRule>
          <xm:sqref>J76:N76</xm:sqref>
        </x14:conditionalFormatting>
        <x14:conditionalFormatting xmlns:xm="http://schemas.microsoft.com/office/excel/2006/main">
          <x14:cfRule type="expression" priority="138" id="{2173259D-A852-49A3-8C8D-6F0EBBC1EB30}">
            <xm:f>$I$77=M_Lista!$E$4</xm:f>
            <x14:dxf>
              <font>
                <color theme="0" tint="-0.14996795556505021"/>
              </font>
              <fill>
                <patternFill>
                  <bgColor theme="0" tint="-4.9989318521683403E-2"/>
                </patternFill>
              </fill>
            </x14:dxf>
          </x14:cfRule>
          <xm:sqref>J77:N77</xm:sqref>
        </x14:conditionalFormatting>
        <x14:conditionalFormatting xmlns:xm="http://schemas.microsoft.com/office/excel/2006/main">
          <x14:cfRule type="expression" priority="134" id="{A07CC755-E6E6-47AD-9A9B-57B634A72BD1}">
            <xm:f>$I$78=M_Lista!$E$4</xm:f>
            <x14:dxf>
              <font>
                <color theme="0" tint="-0.14996795556505021"/>
              </font>
              <fill>
                <patternFill>
                  <bgColor theme="0" tint="-4.9989318521683403E-2"/>
                </patternFill>
              </fill>
            </x14:dxf>
          </x14:cfRule>
          <xm:sqref>J78:N78</xm:sqref>
        </x14:conditionalFormatting>
        <x14:conditionalFormatting xmlns:xm="http://schemas.microsoft.com/office/excel/2006/main">
          <x14:cfRule type="expression" priority="130" id="{8365013D-ED18-4558-981B-3137A29F7CA0}">
            <xm:f>$I$79=M_Lista!$E$4</xm:f>
            <x14:dxf>
              <font>
                <color theme="0" tint="-0.14996795556505021"/>
              </font>
              <fill>
                <patternFill>
                  <bgColor theme="0" tint="-4.9989318521683403E-2"/>
                </patternFill>
              </fill>
            </x14:dxf>
          </x14:cfRule>
          <xm:sqref>J79:N79</xm:sqref>
        </x14:conditionalFormatting>
        <x14:conditionalFormatting xmlns:xm="http://schemas.microsoft.com/office/excel/2006/main">
          <x14:cfRule type="expression" priority="41" id="{BF1998FD-FBE8-40BF-9ECA-81444433EC5B}">
            <xm:f>$I$97=M_Lista!$E$4</xm:f>
            <x14:dxf>
              <font>
                <color theme="0" tint="-0.14996795556505021"/>
              </font>
              <fill>
                <patternFill>
                  <bgColor theme="0" tint="-4.9989318521683403E-2"/>
                </patternFill>
              </fill>
            </x14:dxf>
          </x14:cfRule>
          <xm:sqref>J97:N97</xm:sqref>
        </x14:conditionalFormatting>
        <x14:conditionalFormatting xmlns:xm="http://schemas.microsoft.com/office/excel/2006/main">
          <x14:cfRule type="expression" priority="122" id="{9A387353-FBC7-412B-9238-81484B03126A}">
            <xm:f>$I$98=M_Lista!$E$4</xm:f>
            <x14:dxf>
              <font>
                <color theme="0" tint="-0.14996795556505021"/>
              </font>
              <fill>
                <patternFill>
                  <bgColor theme="0" tint="-4.9989318521683403E-2"/>
                </patternFill>
              </fill>
            </x14:dxf>
          </x14:cfRule>
          <xm:sqref>J98:N98</xm:sqref>
        </x14:conditionalFormatting>
        <x14:conditionalFormatting xmlns:xm="http://schemas.microsoft.com/office/excel/2006/main">
          <x14:cfRule type="expression" priority="118" id="{4F4801E1-DBFF-4D0D-A817-699A1B0CD570}">
            <xm:f>$I$99=M_Lista!$E$4</xm:f>
            <x14:dxf>
              <font>
                <color theme="0" tint="-0.14996795556505021"/>
              </font>
              <fill>
                <patternFill>
                  <bgColor theme="0" tint="-4.9989318521683403E-2"/>
                </patternFill>
              </fill>
            </x14:dxf>
          </x14:cfRule>
          <xm:sqref>J99:N99</xm:sqref>
        </x14:conditionalFormatting>
        <x14:conditionalFormatting xmlns:xm="http://schemas.microsoft.com/office/excel/2006/main">
          <x14:cfRule type="expression" priority="114" id="{DDB43E23-9AAC-48D6-8B5A-F984E23A0720}">
            <xm:f>$I$100=M_Lista!$E$4</xm:f>
            <x14:dxf>
              <font>
                <color theme="0" tint="-0.14996795556505021"/>
              </font>
              <fill>
                <patternFill>
                  <bgColor theme="0" tint="-4.9989318521683403E-2"/>
                </patternFill>
              </fill>
            </x14:dxf>
          </x14:cfRule>
          <xm:sqref>J100:N100</xm:sqref>
        </x14:conditionalFormatting>
        <x14:conditionalFormatting xmlns:xm="http://schemas.microsoft.com/office/excel/2006/main">
          <x14:cfRule type="expression" priority="110" id="{707EEDB7-2DC4-4571-A2C5-BC5B0ABECDF4}">
            <xm:f>$I$101=M_Lista!$E$4</xm:f>
            <x14:dxf>
              <font>
                <color theme="0" tint="-0.14996795556505021"/>
              </font>
              <fill>
                <patternFill>
                  <bgColor theme="0" tint="-4.9989318521683403E-2"/>
                </patternFill>
              </fill>
            </x14:dxf>
          </x14:cfRule>
          <xm:sqref>J101:N101</xm:sqref>
        </x14:conditionalFormatting>
        <x14:conditionalFormatting xmlns:xm="http://schemas.microsoft.com/office/excel/2006/main">
          <x14:cfRule type="expression" priority="106" id="{1FD75167-436F-4BDE-8110-93323868D8A0}">
            <xm:f>$I$124=M_Lista!$E$4</xm:f>
            <x14:dxf>
              <font>
                <color theme="0" tint="-0.14996795556505021"/>
              </font>
              <fill>
                <patternFill>
                  <bgColor theme="0" tint="-4.9989318521683403E-2"/>
                </patternFill>
              </fill>
            </x14:dxf>
          </x14:cfRule>
          <xm:sqref>J124:N124</xm:sqref>
        </x14:conditionalFormatting>
        <x14:conditionalFormatting xmlns:xm="http://schemas.microsoft.com/office/excel/2006/main">
          <x14:cfRule type="expression" priority="102" id="{067212C2-C46D-4DF9-B1AA-C8444F9C62C9}">
            <xm:f>$I$125=M_Lista!$E$4</xm:f>
            <x14:dxf>
              <font>
                <color theme="0" tint="-0.14996795556505021"/>
              </font>
              <fill>
                <patternFill>
                  <bgColor theme="0" tint="-4.9989318521683403E-2"/>
                </patternFill>
              </fill>
            </x14:dxf>
          </x14:cfRule>
          <xm:sqref>J125:N125</xm:sqref>
        </x14:conditionalFormatting>
        <x14:conditionalFormatting xmlns:xm="http://schemas.microsoft.com/office/excel/2006/main">
          <x14:cfRule type="expression" priority="98" id="{B11A1D06-FDD0-4E1C-92A6-57BED4077996}">
            <xm:f>$I$126=M_Lista!$E$4</xm:f>
            <x14:dxf>
              <font>
                <color theme="0" tint="-0.14996795556505021"/>
              </font>
              <fill>
                <patternFill>
                  <bgColor theme="0" tint="-4.9989318521683403E-2"/>
                </patternFill>
              </fill>
            </x14:dxf>
          </x14:cfRule>
          <xm:sqref>J126:N126</xm:sqref>
        </x14:conditionalFormatting>
        <x14:conditionalFormatting xmlns:xm="http://schemas.microsoft.com/office/excel/2006/main">
          <x14:cfRule type="expression" priority="94" id="{02B2500D-AE89-4EEF-A43F-83DDA8FF1A50}">
            <xm:f>$I$127=M_Lista!$E$4</xm:f>
            <x14:dxf>
              <font>
                <color theme="0" tint="-0.14996795556505021"/>
              </font>
              <fill>
                <patternFill>
                  <bgColor theme="0" tint="-4.9989318521683403E-2"/>
                </patternFill>
              </fill>
            </x14:dxf>
          </x14:cfRule>
          <xm:sqref>J127:N127</xm:sqref>
        </x14:conditionalFormatting>
        <x14:conditionalFormatting xmlns:xm="http://schemas.microsoft.com/office/excel/2006/main">
          <x14:cfRule type="expression" priority="90" id="{23086F61-06FE-466D-A02F-5A606BE1339C}">
            <xm:f>$I$128=M_Lista!$E$4</xm:f>
            <x14:dxf>
              <font>
                <color theme="0" tint="-0.14996795556505021"/>
              </font>
              <fill>
                <patternFill>
                  <bgColor theme="0" tint="-4.9989318521683403E-2"/>
                </patternFill>
              </fill>
            </x14:dxf>
          </x14:cfRule>
          <xm:sqref>J128:N128</xm:sqref>
        </x14:conditionalFormatting>
        <x14:conditionalFormatting xmlns:xm="http://schemas.microsoft.com/office/excel/2006/main">
          <x14:cfRule type="expression" priority="80" id="{D45B6E99-6A23-4C44-9A12-D971F307CDD8}">
            <xm:f>$I$41=M_Lista!$E$4</xm:f>
            <x14:dxf>
              <font>
                <color theme="0" tint="-0.14996795556505021"/>
              </font>
              <fill>
                <patternFill>
                  <bgColor theme="0" tint="-4.9989318521683403E-2"/>
                </patternFill>
              </fill>
            </x14:dxf>
          </x14:cfRule>
          <xm:sqref>J41:N41</xm:sqref>
        </x14:conditionalFormatting>
        <x14:conditionalFormatting xmlns:xm="http://schemas.microsoft.com/office/excel/2006/main">
          <x14:cfRule type="expression" priority="79" id="{7319E78E-7FC3-483C-967E-6EDFC52D4809}">
            <xm:f>$G$7=M_Lista!$E$4</xm:f>
            <x14:dxf>
              <font>
                <color theme="0" tint="-0.14996795556505021"/>
              </font>
              <fill>
                <patternFill>
                  <bgColor theme="0" tint="-4.9989318521683403E-2"/>
                </patternFill>
              </fill>
            </x14:dxf>
          </x14:cfRule>
          <xm:sqref>J42:N42</xm:sqref>
        </x14:conditionalFormatting>
        <x14:conditionalFormatting xmlns:xm="http://schemas.microsoft.com/office/excel/2006/main">
          <x14:cfRule type="expression" priority="78" id="{8EE39C16-4164-44EC-80F6-0C03B76F6310}">
            <xm:f>$I$42=M_Lista!$E$4</xm:f>
            <x14:dxf>
              <font>
                <color theme="0" tint="-0.14996795556505021"/>
              </font>
              <fill>
                <patternFill>
                  <bgColor theme="0" tint="-4.9989318521683403E-2"/>
                </patternFill>
              </fill>
            </x14:dxf>
          </x14:cfRule>
          <xm:sqref>J42:N42</xm:sqref>
        </x14:conditionalFormatting>
        <x14:conditionalFormatting xmlns:xm="http://schemas.microsoft.com/office/excel/2006/main">
          <x14:cfRule type="expression" priority="77" id="{F6C7F38E-587E-428C-A63C-B4213333E449}">
            <xm:f>$G$7=M_Lista!$E$4</xm:f>
            <x14:dxf>
              <font>
                <color theme="0" tint="-0.14996795556505021"/>
              </font>
              <fill>
                <patternFill>
                  <bgColor theme="0" tint="-4.9989318521683403E-2"/>
                </patternFill>
              </fill>
            </x14:dxf>
          </x14:cfRule>
          <xm:sqref>J43:N43</xm:sqref>
        </x14:conditionalFormatting>
        <x14:conditionalFormatting xmlns:xm="http://schemas.microsoft.com/office/excel/2006/main">
          <x14:cfRule type="expression" priority="76" id="{01E254F6-7D0E-4E89-BE95-195C2D51135A}">
            <xm:f>$I$43=M_Lista!$E$4</xm:f>
            <x14:dxf>
              <font>
                <color theme="0" tint="-0.14996795556505021"/>
              </font>
              <fill>
                <patternFill>
                  <bgColor theme="0" tint="-4.9989318521683403E-2"/>
                </patternFill>
              </fill>
            </x14:dxf>
          </x14:cfRule>
          <xm:sqref>J43:N43</xm:sqref>
        </x14:conditionalFormatting>
        <x14:conditionalFormatting xmlns:xm="http://schemas.microsoft.com/office/excel/2006/main">
          <x14:cfRule type="expression" priority="75" id="{24A3306C-1B03-419D-AB9B-137AEF71EB3A}">
            <xm:f>$G$7=M_Lista!$E$4</xm:f>
            <x14:dxf>
              <font>
                <color theme="0" tint="-0.14996795556505021"/>
              </font>
              <fill>
                <patternFill>
                  <bgColor theme="0" tint="-4.9989318521683403E-2"/>
                </patternFill>
              </fill>
            </x14:dxf>
          </x14:cfRule>
          <xm:sqref>J44:N44</xm:sqref>
        </x14:conditionalFormatting>
        <x14:conditionalFormatting xmlns:xm="http://schemas.microsoft.com/office/excel/2006/main">
          <x14:cfRule type="expression" priority="74" id="{8D81A9A1-06E0-464E-BE3B-3FC79F6FFDD7}">
            <xm:f>$I$44=M_Lista!$E$4</xm:f>
            <x14:dxf>
              <font>
                <color theme="0" tint="-0.14996795556505021"/>
              </font>
              <fill>
                <patternFill>
                  <bgColor theme="0" tint="-4.9989318521683403E-2"/>
                </patternFill>
              </fill>
            </x14:dxf>
          </x14:cfRule>
          <xm:sqref>J44:N44</xm:sqref>
        </x14:conditionalFormatting>
        <x14:conditionalFormatting xmlns:xm="http://schemas.microsoft.com/office/excel/2006/main">
          <x14:cfRule type="expression" priority="73" id="{FBE999A5-EC03-4243-B68D-F9EBB88DDFFC}">
            <xm:f>$G$7=M_Lista!$E$4</xm:f>
            <x14:dxf>
              <font>
                <color theme="0" tint="-0.14996795556505021"/>
              </font>
              <fill>
                <patternFill>
                  <bgColor theme="0" tint="-4.9989318521683403E-2"/>
                </patternFill>
              </fill>
            </x14:dxf>
          </x14:cfRule>
          <xm:sqref>J45:N45</xm:sqref>
        </x14:conditionalFormatting>
        <x14:conditionalFormatting xmlns:xm="http://schemas.microsoft.com/office/excel/2006/main">
          <x14:cfRule type="expression" priority="72" id="{7EC44B7E-4091-4117-83A7-F720044CA101}">
            <xm:f>$I$45=M_Lista!$E$4</xm:f>
            <x14:dxf>
              <font>
                <color theme="0" tint="-0.14996795556505021"/>
              </font>
              <fill>
                <patternFill>
                  <bgColor theme="0" tint="-4.9989318521683403E-2"/>
                </patternFill>
              </fill>
            </x14:dxf>
          </x14:cfRule>
          <xm:sqref>J45:N45</xm:sqref>
        </x14:conditionalFormatting>
        <x14:conditionalFormatting xmlns:xm="http://schemas.microsoft.com/office/excel/2006/main">
          <x14:cfRule type="expression" priority="71" id="{228578EF-0382-4A93-987B-D57C31883597}">
            <xm:f>$G$7=M_Lista!$E$4</xm:f>
            <x14:dxf>
              <font>
                <color theme="0" tint="-0.14996795556505021"/>
              </font>
              <fill>
                <patternFill>
                  <bgColor theme="0" tint="-4.9989318521683403E-2"/>
                </patternFill>
              </fill>
            </x14:dxf>
          </x14:cfRule>
          <xm:sqref>J46:N46</xm:sqref>
        </x14:conditionalFormatting>
        <x14:conditionalFormatting xmlns:xm="http://schemas.microsoft.com/office/excel/2006/main">
          <x14:cfRule type="expression" priority="70" id="{86E6C2A2-4081-4EB5-9FC5-6A2194AA5269}">
            <xm:f>$I$46=M_Lista!$E$4</xm:f>
            <x14:dxf>
              <font>
                <color theme="0" tint="-0.14996795556505021"/>
              </font>
              <fill>
                <patternFill>
                  <bgColor theme="0" tint="-4.9989318521683403E-2"/>
                </patternFill>
              </fill>
            </x14:dxf>
          </x14:cfRule>
          <xm:sqref>J46:N46</xm:sqref>
        </x14:conditionalFormatting>
        <x14:conditionalFormatting xmlns:xm="http://schemas.microsoft.com/office/excel/2006/main">
          <x14:cfRule type="expression" priority="68" id="{A243DA5D-CCA5-4117-9D0C-934290203223}">
            <xm:f>$I$47=M_Lista!$E$4</xm:f>
            <x14:dxf>
              <font>
                <color theme="0" tint="-0.14996795556505021"/>
              </font>
              <fill>
                <patternFill>
                  <bgColor theme="0" tint="-4.9989318521683403E-2"/>
                </patternFill>
              </fill>
            </x14:dxf>
          </x14:cfRule>
          <xm:sqref>J47:N47</xm:sqref>
        </x14:conditionalFormatting>
        <x14:conditionalFormatting xmlns:xm="http://schemas.microsoft.com/office/excel/2006/main">
          <x14:cfRule type="expression" priority="66" id="{07EAF0BD-0630-490A-A875-0ADB01AD4D8D}">
            <xm:f>$I$48=M_Lista!$E$4</xm:f>
            <x14:dxf>
              <font>
                <color theme="0" tint="-0.14996795556505021"/>
              </font>
              <fill>
                <patternFill>
                  <bgColor theme="0" tint="-4.9989318521683403E-2"/>
                </patternFill>
              </fill>
            </x14:dxf>
          </x14:cfRule>
          <xm:sqref>J48:N48</xm:sqref>
        </x14:conditionalFormatting>
        <x14:conditionalFormatting xmlns:xm="http://schemas.microsoft.com/office/excel/2006/main">
          <x14:cfRule type="expression" priority="64" id="{0895D5E0-F678-44E5-B4F7-0F4F0DBD4553}">
            <xm:f>$I$49=M_Lista!$E$4</xm:f>
            <x14:dxf>
              <font>
                <color theme="0" tint="-0.14996795556505021"/>
              </font>
              <fill>
                <patternFill>
                  <bgColor theme="0" tint="-4.9989318521683403E-2"/>
                </patternFill>
              </fill>
            </x14:dxf>
          </x14:cfRule>
          <xm:sqref>J49:N49</xm:sqref>
        </x14:conditionalFormatting>
        <x14:conditionalFormatting xmlns:xm="http://schemas.microsoft.com/office/excel/2006/main">
          <x14:cfRule type="expression" priority="62" id="{A825DD19-BF1C-4DB8-99AE-560FF7A45FDF}">
            <xm:f>$I$50=M_Lista!$E$4</xm:f>
            <x14:dxf>
              <font>
                <color theme="0" tint="-0.14996795556505021"/>
              </font>
              <fill>
                <patternFill>
                  <bgColor theme="0" tint="-4.9989318521683403E-2"/>
                </patternFill>
              </fill>
            </x14:dxf>
          </x14:cfRule>
          <xm:sqref>J50:N50</xm:sqref>
        </x14:conditionalFormatting>
        <x14:conditionalFormatting xmlns:xm="http://schemas.microsoft.com/office/excel/2006/main">
          <x14:cfRule type="expression" priority="60" id="{C46EEC7F-F282-4D64-AE25-0D68E81F67C5}">
            <xm:f>$I$51=M_Lista!$E$4</xm:f>
            <x14:dxf>
              <font>
                <color theme="0" tint="-0.14996795556505021"/>
              </font>
              <fill>
                <patternFill>
                  <bgColor theme="0" tint="-4.9989318521683403E-2"/>
                </patternFill>
              </fill>
            </x14:dxf>
          </x14:cfRule>
          <xm:sqref>J51:N51</xm:sqref>
        </x14:conditionalFormatting>
        <x14:conditionalFormatting xmlns:xm="http://schemas.microsoft.com/office/excel/2006/main">
          <x14:cfRule type="expression" priority="58" id="{8764D3D4-F92B-4349-A22A-5273E274428D}">
            <xm:f>$I$52=M_Lista!$E$4</xm:f>
            <x14:dxf>
              <font>
                <color theme="0" tint="-0.14996795556505021"/>
              </font>
              <fill>
                <patternFill>
                  <bgColor theme="0" tint="-4.9989318521683403E-2"/>
                </patternFill>
              </fill>
            </x14:dxf>
          </x14:cfRule>
          <xm:sqref>J52:N52</xm:sqref>
        </x14:conditionalFormatting>
        <x14:conditionalFormatting xmlns:xm="http://schemas.microsoft.com/office/excel/2006/main">
          <x14:cfRule type="expression" priority="56" id="{39F7CB46-48F9-4BA1-B745-CA6E15AC185B}">
            <xm:f>$I$53=M_Lista!$E$4</xm:f>
            <x14:dxf>
              <font>
                <color theme="0" tint="-0.14996795556505021"/>
              </font>
              <fill>
                <patternFill>
                  <bgColor theme="0" tint="-4.9989318521683403E-2"/>
                </patternFill>
              </fill>
            </x14:dxf>
          </x14:cfRule>
          <xm:sqref>J53:N53</xm:sqref>
        </x14:conditionalFormatting>
        <x14:conditionalFormatting xmlns:xm="http://schemas.microsoft.com/office/excel/2006/main">
          <x14:cfRule type="expression" priority="55" id="{2898D262-315C-4F7F-BCF6-8786DD7F7E21}">
            <xm:f>$I$61=M_Lista!$E$4</xm:f>
            <x14:dxf>
              <font>
                <color theme="0" tint="-0.14996795556505021"/>
              </font>
              <fill>
                <patternFill>
                  <bgColor theme="0" tint="-4.9989318521683403E-2"/>
                </patternFill>
              </fill>
            </x14:dxf>
          </x14:cfRule>
          <xm:sqref>J61:N62</xm:sqref>
        </x14:conditionalFormatting>
        <x14:conditionalFormatting xmlns:xm="http://schemas.microsoft.com/office/excel/2006/main">
          <x14:cfRule type="expression" priority="54" id="{9D7FEBDD-7DFB-4173-948C-E54200F1EBF1}">
            <xm:f>$I$63=M_Lista!$E$4</xm:f>
            <x14:dxf>
              <font>
                <color theme="0" tint="-0.14996795556505021"/>
              </font>
              <fill>
                <patternFill>
                  <bgColor theme="0" tint="-4.9989318521683403E-2"/>
                </patternFill>
              </fill>
            </x14:dxf>
          </x14:cfRule>
          <xm:sqref>J63:N64</xm:sqref>
        </x14:conditionalFormatting>
        <x14:conditionalFormatting xmlns:xm="http://schemas.microsoft.com/office/excel/2006/main">
          <x14:cfRule type="expression" priority="53" id="{FB640AE1-709E-487A-BF68-AAB7589CE5CD}">
            <xm:f>$I$65=M_Lista!$E$4</xm:f>
            <x14:dxf>
              <font>
                <color theme="0" tint="-0.14996795556505021"/>
              </font>
              <fill>
                <patternFill>
                  <bgColor theme="0" tint="-4.9989318521683403E-2"/>
                </patternFill>
              </fill>
            </x14:dxf>
          </x14:cfRule>
          <xm:sqref>J65:N65</xm:sqref>
        </x14:conditionalFormatting>
        <x14:conditionalFormatting xmlns:xm="http://schemas.microsoft.com/office/excel/2006/main">
          <x14:cfRule type="expression" priority="51" id="{7D52D22C-D0A2-495D-842A-44B80157F223}">
            <xm:f>$I$66=M_Lista!$E$4</xm:f>
            <x14:dxf>
              <font>
                <color theme="0" tint="-0.14996795556505021"/>
              </font>
              <fill>
                <patternFill>
                  <bgColor theme="0" tint="-4.9989318521683403E-2"/>
                </patternFill>
              </fill>
            </x14:dxf>
          </x14:cfRule>
          <xm:sqref>J66:N66</xm:sqref>
        </x14:conditionalFormatting>
        <x14:conditionalFormatting xmlns:xm="http://schemas.microsoft.com/office/excel/2006/main">
          <x14:cfRule type="expression" priority="50" id="{CE56ADD3-77C3-473F-88DA-353F4ED849D1}">
            <xm:f>$I$67=M_Lista!$E$4</xm:f>
            <x14:dxf>
              <font>
                <color theme="0" tint="-0.14996795556505021"/>
              </font>
              <fill>
                <patternFill>
                  <bgColor theme="0" tint="-4.9989318521683403E-2"/>
                </patternFill>
              </fill>
            </x14:dxf>
          </x14:cfRule>
          <xm:sqref>J67:N67</xm:sqref>
        </x14:conditionalFormatting>
        <x14:conditionalFormatting xmlns:xm="http://schemas.microsoft.com/office/excel/2006/main">
          <x14:cfRule type="expression" priority="49" id="{672BB7C4-6A02-414F-92EC-7F86229E335F}">
            <xm:f>$I$68=M_Lista!$E$4</xm:f>
            <x14:dxf>
              <font>
                <color theme="0" tint="-0.14996795556505021"/>
              </font>
              <fill>
                <patternFill>
                  <bgColor theme="0" tint="-4.9989318521683403E-2"/>
                </patternFill>
              </fill>
            </x14:dxf>
          </x14:cfRule>
          <xm:sqref>J68:N68</xm:sqref>
        </x14:conditionalFormatting>
        <x14:conditionalFormatting xmlns:xm="http://schemas.microsoft.com/office/excel/2006/main">
          <x14:cfRule type="expression" priority="48" id="{E9CD85BE-B46E-4C9B-9A44-E8F42825017F}">
            <xm:f>$I$69=M_Lista!$E$4</xm:f>
            <x14:dxf>
              <font>
                <color theme="0" tint="-0.14996795556505021"/>
              </font>
              <fill>
                <patternFill>
                  <bgColor theme="0" tint="-4.9989318521683403E-2"/>
                </patternFill>
              </fill>
            </x14:dxf>
          </x14:cfRule>
          <xm:sqref>J69:N69</xm:sqref>
        </x14:conditionalFormatting>
        <x14:conditionalFormatting xmlns:xm="http://schemas.microsoft.com/office/excel/2006/main">
          <x14:cfRule type="expression" priority="47" id="{F934C085-D00F-449D-B355-422E7EAE824D}">
            <xm:f>$I$70=M_Lista!$E$4</xm:f>
            <x14:dxf>
              <font>
                <color theme="0" tint="-0.14996795556505021"/>
              </font>
              <fill>
                <patternFill>
                  <bgColor theme="0" tint="-4.9989318521683403E-2"/>
                </patternFill>
              </fill>
            </x14:dxf>
          </x14:cfRule>
          <xm:sqref>J70:N70</xm:sqref>
        </x14:conditionalFormatting>
        <x14:conditionalFormatting xmlns:xm="http://schemas.microsoft.com/office/excel/2006/main">
          <x14:cfRule type="expression" priority="43" id="{85A1D80E-5275-45E9-AAC7-A331574F387F}">
            <xm:f>$I$74=M_Lista!$E$4</xm:f>
            <x14:dxf>
              <font>
                <color theme="0" tint="-0.14996795556505021"/>
              </font>
              <fill>
                <patternFill>
                  <bgColor theme="0" tint="-4.9989318521683403E-2"/>
                </patternFill>
              </fill>
            </x14:dxf>
          </x14:cfRule>
          <xm:sqref>J74:N74</xm:sqref>
        </x14:conditionalFormatting>
        <x14:conditionalFormatting xmlns:xm="http://schemas.microsoft.com/office/excel/2006/main">
          <x14:cfRule type="expression" priority="42" id="{B7318534-B6F2-40BA-9E21-AC76F6F534A1}">
            <xm:f>$I$75=M_Lista!$E$4</xm:f>
            <x14:dxf>
              <font>
                <color theme="0" tint="-0.14996795556505021"/>
              </font>
              <fill>
                <patternFill>
                  <bgColor theme="0" tint="-4.9989318521683403E-2"/>
                </patternFill>
              </fill>
            </x14:dxf>
          </x14:cfRule>
          <xm:sqref>J75:N75</xm:sqref>
        </x14:conditionalFormatting>
        <x14:conditionalFormatting xmlns:xm="http://schemas.microsoft.com/office/excel/2006/main">
          <x14:cfRule type="expression" priority="40" id="{56C27A29-E878-462D-9C7A-95EE045C4634}">
            <xm:f>$I$95=M_Lista!$E$4</xm:f>
            <x14:dxf>
              <font>
                <color theme="0" tint="-0.14996795556505021"/>
              </font>
              <fill>
                <patternFill>
                  <bgColor theme="0" tint="-4.9989318521683403E-2"/>
                </patternFill>
              </fill>
            </x14:dxf>
          </x14:cfRule>
          <xm:sqref>J95:N95</xm:sqref>
        </x14:conditionalFormatting>
        <x14:conditionalFormatting xmlns:xm="http://schemas.microsoft.com/office/excel/2006/main">
          <x14:cfRule type="expression" priority="39" id="{285FE4E6-5B0E-4089-BEB9-3D18043CD264}">
            <xm:f>$I$94=M_Lista!$E$4</xm:f>
            <x14:dxf>
              <font>
                <color theme="0" tint="-0.14996795556505021"/>
              </font>
              <fill>
                <patternFill>
                  <bgColor theme="0" tint="-4.9989318521683403E-2"/>
                </patternFill>
              </fill>
            </x14:dxf>
          </x14:cfRule>
          <xm:sqref>J94:N94</xm:sqref>
        </x14:conditionalFormatting>
        <x14:conditionalFormatting xmlns:xm="http://schemas.microsoft.com/office/excel/2006/main">
          <x14:cfRule type="expression" priority="38" id="{250D890C-2A27-4E3F-B180-83C243A675D8}">
            <xm:f>$I$93=M_Lista!$E$4</xm:f>
            <x14:dxf>
              <font>
                <color theme="0" tint="-0.14996795556505021"/>
              </font>
              <fill>
                <patternFill>
                  <bgColor theme="0" tint="-4.9989318521683403E-2"/>
                </patternFill>
              </fill>
            </x14:dxf>
          </x14:cfRule>
          <xm:sqref>J93:N93</xm:sqref>
        </x14:conditionalFormatting>
        <x14:conditionalFormatting xmlns:xm="http://schemas.microsoft.com/office/excel/2006/main">
          <x14:cfRule type="expression" priority="37" id="{AF76B503-8B94-400B-AE66-89281E75E0A6}">
            <xm:f>$I$92=M_Lista!$E$4</xm:f>
            <x14:dxf>
              <font>
                <color theme="0" tint="-0.14996795556505021"/>
              </font>
              <fill>
                <patternFill>
                  <bgColor theme="0" tint="-4.9989318521683403E-2"/>
                </patternFill>
              </fill>
            </x14:dxf>
          </x14:cfRule>
          <xm:sqref>J92:N92</xm:sqref>
        </x14:conditionalFormatting>
        <x14:conditionalFormatting xmlns:xm="http://schemas.microsoft.com/office/excel/2006/main">
          <x14:cfRule type="expression" priority="36" id="{B8DFF845-C197-4269-8D00-B37500F84B36}">
            <xm:f>$I$91=M_Lista!$E$4</xm:f>
            <x14:dxf>
              <font>
                <color theme="0" tint="-0.14996795556505021"/>
              </font>
              <fill>
                <patternFill>
                  <bgColor theme="0" tint="-4.9989318521683403E-2"/>
                </patternFill>
              </fill>
            </x14:dxf>
          </x14:cfRule>
          <xm:sqref>J91:N91</xm:sqref>
        </x14:conditionalFormatting>
        <x14:conditionalFormatting xmlns:xm="http://schemas.microsoft.com/office/excel/2006/main">
          <x14:cfRule type="expression" priority="34" id="{F74E81F3-DB44-40A7-9706-35A090562A4D}">
            <xm:f>$I$88=M_Lista!$E$4</xm:f>
            <x14:dxf>
              <font>
                <color theme="0" tint="-0.14996795556505021"/>
              </font>
              <fill>
                <patternFill>
                  <bgColor theme="0" tint="-4.9989318521683403E-2"/>
                </patternFill>
              </fill>
            </x14:dxf>
          </x14:cfRule>
          <xm:sqref>J88:N88</xm:sqref>
        </x14:conditionalFormatting>
        <x14:conditionalFormatting xmlns:xm="http://schemas.microsoft.com/office/excel/2006/main">
          <x14:cfRule type="expression" priority="33" id="{021AC150-C62C-47E6-AD58-E5714FDF20B1}">
            <xm:f>$I$87=M_Lista!$E$4</xm:f>
            <x14:dxf>
              <font>
                <color theme="0" tint="-0.14996795556505021"/>
              </font>
              <fill>
                <patternFill>
                  <bgColor theme="0" tint="-4.9989318521683403E-2"/>
                </patternFill>
              </fill>
            </x14:dxf>
          </x14:cfRule>
          <xm:sqref>J87:N87</xm:sqref>
        </x14:conditionalFormatting>
        <x14:conditionalFormatting xmlns:xm="http://schemas.microsoft.com/office/excel/2006/main">
          <x14:cfRule type="expression" priority="32" id="{906ACABD-BF43-46F4-B703-D7385050BC1E}">
            <xm:f>$I$86=M_Lista!$E$4</xm:f>
            <x14:dxf>
              <font>
                <color theme="0" tint="-0.14996795556505021"/>
              </font>
              <fill>
                <patternFill>
                  <bgColor theme="0" tint="-4.9989318521683403E-2"/>
                </patternFill>
              </fill>
            </x14:dxf>
          </x14:cfRule>
          <xm:sqref>J86:N86</xm:sqref>
        </x14:conditionalFormatting>
        <x14:conditionalFormatting xmlns:xm="http://schemas.microsoft.com/office/excel/2006/main">
          <x14:cfRule type="expression" priority="31" id="{A5C8EF2E-95C6-454B-B48F-92FD427D5CC0}">
            <xm:f>$I$84=M_Lista!$E$4</xm:f>
            <x14:dxf>
              <font>
                <color theme="0" tint="-0.14996795556505021"/>
              </font>
              <fill>
                <patternFill>
                  <bgColor theme="0" tint="-4.9989318521683403E-2"/>
                </patternFill>
              </fill>
            </x14:dxf>
          </x14:cfRule>
          <xm:sqref>J84:N85</xm:sqref>
        </x14:conditionalFormatting>
        <x14:conditionalFormatting xmlns:xm="http://schemas.microsoft.com/office/excel/2006/main">
          <x14:cfRule type="expression" priority="30" id="{56622759-7FE3-47AA-94A7-72A2D4F2B256}">
            <xm:f>$I$105=M_Lista!$E$4</xm:f>
            <x14:dxf>
              <font>
                <color theme="0" tint="-0.14996795556505021"/>
              </font>
              <fill>
                <patternFill>
                  <bgColor theme="0" tint="-4.9989318521683403E-2"/>
                </patternFill>
              </fill>
            </x14:dxf>
          </x14:cfRule>
          <xm:sqref>J105:N106</xm:sqref>
        </x14:conditionalFormatting>
        <x14:conditionalFormatting xmlns:xm="http://schemas.microsoft.com/office/excel/2006/main">
          <x14:cfRule type="expression" priority="29" id="{BA3B93C4-72E5-48A3-99B0-2D6236DACADE}">
            <xm:f>$I$107=M_Lista!$E$4</xm:f>
            <x14:dxf>
              <font>
                <color theme="0" tint="-0.14996795556505021"/>
              </font>
              <fill>
                <patternFill>
                  <bgColor theme="0" tint="-4.9989318521683403E-2"/>
                </patternFill>
              </fill>
            </x14:dxf>
          </x14:cfRule>
          <xm:sqref>J107:N108</xm:sqref>
        </x14:conditionalFormatting>
        <x14:conditionalFormatting xmlns:xm="http://schemas.microsoft.com/office/excel/2006/main">
          <x14:cfRule type="expression" priority="27" id="{3AC2DC8E-1BBC-4846-A1E3-1AE6A3ACE55E}">
            <xm:f>$I$110=M_Lista!$E$4</xm:f>
            <x14:dxf>
              <font>
                <color theme="0" tint="-0.14996795556505021"/>
              </font>
              <fill>
                <patternFill>
                  <bgColor theme="0" tint="-4.9989318521683403E-2"/>
                </patternFill>
              </fill>
            </x14:dxf>
          </x14:cfRule>
          <xm:sqref>J110:N110</xm:sqref>
        </x14:conditionalFormatting>
        <x14:conditionalFormatting xmlns:xm="http://schemas.microsoft.com/office/excel/2006/main">
          <x14:cfRule type="expression" priority="26" id="{636AE98C-15F6-426F-B88D-CAB9D5451CFB}">
            <xm:f>$I$111=M_Lista!$E$4</xm:f>
            <x14:dxf>
              <font>
                <color theme="0" tint="-0.14996795556505021"/>
              </font>
              <fill>
                <patternFill>
                  <bgColor theme="0" tint="-4.9989318521683403E-2"/>
                </patternFill>
              </fill>
            </x14:dxf>
          </x14:cfRule>
          <xm:sqref>J111:N111</xm:sqref>
        </x14:conditionalFormatting>
        <x14:conditionalFormatting xmlns:xm="http://schemas.microsoft.com/office/excel/2006/main">
          <x14:cfRule type="expression" priority="25" id="{44F86D57-B472-4157-8152-A9599B51C3EF}">
            <xm:f>$I$112=M_Lista!$E$4</xm:f>
            <x14:dxf>
              <font>
                <color theme="0" tint="-0.14996795556505021"/>
              </font>
              <fill>
                <patternFill>
                  <bgColor theme="0" tint="-4.9989318521683403E-2"/>
                </patternFill>
              </fill>
            </x14:dxf>
          </x14:cfRule>
          <xm:sqref>J112:N112</xm:sqref>
        </x14:conditionalFormatting>
        <x14:conditionalFormatting xmlns:xm="http://schemas.microsoft.com/office/excel/2006/main">
          <x14:cfRule type="expression" priority="24" id="{E84C7566-FDAE-4DF7-B1D7-FB65DDE0B56C}">
            <xm:f>$I$113=M_Lista!$E$4</xm:f>
            <x14:dxf>
              <font>
                <color theme="0" tint="-0.14996795556505021"/>
              </font>
              <fill>
                <patternFill>
                  <bgColor theme="0" tint="-4.9989318521683403E-2"/>
                </patternFill>
              </fill>
            </x14:dxf>
          </x14:cfRule>
          <xm:sqref>J113:N113</xm:sqref>
        </x14:conditionalFormatting>
        <x14:conditionalFormatting xmlns:xm="http://schemas.microsoft.com/office/excel/2006/main">
          <x14:cfRule type="expression" priority="23" id="{1C23DB09-CC1F-4F35-ABE2-37E73C8FE327}">
            <xm:f>$I$114=M_Lista!$E$4</xm:f>
            <x14:dxf>
              <font>
                <color theme="0" tint="-0.14996795556505021"/>
              </font>
              <fill>
                <patternFill>
                  <bgColor theme="0" tint="-4.9989318521683403E-2"/>
                </patternFill>
              </fill>
            </x14:dxf>
          </x14:cfRule>
          <xm:sqref>J114:N114</xm:sqref>
        </x14:conditionalFormatting>
        <x14:conditionalFormatting xmlns:xm="http://schemas.microsoft.com/office/excel/2006/main">
          <x14:cfRule type="expression" priority="22" id="{E1E91875-1FC5-4754-86C7-44361C791B27}">
            <xm:f>$I$115=M_Lista!$E$4</xm:f>
            <x14:dxf>
              <font>
                <color theme="0" tint="-0.14996795556505021"/>
              </font>
              <fill>
                <patternFill>
                  <bgColor theme="0" tint="-4.9989318521683403E-2"/>
                </patternFill>
              </fill>
            </x14:dxf>
          </x14:cfRule>
          <xm:sqref>J115:N115</xm:sqref>
        </x14:conditionalFormatting>
        <x14:conditionalFormatting xmlns:xm="http://schemas.microsoft.com/office/excel/2006/main">
          <x14:cfRule type="expression" priority="19" id="{11B3B708-9596-43C3-9402-097EFB580BFC}">
            <xm:f>$I$116=M_Lista!$E$4</xm:f>
            <x14:dxf>
              <font>
                <color theme="0" tint="-0.14996795556505021"/>
              </font>
              <fill>
                <patternFill>
                  <bgColor theme="0" tint="-4.9989318521683403E-2"/>
                </patternFill>
              </fill>
            </x14:dxf>
          </x14:cfRule>
          <x14:cfRule type="expression" priority="21" id="{1C5945CA-29F1-437B-B425-846E54BBB24D}">
            <xm:f>$I$116=M_Lista!$E$4</xm:f>
            <x14:dxf>
              <font>
                <color theme="0" tint="-0.14996795556505021"/>
              </font>
              <fill>
                <patternFill>
                  <bgColor theme="0" tint="-4.9989318521683403E-2"/>
                </patternFill>
              </fill>
            </x14:dxf>
          </x14:cfRule>
          <xm:sqref>J116:N116</xm:sqref>
        </x14:conditionalFormatting>
        <x14:conditionalFormatting xmlns:xm="http://schemas.microsoft.com/office/excel/2006/main">
          <x14:cfRule type="expression" priority="18" id="{9F0CD10F-48D8-4A2C-BB5D-024145F30409}">
            <xm:f>$I$117=M_Lista!$E$4</xm:f>
            <x14:dxf>
              <font>
                <color theme="0" tint="-0.14996795556505021"/>
              </font>
              <fill>
                <patternFill>
                  <bgColor theme="0" tint="-4.9989318521683403E-2"/>
                </patternFill>
              </fill>
            </x14:dxf>
          </x14:cfRule>
          <x14:cfRule type="expression" priority="20" id="{4B8C47A8-E16A-4251-8077-D392E4BEF4AF}">
            <xm:f>$I$117=M_Lista!$E$4</xm:f>
            <x14:dxf>
              <font>
                <color theme="0" tint="-0.14996795556505021"/>
              </font>
              <fill>
                <patternFill>
                  <bgColor theme="0" tint="-4.9989318521683403E-2"/>
                </patternFill>
              </fill>
            </x14:dxf>
          </x14:cfRule>
          <xm:sqref>J117:N117</xm:sqref>
        </x14:conditionalFormatting>
        <x14:conditionalFormatting xmlns:xm="http://schemas.microsoft.com/office/excel/2006/main">
          <x14:cfRule type="expression" priority="17" id="{C5784FE6-8C29-47D8-87EA-BBE18B83EE4A}">
            <xm:f>$I$118=M_Lista!$E$4</xm:f>
            <x14:dxf>
              <font>
                <color theme="0" tint="-0.14996795556505021"/>
              </font>
              <fill>
                <patternFill>
                  <bgColor theme="0" tint="-4.9989318521683403E-2"/>
                </patternFill>
              </fill>
            </x14:dxf>
          </x14:cfRule>
          <xm:sqref>J118:N118</xm:sqref>
        </x14:conditionalFormatting>
        <x14:conditionalFormatting xmlns:xm="http://schemas.microsoft.com/office/excel/2006/main">
          <x14:cfRule type="expression" priority="16" id="{7F66BF73-471D-4F62-A413-085F79C61CBD}">
            <xm:f>$I$119=M_Lista!$E$4</xm:f>
            <x14:dxf>
              <font>
                <color theme="0" tint="-0.14996795556505021"/>
              </font>
              <fill>
                <patternFill>
                  <bgColor theme="0" tint="-4.9989318521683403E-2"/>
                </patternFill>
              </fill>
            </x14:dxf>
          </x14:cfRule>
          <xm:sqref>J119:N119</xm:sqref>
        </x14:conditionalFormatting>
        <x14:conditionalFormatting xmlns:xm="http://schemas.microsoft.com/office/excel/2006/main">
          <x14:cfRule type="expression" priority="15" id="{BA07227B-0A5B-470D-B694-F62A4BF4B249}">
            <xm:f>$I$120=M_Lista!$E$4</xm:f>
            <x14:dxf>
              <font>
                <color theme="0" tint="-0.14996795556505021"/>
              </font>
              <fill>
                <patternFill>
                  <bgColor theme="0" tint="-4.9989318521683403E-2"/>
                </patternFill>
              </fill>
            </x14:dxf>
          </x14:cfRule>
          <xm:sqref>J120:N120</xm:sqref>
        </x14:conditionalFormatting>
        <x14:conditionalFormatting xmlns:xm="http://schemas.microsoft.com/office/excel/2006/main">
          <x14:cfRule type="expression" priority="14" id="{F2DA27CB-2709-4F83-AFB4-EF67B54006DE}">
            <xm:f>$I$121=M_Lista!$E$4</xm:f>
            <x14:dxf>
              <font>
                <color theme="0" tint="-0.14996795556505021"/>
              </font>
              <fill>
                <patternFill>
                  <bgColor theme="0" tint="-4.9989318521683403E-2"/>
                </patternFill>
              </fill>
            </x14:dxf>
          </x14:cfRule>
          <xm:sqref>J121:N121</xm:sqref>
        </x14:conditionalFormatting>
        <x14:conditionalFormatting xmlns:xm="http://schemas.microsoft.com/office/excel/2006/main">
          <x14:cfRule type="expression" priority="13" id="{DC00957E-95F8-4379-A616-EB17568F4FFD}">
            <xm:f>$I$122=M_Lista!$E$4</xm:f>
            <x14:dxf>
              <font>
                <color theme="0" tint="-0.14996795556505021"/>
              </font>
              <fill>
                <patternFill>
                  <bgColor theme="0" tint="-4.9989318521683403E-2"/>
                </patternFill>
              </fill>
            </x14:dxf>
          </x14:cfRule>
          <xm:sqref>J122:N122</xm:sqref>
        </x14:conditionalFormatting>
        <x14:conditionalFormatting xmlns:xm="http://schemas.microsoft.com/office/excel/2006/main">
          <x14:cfRule type="expression" priority="12" id="{EF20BF96-1E1B-43C6-A596-B73E774513D9}">
            <xm:f>$I$123=M_Lista!$E$4</xm:f>
            <x14:dxf>
              <font>
                <color theme="0" tint="-0.14996795556505021"/>
              </font>
              <fill>
                <patternFill>
                  <bgColor theme="0" tint="-4.9989318521683403E-2"/>
                </patternFill>
              </fill>
            </x14:dxf>
          </x14:cfRule>
          <xm:sqref>J123:N123</xm:sqref>
        </x14:conditionalFormatting>
        <x14:conditionalFormatting xmlns:xm="http://schemas.microsoft.com/office/excel/2006/main">
          <x14:cfRule type="expression" priority="11" id="{F6ABD81B-C634-480A-9E8B-6BEFDD5F3F14}">
            <xm:f>$G$7=M_Lista!$E$4</xm:f>
            <x14:dxf>
              <font>
                <color theme="0" tint="-0.14996795556505021"/>
              </font>
              <fill>
                <patternFill>
                  <bgColor theme="0" tint="-4.9989318521683403E-2"/>
                </patternFill>
              </fill>
            </x14:dxf>
          </x14:cfRule>
          <xm:sqref>F61:F62</xm:sqref>
        </x14:conditionalFormatting>
        <x14:conditionalFormatting xmlns:xm="http://schemas.microsoft.com/office/excel/2006/main">
          <x14:cfRule type="expression" priority="6" id="{40C85273-E851-4BE9-85D5-CFF04D872DBF}">
            <xm:f>$I$115=M_Lista!$E$4</xm:f>
            <x14:dxf>
              <font>
                <color theme="0" tint="-0.14996795556505021"/>
              </font>
              <fill>
                <patternFill>
                  <bgColor theme="0" tint="-4.9989318521683403E-2"/>
                </patternFill>
              </fill>
            </x14:dxf>
          </x14:cfRule>
          <xm:sqref>K116:L116</xm:sqref>
        </x14:conditionalFormatting>
        <x14:conditionalFormatting xmlns:xm="http://schemas.microsoft.com/office/excel/2006/main">
          <x14:cfRule type="expression" priority="3" id="{30A6AD48-2E4D-49BC-BC2A-8FE35314A55C}">
            <xm:f>$I$115=M_Lista!$E$4</xm:f>
            <x14:dxf>
              <font>
                <color theme="0" tint="-0.14996795556505021"/>
              </font>
              <fill>
                <patternFill>
                  <bgColor theme="0" tint="-4.9989318521683403E-2"/>
                </patternFill>
              </fill>
            </x14:dxf>
          </x14:cfRule>
          <xm:sqref>M116</xm:sqref>
        </x14:conditionalFormatting>
        <x14:conditionalFormatting xmlns:xm="http://schemas.microsoft.com/office/excel/2006/main">
          <x14:cfRule type="expression" priority="2" id="{570CDAB7-DE65-462E-A077-F41D0778A6AC}">
            <xm:f>$I$34=M_Lista!$E$4</xm:f>
            <x14:dxf>
              <font>
                <color theme="0" tint="-0.14996795556505021"/>
              </font>
              <fill>
                <patternFill>
                  <bgColor theme="0" tint="-4.9989318521683403E-2"/>
                </patternFill>
              </fill>
            </x14:dxf>
          </x14:cfRule>
          <xm:sqref>J32</xm:sqref>
        </x14:conditionalFormatting>
        <x14:conditionalFormatting xmlns:xm="http://schemas.microsoft.com/office/excel/2006/main">
          <x14:cfRule type="expression" priority="1" id="{9C2E3E4E-F6E3-4F78-A473-FA9727E309DD}">
            <xm:f>$I$86=M_Lista!$E$4</xm:f>
            <x14:dxf>
              <font>
                <color theme="0" tint="-0.14996795556505021"/>
              </font>
              <fill>
                <patternFill>
                  <bgColor theme="0" tint="-4.9989318521683403E-2"/>
                </patternFill>
              </fill>
            </x14:dxf>
          </x14:cfRule>
          <xm:sqref>J109:N109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4C189EB-FBFC-4260-9865-0E91A9D7AB1F}">
          <x14:formula1>
            <xm:f>B_Desplegable!$C$2:$C$3</xm:f>
          </x14:formula1>
          <xm:sqref>G5:G9 J47:N53 J71:N73 J115:N116 J22:N28 I41:I57 I14:I34 I63 I65:I79 J122:N123</xm:sqref>
        </x14:dataValidation>
        <x14:dataValidation type="list" allowBlank="1" showInputMessage="1" showErrorMessage="1" xr:uid="{08FAF5F8-12E4-4838-98F1-F699529CF672}">
          <x14:formula1>
            <xm:f>B_Desplegable!$F$2:$F$4</xm:f>
          </x14:formula1>
          <xm:sqref>J32:N34 J56:N57 J76:N79 J97:N101 J124:N128</xm:sqref>
        </x14:dataValidation>
        <x14:dataValidation type="list" allowBlank="1" showInputMessage="1" showErrorMessage="1" xr:uid="{636BFBEA-94C1-435D-AC19-E64ED6AFDFD4}">
          <x14:formula1>
            <xm:f>M_Lista!$E$3:$E$4</xm:f>
          </x14:formula1>
          <xm:sqref>I84:I101 I105:I129 I61:I62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52220-12AD-459E-9252-9C8A9CBB01D4}">
  <sheetPr codeName="Hoja19">
    <tabColor theme="7" tint="0.79998168889431442"/>
  </sheetPr>
  <dimension ref="A1:K191"/>
  <sheetViews>
    <sheetView zoomScaleNormal="100" workbookViewId="0"/>
  </sheetViews>
  <sheetFormatPr baseColWidth="10" defaultColWidth="11.44140625" defaultRowHeight="31.2"/>
  <cols>
    <col min="1" max="1" width="32.44140625" style="148" customWidth="1"/>
    <col min="2" max="2" width="0.6640625" style="136" customWidth="1"/>
    <col min="3" max="3" width="3.88671875" customWidth="1"/>
    <col min="4" max="4" width="33.88671875" customWidth="1"/>
    <col min="5" max="5" width="25.44140625" customWidth="1"/>
    <col min="6" max="6" width="61.109375" bestFit="1" customWidth="1"/>
    <col min="7" max="7" width="34.6640625" customWidth="1"/>
    <col min="8" max="8" width="48" customWidth="1"/>
    <col min="9" max="9" width="42.33203125" customWidth="1"/>
    <col min="10" max="10" width="46.33203125" customWidth="1"/>
    <col min="11" max="11" width="42.6640625" customWidth="1"/>
    <col min="12" max="12" width="35.33203125" customWidth="1"/>
    <col min="13" max="13" width="11.44140625" customWidth="1"/>
  </cols>
  <sheetData>
    <row r="1" spans="1:11" s="136" customFormat="1" ht="30" customHeight="1">
      <c r="A1"/>
    </row>
    <row r="2" spans="1:11" s="136" customFormat="1" ht="30" customHeight="1">
      <c r="A2" s="5"/>
      <c r="D2" s="136" t="str">
        <f>IF(Idioma=Castellano,"3. Cálculos",IF(Idioma=Valencià,"3. Càlculs","3. Cálculos"))</f>
        <v>3. Cálculos</v>
      </c>
    </row>
    <row r="3" spans="1:11" s="136" customFormat="1" ht="30" customHeight="1">
      <c r="A3" s="5"/>
    </row>
    <row r="5" spans="1:11">
      <c r="A5" s="201" t="str">
        <f>IF(Idioma=Castellano,"Índice",IF(Idioma=Valencià,"Índex","Índice"))</f>
        <v>Índice</v>
      </c>
    </row>
    <row r="6" spans="1:11" s="293" customFormat="1" ht="31.8" thickBot="1">
      <c r="A6" s="202" t="str">
        <f>IF(Idioma=Castellano,"Instrucciones",IF(Idioma=Valencià,"Instruccions","Instrucciones"))</f>
        <v>Instrucciones</v>
      </c>
      <c r="B6" s="136"/>
      <c r="E6" s="296" t="str">
        <f>IF(Idioma=Castellano,"1. IMPACTO POR INUNDACIONES FLUVIALES",IF(Idioma=Valencià,"1. IMPACTE PER INUNDACIONS FLUVIALS","1. IMPACTO POR INUNDACIONES FLUVIALES"))</f>
        <v>1. IMPACTO POR INUNDACIONES FLUVIALES</v>
      </c>
    </row>
    <row r="7" spans="1:11" ht="31.95" customHeight="1" thickBot="1">
      <c r="A7" s="203" t="str">
        <f>IF(Idioma=Castellano,"Sección de Mitigación",IF(Idioma=Valencià,"Secció de Mitigació", "Sección de Mitigación"))</f>
        <v>Sección de Mitigación</v>
      </c>
      <c r="D7" s="734" t="str">
        <f>IF(Idioma=Castellano,"Amenaza",IF(Idioma=Valencià,"Amenaça","Amenaza"))</f>
        <v>Amenaza</v>
      </c>
      <c r="E7" s="736"/>
      <c r="F7" s="352" t="str">
        <f>IF(Idioma=Castellano,"Inundaciones fluviales",IF(Idioma=Valencià,"Inundacions fluvials","Inundaciones fluviales"))</f>
        <v>Inundaciones fluviales</v>
      </c>
      <c r="G7" s="468" t="s">
        <v>595</v>
      </c>
      <c r="H7" s="468" t="s">
        <v>31</v>
      </c>
      <c r="I7" s="468" t="s">
        <v>36</v>
      </c>
      <c r="J7" s="468" t="s">
        <v>39</v>
      </c>
      <c r="K7" s="468" t="s">
        <v>42</v>
      </c>
    </row>
    <row r="8" spans="1:11" ht="31.95" customHeight="1" thickBot="1">
      <c r="A8" s="204" t="str">
        <f>IF(Idioma=Castellano,"1. Datos de entrada",IF(Idioma=Valencià,"1.Dades d'entrada","1. Datos de entrada"))</f>
        <v>1. Datos de entrada</v>
      </c>
      <c r="D8" s="734"/>
      <c r="E8" s="736"/>
      <c r="F8" s="351" t="str">
        <f>IF(Idioma=Castellano,"Precipitación media máxima",IF(Idioma=Valencià,"Precipitació mitjana màxima","Precipitación media máxima"))</f>
        <v>Precipitación media máxima</v>
      </c>
      <c r="G8" s="96">
        <f>IF(ISBLANK(B_Checklist!J14),0,IF(B_Checklist!J14=0,1,B_Checklist!J14*3/MAX(B_Checklist!J14:N15)))</f>
        <v>0</v>
      </c>
      <c r="H8" s="96">
        <f>IF(ISBLANK(B_Checklist!K15),0,IF(B_Checklist!K15=0,1,B_Checklist!K15*3/MAX(B_Checklist!$J14:$N15)))</f>
        <v>0</v>
      </c>
      <c r="I8" s="96">
        <f>IF(ISBLANK(B_Checklist!L15),0,IF(B_Checklist!L15=0,1,B_Checklist!L15*3/MAX(B_Checklist!$J14:$N15)))</f>
        <v>0</v>
      </c>
      <c r="J8" s="96">
        <f>IF(ISBLANK(B_Checklist!M15),0,IF(B_Checklist!M15=0,1,B_Checklist!M15*3/MAX(B_Checklist!$J14:$N15)))</f>
        <v>0</v>
      </c>
      <c r="K8" s="96">
        <f>IF(ISBLANK(B_Checklist!N15),0,IF(B_Checklist!N15=0,1,B_Checklist!N15*3/MAX(B_Checklist!$J14:$N15)))</f>
        <v>0</v>
      </c>
    </row>
    <row r="9" spans="1:11" ht="31.8" thickBot="1">
      <c r="A9" s="204" t="str">
        <f>IF(Idioma=Castellano,"2. Cálculo de Alternativas:",IF(Idioma=Valencià,"2. Càlcul d'alternatives :","2. Cálculo de Alternativas:"))</f>
        <v>2. Cálculo de Alternativas:</v>
      </c>
      <c r="D9" s="697" t="str">
        <f>IF(Idioma=Castellano,"Exposición",IF(Idioma=Valencià,"Exposició","Exposición"))</f>
        <v>Exposición</v>
      </c>
      <c r="E9" s="737"/>
      <c r="F9" s="120" t="str">
        <f>IF(Idioma=Castellano,"Porcentaje de suelo expuesto en mancha de inundación fluvial ",IF(Idioma=Valencià,"Percentatge de sòl exposat en taca d'inundació fluvial ","Porcentaje de suelo expuesto en mancha de inundación fluvial "))</f>
        <v xml:space="preserve">Porcentaje de suelo expuesto en mancha de inundación fluvial </v>
      </c>
      <c r="G9" s="96">
        <f>IF(ISBLANK(B_Checklist!J16),0,IF(B_Checklist!J16=0,1,B_Checklist!J16*3/MAX(B_Checklist!$J$16:$N$16)))</f>
        <v>0</v>
      </c>
      <c r="H9" s="96">
        <f>IF(ISBLANK(B_Checklist!K16),0,IF(B_Checklist!K16=0,1,B_Checklist!K16*3/MAX(B_Checklist!$J$16:$N$16)))</f>
        <v>0</v>
      </c>
      <c r="I9" s="96">
        <f>IF(ISBLANK(B_Checklist!L16),0,IF(B_Checklist!L16=0,1,B_Checklist!L16*3/MAX(B_Checklist!$J$16:$N$16)))</f>
        <v>0</v>
      </c>
      <c r="J9" s="96">
        <f>IF(ISBLANK(B_Checklist!M16),0,IF(B_Checklist!M16=0,1,B_Checklist!M16*3/MAX(B_Checklist!$J$16:$N$16)))</f>
        <v>0</v>
      </c>
      <c r="K9" s="96">
        <f>IF(ISBLANK(B_Checklist!N16),0,IF(B_Checklist!N16=0,1,B_Checklist!N16*3/MAX(B_Checklist!$J$16:$N$16)))</f>
        <v>0</v>
      </c>
    </row>
    <row r="10" spans="1:11" ht="59.25" customHeight="1" thickBot="1">
      <c r="A10" s="205" t="s">
        <v>1</v>
      </c>
      <c r="D10" s="699" t="str">
        <f>IF(Idioma=Castellano,"Vulnerabilidad",IF(Idioma=Valencià,"Vulnerabilitat","Vulnerabilidad"))</f>
        <v>Vulnerabilidad</v>
      </c>
      <c r="E10" s="738" t="str">
        <f>IF(Idioma=Castellano,"Sensibilidad",IF(Idioma=Valencià,"Sensibilitat","Sensibilidad"))</f>
        <v>Sensibilidad</v>
      </c>
      <c r="F10" s="120" t="str">
        <f>IF(Idioma=Castellano,"Porcentaje de viviendas individuales sobre el total de viviendas expuestas a inundaciones fluviales",IF(Idioma=Valencià,"Percentatge d'habitatges individuals sobre el total d'habitatges exposats a inundacions fluvials","Porcentaje de viviendas individuales sobre el total de viviendas expuestas a inundaciones fluviales"))</f>
        <v>Porcentaje de viviendas individuales sobre el total de viviendas expuestas a inundaciones fluviales</v>
      </c>
      <c r="G10" s="96">
        <f>IF(ISBLANK(B_Checklist!J17),0,IF(B_Checklist!J17=0,1,B_Checklist!J17*3/MAX(B_Checklist!$J17:$N17)))</f>
        <v>0</v>
      </c>
      <c r="H10" s="96">
        <f>IF(ISBLANK(B_Checklist!K17),0,IF(B_Checklist!K17=0,1,B_Checklist!K17*3/MAX(B_Checklist!$J17:$N17)))</f>
        <v>0</v>
      </c>
      <c r="I10" s="96">
        <f>IF(ISBLANK(B_Checklist!L17),0,IF(B_Checklist!L17=0,1,B_Checklist!L17*3/MAX(B_Checklist!$J17:$N17)))</f>
        <v>0</v>
      </c>
      <c r="J10" s="96">
        <f>IF(ISBLANK(B_Checklist!M17),0,IF(B_Checklist!M17=0,1,B_Checklist!M17*3/MAX(B_Checklist!$J17:$N17)))</f>
        <v>0</v>
      </c>
      <c r="K10" s="96">
        <f>IF(ISBLANK(B_Checklist!N17),0,IF(B_Checklist!N17=0,1,B_Checklist!N17*3/MAX(B_Checklist!$J17:$N17)))</f>
        <v>0</v>
      </c>
    </row>
    <row r="11" spans="1:11" ht="59.25" customHeight="1" thickBot="1">
      <c r="A11" s="205" t="s">
        <v>2</v>
      </c>
      <c r="D11" s="699"/>
      <c r="E11" s="738"/>
      <c r="F11" s="120" t="str">
        <f>IF(Idioma=Castellano,"Porcentaje de suelo urbano expuesto a inundaciones fluviales",IF(Idioma=Valencià,"Percentatge de sòl urbà exposat a inundacions fluvials","Porcentaje de suelo urbano expuesto a inundaciones fluviales"))</f>
        <v>Porcentaje de suelo urbano expuesto a inundaciones fluviales</v>
      </c>
      <c r="G11" s="96">
        <f>IF(ISBLANK(B_Checklist!J18),0,IF(B_Checklist!J18=0,1,B_Checklist!J18*3/MAX(B_Checklist!$J18:$N18)))</f>
        <v>0</v>
      </c>
      <c r="H11" s="96">
        <f>IF(ISBLANK(B_Checklist!K18),0,IF(B_Checklist!K18=0,1,B_Checklist!K18*3/MAX(B_Checklist!$J18:$N18)))</f>
        <v>0</v>
      </c>
      <c r="I11" s="96">
        <f>IF(ISBLANK(B_Checklist!L18),0,IF(B_Checklist!L18=0,1,B_Checklist!L18*3/MAX(B_Checklist!$J18:$N18)))</f>
        <v>0</v>
      </c>
      <c r="J11" s="96">
        <f>IF(ISBLANK(B_Checklist!M18),0,IF(B_Checklist!M18=0,1,B_Checklist!M18*3/MAX(B_Checklist!$J18:$N18)))</f>
        <v>0</v>
      </c>
      <c r="K11" s="96">
        <f>IF(ISBLANK(B_Checklist!N18),0,IF(B_Checklist!N18=0,1,B_Checklist!N18*3/MAX(B_Checklist!$J18:$N18)))</f>
        <v>0</v>
      </c>
    </row>
    <row r="12" spans="1:11" ht="59.25" customHeight="1" thickBot="1">
      <c r="A12" s="205" t="s">
        <v>3</v>
      </c>
      <c r="D12" s="699"/>
      <c r="E12" s="738"/>
      <c r="F12" s="120" t="str">
        <f>IF(Idioma=Castellano,"Porcentaje de suelo urbanizable expuesto a inundaciones fluviales",IF(Idioma=Valencià,"Percentatge de sòl urbanitzable exposat a inundacions fluvials","Porcentaje de suelo urbanizable expuesto a inundaciones fluviales"))</f>
        <v>Porcentaje de suelo urbanizable expuesto a inundaciones fluviales</v>
      </c>
      <c r="G12" s="96">
        <f>IF(ISBLANK(B_Checklist!J19),0,IF(B_Checklist!J19=0,1,B_Checklist!J19*3/MAX(B_Checklist!$J19:$N19)))</f>
        <v>0</v>
      </c>
      <c r="H12" s="96">
        <f>IF(ISBLANK(B_Checklist!K19),0,IF(B_Checklist!K19=0,1,B_Checklist!K19*3/MAX(B_Checklist!$J19:$N19)))</f>
        <v>0</v>
      </c>
      <c r="I12" s="96">
        <f>IF(ISBLANK(B_Checklist!L19),0,IF(B_Checklist!L19=0,1,B_Checklist!L19*3/MAX(B_Checklist!$J19:$N19)))</f>
        <v>0</v>
      </c>
      <c r="J12" s="96">
        <f>IF(ISBLANK(B_Checklist!M19),0,IF(B_Checklist!M19=0,1,B_Checklist!M19*3/MAX(B_Checklist!$J19:$N19)))</f>
        <v>0</v>
      </c>
      <c r="K12" s="96">
        <f>IF(ISBLANK(B_Checklist!N19),0,IF(B_Checklist!N19=0,1,B_Checklist!N19*3/MAX(B_Checklist!$J19:$N19)))</f>
        <v>0</v>
      </c>
    </row>
    <row r="13" spans="1:11" ht="31.5" customHeight="1" thickBot="1">
      <c r="A13" s="205" t="s">
        <v>4</v>
      </c>
      <c r="D13" s="699"/>
      <c r="E13" s="738"/>
      <c r="F13" s="120" t="str">
        <f>IF(Idioma=Castellano,"Porcentaje de suelo residencial expuesto a inundaciones fluviales",IF(Idioma=Valencià,"Percentatge de sòl residencial exposat a inundacions fluvials","Porcentaje de suelo residencial expuesto a inundaciones fluviales"))</f>
        <v>Porcentaje de suelo residencial expuesto a inundaciones fluviales</v>
      </c>
      <c r="G13" s="96">
        <f>IF(ISBLANK(B_Checklist!J20),0,IF(B_Checklist!J20=0,1,B_Checklist!J20*3/MAX(B_Checklist!$J20:$N20)))</f>
        <v>0</v>
      </c>
      <c r="H13" s="96">
        <f>IF(ISBLANK(B_Checklist!K20),0,IF(B_Checklist!K20=0,1,B_Checklist!K20*3/MAX(B_Checklist!$J20:$N20)))</f>
        <v>0</v>
      </c>
      <c r="I13" s="96">
        <f>IF(ISBLANK(B_Checklist!L20),0,IF(B_Checklist!L20=0,1,B_Checklist!L20*3/MAX(B_Checklist!$J20:$N20)))</f>
        <v>0</v>
      </c>
      <c r="J13" s="96">
        <f>IF(ISBLANK(B_Checklist!M20),0,IF(B_Checklist!M20=0,1,B_Checklist!M20*3/MAX(B_Checklist!$J20:$N20)))</f>
        <v>0</v>
      </c>
      <c r="K13" s="96">
        <f>IF(ISBLANK(B_Checklist!N20),0,IF(B_Checklist!N20=0,1,B_Checklist!N20*3/MAX(B_Checklist!$J20:$N20)))</f>
        <v>0</v>
      </c>
    </row>
    <row r="14" spans="1:11" ht="33.75" customHeight="1" thickBot="1">
      <c r="A14" s="205" t="s">
        <v>5</v>
      </c>
      <c r="D14" s="699"/>
      <c r="E14" s="738"/>
      <c r="F14" s="120" t="str">
        <f>IF(Idioma=Castellano,"Porcentaje de suelo de actividades económicas expuesto a inundaciones fluviales",IF(Idioma=Valencià,"Percentatge de sòl d'activitats econòmiques exposat a inundacions fluvials","Porcentaje de suelo de actividades económicas expuesto a inundaciones fluviales"))</f>
        <v>Porcentaje de suelo de actividades económicas expuesto a inundaciones fluviales</v>
      </c>
      <c r="G14" s="96">
        <f>IF(ISBLANK(B_Checklist!J21),0,IF(B_Checklist!J21=0,1,B_Checklist!J21*3/MAX(B_Checklist!$J21:$N21)))</f>
        <v>0</v>
      </c>
      <c r="H14" s="96">
        <f>IF(ISBLANK(B_Checklist!K21),0,IF(B_Checklist!K21=0,1,B_Checklist!K21*3/MAX(B_Checklist!$J21:$N21)))</f>
        <v>0</v>
      </c>
      <c r="I14" s="96">
        <f>IF(ISBLANK(B_Checklist!L21),0,IF(B_Checklist!L21=0,1,B_Checklist!L21*3/MAX(B_Checklist!$J21:$N21)))</f>
        <v>0</v>
      </c>
      <c r="J14" s="96">
        <f>IF(ISBLANK(B_Checklist!M21),0,IF(B_Checklist!M21=0,1,B_Checklist!M21*3/MAX(B_Checklist!$J21:$N21)))</f>
        <v>0</v>
      </c>
      <c r="K14" s="96">
        <f>IF(ISBLANK(B_Checklist!N21),0,IF(B_Checklist!N21=0,1,B_Checklist!N21*3/MAX(B_Checklist!$J21:$N21)))</f>
        <v>0</v>
      </c>
    </row>
    <row r="15" spans="1:11" ht="31.95" customHeight="1" thickBot="1">
      <c r="A15" s="204" t="str">
        <f>IF(Idioma=Castellano,"3. Resultados",IF(Idioma=Valencià,"3. Resultats","3. Resultados"))</f>
        <v>3. Resultados</v>
      </c>
      <c r="D15" s="699"/>
      <c r="E15" s="738"/>
      <c r="F15" s="120" t="str">
        <f>IF(Idioma=Castellano,"Zonas expuestas a inundaciones fluviales con un estado químico de las masas de agua deficiente",IF(Idioma=Valencià,"Zones exposades a inundacions fluvials amb un estat químic de les masses d'aigua deficient","Zonas expuestas a inundaciones fluviales con un estado químico de las masas de agua deficiente"))</f>
        <v>Zonas expuestas a inundaciones fluviales con un estado químico de las masas de agua deficiente</v>
      </c>
      <c r="G15" s="96">
        <f>IF(B_Checklist!J22="Si",3,IF(B_Checklist!J22="No",1,0))</f>
        <v>0</v>
      </c>
      <c r="H15" s="96">
        <f>IF(B_Checklist!K22="Si",3,IF(B_Checklist!K22="No",1,0))</f>
        <v>0</v>
      </c>
      <c r="I15" s="96">
        <f>IF(B_Checklist!L22="Si",3,IF(B_Checklist!L22="No",1,0))</f>
        <v>0</v>
      </c>
      <c r="J15" s="96">
        <f>IF(B_Checklist!M22="Si",3,IF(B_Checklist!M22="No",1,0))</f>
        <v>0</v>
      </c>
      <c r="K15" s="96">
        <f>IF(B_Checklist!N22="Si",3,IF(B_Checklist!N22="No",1,0))</f>
        <v>0</v>
      </c>
    </row>
    <row r="16" spans="1:11" ht="31.95" customHeight="1" thickBot="1">
      <c r="A16" s="204" t="str">
        <f>IF(Idioma=Castellano,"4. Factores de emisión",IF(Idioma=Valencià,"4. Factors d'emissió","4. Factores de emisión"))</f>
        <v>4. Factores de emisión</v>
      </c>
      <c r="D16" s="699"/>
      <c r="E16" s="738"/>
      <c r="F16" s="120" t="str">
        <f>IF(Idioma=Castellano,"¿Hay suelo potencialmente contaminado sobre suelo expuesto a inundaciones fluviales?",IF(Idioma=Valencià,"Hi ha sòl potencialment contaminat sobre sòl exposat a inundacions fluvials?","¿Hay suelo potencialmente contaminado sobre suelo expuesto a inundaciones fluviales?"))</f>
        <v>¿Hay suelo potencialmente contaminado sobre suelo expuesto a inundaciones fluviales?</v>
      </c>
      <c r="G16" s="96">
        <f>IF(B_Checklist!J23="Si",3,IF(B_Checklist!J23="No",1,0))</f>
        <v>0</v>
      </c>
      <c r="H16" s="96">
        <f>IF(B_Checklist!K23="Si",3,IF(B_Checklist!K23="No",1,0))</f>
        <v>0</v>
      </c>
      <c r="I16" s="96">
        <f>IF(B_Checklist!L23="Si",3,IF(B_Checklist!L23="No",1,0))</f>
        <v>0</v>
      </c>
      <c r="J16" s="96">
        <f>IF(B_Checklist!M23="Si",3,IF(B_Checklist!M23="No",1,0))</f>
        <v>0</v>
      </c>
      <c r="K16" s="96">
        <f>IF(B_Checklist!N23="Si",3,IF(B_Checklist!N23="No",1,0))</f>
        <v>0</v>
      </c>
    </row>
    <row r="17" spans="1:11" ht="41.25" customHeight="1" thickBot="1">
      <c r="A17" s="203" t="str">
        <f>IF(Idioma=Castellano,"Sección de Adaptación",IF(Idioma=Valencià,"Secció d'Adaptació","Sección de Adaptación"))</f>
        <v>Sección de Adaptación</v>
      </c>
      <c r="D17" s="699"/>
      <c r="E17" s="738"/>
      <c r="F17" s="120" t="str">
        <f>IF(Idioma=Castellano,"¿Hay garajes subterráneos expuestos a inundaciones fluviales?",IF(Idioma=Valencià,"Hi ha garatges subterranis exposats a inundacions fluvials?","¿Hay garajes subterráneos expuestos a inundaciones fluviales?"))</f>
        <v>¿Hay garajes subterráneos expuestos a inundaciones fluviales?</v>
      </c>
      <c r="G17" s="96">
        <f>IF(B_Checklist!J24="Si",3,IF(B_Checklist!J24="No",1,0))</f>
        <v>0</v>
      </c>
      <c r="H17" s="96">
        <f>IF(B_Checklist!K24="Si",3,IF(B_Checklist!K24="No",1,0))</f>
        <v>0</v>
      </c>
      <c r="I17" s="96">
        <f>IF(B_Checklist!L24="Si",3,IF(B_Checklist!L24="No",1,0))</f>
        <v>0</v>
      </c>
      <c r="J17" s="96">
        <f>IF(B_Checklist!M24="Si",3,IF(B_Checklist!M24="No",1,0))</f>
        <v>0</v>
      </c>
      <c r="K17" s="96">
        <f>IF(B_Checklist!N24="Si",3,IF(B_Checklist!N24="No",1,0))</f>
        <v>0</v>
      </c>
    </row>
    <row r="18" spans="1:11" ht="29.25" customHeight="1" thickBot="1">
      <c r="A18" s="204" t="str">
        <f>IF(Idioma=Castellano,"1. Alcance",IF(Idioma=Valencià,"1. Abast","1. Alcance"))</f>
        <v>1. Alcance</v>
      </c>
      <c r="D18" s="699"/>
      <c r="E18" s="738"/>
      <c r="F18" s="120" t="str">
        <f>IF(Idioma=Castellano,"¿Hay infraestructuras básicas expuestas a inundaciones fluviales?",IF(Idioma=Valencià,"Hi ha infraestructures bàsiques exposades a inundacions fluvials?","¿Hay infraestructuras básicas expuestas a inundaciones fluviales?"))</f>
        <v>¿Hay infraestructuras básicas expuestas a inundaciones fluviales?</v>
      </c>
      <c r="G18" s="96">
        <f>IF(B_Checklist!J25="Si",3,IF(B_Checklist!J25="No",1,0))</f>
        <v>0</v>
      </c>
      <c r="H18" s="96">
        <f>IF(B_Checklist!K25="Si",3,IF(B_Checklist!K25="No",1,0))</f>
        <v>0</v>
      </c>
      <c r="I18" s="96">
        <f>IF(B_Checklist!L25="Si",3,IF(B_Checklist!L25="No",1,0))</f>
        <v>0</v>
      </c>
      <c r="J18" s="96">
        <f>IF(B_Checklist!M25="Si",3,IF(B_Checklist!M25="No",1,0))</f>
        <v>0</v>
      </c>
      <c r="K18" s="96">
        <f>IF(B_Checklist!N25="Si",3,IF(B_Checklist!N25="No",1,0))</f>
        <v>0</v>
      </c>
    </row>
    <row r="19" spans="1:11" ht="53.25" customHeight="1" thickBot="1">
      <c r="A19" s="204" t="s">
        <v>6</v>
      </c>
      <c r="D19" s="699"/>
      <c r="E19" s="738"/>
      <c r="F19" s="120" t="str">
        <f>IF(Idioma=Castellano,"¿Hay infraestructuras de transporte y comunicaciones expuestas a inundaciones fluviales (ferrocarril, aeropuerto y/o redes comarcales, básicas y preferentes)?",IF(Idioma=Valencià,"Hi ha infraestructures de transport i comunicacions exposades a inundacions fluvials (ferrocarril, aeroport i/o xarxes comarcals, bàsiques i preferents)?","¿Hay infraestructuras de transporte y comunicaciones expuestas a inundaciones fluviales (ferrocarril, aeropuerto y/o redes comarcales, básicas y preferentes)?"))</f>
        <v>¿Hay infraestructuras de transporte y comunicaciones expuestas a inundaciones fluviales (ferrocarril, aeropuerto y/o redes comarcales, básicas y preferentes)?</v>
      </c>
      <c r="G19" s="96">
        <f>IF(B_Checklist!J26="Si",3,IF(B_Checklist!J26="No",1,0))</f>
        <v>0</v>
      </c>
      <c r="H19" s="96">
        <f>IF(B_Checklist!K26="Si",3,IF(B_Checklist!K26="No",1,0))</f>
        <v>0</v>
      </c>
      <c r="I19" s="96">
        <f>IF(B_Checklist!L26="Si",3,IF(B_Checklist!L26="No",1,0))</f>
        <v>0</v>
      </c>
      <c r="J19" s="96">
        <f>IF(B_Checklist!M26="Si",3,IF(B_Checklist!M26="No",1,0))</f>
        <v>0</v>
      </c>
      <c r="K19" s="96">
        <f>IF(B_Checklist!N26="Si",3,IF(B_Checklist!N26="No",1,0))</f>
        <v>0</v>
      </c>
    </row>
    <row r="20" spans="1:11" ht="31.95" customHeight="1" thickBot="1">
      <c r="A20" s="204" t="str">
        <f>IF(Idioma=Castellano,"3. Resultados",IF(Idioma=Valencià,"3. Resultats","3. Resultados"))</f>
        <v>3. Resultados</v>
      </c>
      <c r="D20" s="699"/>
      <c r="E20" s="738"/>
      <c r="F20" s="120" t="str">
        <f>IF(Idioma=Castellano,"¿Hay equipamientos expuestos a inundaciones fluviales? (excluyendo paseos y espacios públicos)",IF(Idioma=Valencià,"Hi ha equipaments exposats a inundacions fluvials? (excloent passejos i espais públics)","¿Hay equipamientos expuestos a inundaciones fluviales? (excluyendo paseos y espacios públicos)"))</f>
        <v>¿Hay equipamientos expuestos a inundaciones fluviales? (excluyendo paseos y espacios públicos)</v>
      </c>
      <c r="G20" s="96">
        <f>IF(B_Checklist!J27="Si",3,IF(B_Checklist!J27="No",1,0))</f>
        <v>0</v>
      </c>
      <c r="H20" s="96">
        <f>IF(B_Checklist!K27="Si",3,IF(B_Checklist!K27="No",1,0))</f>
        <v>0</v>
      </c>
      <c r="I20" s="96">
        <f>IF(B_Checklist!L27="Si",3,IF(B_Checklist!L27="No",1,0))</f>
        <v>0</v>
      </c>
      <c r="J20" s="96">
        <f>IF(B_Checklist!M27="Si",3,IF(B_Checklist!M27="No",1,0))</f>
        <v>0</v>
      </c>
      <c r="K20" s="96">
        <f>IF(B_Checklist!N27="Si",3,IF(B_Checklist!N27="No",1,0))</f>
        <v>0</v>
      </c>
    </row>
    <row r="21" spans="1:11" ht="31.95" customHeight="1" thickBot="1">
      <c r="A21" s="203" t="str">
        <f>IF(Idioma=Castellano,"Resultados generales",IF(Idioma=Valencià,"Resultats generals","Resultados generales"))</f>
        <v>Resultados generales</v>
      </c>
      <c r="D21" s="699"/>
      <c r="E21" s="738"/>
      <c r="F21" s="120" t="str">
        <f>IF(Idioma=Castellano,"Viviendas y otras construcciones ilegales en áreas inundables",IF(Idioma=Valencià,"Habitatges i altres construccions il·legals en àrees inundables","Viviendas y otras construcciones ilegales en áreas inundables"))</f>
        <v>Viviendas y otras construcciones ilegales en áreas inundables</v>
      </c>
      <c r="G21" s="96">
        <f>IF(B_Checklist!J28="Si",3,IF(B_Checklist!J28="No",1,0))</f>
        <v>0</v>
      </c>
      <c r="H21" s="96">
        <f>IF(B_Checklist!K28="Si",3,IF(B_Checklist!K28="No",1,0))</f>
        <v>0</v>
      </c>
      <c r="I21" s="96">
        <f>IF(B_Checklist!L28="Si",3,IF(B_Checklist!L28="No",1,0))</f>
        <v>0</v>
      </c>
      <c r="J21" s="96">
        <f>IF(B_Checklist!M28="Si",3,IF(B_Checklist!M28="No",1,0))</f>
        <v>0</v>
      </c>
      <c r="K21" s="96">
        <f>IF(B_Checklist!N28="Si",3,IF(B_Checklist!N28="No",1,0))</f>
        <v>0</v>
      </c>
    </row>
    <row r="22" spans="1:11" ht="31.95" customHeight="1" thickBot="1">
      <c r="A22" s="203" t="str">
        <f>IF(Idioma=Castellano,"Medidas Propuestas",IF(Idioma=Valencià,"Mesures Proposades","Medidas Propuestas"))</f>
        <v>Medidas Propuestas</v>
      </c>
      <c r="D22" s="699"/>
      <c r="E22" s="350"/>
      <c r="F22" s="120" t="str">
        <f>IF(Idioma=Castellano,"Porcentaje de suelo con permeabilidad baja",IF(Idioma=Valencià,"Percentatge de sòl amb permeabilitat baixa","Porcentaje de suelo con permeabilidad baja"))</f>
        <v>Porcentaje de suelo con permeabilidad baja</v>
      </c>
      <c r="G22" s="96">
        <f>IF(ISBLANK(B_Checklist!J29),0,IF(B_Checklist!J29=0,1,B_Checklist!J29*3/MAX(B_Checklist!$J$29:$N$29)))</f>
        <v>0</v>
      </c>
      <c r="H22" s="96">
        <f>IF(ISBLANK(B_Checklist!K29),0,IF(B_Checklist!K29=0,1,B_Checklist!K29*3/MAX(B_Checklist!$J$29:$N$29)))</f>
        <v>0</v>
      </c>
      <c r="I22" s="96">
        <f>IF(ISBLANK(B_Checklist!L29),0,IF(B_Checklist!L29=0,1,B_Checklist!L29*3/MAX(B_Checklist!$J$29:$N$29)))</f>
        <v>0</v>
      </c>
      <c r="J22" s="96">
        <f>IF(ISBLANK(B_Checklist!M29),0,IF(B_Checklist!M29=0,1,B_Checklist!M29*3/MAX(B_Checklist!$J$29:$N$29)))</f>
        <v>0</v>
      </c>
      <c r="K22" s="96">
        <f>IF(ISBLANK(B_Checklist!N29),0,IF(B_Checklist!N29=0,1,B_Checklist!N29*3/MAX(B_Checklist!$J$29:$N$29)))</f>
        <v>0</v>
      </c>
    </row>
    <row r="23" spans="1:11" ht="30.75" customHeight="1" thickBot="1">
      <c r="D23" s="699"/>
      <c r="E23" s="696" t="str">
        <f>IF(Idioma=Castellano,"Capacidad de adaptación",IF(Idioma=Valencià,"Capacitat d'adaptació","Capacidad de adaptación"))</f>
        <v>Capacidad de adaptación</v>
      </c>
      <c r="F23" s="761" t="str">
        <f>IF(Idioma=Castellano,"Superficie expuesta a inundaciones fluviales destinada al sistema de espacios libres/zonas verdes",IF(Idioma=Valencià,"Superfície exposada a inundacions fluvials destinada al sistema d'espais lliures/zones verdes","Superficie expuesta a inundaciones fluviales destinada al sistema de espacios libres/zonas verdes"))</f>
        <v>Superficie expuesta a inundaciones fluviales destinada al sistema de espacios libres/zonas verdes</v>
      </c>
      <c r="G23" s="96" cm="1">
        <f t="array" ref="G23">IF(B_Checklist!J30=0,1,MIN(IF(B_Checklist!$J$30:$N$30&gt;0,B_Checklist!$J$30:$N$30))*MAX(B_Checklist!$J$30:$N$30)/B_Checklist!J30)</f>
        <v>1</v>
      </c>
      <c r="H23" s="96" cm="1">
        <f t="array" ref="H23">IF(B_Checklist!K30=0,1,MIN(IF(B_Checklist!$J$30:$N$30&gt;0,B_Checklist!$J$30:$N$30))*MAX(B_Checklist!$J$30:$N$30)/B_Checklist!K30)</f>
        <v>1</v>
      </c>
      <c r="I23" s="96" cm="1">
        <f t="array" ref="I23">IF(B_Checklist!L30=0,1,MIN(IF(B_Checklist!$J$30:$N$30&gt;0,B_Checklist!$J$30:$N$30))*MAX(B_Checklist!$J$30:$N$30)/B_Checklist!L30)</f>
        <v>1</v>
      </c>
      <c r="J23" s="96" cm="1">
        <f t="array" ref="J23">IF(B_Checklist!M30=0,1,MIN(IF(B_Checklist!$J$30:$N$30&gt;0,B_Checklist!$J$30:$N$30))*MAX(B_Checklist!$J$30:$N$30)/B_Checklist!M30)</f>
        <v>1</v>
      </c>
      <c r="K23" s="96" cm="1">
        <f t="array" ref="K23">IF(B_Checklist!N30=0,1,MIN(IF(B_Checklist!$J$30:$N$30&gt;0,B_Checklist!$J$30:$N$30))*MAX(B_Checklist!$J$30:$N$30)/B_Checklist!N30)</f>
        <v>1</v>
      </c>
    </row>
    <row r="24" spans="1:11" ht="30.75" customHeight="1" thickBot="1">
      <c r="D24" s="699"/>
      <c r="E24" s="696"/>
      <c r="F24" s="762"/>
      <c r="G24" s="96">
        <f>IF(ISBLANK(B_Checklist!J30),0,IF(B_Checklist!J30=0,1,B_Cálculos!G23*3/MAX(B_Cálculos!$G$23:$K$23)))</f>
        <v>0</v>
      </c>
      <c r="H24" s="96">
        <f>IF(ISBLANK(B_Checklist!K30),0,IF(B_Checklist!K30=0,1,B_Cálculos!H23*3/MAX(B_Cálculos!$G$23:$K$23)))</f>
        <v>0</v>
      </c>
      <c r="I24" s="96">
        <f>IF(ISBLANK(B_Checklist!L30),0,IF(B_Checklist!L30=0,1,B_Cálculos!I23*3/MAX(B_Cálculos!$G$23:$K$23)))</f>
        <v>0</v>
      </c>
      <c r="J24" s="96">
        <f>IF(ISBLANK(B_Checklist!M30),0,IF(B_Checklist!M30=0,1,B_Cálculos!J23*3/MAX(B_Cálculos!$G$23:$K$23)))</f>
        <v>0</v>
      </c>
      <c r="K24" s="96">
        <f>IF(ISBLANK(B_Checklist!N30),0,IF(B_Checklist!N30=0,1,B_Cálculos!K23*3/MAX(B_Cálculos!$G$23:$K$23)))</f>
        <v>0</v>
      </c>
    </row>
    <row r="25" spans="1:11" ht="31.95" customHeight="1" thickBot="1">
      <c r="D25" s="699"/>
      <c r="E25" s="696"/>
      <c r="F25" s="761" t="str">
        <f>IF(Idioma=Castellano,"Superficie expuesta a inundaciones fluviales destinada a suelo no urbanizable",IF(Idioma=Valencià,"Superfície exposada a inundacions fluvials destinada a sòl no urbanitzable","Superficie expuesta a inundaciones fluviales destinada a suelo no urbanizable"))</f>
        <v>Superficie expuesta a inundaciones fluviales destinada a suelo no urbanizable</v>
      </c>
      <c r="G25" s="96" cm="1">
        <f t="array" ref="G25">IF(B_Checklist!J31=0,1,MIN(IF(B_Checklist!$J$31:$N$31&gt;0,B_Checklist!$J$31:$N$31)*MAX(B_Checklist!$J$31:$N$31)/B_Checklist!J31))</f>
        <v>1</v>
      </c>
      <c r="H25" s="96" cm="1">
        <f t="array" ref="H25">IF(B_Checklist!K31=0,1,MIN(IF(B_Checklist!$J$31:$N$31&gt;0,B_Checklist!$J$31:$N$31)*MAX(B_Checklist!$J$31:$N$31)/B_Checklist!K31))</f>
        <v>1</v>
      </c>
      <c r="I25" s="96" cm="1">
        <f t="array" ref="I25">IF(B_Checklist!L31=0,1,MIN(IF(B_Checklist!$J$31:$N$31&gt;0,B_Checklist!$J$31:$N$31)*MAX(B_Checklist!$J$31:$N$31)/B_Checklist!L31))</f>
        <v>1</v>
      </c>
      <c r="J25" s="96" cm="1">
        <f t="array" ref="J25">IF(B_Checklist!M31=0,1,MIN(IF(B_Checklist!$J$31:$N$31&gt;0,B_Checklist!$J$31:$N$31)*MAX(B_Checklist!$J$31:$N$31)/B_Checklist!M31))</f>
        <v>1</v>
      </c>
      <c r="K25" s="96" cm="1">
        <f t="array" ref="K25">IF(B_Checklist!N31=0,1,MIN(IF(B_Checklist!$J$31:$N$31&gt;0,B_Checklist!$J$31:$N$31)*MAX(B_Checklist!$J$31:$N$31)/B_Checklist!N31))</f>
        <v>1</v>
      </c>
    </row>
    <row r="26" spans="1:11" ht="30.75" customHeight="1" thickBot="1">
      <c r="D26" s="699"/>
      <c r="E26" s="696"/>
      <c r="F26" s="762"/>
      <c r="G26" s="96">
        <f>IF(ISBLANK(B_Checklist!J31),0,IF(B_Checklist!J31=0,1,B_Cálculos!G25*3/MAX(B_Cálculos!$G$25:$K$25)))</f>
        <v>0</v>
      </c>
      <c r="H26" s="96">
        <f>IF(ISBLANK(B_Checklist!K31),0,IF(B_Checklist!K31=0,1,B_Cálculos!H25*3/MAX(B_Cálculos!$G$25:$K$25)))</f>
        <v>0</v>
      </c>
      <c r="I26" s="96">
        <f>IF(ISBLANK(B_Checklist!L31),0,IF(B_Checklist!L31=0,1,B_Cálculos!I25*3/MAX(B_Cálculos!$G$25:$K$25)))</f>
        <v>0</v>
      </c>
      <c r="J26" s="96">
        <f>IF(ISBLANK(B_Checklist!M31),0,IF(B_Checklist!M31=0,1,B_Cálculos!J25*3/MAX(B_Cálculos!$G$25:$K$25)))</f>
        <v>0</v>
      </c>
      <c r="K26" s="96">
        <f>IF(ISBLANK(B_Checklist!N31),0,IF(B_Checklist!N31=0,1,B_Cálculos!K25*3/MAX(B_Cálculos!$G$25:$K$25)))</f>
        <v>0</v>
      </c>
    </row>
    <row r="27" spans="1:11" ht="31.95" customHeight="1" thickBot="1">
      <c r="D27" s="699"/>
      <c r="E27" s="696"/>
      <c r="F27" s="120" t="str">
        <f>IF(Idioma=Castellano,"¿Se ha considerado la restauración de cauces fluviales?",IF(Idioma=Valencià,"S'ha considerat la restauració de llits fluvials?","¿Se ha considerado la restauración de cauces fluviales?"))</f>
        <v>¿Se ha considerado la restauración de cauces fluviales?</v>
      </c>
      <c r="G27" s="96">
        <f>IF(B_Checklist!J32="Si",1,IF(B_Checklist!J32="De forma parcial",2,IF(B_Checklist!J32="No",3,0)))</f>
        <v>0</v>
      </c>
      <c r="H27" s="96">
        <f>IF(B_Checklist!K32="Si",1,IF(B_Checklist!K32="De forma parcial",2,IF(B_Checklist!K32="No",3,0)))</f>
        <v>0</v>
      </c>
      <c r="I27" s="96">
        <f>IF(B_Checklist!L32="Si",1,IF(B_Checklist!L32="De forma parcial",2,IF(B_Checklist!L32="No",3,0)))</f>
        <v>0</v>
      </c>
      <c r="J27" s="96">
        <f>IF(B_Checklist!M32="Si",1,IF(B_Checklist!M32="De forma parcial",2,IF(B_Checklist!M32="No",3,0)))</f>
        <v>0</v>
      </c>
      <c r="K27" s="96">
        <f>IF(B_Checklist!N32="Si",1,IF(B_Checklist!N32="De forma parcial",2,IF(B_Checklist!N32="No",3,0)))</f>
        <v>0</v>
      </c>
    </row>
    <row r="28" spans="1:11" ht="31.95" customHeight="1" thickBot="1">
      <c r="D28" s="699"/>
      <c r="E28" s="696"/>
      <c r="F28" s="120" t="str">
        <f>IF(Idioma=Castellano,"¿Se ha considerado el desarrollo de planes o estrategias relacionadas con la adaptación al cambio climático?",IF(Idioma=Valencià,"S'ha considerat el desenvolupament de plans o estratègies relacionades amb l'adaptació al canvi climàtic?","¿Se ha considerado el desarrollo de planes o estrategias relacionadas con la adaptación al cambio climático?"))</f>
        <v>¿Se ha considerado el desarrollo de planes o estrategias relacionadas con la adaptación al cambio climático?</v>
      </c>
      <c r="G28" s="96">
        <f>IF(B_Checklist!J33="Si",1,IF(B_Checklist!J33="De forma parcial",2,IF(B_Checklist!J33="No",3,0)))</f>
        <v>0</v>
      </c>
      <c r="H28" s="96">
        <f>IF(B_Checklist!K33="Si",1,IF(B_Checklist!K33="De forma parcial",2,IF(B_Checklist!K33="No",3,0)))</f>
        <v>0</v>
      </c>
      <c r="I28" s="96">
        <f>IF(B_Checklist!L33="Si",1,IF(B_Checklist!L33="De forma parcial",2,IF(B_Checklist!L33="No",3,0)))</f>
        <v>0</v>
      </c>
      <c r="J28" s="96">
        <f>IF(B_Checklist!M33="Si",1,IF(B_Checklist!M33="De forma parcial",2,IF(B_Checklist!M33="No",3,0)))</f>
        <v>0</v>
      </c>
      <c r="K28" s="96">
        <f>IF(B_Checklist!N33="Si",1,IF(B_Checklist!N33="De forma parcial",2,IF(B_Checklist!N33="No",3,0)))</f>
        <v>0</v>
      </c>
    </row>
    <row r="29" spans="1:11" ht="31.5" customHeight="1" thickBot="1">
      <c r="D29" s="699"/>
      <c r="E29" s="696"/>
      <c r="F29" s="120" t="str">
        <f>IF(Idioma=Castellano,"¿Se han considerado los sistemas urbanos de drenaje sostenible?",IF(Idioma=Valencià,"S'han considerat els sistemes urbans de drenatge sostenible?","¿Se han considerado los sistemas urbanos de drenaje sostenible?"))</f>
        <v>¿Se han considerado los sistemas urbanos de drenaje sostenible?</v>
      </c>
      <c r="G29" s="96">
        <f>IF(B_Checklist!J34="Si",1,IF(B_Checklist!J34="De forma parcial",2,IF(B_Checklist!J34="No",3,0)))</f>
        <v>0</v>
      </c>
      <c r="H29" s="96">
        <f>IF(B_Checklist!K34="Si",1,IF(B_Checklist!K34="De forma parcial",2,IF(B_Checklist!K34="No",3,0)))</f>
        <v>0</v>
      </c>
      <c r="I29" s="96">
        <f>IF(B_Checklist!L34="Si",1,IF(B_Checklist!L34="De forma parcial",2,IF(B_Checklist!L34="No",3,0)))</f>
        <v>0</v>
      </c>
      <c r="J29" s="96">
        <f>IF(B_Checklist!M34="Si",1,IF(B_Checklist!M34="De forma parcial",2,IF(B_Checklist!M34="No",3,0)))</f>
        <v>0</v>
      </c>
      <c r="K29" s="96">
        <f>IF(B_Checklist!N34="Si",1,IF(B_Checklist!N34="De forma parcial",2,IF(B_Checklist!N34="No",3,0)))</f>
        <v>0</v>
      </c>
    </row>
    <row r="30" spans="1:11" ht="31.8" thickBot="1">
      <c r="D30" s="25" t="str">
        <f>IF(Idioma=Castellano,"Total amenaza",IF(Idioma=Valencià,"Total amenaça","Total amenaza"))</f>
        <v>Total amenaza</v>
      </c>
      <c r="E30" s="26"/>
      <c r="F30" s="26"/>
      <c r="G30" s="88">
        <f>G8</f>
        <v>0</v>
      </c>
      <c r="H30" s="88">
        <f>H8</f>
        <v>0</v>
      </c>
      <c r="I30" s="88">
        <f>I8</f>
        <v>0</v>
      </c>
      <c r="J30" s="88">
        <f>J8</f>
        <v>0</v>
      </c>
      <c r="K30" s="88">
        <f>K8</f>
        <v>0</v>
      </c>
    </row>
    <row r="31" spans="1:11">
      <c r="D31" s="25" t="str">
        <f>IF(Idioma=Castellano,"Total exposición",IF(Idioma=Valencià,"Total exposició","Total exposición"))</f>
        <v>Total exposición</v>
      </c>
      <c r="E31" s="26"/>
      <c r="F31" s="26"/>
      <c r="G31" s="88" t="e">
        <f>SUM(G9:G9)/COUNTA(B_Checklist!J16:J16)</f>
        <v>#DIV/0!</v>
      </c>
      <c r="H31" s="88" t="e">
        <f>SUM(H9:H9)/COUNTA(B_Checklist!K16:K16)</f>
        <v>#DIV/0!</v>
      </c>
      <c r="I31" s="88" t="e">
        <f>SUM(I9:I9)/COUNTA(B_Checklist!L16:L16)</f>
        <v>#DIV/0!</v>
      </c>
      <c r="J31" s="88" t="e">
        <f>SUM(J9:J9)/COUNTA(B_Checklist!M16:M16)</f>
        <v>#DIV/0!</v>
      </c>
      <c r="K31" s="88" t="e">
        <f>SUM(K9:K9)/COUNTA(B_Checklist!N16:N16)</f>
        <v>#DIV/0!</v>
      </c>
    </row>
    <row r="32" spans="1:11" ht="31.8" thickBot="1">
      <c r="D32" s="25" t="str">
        <f>IF(Idioma=Castellano,"Total sensibilidad",IF(Idioma=Valencià,"Total sensibilitat","Total sensibilidad"))</f>
        <v>Total sensibilidad</v>
      </c>
      <c r="E32" s="26"/>
      <c r="F32" s="26"/>
      <c r="G32" s="106" t="e">
        <f>SUM(G10:G22)/COUNTA(B_Checklist!J17:J29)</f>
        <v>#DIV/0!</v>
      </c>
      <c r="H32" s="106" t="e">
        <f>SUM(H10:H22)/COUNTA(B_Checklist!K17:K29)</f>
        <v>#DIV/0!</v>
      </c>
      <c r="I32" s="106" t="e">
        <f>SUM(I10:I22)/COUNTA(B_Checklist!L17:L29)</f>
        <v>#DIV/0!</v>
      </c>
      <c r="J32" s="106" t="e">
        <f>SUM(J10:J22)/COUNTA(B_Checklist!M17:M29)</f>
        <v>#DIV/0!</v>
      </c>
      <c r="K32" s="106" t="e">
        <f>SUM(K10:K22)/COUNTA(B_Checklist!N17:N29)</f>
        <v>#DIV/0!</v>
      </c>
    </row>
    <row r="33" spans="1:11" ht="31.8" thickBot="1">
      <c r="D33" s="25" t="str">
        <f>IF(Idioma=Castellano,"Total capacidad de adaptación",IF(Idioma=Valencià,"Total capacitat d'adaptació","Total capacidad de adaptación"))</f>
        <v>Total capacidad de adaptación</v>
      </c>
      <c r="E33" s="26"/>
      <c r="F33" s="26"/>
      <c r="G33" s="106" t="e">
        <f>(SUM(G27:G29)+G26+G24)/COUNTA(B_Checklist!J30:J34)</f>
        <v>#DIV/0!</v>
      </c>
      <c r="H33" s="106" t="e">
        <f>(SUM(H27:H29)+H26+H24)/COUNTA(B_Checklist!K30:K34)</f>
        <v>#DIV/0!</v>
      </c>
      <c r="I33" s="106" t="e">
        <f>(SUM(I27:I29)+I26+I24)/COUNTA(B_Checklist!L30:L34)</f>
        <v>#DIV/0!</v>
      </c>
      <c r="J33" s="106" t="e">
        <f>(SUM(J27:J29)+J26+J24)/COUNTA(B_Checklist!M30:M34)</f>
        <v>#DIV/0!</v>
      </c>
      <c r="K33" s="106" t="e">
        <f>(SUM(K27:K29)+K26+K24)/COUNTA(B_Checklist!N30:N34)</f>
        <v>#DIV/0!</v>
      </c>
    </row>
    <row r="34" spans="1:11" ht="31.8" thickBot="1">
      <c r="D34" s="25" t="str">
        <f>IF(Idioma=Castellano,"Índice de riesgo",IF(Idioma=Valencià,"Índex de risc","Índice de riesgo"))</f>
        <v>Índice de riesgo</v>
      </c>
      <c r="E34" s="26"/>
      <c r="F34" s="26"/>
      <c r="G34" s="22" t="e">
        <f>(G30*G31*((G32+G33)/2))^(1/3)</f>
        <v>#DIV/0!</v>
      </c>
      <c r="H34" s="22" t="e">
        <f>(H30*H31*((H32+H33)/2))^(1/3)</f>
        <v>#DIV/0!</v>
      </c>
      <c r="I34" s="22" t="e">
        <f>(I30*I31*((I32+I33)/2))^(1/3)</f>
        <v>#DIV/0!</v>
      </c>
      <c r="J34" s="22" t="e">
        <f>(J30*J31*((J32+J33)/2))^(1/3)</f>
        <v>#DIV/0!</v>
      </c>
      <c r="K34" s="22" t="e">
        <f>(K30*K31*((K32+K33)/2))^(1/3)</f>
        <v>#DIV/0!</v>
      </c>
    </row>
    <row r="36" spans="1:11" ht="15.75" customHeight="1"/>
    <row r="37" spans="1:11" s="297" customFormat="1" ht="31.8" thickBot="1">
      <c r="A37" s="148"/>
      <c r="B37" s="136"/>
      <c r="E37" s="296" t="str">
        <f>IF(Idioma=Castellano,"2. IMPACTO POR INUNDACIONES COSTERAS",IF(Idioma=Valencià,"2. IMPACTE PER INUNDACIONS COSTANERES","2. IMPACTO POR INUNDACIONES COSTERAS"))</f>
        <v>2. IMPACTO POR INUNDACIONES COSTERAS</v>
      </c>
    </row>
    <row r="38" spans="1:11" ht="31.95" customHeight="1" thickBot="1">
      <c r="D38" s="734" t="str">
        <f>IF(Idioma=Castellano,"Amenaza",IF(Idioma=Valencià,"Amenaça","Amenaza"))</f>
        <v>Amenaza</v>
      </c>
      <c r="E38" s="736"/>
      <c r="F38" s="120" t="str">
        <f>IF(Idioma=Castellano,"Inundación litoral",IF(Idioma=Valencià,"Inundació litoral","Inundación litoral"))</f>
        <v>Inundación litoral</v>
      </c>
      <c r="G38" s="770" t="s">
        <v>595</v>
      </c>
      <c r="H38" s="770" t="s">
        <v>31</v>
      </c>
      <c r="I38" s="770" t="s">
        <v>36</v>
      </c>
      <c r="J38" s="773" t="s">
        <v>39</v>
      </c>
      <c r="K38" s="767" t="s">
        <v>42</v>
      </c>
    </row>
    <row r="39" spans="1:11" ht="30.75" customHeight="1">
      <c r="D39" s="734"/>
      <c r="E39" s="736"/>
      <c r="F39" s="761" t="str">
        <f>IF(Idioma=Castellano,"Ascenso del nivel del mar, marea meteorológica y marea astronómica",IF(Idioma=Valencià,"Ascens del nivell de la mar, marea meteorològica i marea astronòmica","Ascenso del nivel del mar, marea meteorológica y marea astronómica"))</f>
        <v>Ascenso del nivel del mar, marea meteorológica y marea astronómica</v>
      </c>
      <c r="G39" s="771"/>
      <c r="H39" s="771"/>
      <c r="I39" s="771"/>
      <c r="J39" s="774"/>
      <c r="K39" s="768"/>
    </row>
    <row r="40" spans="1:11" ht="16.5" customHeight="1" thickBot="1">
      <c r="D40" s="734"/>
      <c r="E40" s="736"/>
      <c r="F40" s="762"/>
      <c r="G40" s="772"/>
      <c r="H40" s="772"/>
      <c r="I40" s="772"/>
      <c r="J40" s="775"/>
      <c r="K40" s="769"/>
    </row>
    <row r="41" spans="1:11" ht="31.95" customHeight="1" thickBot="1">
      <c r="D41" s="697" t="str">
        <f>IF(Idioma=Castellano,"Exposición",IF(Idioma=Valencià,"Exposició","Exposición"))</f>
        <v>Exposición</v>
      </c>
      <c r="E41" s="737"/>
      <c r="F41" s="120" t="str">
        <f>IF(Idioma=Castellano,"Porcentaje de suelo expuesto a inundaciones costeras y conectado con una masa de agua",IF(Idioma=Valencià,"Percentatge de sòl exposat a inundacions costaneres i connectat amb una massa d'aigua","Porcentaje de suelo expuesto a inundaciones costeras y conectado con una masa de agua"))</f>
        <v>Porcentaje de suelo expuesto a inundaciones costeras y conectado con una masa de agua</v>
      </c>
      <c r="G41" s="96">
        <f>IF(ISBLANK(B_Checklist!J41),0,IF(B_Checklist!J41=0,1,B_Checklist!J41*3/MAX(B_Checklist!$J41:$N41)))</f>
        <v>0</v>
      </c>
      <c r="H41" s="96">
        <f>IF(ISBLANK(B_Checklist!K41),0,IF(B_Checklist!K41=0,1,B_Checklist!K41*3/MAX(B_Checklist!$J41:$N41)))</f>
        <v>0</v>
      </c>
      <c r="I41" s="96">
        <f>IF(ISBLANK(B_Checklist!L41),0,IF(B_Checklist!L41=0,1,B_Checklist!L41*3/MAX(B_Checklist!$J41:$N41)))</f>
        <v>0</v>
      </c>
      <c r="J41" s="96">
        <f>IF(ISBLANK(B_Checklist!M41),0,IF(B_Checklist!M41=0,1,B_Checklist!M41*3/MAX(B_Checklist!$J41:$N41)))</f>
        <v>0</v>
      </c>
      <c r="K41" s="96">
        <f>IF(ISBLANK(B_Checklist!N41),0,IF(B_Checklist!N41=0,1,B_Checklist!N41*3/MAX(B_Checklist!$J41:$N41)))</f>
        <v>0</v>
      </c>
    </row>
    <row r="42" spans="1:11" ht="31.8" thickBot="1">
      <c r="D42" s="699" t="str">
        <f>IF(Idioma=Castellano,"Vulnerabilidad",IF(Idioma=Valencià,"Vulnerabilitat","Vulnerabilidad"))</f>
        <v>Vulnerabilidad</v>
      </c>
      <c r="E42" s="738" t="str">
        <f>IF(Idioma=Castellano,"Sensibilidad",IF(Idioma=Valencià,"Sensibilitat","Sensibilidad"))</f>
        <v>Sensibilidad</v>
      </c>
      <c r="F42" s="120" t="str">
        <f>IF(Idioma=Castellano,"Porcentaje de viviendas individuales sobre el total de viviendas expuestas a inundaciones fluviales",IF(Idioma=Valencià,"Percentatge d'habitatges individuals sobre el total d'habitatges exposats a inundacions costaneres","Porcentaje de viviendas individuales sobre el total de viviendas expuestas a inundaciones fluviales"))</f>
        <v>Porcentaje de viviendas individuales sobre el total de viviendas expuestas a inundaciones fluviales</v>
      </c>
      <c r="G42" s="96">
        <f>IF(ISBLANK(B_Checklist!J42),0,IF(B_Checklist!J42=0,1,B_Checklist!J42*3/MAX(B_Checklist!$J42:$N42)))</f>
        <v>0</v>
      </c>
      <c r="H42" s="96">
        <f>IF(ISBLANK(B_Checklist!K42),0,IF(B_Checklist!K42=0,1,B_Checklist!K42*3/MAX(B_Checklist!$J42:$N42)))</f>
        <v>0</v>
      </c>
      <c r="I42" s="96">
        <f>IF(ISBLANK(B_Checklist!L42),0,IF(B_Checklist!L42=0,1,B_Checklist!L42*3/MAX(B_Checklist!$J42:$N42)))</f>
        <v>0</v>
      </c>
      <c r="J42" s="96">
        <f>IF(ISBLANK(B_Checklist!M42),0,IF(B_Checklist!M42=0,1,B_Checklist!M42*3/MAX(B_Checklist!$J42:$N42)))</f>
        <v>0</v>
      </c>
      <c r="K42" s="96">
        <f>IF(ISBLANK(B_Checklist!N42),0,IF(B_Checklist!N42=0,1,B_Checklist!N42*3/MAX(B_Checklist!$J42:$N42)))</f>
        <v>0</v>
      </c>
    </row>
    <row r="43" spans="1:11" ht="31.95" customHeight="1" thickBot="1">
      <c r="D43" s="699"/>
      <c r="E43" s="738"/>
      <c r="F43" s="120" t="str">
        <f>IF(Idioma=Castellano,"Porcentaje de suelo urbano expuesto a inundaciones costeras",IF(Idioma=Valencià,"Percentatge de sòl urbà exposat a inundacions costaneres","Porcentaje de suelo urbano expuesto a inundaciones costeras"))</f>
        <v>Porcentaje de suelo urbano expuesto a inundaciones costeras</v>
      </c>
      <c r="G43" s="96">
        <f>IF(ISBLANK(B_Checklist!J43),0,IF(B_Checklist!J43=0,1,B_Checklist!J43*3/MAX(B_Checklist!$J43:$N43)))</f>
        <v>0</v>
      </c>
      <c r="H43" s="96">
        <f>IF(ISBLANK(B_Checklist!K43),0,IF(B_Checklist!K43=0,1,B_Checklist!K43*3/MAX(B_Checklist!$J43:$N43)))</f>
        <v>0</v>
      </c>
      <c r="I43" s="96">
        <f>IF(ISBLANK(B_Checklist!L43),0,IF(B_Checklist!L43=0,1,B_Checklist!L43*3/MAX(B_Checklist!$J43:$N43)))</f>
        <v>0</v>
      </c>
      <c r="J43" s="96">
        <f>IF(ISBLANK(B_Checklist!M43),0,IF(B_Checklist!M43=0,1,B_Checklist!M43*3/MAX(B_Checklist!$J43:$N43)))</f>
        <v>0</v>
      </c>
      <c r="K43" s="96">
        <f>IF(ISBLANK(B_Checklist!N43),0,IF(B_Checklist!N43=0,1,B_Checklist!N43*3/MAX(B_Checklist!$J43:$N43)))</f>
        <v>0</v>
      </c>
    </row>
    <row r="44" spans="1:11" ht="31.95" customHeight="1" thickBot="1">
      <c r="D44" s="699"/>
      <c r="E44" s="738"/>
      <c r="F44" s="120" t="str">
        <f>IF(Idioma=Castellano,"Porcentaje de suelo urbanizable expuesto a inundaciones costeras",IF(Idioma=Valencià,"Percentatge de sòl urbanitzable exposat a inundacions costaneres","Porcentaje de suelo urbanizable expuesto a inundaciones costeras"))</f>
        <v>Porcentaje de suelo urbanizable expuesto a inundaciones costeras</v>
      </c>
      <c r="G44" s="96">
        <f>IF(ISBLANK(B_Checklist!J44),0,IF(B_Checklist!J44=0,1,B_Checklist!J44*3/MAX(B_Checklist!$J44:$N44)))</f>
        <v>0</v>
      </c>
      <c r="H44" s="96">
        <f>IF(ISBLANK(B_Checklist!K44),0,IF(B_Checklist!K44=0,1,B_Checklist!K44*3/MAX(B_Checklist!$J44:$N44)))</f>
        <v>0</v>
      </c>
      <c r="I44" s="96">
        <f>IF(ISBLANK(B_Checklist!L44),0,IF(B_Checklist!L44=0,1,B_Checklist!L44*3/MAX(B_Checklist!$J44:$N44)))</f>
        <v>0</v>
      </c>
      <c r="J44" s="96">
        <f>IF(ISBLANK(B_Checklist!M44),0,IF(B_Checklist!M44=0,1,B_Checklist!M44*3/MAX(B_Checklist!$J44:$N44)))</f>
        <v>0</v>
      </c>
      <c r="K44" s="96">
        <f>IF(ISBLANK(B_Checklist!N44),0,IF(B_Checklist!N44=0,1,B_Checklist!N44*3/MAX(B_Checklist!$J44:$N44)))</f>
        <v>0</v>
      </c>
    </row>
    <row r="45" spans="1:11" ht="30" customHeight="1" thickBot="1">
      <c r="D45" s="699"/>
      <c r="E45" s="738"/>
      <c r="F45" s="120" t="str">
        <f>IF(Idioma=Castellano,"Porcentaje de suelo residencial expuesto a inundaciones costeras",IF(Idioma=Valencià,"Percentatge de sòl residencial exposat a inundacions costaneres","Porcentaje de suelo residencial expuesto a inundaciones costeras"))</f>
        <v>Porcentaje de suelo residencial expuesto a inundaciones costeras</v>
      </c>
      <c r="G45" s="96">
        <f>IF(ISBLANK(B_Checklist!J45),0,IF(B_Checklist!J45=0,1,B_Checklist!J45*3/MAX(B_Checklist!$J45:$N45)))</f>
        <v>0</v>
      </c>
      <c r="H45" s="96">
        <f>IF(ISBLANK(B_Checklist!K45),0,IF(B_Checklist!K45=0,1,B_Checklist!K45*3/MAX(B_Checklist!$J45:$N45)))</f>
        <v>0</v>
      </c>
      <c r="I45" s="96">
        <f>IF(ISBLANK(B_Checklist!L45),0,IF(B_Checklist!L45=0,1,B_Checklist!L45*3/MAX(B_Checklist!$J45:$N45)))</f>
        <v>0</v>
      </c>
      <c r="J45" s="96">
        <f>IF(ISBLANK(B_Checklist!M45),0,IF(B_Checklist!M45=0,1,B_Checklist!M45*3/MAX(B_Checklist!$J45:$N45)))</f>
        <v>0</v>
      </c>
      <c r="K45" s="96">
        <f>IF(ISBLANK(B_Checklist!N45),0,IF(B_Checklist!N45=0,1,B_Checklist!N45*3/MAX(B_Checklist!$J45:$N45)))</f>
        <v>0</v>
      </c>
    </row>
    <row r="46" spans="1:11" ht="32.25" customHeight="1" thickBot="1">
      <c r="D46" s="699"/>
      <c r="E46" s="738"/>
      <c r="F46" s="120" t="str">
        <f>IF(Idioma=Castellano,"Porcentaje de suelo de actividades económicas expuesto a inundaciones costeras",IF(Idioma=Valencià,"Percentatge de sòl d'activitats econòmiques exposat a inundacions costaneres","Porcentaje de suelo de actividades económicas expuesto a inundaciones costeras"))</f>
        <v>Porcentaje de suelo de actividades económicas expuesto a inundaciones costeras</v>
      </c>
      <c r="G46" s="96">
        <f>IF(ISBLANK(B_Checklist!J46),0,IF(B_Checklist!J46=0,1,B_Checklist!J46*3/MAX(B_Checklist!$J46:$N46)))</f>
        <v>0</v>
      </c>
      <c r="H46" s="96">
        <f>IF(ISBLANK(B_Checklist!K46),0,IF(B_Checklist!K46=0,1,B_Checklist!K46*3/MAX(B_Checklist!$J46:$N46)))</f>
        <v>0</v>
      </c>
      <c r="I46" s="96">
        <f>IF(ISBLANK(B_Checklist!L46),0,IF(B_Checklist!L46=0,1,B_Checklist!L46*3/MAX(B_Checklist!$J46:$N46)))</f>
        <v>0</v>
      </c>
      <c r="J46" s="96">
        <f>IF(ISBLANK(B_Checklist!M46),0,IF(B_Checklist!M46=0,1,B_Checklist!M46*3/MAX(B_Checklist!$J46:$N46)))</f>
        <v>0</v>
      </c>
      <c r="K46" s="96">
        <f>IF(ISBLANK(B_Checklist!N46),0,IF(B_Checklist!N46=0,1,B_Checklist!N46*3/MAX(B_Checklist!$J46:$N46)))</f>
        <v>0</v>
      </c>
    </row>
    <row r="47" spans="1:11" ht="31.95" customHeight="1" thickBot="1">
      <c r="D47" s="699"/>
      <c r="E47" s="738"/>
      <c r="F47" s="120" t="str">
        <f>IF(Idioma=Castellano,"Zonas expuestas a inundaciones costeras con un estado químico de las masas de agua deficiente",IF(Idioma=Valencià,"Zones exposades a inundacions costaneres amb un estat químic de les masses d'aigua deficient","Zonas expuestas a inundaciones costeras con un estado químico de las masas de agua deficiente"))</f>
        <v>Zonas expuestas a inundaciones costeras con un estado químico de las masas de agua deficiente</v>
      </c>
      <c r="G47" s="96">
        <f>IF(B_Checklist!J47="Si",3,IF(B_Checklist!J47="No",1,0))</f>
        <v>0</v>
      </c>
      <c r="H47" s="96">
        <f>IF(B_Checklist!K47="Si",3,IF(B_Checklist!K47="No",1,0))</f>
        <v>0</v>
      </c>
      <c r="I47" s="96">
        <f>IF(B_Checklist!L47="Si",3,IF(B_Checklist!L47="No",1,0))</f>
        <v>0</v>
      </c>
      <c r="J47" s="96">
        <f>IF(B_Checklist!M47="Si",3,IF(B_Checklist!M47="No",1,0))</f>
        <v>0</v>
      </c>
      <c r="K47" s="96">
        <f>IF(B_Checklist!N47="Si",3,IF(B_Checklist!N47="No",1,0))</f>
        <v>0</v>
      </c>
    </row>
    <row r="48" spans="1:11" ht="31.95" customHeight="1" thickBot="1">
      <c r="D48" s="699"/>
      <c r="E48" s="738"/>
      <c r="F48" s="120" t="str">
        <f>IF(Idioma=Castellano,"¿Hay suelo potencialmente contaminado sobre suelo expuesto a inundaciones costeras?",IF(Idioma=Valencià,"Hi ha sòl potencialment contaminat sobre sòl exposat a inundacions costaneres?","¿Hay suelo potencialmente contaminado sobre suelo expuesto a inundaciones costeras?"))</f>
        <v>¿Hay suelo potencialmente contaminado sobre suelo expuesto a inundaciones costeras?</v>
      </c>
      <c r="G48" s="96">
        <f>IF(B_Checklist!J48="Si",3,IF(B_Checklist!J48="No",1,0))</f>
        <v>0</v>
      </c>
      <c r="H48" s="96">
        <f>IF(B_Checklist!K48="Si",3,IF(B_Checklist!K48="No",1,0))</f>
        <v>0</v>
      </c>
      <c r="I48" s="96">
        <f>IF(B_Checklist!L48="Si",3,IF(B_Checklist!L48="No",1,0))</f>
        <v>0</v>
      </c>
      <c r="J48" s="96">
        <f>IF(B_Checklist!M48="Si",3,IF(B_Checklist!M48="No",1,0))</f>
        <v>0</v>
      </c>
      <c r="K48" s="96">
        <f>IF(B_Checklist!N48="Si",3,IF(B_Checklist!N48="No",1,0))</f>
        <v>0</v>
      </c>
    </row>
    <row r="49" spans="4:11" ht="31.95" customHeight="1" thickBot="1">
      <c r="D49" s="699"/>
      <c r="E49" s="738"/>
      <c r="F49" s="120" t="str">
        <f>IF(Idioma=Castellano,"¿Hay garajes subterráneos expuestos a inundaciones costeras?",IF(Idioma=Valencià,"Hi ha garatges subterranis exposats a inundacions costaneres?","¿Hay garajes subterráneos expuestos a inundaciones costeras?"))</f>
        <v>¿Hay garajes subterráneos expuestos a inundaciones costeras?</v>
      </c>
      <c r="G49" s="96">
        <f>IF(B_Checklist!J49="Si",3,IF(B_Checklist!J49="No",1,0))</f>
        <v>0</v>
      </c>
      <c r="H49" s="96">
        <f>IF(B_Checklist!K49="Si",3,IF(B_Checklist!K49="No",1,0))</f>
        <v>0</v>
      </c>
      <c r="I49" s="96">
        <f>IF(B_Checklist!L49="Si",3,IF(B_Checklist!L49="No",1,0))</f>
        <v>0</v>
      </c>
      <c r="J49" s="96">
        <f>IF(B_Checklist!M49="Si",3,IF(B_Checklist!M49="No",1,0))</f>
        <v>0</v>
      </c>
      <c r="K49" s="96">
        <f>IF(B_Checklist!N49="Si",3,IF(B_Checklist!N49="No",1,0))</f>
        <v>0</v>
      </c>
    </row>
    <row r="50" spans="4:11" ht="31.95" customHeight="1" thickBot="1">
      <c r="D50" s="699"/>
      <c r="E50" s="738"/>
      <c r="F50" s="120" t="str">
        <f>IF(Idioma=Castellano,"¿Hay infraestructuras básicas expuestas a inundaciones costeras?",IF(Idioma=Valencià,"Hi ha infraestructures bàsiques exposades a inundacions costaneres?","¿Hay infraestructuras básicas expuestas a inundaciones costeras?"))</f>
        <v>¿Hay infraestructuras básicas expuestas a inundaciones costeras?</v>
      </c>
      <c r="G50" s="96">
        <f>IF(B_Checklist!J50="Si",3,IF(B_Checklist!J50="No",1,0))</f>
        <v>0</v>
      </c>
      <c r="H50" s="96">
        <f>IF(B_Checklist!K50="Si",3,IF(B_Checklist!K50="No",1,0))</f>
        <v>0</v>
      </c>
      <c r="I50" s="96">
        <f>IF(B_Checklist!L50="Si",3,IF(B_Checklist!L50="No",1,0))</f>
        <v>0</v>
      </c>
      <c r="J50" s="96">
        <f>IF(B_Checklist!M50="Si",3,IF(B_Checklist!M50="No",1,0))</f>
        <v>0</v>
      </c>
      <c r="K50" s="96">
        <f>IF(B_Checklist!N50="Si",3,IF(B_Checklist!N50="No",1,0))</f>
        <v>0</v>
      </c>
    </row>
    <row r="51" spans="4:11" ht="43.8" thickBot="1">
      <c r="D51" s="699"/>
      <c r="E51" s="738"/>
      <c r="F51" s="120" t="str">
        <f>IF(Idioma=Castellano,"¿Hay infraestructuras de transporte y comunicaciones expuestas a inundaciones costerass (ferrocarril, aeropuerto y/o redes comarcales, básicas y preferentes)?",IF(Idioma=Valencià,"Hi ha infraestructures de transport i comunicacions exposades a inundacions costaneres (ferrocarril, aeroport i/o xarxes comarcals, bàsiques i preferents)?","¿Hay infraestructuras de transporte y comunicaciones expuestas a inundaciones costeras (ferrocarril, aeropuerto y/o redes comarcales, básicas y preferentes)?"))</f>
        <v>¿Hay infraestructuras de transporte y comunicaciones expuestas a inundaciones costerass (ferrocarril, aeropuerto y/o redes comarcales, básicas y preferentes)?</v>
      </c>
      <c r="G51" s="96">
        <f>IF(B_Checklist!J51="Si",3,IF(B_Checklist!J51="No",1,0))</f>
        <v>0</v>
      </c>
      <c r="H51" s="96">
        <f>IF(B_Checklist!K51="Si",3,IF(B_Checklist!K51="No",1,0))</f>
        <v>0</v>
      </c>
      <c r="I51" s="96">
        <f>IF(B_Checklist!L51="Si",3,IF(B_Checklist!L51="No",1,0))</f>
        <v>0</v>
      </c>
      <c r="J51" s="96">
        <f>IF(B_Checklist!M51="Si",3,IF(B_Checklist!M51="No",1,0))</f>
        <v>0</v>
      </c>
      <c r="K51" s="96">
        <f>IF(B_Checklist!N51="Si",3,IF(B_Checklist!N51="No",1,0))</f>
        <v>0</v>
      </c>
    </row>
    <row r="52" spans="4:11" ht="31.8" thickBot="1">
      <c r="D52" s="699"/>
      <c r="E52" s="738"/>
      <c r="F52" s="120" t="str">
        <f>IF(Idioma=Castellano,"¿Hay equipamientos expuestos a inundaciones costeras? (excluyendo paseos y espacios públicos)",IF(Idioma=Valencià,"Hi ha equipaments exposats a inundacions costaneres? (excloent passejos i espais públics)","¿Hay equipamientos expuestos a inundaciones costeras? (excluyendo paseos y espacios públicos)"))</f>
        <v>¿Hay equipamientos expuestos a inundaciones costeras? (excluyendo paseos y espacios públicos)</v>
      </c>
      <c r="G52" s="96">
        <f>IF(B_Checklist!J52="Si",3,IF(B_Checklist!J52="No",1,0))</f>
        <v>0</v>
      </c>
      <c r="H52" s="96">
        <f>IF(B_Checklist!K52="Si",3,IF(B_Checklist!K52="No",1,0))</f>
        <v>0</v>
      </c>
      <c r="I52" s="96">
        <f>IF(B_Checklist!L52="Si",3,IF(B_Checklist!L52="No",1,0))</f>
        <v>0</v>
      </c>
      <c r="J52" s="96">
        <f>IF(B_Checklist!M52="Si",3,IF(B_Checklist!M52="No",1,0))</f>
        <v>0</v>
      </c>
      <c r="K52" s="96">
        <f>IF(B_Checklist!N52="Si",3,IF(B_Checklist!N52="No",1,0))</f>
        <v>0</v>
      </c>
    </row>
    <row r="53" spans="4:11" ht="31.95" customHeight="1" thickBot="1">
      <c r="D53" s="699"/>
      <c r="E53" s="738"/>
      <c r="F53" s="120" t="str">
        <f>IF(Idioma=Castellano,"Viviendas y otras construcciones ilegales en áreas inundables",IF(Idioma=Valencià,"Habitatges i altres construccions il·legals en àrees inundables","Viviendas y otras construcciones ilegales en áreas inundables"))</f>
        <v>Viviendas y otras construcciones ilegales en áreas inundables</v>
      </c>
      <c r="G53" s="96">
        <f>IF(B_Checklist!J53="Si",3,IF(B_Checklist!J53="No",1,0))</f>
        <v>0</v>
      </c>
      <c r="H53" s="96">
        <f>IF(B_Checklist!K53="Si",3,IF(B_Checklist!K53="No",1,0))</f>
        <v>0</v>
      </c>
      <c r="I53" s="96">
        <f>IF(B_Checklist!L53="Si",3,IF(B_Checklist!L53="No",1,0))</f>
        <v>0</v>
      </c>
      <c r="J53" s="96">
        <f>IF(B_Checklist!M53="Si",3,IF(B_Checklist!M53="No",1,0))</f>
        <v>0</v>
      </c>
      <c r="K53" s="96">
        <f>IF(B_Checklist!N53="Si",3,IF(B_Checklist!N53="No",1,0))</f>
        <v>0</v>
      </c>
    </row>
    <row r="54" spans="4:11" ht="31.95" customHeight="1" thickBot="1">
      <c r="D54" s="699"/>
      <c r="E54" s="776" t="str">
        <f>IF(Idioma=Castellano,"Capacidad de adaptación",IF(Idioma=Valencià,"Capacitat d'adaptació","Capacidad de adaptación"))</f>
        <v>Capacidad de adaptación</v>
      </c>
      <c r="F54" s="761" t="str">
        <f>IF(Idioma=Castellano,"Superficie expuesta a inundaciones costeras destinada al sistema de espacios libres",IF(Idioma=Valencià,"Superfície exposada a inundacions costaneres destinada al sistema d'espais lliures","Superficie expuesta a inundaciones costeras destinada al sistema de espacios libres"))</f>
        <v>Superficie expuesta a inundaciones costeras destinada al sistema de espacios libres</v>
      </c>
      <c r="G54" s="96" cm="1">
        <f t="array" ref="G54">IF(B_Checklist!J54=0,1,MIN(IF(B_Checklist!$J$54:$N$54&gt;0,B_Checklist!$J$54:$N$54)*MAX(B_Checklist!$J$54:$N$54)/B_Checklist!J54))</f>
        <v>1</v>
      </c>
      <c r="H54" s="96" cm="1">
        <f t="array" ref="H54">IF(B_Checklist!K54=0,1,MIN(IF(B_Checklist!$J$54:$N$54&gt;0,B_Checklist!$J$54:$N$54)*MAX(B_Checklist!$J$54:$N$54)/B_Checklist!K54))</f>
        <v>1</v>
      </c>
      <c r="I54" s="96" cm="1">
        <f t="array" ref="I54">IF(B_Checklist!L54=0,1,MIN(IF(B_Checklist!$J$54:$N$54&gt;0,B_Checklist!$J$54:$N$54)*MAX(B_Checklist!$J$54:$N$54)/B_Checklist!L54))</f>
        <v>1</v>
      </c>
      <c r="J54" s="96" cm="1">
        <f t="array" ref="J54">IF(B_Checklist!M54=0,1,MIN(IF(B_Checklist!$J$54:$N$54&gt;0,B_Checklist!$J$54:$N$54)*MAX(B_Checklist!$J$54:$N$54)/B_Checklist!M54))</f>
        <v>1</v>
      </c>
      <c r="K54" s="96" cm="1">
        <f t="array" ref="K54">IF(B_Checklist!N54=0,1,MIN(IF(B_Checklist!$J$54:$N$54&gt;0,B_Checklist!$J$54:$N$54)*MAX(B_Checklist!$J$54:$N$54)/B_Checklist!N54))</f>
        <v>1</v>
      </c>
    </row>
    <row r="55" spans="4:11" ht="31.95" customHeight="1">
      <c r="D55" s="699"/>
      <c r="E55" s="776"/>
      <c r="F55" s="762"/>
      <c r="G55" s="96">
        <f>IF(ISBLANK(B_Checklist!J54),0,IF(B_Checklist!J54=0,1,B_Cálculos!G54*3/MAX(B_Cálculos!$G$54:$K$54)))</f>
        <v>0</v>
      </c>
      <c r="H55" s="96">
        <f>IF(ISBLANK(B_Checklist!K54),0,IF(B_Checklist!K54=0,1,B_Cálculos!H54*3/MAX(B_Cálculos!$G$54:$K$54)))</f>
        <v>0</v>
      </c>
      <c r="I55" s="96">
        <f>IF(ISBLANK(B_Checklist!L54),0,IF(B_Checklist!L54=0,1,B_Cálculos!I54*3/MAX(B_Cálculos!$G$54:$K$54)))</f>
        <v>0</v>
      </c>
      <c r="J55" s="96">
        <f>IF(ISBLANK(B_Checklist!M54),0,IF(B_Checklist!M54=0,1,B_Cálculos!J54*3/MAX(B_Cálculos!$G$54:$K$54)))</f>
        <v>0</v>
      </c>
      <c r="K55" s="96">
        <f>IF(ISBLANK(B_Checklist!N54),0,IF(B_Checklist!N54=0,1,B_Cálculos!K54*3/MAX(B_Cálculos!$G$54:$K$54)))</f>
        <v>0</v>
      </c>
    </row>
    <row r="56" spans="4:11" ht="31.95" customHeight="1">
      <c r="D56" s="699"/>
      <c r="E56" s="776"/>
      <c r="F56" s="761" t="str">
        <f>IF(Idioma=Castellano,"Superficie expuesta a inundaciones costeras destinada a suelo no urbanizable",IF(Idioma=Valencià,"Superfície exposada a inundacions costaneres destinada a sòl no urbanitzable","Superficie expuesta a inundaciones costeras destinada a suelo no urbanizable"))</f>
        <v>Superficie expuesta a inundaciones costeras destinada a suelo no urbanizable</v>
      </c>
      <c r="G56" s="96" cm="1">
        <f t="array" ref="G56">IF(B_Checklist!J55=0,1,MIN(IF(B_Checklist!$J$55:$N$55&gt;0,B_Checklist!$J$55:$N$55)*MAX(B_Checklist!$J$55:$N$55)/B_Checklist!J55))</f>
        <v>1</v>
      </c>
      <c r="H56" s="96" cm="1">
        <f t="array" ref="H56">IF(B_Checklist!K55=0,1,MIN(IF(B_Checklist!$J$55:$N$55&gt;0,B_Checklist!$J$55:$N$55)*MAX(B_Checklist!$J$55:$N$55)/B_Checklist!K55))</f>
        <v>1</v>
      </c>
      <c r="I56" s="96" cm="1">
        <f t="array" ref="I56">IF(B_Checklist!L55=0,1,MIN(IF(B_Checklist!$J$55:$N$55&gt;0,B_Checklist!$J$55:$N$55)*MAX(B_Checklist!$J$55:$N$55)/B_Checklist!L55))</f>
        <v>1</v>
      </c>
      <c r="J56" s="96" cm="1">
        <f t="array" ref="J56">IF(B_Checklist!M55=0,1,MIN(IF(B_Checklist!$J$55:$N$55&gt;0,B_Checklist!$J$55:$N$55)*MAX(B_Checklist!$J$55:$N$55)/B_Checklist!M55))</f>
        <v>1</v>
      </c>
      <c r="K56" s="96" cm="1">
        <f t="array" ref="K56">IF(B_Checklist!N55=0,1,MIN(IF(B_Checklist!$J$55:$N$55&gt;0,B_Checklist!$J$55:$N$55)*MAX(B_Checklist!$J$55:$N$55)/B_Checklist!N55))</f>
        <v>1</v>
      </c>
    </row>
    <row r="57" spans="4:11" ht="31.95" customHeight="1">
      <c r="D57" s="699"/>
      <c r="E57" s="776"/>
      <c r="F57" s="762"/>
      <c r="G57" s="96">
        <f>IF(ISBLANK(B_Checklist!J55),0,IF(B_Checklist!J55=0,1,B_Cálculos!G56*3/MAX(B_Cálculos!$G$56:$K$56)))</f>
        <v>0</v>
      </c>
      <c r="H57" s="96">
        <f>IF(ISBLANK(B_Checklist!K55),0,IF(B_Checklist!K55=0,1,B_Cálculos!H56*3/MAX(B_Cálculos!$G$56:$K$56)))</f>
        <v>0</v>
      </c>
      <c r="I57" s="96">
        <f>IF(ISBLANK(B_Checklist!L55),0,IF(B_Checklist!L55=0,1,B_Cálculos!I56*3/MAX(B_Cálculos!$G$56:$K$56)))</f>
        <v>0</v>
      </c>
      <c r="J57" s="96">
        <f>IF(ISBLANK(B_Checklist!M55),0,IF(B_Checklist!M55=0,1,B_Cálculos!J56*3/MAX(B_Cálculos!$G$56:$K$56)))</f>
        <v>0</v>
      </c>
      <c r="K57" s="96">
        <f>IF(ISBLANK(B_Checklist!N55),0,IF(B_Checklist!N55=0,1,B_Cálculos!K56*3/MAX(B_Cálculos!$G$56:$K$56)))</f>
        <v>0</v>
      </c>
    </row>
    <row r="58" spans="4:11" ht="31.95" customHeight="1">
      <c r="D58" s="699"/>
      <c r="E58" s="776"/>
      <c r="F58" s="120" t="str">
        <f>IF(Idioma=Castellano,"¿Se ha considerado la restauración de dunas y/o marismas costeras?",IF(Idioma=Valencià,"S'ha considerat la restauració de dunes i/o marenys costaners?","¿Se ha considerado la restauración de dunas y/o marismas costeras?"))</f>
        <v>¿Se ha considerado la restauración de dunas y/o marismas costeras?</v>
      </c>
      <c r="G58" s="96">
        <f>IF(B_Checklist!J56="Si",1,IF(B_Checklist!J56="De forma parcial",2,IF(B_Checklist!J56="No",3,0)))</f>
        <v>0</v>
      </c>
      <c r="H58" s="96">
        <f>IF(B_Checklist!K56="Si",1,IF(B_Checklist!K56="De forma parcial",2,IF(B_Checklist!K56="No",3,0)))</f>
        <v>0</v>
      </c>
      <c r="I58" s="96">
        <f>IF(B_Checklist!L56="Si",1,IF(B_Checklist!L56="De forma parcial",2,IF(B_Checklist!L56="No",3,0)))</f>
        <v>0</v>
      </c>
      <c r="J58" s="96">
        <f>IF(B_Checklist!M56="Si",1,IF(B_Checklist!M56="De forma parcial",2,IF(B_Checklist!M56="No",3,0)))</f>
        <v>0</v>
      </c>
      <c r="K58" s="96">
        <f>IF(B_Checklist!N56="Si",1,IF(B_Checklist!N56="De forma parcial",2,IF(B_Checklist!N56="No",3,0)))</f>
        <v>0</v>
      </c>
    </row>
    <row r="59" spans="4:11" ht="31.95" customHeight="1">
      <c r="D59" s="699"/>
      <c r="E59" s="776"/>
      <c r="F59" s="120" t="str">
        <f>IF(Idioma=Castellano,"¿Se ha considerado el desarrollo de planes o estrategias relacionadas con la adaptación al cambio climático?",IF(Idioma=Valencià,"S'ha considerat el desenvolupament de plans o estratègies relacionades amb l'adaptació al canvi climàtic?","¿Se ha considerado el desarrollo de planes o estrategias relacionadas con la adaptación al cambio climático?"))</f>
        <v>¿Se ha considerado el desarrollo de planes o estrategias relacionadas con la adaptación al cambio climático?</v>
      </c>
      <c r="G59" s="96">
        <f>IF(B_Checklist!J57="Si",1,IF(B_Checklist!J57="De forma parcial",2,IF(B_Checklist!J57="No",3,0)))</f>
        <v>0</v>
      </c>
      <c r="H59" s="96">
        <f>IF(B_Checklist!K57="Si",1,IF(B_Checklist!K57="De forma parcial",2,IF(B_Checklist!K57="No",3,0)))</f>
        <v>0</v>
      </c>
      <c r="I59" s="96">
        <f>IF(B_Checklist!L57="Si",1,IF(B_Checklist!L57="De forma parcial",2,IF(B_Checklist!L57="No",3,0)))</f>
        <v>0</v>
      </c>
      <c r="J59" s="96">
        <f>IF(B_Checklist!M57="Si",1,IF(B_Checklist!M57="De forma parcial",2,IF(B_Checklist!M57="No",3,0)))</f>
        <v>0</v>
      </c>
      <c r="K59" s="96">
        <f>IF(B_Checklist!N57="Si",1,IF(B_Checklist!N57="De forma parcial",2,IF(B_Checklist!N57="No",3,0)))</f>
        <v>0</v>
      </c>
    </row>
    <row r="60" spans="4:11" ht="31.95" customHeight="1">
      <c r="D60" s="25" t="str">
        <f>IF(Idioma=Castellano,"Total exposición",IF(Idioma=Valencià,"Total exposició","Total exposición"))</f>
        <v>Total exposición</v>
      </c>
      <c r="E60" s="26"/>
      <c r="F60" s="26"/>
      <c r="G60" s="88" t="e">
        <f>SUM(G41:G41)/COUNTA(B_Checklist!J41:J41)</f>
        <v>#DIV/0!</v>
      </c>
      <c r="H60" s="88" t="e">
        <f>SUM(H41:H41)/COUNTA(B_Checklist!K41:K41)</f>
        <v>#DIV/0!</v>
      </c>
      <c r="I60" s="88" t="e">
        <f>SUM(I41:I41)/COUNTA(B_Checklist!L41:L41)</f>
        <v>#DIV/0!</v>
      </c>
      <c r="J60" s="88" t="e">
        <f>SUM(J41:J41)/COUNTA(B_Checklist!M41:M41)</f>
        <v>#DIV/0!</v>
      </c>
      <c r="K60" s="88" t="e">
        <f>SUM(K41:K41)/COUNTA(B_Checklist!N41:N41)</f>
        <v>#DIV/0!</v>
      </c>
    </row>
    <row r="61" spans="4:11" ht="31.95" customHeight="1">
      <c r="D61" s="25" t="str">
        <f>IF(Idioma=Castellano,"Total sensibilidad",IF(Idioma=Valencià,"Total sensibilitat","Total sensibilidad"))</f>
        <v>Total sensibilidad</v>
      </c>
      <c r="E61" s="26"/>
      <c r="F61" s="26"/>
      <c r="G61" s="106" t="e">
        <f>SUM(G42:G53)/COUNTA(B_Checklist!J42:J57)</f>
        <v>#DIV/0!</v>
      </c>
      <c r="H61" s="106" t="e">
        <f>SUM(H42:H53)/COUNTA(B_Checklist!K42:K57)</f>
        <v>#DIV/0!</v>
      </c>
      <c r="I61" s="106" t="e">
        <f>SUM(I42:I53)/COUNTA(B_Checklist!L42:L57)</f>
        <v>#DIV/0!</v>
      </c>
      <c r="J61" s="106" t="e">
        <f>SUM(J42:J53)/COUNTA(B_Checklist!M42:M57)</f>
        <v>#DIV/0!</v>
      </c>
      <c r="K61" s="106" t="e">
        <f>SUM(K42:K53)/COUNTA(B_Checklist!N42:N57)</f>
        <v>#DIV/0!</v>
      </c>
    </row>
    <row r="62" spans="4:11" ht="31.95" customHeight="1">
      <c r="D62" s="25" t="str">
        <f>IF(Idioma=Castellano,"Total capacidad de adaptación",IF(Idioma=Valencià,"Total capacitat d'adaptació","Total capacidad de adaptación"))</f>
        <v>Total capacidad de adaptación</v>
      </c>
      <c r="E62" s="26"/>
      <c r="F62" s="26"/>
      <c r="G62" s="106">
        <f>(SUM(G58:G59)+G57+G55)/COUNTA(B_Checklist!J57:J61)</f>
        <v>0</v>
      </c>
      <c r="H62" s="106">
        <f>(SUM(H58:H59)+H57+H55)/COUNTA(B_Checklist!K57:K61)</f>
        <v>0</v>
      </c>
      <c r="I62" s="106">
        <f>(SUM(I58:I59)+I57+I55)/COUNTA(B_Checklist!L57:L61)</f>
        <v>0</v>
      </c>
      <c r="J62" s="106">
        <f>(SUM(J58:J59)+J57+J55)/COUNTA(B_Checklist!M57:M61)</f>
        <v>0</v>
      </c>
      <c r="K62" s="106">
        <f>(SUM(K58:K59)+K57+K55)/COUNTA(B_Checklist!N57:N61)</f>
        <v>0</v>
      </c>
    </row>
    <row r="63" spans="4:11" ht="31.95" customHeight="1">
      <c r="D63" s="25" t="str">
        <f>IF(Idioma=Castellano,"Índice de riesgo",IF(Idioma=Valencià,"Índex de risc","Índice de riesgo"))</f>
        <v>Índice de riesgo</v>
      </c>
      <c r="E63" s="26"/>
      <c r="F63" s="26"/>
      <c r="G63" s="22" t="e">
        <f>(G60*((G61+G62)/2))^(1/3)</f>
        <v>#DIV/0!</v>
      </c>
      <c r="H63" s="22" t="e">
        <f t="shared" ref="H63:K63" si="0">(H60*((H61+H62)/2))^(1/3)</f>
        <v>#DIV/0!</v>
      </c>
      <c r="I63" s="22" t="e">
        <f t="shared" si="0"/>
        <v>#DIV/0!</v>
      </c>
      <c r="J63" s="22" t="e">
        <f t="shared" si="0"/>
        <v>#DIV/0!</v>
      </c>
      <c r="K63" s="22" t="e">
        <f t="shared" si="0"/>
        <v>#DIV/0!</v>
      </c>
    </row>
    <row r="68" spans="1:11" s="296" customFormat="1" ht="31.8" thickBot="1">
      <c r="A68" s="148"/>
      <c r="B68" s="136"/>
      <c r="E68" s="296" t="str">
        <f>IF(Idioma=Castellano,"3. IMPACTO POR DESLIZAMIENTOS",IF(Idioma=Valencià,"3. IMPACTE PER LLISCAMENTS","3. IMPACTO POR DESLIZAMIENTOS"))</f>
        <v>3. IMPACTO POR DESLIZAMIENTOS</v>
      </c>
    </row>
    <row r="69" spans="1:11" ht="31.95" customHeight="1" thickBot="1">
      <c r="D69" s="734" t="str">
        <f>IF(Idioma=Castellano,"Amenaza",IF(Idioma=Valencià,"Amenaça","Amenaza"))</f>
        <v>Amenaza</v>
      </c>
      <c r="E69" s="736"/>
      <c r="F69" s="120" t="str">
        <f>IF(Idioma=Castellano,"Deslizamientos",IF(Idioma=Valencià,"Lliscaments","Deslizamientos"))</f>
        <v>Deslizamientos</v>
      </c>
      <c r="G69" s="468" t="s">
        <v>595</v>
      </c>
      <c r="H69" s="468" t="s">
        <v>31</v>
      </c>
      <c r="I69" s="468" t="s">
        <v>36</v>
      </c>
      <c r="J69" s="468" t="s">
        <v>39</v>
      </c>
      <c r="K69" s="468" t="s">
        <v>42</v>
      </c>
    </row>
    <row r="70" spans="1:11" ht="31.95" customHeight="1" thickBot="1">
      <c r="D70" s="734"/>
      <c r="E70" s="736"/>
      <c r="F70" s="120" t="str">
        <f>IF(Idioma=Castellano,"Precipitación media máxima",IF(Idioma=Valencià,"Precipitació mitjana màxima","Precipitación media máxima"))</f>
        <v>Precipitación media máxima</v>
      </c>
      <c r="G70" s="96">
        <f>G8</f>
        <v>0</v>
      </c>
      <c r="H70" s="96">
        <f>H8</f>
        <v>0</v>
      </c>
      <c r="I70" s="96">
        <f>I8</f>
        <v>0</v>
      </c>
      <c r="J70" s="96">
        <f>J8</f>
        <v>0</v>
      </c>
      <c r="K70" s="96">
        <f>K8</f>
        <v>0</v>
      </c>
    </row>
    <row r="71" spans="1:11" ht="31.95" customHeight="1" thickBot="1">
      <c r="D71" s="734"/>
      <c r="E71" s="736"/>
      <c r="F71" s="120" t="str">
        <f>IF(Idioma=Castellano,"Número de días húmedos al año (precipitaciones&gt;1mm)",IF(Idioma=Valencià,"Nombre de dies humits a l'any (precipitacions&gt;1mm)","Número de días húmedos al año (precipitaciones&gt;1mm)"))</f>
        <v>Número de días húmedos al año (precipitaciones&gt;1mm)</v>
      </c>
      <c r="G71" s="96">
        <f>IF(ISBLANK(B_Checklist!J63),0,IF(B_Checklist!J63=0,1,B_Checklist!J63*3/MAX(B_Checklist!$J$63:$N$64)))</f>
        <v>0</v>
      </c>
      <c r="H71" s="96">
        <f>IF(ISBLANK(B_Checklist!K64),0,IF(B_Checklist!K64=0,1,B_Checklist!K64*3/MAX(B_Checklist!$J$63:$N$64)))</f>
        <v>0</v>
      </c>
      <c r="I71" s="96">
        <f>IF(ISBLANK(B_Checklist!L64),0,IF(B_Checklist!L64=0,1,B_Checklist!L64*3/MAX(B_Checklist!$J$63:$N$64)))</f>
        <v>0</v>
      </c>
      <c r="J71" s="96">
        <f>IF(ISBLANK(B_Checklist!M64),0,IF(B_Checklist!M64=0,1,B_Checklist!M64*3/MAX(B_Checklist!$J$63:$N$64)))</f>
        <v>0</v>
      </c>
      <c r="K71" s="96">
        <f>IF(ISBLANK(B_Checklist!N64),0,IF(B_Checklist!N64=0,1,B_Checklist!N64*3/MAX(B_Checklist!$J$63:$N$64)))</f>
        <v>0</v>
      </c>
    </row>
    <row r="72" spans="1:11" ht="31.95" customHeight="1" thickBot="1">
      <c r="D72" s="697" t="str">
        <f>IF(Idioma=Castellano,"Exposición",IF(Idioma=Valencià,"Exposició","Exposición"))</f>
        <v>Exposición</v>
      </c>
      <c r="E72" s="737"/>
      <c r="F72" s="120" t="str">
        <f>IF(Idioma=Castellano,"Superficie expuesta a zona potencial de deslizamientos",IF(Idioma=Valencià,"Superfície exposada a zona potencial de lliscaments","Superficie expuesta a zona potencial de deslizamientos"))</f>
        <v>Superficie expuesta a zona potencial de deslizamientos</v>
      </c>
      <c r="G72" s="96">
        <f>IF(ISBLANK(B_Checklist!J65),0,IF(B_Checklist!J65=0,1,B_Checklist!J65*3/MAX(B_Checklist!$J65:$N65)))</f>
        <v>0</v>
      </c>
      <c r="H72" s="96">
        <f>IF(ISBLANK(B_Checklist!K65),0,IF(B_Checklist!K65=0,1,B_Checklist!K65*3/MAX(B_Checklist!$J65:$N65)))</f>
        <v>0</v>
      </c>
      <c r="I72" s="96">
        <f>IF(ISBLANK(B_Checklist!L65),0,IF(B_Checklist!L65=0,1,B_Checklist!L65*3/MAX(B_Checklist!$J65:$N65)))</f>
        <v>0</v>
      </c>
      <c r="J72" s="96">
        <f>IF(ISBLANK(B_Checklist!M65),0,IF(B_Checklist!M65=0,1,B_Checklist!M65*3/MAX(B_Checklist!$J65:$N65)))</f>
        <v>0</v>
      </c>
      <c r="K72" s="96">
        <f>IF(ISBLANK(B_Checklist!N65),0,IF(B_Checklist!N65=0,1,B_Checklist!N65*3/MAX(B_Checklist!$J65:$N65)))</f>
        <v>0</v>
      </c>
    </row>
    <row r="73" spans="1:11" ht="31.95" customHeight="1" thickBot="1">
      <c r="D73" s="699" t="str">
        <f>IF(Idioma=Castellano,"Vulnerabilidad",IF(Idioma=Valencià,"Vulnerabilitat","Vulnerabilidad"))</f>
        <v>Vulnerabilidad</v>
      </c>
      <c r="E73" s="766" t="str">
        <f>IF(Idioma=Castellano,"Sensibilidad",IF(Idioma=Valencià,"Sensibilitat","Sensibilidad"))</f>
        <v>Sensibilidad</v>
      </c>
      <c r="F73" s="120" t="str">
        <f>IF(Idioma=Castellano,"Porcentaje de suelo urbano susceptible a deslizamientos",IF(Idioma=Valencià,"Porcentaje de suelo urbano susceptible a deslizamientos","Porcentaje de suelo urbano susceptible a deslizamientos"))</f>
        <v>Porcentaje de suelo urbano susceptible a deslizamientos</v>
      </c>
      <c r="G73" s="96">
        <f>IF(ISBLANK(B_Checklist!J66),0,IF(B_Checklist!J66=0,1,B_Checklist!J66*3/MAX(B_Checklist!$J66:$N66)))</f>
        <v>0</v>
      </c>
      <c r="H73" s="96">
        <f>IF(ISBLANK(B_Checklist!K66),0,IF(B_Checklist!K66=0,1,B_Checklist!K66*3/MAX(B_Checklist!$J66:$N66)))</f>
        <v>0</v>
      </c>
      <c r="I73" s="96">
        <f>IF(ISBLANK(B_Checklist!L66),0,IF(B_Checklist!L66=0,1,B_Checklist!L66*3/MAX(B_Checklist!$J66:$N66)))</f>
        <v>0</v>
      </c>
      <c r="J73" s="96">
        <f>IF(ISBLANK(B_Checklist!M66),0,IF(B_Checklist!M66=0,1,B_Checklist!M66*3/MAX(B_Checklist!$J66:$N66)))</f>
        <v>0</v>
      </c>
      <c r="K73" s="96">
        <f>IF(ISBLANK(B_Checklist!N66),0,IF(B_Checklist!N66=0,1,B_Checklist!N66*3/MAX(B_Checklist!$J66:$N66)))</f>
        <v>0</v>
      </c>
    </row>
    <row r="74" spans="1:11" ht="31.95" customHeight="1" thickBot="1">
      <c r="D74" s="699"/>
      <c r="E74" s="766"/>
      <c r="F74" s="120" t="str">
        <f>IF(Idioma=Castellano,"Porcentaje de suelo urbanizable susceptible a deslizamientos",IF(Idioma=Valencià,"Percentatge de sòl urbanitzable susceptible a lliscaments","Porcentaje de suelo urbanizable susceptible a deslizamientos"))</f>
        <v>Porcentaje de suelo urbanizable susceptible a deslizamientos</v>
      </c>
      <c r="G74" s="96">
        <f>IF(ISBLANK(B_Checklist!J67),0,IF(B_Checklist!J67=0,1,B_Checklist!J67*3/MAX(B_Checklist!$J67:$N67)))</f>
        <v>0</v>
      </c>
      <c r="H74" s="96">
        <f>IF(ISBLANK(B_Checklist!K67),0,IF(B_Checklist!K67=0,1,B_Checklist!K67*3/MAX(B_Checklist!$J67:$N67)))</f>
        <v>0</v>
      </c>
      <c r="I74" s="96">
        <f>IF(ISBLANK(B_Checklist!L67),0,IF(B_Checklist!L67=0,1,B_Checklist!L67*3/MAX(B_Checklist!$J67:$N67)))</f>
        <v>0</v>
      </c>
      <c r="J74" s="96">
        <f>IF(ISBLANK(B_Checklist!M67),0,IF(B_Checklist!M67=0,1,B_Checklist!M67*3/MAX(B_Checklist!$J67:$N67)))</f>
        <v>0</v>
      </c>
      <c r="K74" s="96">
        <f>IF(ISBLANK(B_Checklist!N67),0,IF(B_Checklist!N67=0,1,B_Checklist!N67*3/MAX(B_Checklist!$J67:$N67)))</f>
        <v>0</v>
      </c>
    </row>
    <row r="75" spans="1:11" ht="31.95" customHeight="1" thickBot="1">
      <c r="D75" s="699"/>
      <c r="E75" s="766"/>
      <c r="F75" s="120" t="str">
        <f>IF(Idioma=Castellano,"Porcentaje de suelo residencial susceptible a deslizamientos ",IF(Idioma=Valencià,"Percentatge de sòl residencial susceptible a lliscaments ","Porcentaje de suelo residencial susceptible a deslizamientos "))</f>
        <v xml:space="preserve">Porcentaje de suelo residencial susceptible a deslizamientos </v>
      </c>
      <c r="G75" s="96">
        <f>IF(ISBLANK(B_Checklist!J68),0,IF(B_Checklist!J68=0,1,B_Checklist!J68*3/MAX(B_Checklist!$J68:$N68)))</f>
        <v>0</v>
      </c>
      <c r="H75" s="96">
        <f>IF(ISBLANK(B_Checklist!K68),0,IF(B_Checklist!K68=0,1,B_Checklist!K68*3/MAX(B_Checklist!$J68:$N68)))</f>
        <v>0</v>
      </c>
      <c r="I75" s="96">
        <f>IF(ISBLANK(B_Checklist!L68),0,IF(B_Checklist!L68=0,1,B_Checklist!L68*3/MAX(B_Checklist!$J68:$N68)))</f>
        <v>0</v>
      </c>
      <c r="J75" s="96">
        <f>IF(ISBLANK(B_Checklist!M68),0,IF(B_Checklist!M68=0,1,B_Checklist!M68*3/MAX(B_Checklist!$J68:$N68)))</f>
        <v>0</v>
      </c>
      <c r="K75" s="96">
        <f>IF(ISBLANK(B_Checklist!N68),0,IF(B_Checklist!N68=0,1,B_Checklist!N68*3/MAX(B_Checklist!$J68:$N68)))</f>
        <v>0</v>
      </c>
    </row>
    <row r="76" spans="1:11" ht="31.95" customHeight="1" thickBot="1">
      <c r="D76" s="699"/>
      <c r="E76" s="766"/>
      <c r="F76" s="120" t="str">
        <f>IF(Idioma=Castellano,"Porcentaje de suelo de actividades económicas susceptible a deslizamientos",IF(Idioma=Valencià,"Percentatge de sòl d'activitats econòmiques susceptible a lliscaments","Porcentaje de suelo de actividades económicas susceptible a deslizamientos"))</f>
        <v>Porcentaje de suelo de actividades económicas susceptible a deslizamientos</v>
      </c>
      <c r="G76" s="96">
        <f>IF(ISBLANK(B_Checklist!J69),0,IF(B_Checklist!J69=0,1,B_Checklist!J69*3/MAX(B_Checklist!$J69:$N69)))</f>
        <v>0</v>
      </c>
      <c r="H76" s="96">
        <f>IF(ISBLANK(B_Checklist!K69),0,IF(B_Checklist!K69=0,1,B_Checklist!K69*3/MAX(B_Checklist!$J69:$N69)))</f>
        <v>0</v>
      </c>
      <c r="I76" s="96">
        <f>IF(ISBLANK(B_Checklist!L69),0,IF(B_Checklist!L69=0,1,B_Checklist!L69*3/MAX(B_Checklist!$J69:$N69)))</f>
        <v>0</v>
      </c>
      <c r="J76" s="96">
        <f>IF(ISBLANK(B_Checklist!M69),0,IF(B_Checklist!M69=0,1,B_Checklist!M69*3/MAX(B_Checklist!$J69:$N69)))</f>
        <v>0</v>
      </c>
      <c r="K76" s="96">
        <f>IF(ISBLANK(B_Checklist!N69),0,IF(B_Checklist!N69=0,1,B_Checklist!N69*3/MAX(B_Checklist!$J69:$N69)))</f>
        <v>0</v>
      </c>
    </row>
    <row r="77" spans="1:11" ht="31.95" customHeight="1" thickBot="1">
      <c r="D77" s="699"/>
      <c r="E77" s="766"/>
      <c r="F77" s="120" t="str">
        <f>IF(Idioma=Castellano,"¿Existen zonas con riesgo de incendio forestal susceptibles a deslizamientos?",IF(Idioma=Valencià,"Existeixen zones amb el risc d'incendi forestal susceptibles a lliscaments?","¿Existen zonas con riesgo de incendio forestal susceptibles a deslizamientos?"))</f>
        <v>¿Existen zonas con riesgo de incendio forestal susceptibles a deslizamientos?</v>
      </c>
      <c r="G77" s="96">
        <f>IF(B_Checklist!J70="Si",3,IF(B_Checklist!J70="No",1,0))</f>
        <v>0</v>
      </c>
      <c r="H77" s="96">
        <f>IF(B_Checklist!K70="Si",3,IF(B_Checklist!K70="No",1,0))</f>
        <v>0</v>
      </c>
      <c r="I77" s="96">
        <f>IF(B_Checklist!L70="Si",3,IF(B_Checklist!L70="No",1,0))</f>
        <v>0</v>
      </c>
      <c r="J77" s="96">
        <f>IF(B_Checklist!M70="Si",3,IF(B_Checklist!M70="No",1,0))</f>
        <v>0</v>
      </c>
      <c r="K77" s="96">
        <f>IF(B_Checklist!N70="Si",3,IF(B_Checklist!N70="No",1,0))</f>
        <v>0</v>
      </c>
    </row>
    <row r="78" spans="1:11" ht="31.95" customHeight="1" thickBot="1">
      <c r="D78" s="699"/>
      <c r="E78" s="766"/>
      <c r="F78" s="120" t="str">
        <f>IF(Idioma=Castellano,"¿Hay infraestructuras básicas en zonas susceptibles a deslizamientos?",IF(Idioma=Valencià,"Hi ha infraestructures bàsiques en zones susceptibles a lliscaments?","¿Hay infraestructuras básicas en zonas susceptibles a deslizamientos?"))</f>
        <v>¿Hay infraestructuras básicas en zonas susceptibles a deslizamientos?</v>
      </c>
      <c r="G78" s="96">
        <f>IF(B_Checklist!J71="Si",3,IF(B_Checklist!J71="No",1,0))</f>
        <v>0</v>
      </c>
      <c r="H78" s="96">
        <f>IF(B_Checklist!K71="Si",3,IF(B_Checklist!K71="No",1,0))</f>
        <v>0</v>
      </c>
      <c r="I78" s="96">
        <f>IF(B_Checklist!L71="Si",3,IF(B_Checklist!L71="No",1,0))</f>
        <v>0</v>
      </c>
      <c r="J78" s="96">
        <f>IF(B_Checklist!M71="Si",3,IF(B_Checklist!M71="No",1,0))</f>
        <v>0</v>
      </c>
      <c r="K78" s="96">
        <f>IF(B_Checklist!N71="Si",3,IF(B_Checklist!N71="No",1,0))</f>
        <v>0</v>
      </c>
    </row>
    <row r="79" spans="1:11" ht="31.95" customHeight="1" thickBot="1">
      <c r="D79" s="699"/>
      <c r="E79" s="766"/>
      <c r="F79" s="120" t="str">
        <f>IF(Idioma=Castellano,"¿Hay infraestructuras de transporte y comunicaciones en zonas susceptibles a deslizamientos?",IF(Idioma=Valencià,"Hi ha infraestructures de transport i comunicacions en zones susceptibles a lliscaments?","¿Hay infraestructuras de transporte y comunicaciones en zonas susceptibles a deslizamientos?"))</f>
        <v>¿Hay infraestructuras de transporte y comunicaciones en zonas susceptibles a deslizamientos?</v>
      </c>
      <c r="G79" s="96">
        <f>IF(B_Checklist!J72="Si",3,IF(B_Checklist!J72="No",1,0))</f>
        <v>0</v>
      </c>
      <c r="H79" s="96">
        <f>IF(B_Checklist!K72="Si",3,IF(B_Checklist!K72="No",1,0))</f>
        <v>0</v>
      </c>
      <c r="I79" s="96">
        <f>IF(B_Checklist!L72="Si",3,IF(B_Checklist!L72="No",1,0))</f>
        <v>0</v>
      </c>
      <c r="J79" s="96">
        <f>IF(B_Checklist!M72="Si",3,IF(B_Checklist!M72="No",1,0))</f>
        <v>0</v>
      </c>
      <c r="K79" s="96">
        <f>IF(B_Checklist!N72="Si",3,IF(B_Checklist!N72="No",1,0))</f>
        <v>0</v>
      </c>
    </row>
    <row r="80" spans="1:11" ht="31.95" customHeight="1" thickBot="1">
      <c r="D80" s="699"/>
      <c r="E80" s="353"/>
      <c r="F80" s="120" t="str">
        <f>IF(Idioma=Castellano,"¿Hay equipamientos sensibles en zonas susceptibles a deslizamientos? (excluyendo paseos y espacios públicos)",IF(Idioma=Valencià,"Hi ha equipaments sensibles en zones susceptibles a lliscaments? (excloent passejos i espais públics)","¿Hay equipamientos sensibles en zonas susceptibles a deslizamientos? (excluyendo paseos y espacios públicos)"))</f>
        <v>¿Hay equipamientos sensibles en zonas susceptibles a deslizamientos? (excluyendo paseos y espacios públicos)</v>
      </c>
      <c r="G80" s="96">
        <f>IF(B_Checklist!J73="Si",3,IF(B_Checklist!J73="No",1,0))</f>
        <v>0</v>
      </c>
      <c r="H80" s="96">
        <f>IF(B_Checklist!K73="Si",3,IF(B_Checklist!K73="No",1,0))</f>
        <v>0</v>
      </c>
      <c r="I80" s="96">
        <f>IF(B_Checklist!L73="Si",3,IF(B_Checklist!L73="No",1,0))</f>
        <v>0</v>
      </c>
      <c r="J80" s="96">
        <f>IF(B_Checklist!M73="Si",3,IF(B_Checklist!M73="No",1,0))</f>
        <v>0</v>
      </c>
      <c r="K80" s="96">
        <f>IF(B_Checklist!N73="Si",3,IF(B_Checklist!N73="No",1,0))</f>
        <v>0</v>
      </c>
    </row>
    <row r="81" spans="4:11" ht="31.95" customHeight="1" thickBot="1">
      <c r="D81" s="699"/>
      <c r="E81" s="739" t="str">
        <f>IF(Idioma=Castellano,"Capacidad de adaptación",IF(Idioma=Valencià,"Capacitat d'adaptació","Capacidad de adaptación"))</f>
        <v>Capacidad de adaptación</v>
      </c>
      <c r="F81" s="761" t="str">
        <f>IF(Idioma=Castellano,"Superficie susceptible a deslizamientos destinada al sistema de espacios libres/zonas verdes",IF(Idioma=Valencià,"Superfície susceptible a lliscaments destinada al sistema d'espais lliures/zones verdes","Superficie susceptible a deslizamientos destinada al sistema de espacios libres/zonas verdes"))</f>
        <v>Superficie susceptible a deslizamientos destinada al sistema de espacios libres/zonas verdes</v>
      </c>
      <c r="G81" s="96">
        <f>IF(B_Checklist!J74=0,1,B_Checklist!J74)</f>
        <v>1</v>
      </c>
      <c r="H81" s="96">
        <f>IF(B_Checklist!K74=0,1,B_Checklist!K74)</f>
        <v>1</v>
      </c>
      <c r="I81" s="96">
        <f>IF(B_Checklist!L74=0,1,B_Checklist!L74)</f>
        <v>1</v>
      </c>
      <c r="J81" s="96">
        <f>IF(B_Checklist!M74=0,1,B_Checklist!M74)</f>
        <v>1</v>
      </c>
      <c r="K81" s="96">
        <f>IF(B_Checklist!N74=0,1,B_Checklist!N74)</f>
        <v>1</v>
      </c>
    </row>
    <row r="82" spans="4:11" ht="31.95" customHeight="1" thickBot="1">
      <c r="D82" s="699"/>
      <c r="E82" s="739"/>
      <c r="F82" s="762"/>
      <c r="G82" s="96">
        <f>IF(ISBLANK(B_Checklist!J74),0,IF(B_Checklist!J74=0,1,G81*3/MAX($G81:$K81)))</f>
        <v>0</v>
      </c>
      <c r="H82" s="96">
        <f>IF(ISBLANK(B_Checklist!K74),0,IF(B_Checklist!K74=0,1,H81*3/MAX($G81:$K81)))</f>
        <v>0</v>
      </c>
      <c r="I82" s="96">
        <f>IF(ISBLANK(B_Checklist!L74),0,IF(B_Checklist!L74=0,1,I81*3/MAX($G81:$K81)))</f>
        <v>0</v>
      </c>
      <c r="J82" s="96">
        <f>IF(ISBLANK(B_Checklist!M74),0,IF(B_Checklist!M74=0,1,J81*3/MAX($G81:$K81)))</f>
        <v>0</v>
      </c>
      <c r="K82" s="96">
        <f>IF(ISBLANK(B_Checklist!N74),0,IF(B_Checklist!N74=0,1,K81*3/MAX($G81:$K81)))</f>
        <v>0</v>
      </c>
    </row>
    <row r="83" spans="4:11" ht="31.95" customHeight="1" thickBot="1">
      <c r="D83" s="699"/>
      <c r="E83" s="739"/>
      <c r="F83" s="761" t="str">
        <f>IF(Idioma=Castellano,"Superficie susceptible a deslizamientos destinada a suelo no urbanizable",IF(Idioma=Valencià,"Superfície susceptible a lliscaments destinada a sòl no urbanitzable","Superficie susceptible a deslizamientos destinada a suelo no urbanizable"))</f>
        <v>Superficie susceptible a deslizamientos destinada a suelo no urbanizable</v>
      </c>
      <c r="G83" s="96">
        <f>IF(B_Checklist!J75=0,1,B_Checklist!J75)</f>
        <v>1</v>
      </c>
      <c r="H83" s="96">
        <f>IF(B_Checklist!K75=0,1,B_Checklist!K75)</f>
        <v>1</v>
      </c>
      <c r="I83" s="96">
        <f>IF(B_Checklist!L75=0,1,B_Checklist!L75)</f>
        <v>1</v>
      </c>
      <c r="J83" s="96">
        <f>IF(B_Checklist!M75=0,1,B_Checklist!M75)</f>
        <v>1</v>
      </c>
      <c r="K83" s="96">
        <f>IF(B_Checklist!N75=0,1,B_Checklist!N75)</f>
        <v>1</v>
      </c>
    </row>
    <row r="84" spans="4:11" ht="31.95" customHeight="1" thickBot="1">
      <c r="D84" s="699"/>
      <c r="E84" s="739"/>
      <c r="F84" s="762"/>
      <c r="G84" s="96">
        <f>IF(ISBLANK(B_Checklist!J75),0,IF(B_Checklist!J75=0,1,G83*3/MAX($G$83:$K$83)))</f>
        <v>0</v>
      </c>
      <c r="H84" s="96">
        <f>IF(ISBLANK(B_Checklist!K75),0,IF(B_Checklist!K75=0,1,H83*3/MAX($G$83:$K$83)))</f>
        <v>0</v>
      </c>
      <c r="I84" s="96">
        <f>IF(ISBLANK(B_Checklist!L75),0,IF(B_Checklist!L75=0,1,I83*3/MAX($G$83:$K$83)))</f>
        <v>0</v>
      </c>
      <c r="J84" s="96">
        <f>IF(ISBLANK(B_Checklist!M75),0,IF(B_Checklist!M75=0,1,J83*3/MAX($G$83:$K$83)))</f>
        <v>0</v>
      </c>
      <c r="K84" s="96">
        <f>IF(ISBLANK(B_Checklist!N75),0,IF(B_Checklist!N75=0,1,K83*3/MAX($G$83:$K$83)))</f>
        <v>0</v>
      </c>
    </row>
    <row r="85" spans="4:11" ht="31.95" customHeight="1" thickBot="1">
      <c r="D85" s="699"/>
      <c r="E85" s="739"/>
      <c r="F85" s="120" t="str">
        <f>IF(Idioma=Castellano,"Estudios geológicos suelo urbano (si/no) con criterios de cambio climático",IF(Idioma=Valencià,"Estudis geològics sòl urbà (si/no) amb criteris de canvi climàtic","Estudios geológicos suelo urbano (si/no) con criterios de cambio climático"))</f>
        <v>Estudios geológicos suelo urbano (si/no) con criterios de cambio climático</v>
      </c>
      <c r="G85" s="96">
        <f>IF(B_Checklist!J76="Si",1,IF(B_Checklist!J76="De forma parcial",2,IF(B_Checklist!J76="No",3,0)))</f>
        <v>0</v>
      </c>
      <c r="H85" s="96">
        <f>IF(B_Checklist!K76="Si",1,IF(B_Checklist!K76="De forma parcial",2,IF(B_Checklist!K76="No",3,0)))</f>
        <v>0</v>
      </c>
      <c r="I85" s="96">
        <f>IF(B_Checklist!L76="Si",1,IF(B_Checklist!L76="De forma parcial",2,IF(B_Checklist!L76="No",3,0)))</f>
        <v>0</v>
      </c>
      <c r="J85" s="96">
        <f>IF(B_Checklist!M76="Si",1,IF(B_Checklist!M76="De forma parcial",2,IF(B_Checklist!M76="No",3,0)))</f>
        <v>0</v>
      </c>
      <c r="K85" s="96">
        <f>IF(B_Checklist!N76="Si",1,IF(B_Checklist!N76="De forma parcial",2,IF(B_Checklist!N76="No",3,0)))</f>
        <v>0</v>
      </c>
    </row>
    <row r="86" spans="4:11" ht="31.95" customHeight="1" thickBot="1">
      <c r="D86" s="699"/>
      <c r="E86" s="739"/>
      <c r="F86" s="120" t="str">
        <f>IF(Idioma=Castellano,"Estudios geológicos suelo no urbanizable (si/no) con criterios de cambio climático",IF(Idioma=Valencià,"Estudis geològics sòl no urbanitzable (si/no) amb criteris de canvi climàtic","Estudios geológicos suelo no urbanizable (si/no) con criterios de cambio climático"))</f>
        <v>Estudios geológicos suelo no urbanizable (si/no) con criterios de cambio climático</v>
      </c>
      <c r="G86" s="96">
        <f>IF(B_Checklist!J77="Si",1,IF(B_Checklist!J77="De forma parcial",2,IF(B_Checklist!J77="No",3,0)))</f>
        <v>0</v>
      </c>
      <c r="H86" s="96">
        <f>IF(B_Checklist!K77="Si",1,IF(B_Checklist!K77="De forma parcial",2,IF(B_Checklist!K77="No",3,0)))</f>
        <v>0</v>
      </c>
      <c r="I86" s="96">
        <f>IF(B_Checklist!L77="Si",1,IF(B_Checklist!L77="De forma parcial",2,IF(B_Checklist!L77="No",3,0)))</f>
        <v>0</v>
      </c>
      <c r="J86" s="96">
        <f>IF(B_Checklist!M77="Si",1,IF(B_Checklist!M77="De forma parcial",2,IF(B_Checklist!M77="No",3,0)))</f>
        <v>0</v>
      </c>
      <c r="K86" s="96">
        <f>IF(B_Checklist!N77="Si",1,IF(B_Checklist!N77="De forma parcial",2,IF(B_Checklist!N77="No",3,0)))</f>
        <v>0</v>
      </c>
    </row>
    <row r="87" spans="4:11" ht="31.95" customHeight="1" thickBot="1">
      <c r="D87" s="699"/>
      <c r="E87" s="739"/>
      <c r="F87" s="120" t="str">
        <f>IF(Idioma=Castellano,"Estructuras de contención de laderas y/o taludes",IF(Idioma=Valencià,"Estructures de contenció de vessants i/o talussos","Estructuras de contención de laderas y/o taludes"))</f>
        <v>Estructuras de contención de laderas y/o taludes</v>
      </c>
      <c r="G87" s="96">
        <f>IF(B_Checklist!J78="Si",1,IF(B_Checklist!J78="De forma parcial",2,IF(B_Checklist!J78="No",3,0)))</f>
        <v>0</v>
      </c>
      <c r="H87" s="96">
        <f>IF(B_Checklist!K78="Si",1,IF(B_Checklist!K78="De forma parcial",2,IF(B_Checklist!K78="No",3,0)))</f>
        <v>0</v>
      </c>
      <c r="I87" s="96">
        <f>IF(B_Checklist!L78="Si",1,IF(B_Checklist!L78="De forma parcial",2,IF(B_Checklist!L78="No",3,0)))</f>
        <v>0</v>
      </c>
      <c r="J87" s="96">
        <f>IF(B_Checklist!M78="Si",1,IF(B_Checklist!M78="De forma parcial",2,IF(B_Checklist!M78="No",3,0)))</f>
        <v>0</v>
      </c>
      <c r="K87" s="96">
        <f>IF(B_Checklist!N78="Si",1,IF(B_Checklist!N78="De forma parcial",2,IF(B_Checklist!N78="No",3,0)))</f>
        <v>0</v>
      </c>
    </row>
    <row r="88" spans="4:11" ht="31.95" customHeight="1" thickBot="1">
      <c r="D88" s="699"/>
      <c r="E88" s="739"/>
      <c r="F88" s="120" t="str">
        <f>IF(Idioma=Castellano,"Medidas de estabilización de laderas y/o taludes (bermas, abatimiento de pendientes, forestación, etc).",IF(Idioma=Valencià,"Mesures d'estabilització de vessants i/o talussos (bermes, abatiment de pendents, repoblament, etc.)","Medidas de estabilización de laderas y/o taludes (bermas, abatimiento de pendientes, forestación, etc.)"))</f>
        <v>Medidas de estabilización de laderas y/o taludes (bermas, abatimiento de pendientes, forestación, etc).</v>
      </c>
      <c r="G88" s="96">
        <f>IF(B_Checklist!J79="Si",1,IF(B_Checklist!J79="De forma parcial",2,IF(B_Checklist!J79="No",3,0)))</f>
        <v>0</v>
      </c>
      <c r="H88" s="96">
        <f>IF(B_Checklist!K79="Si",1,IF(B_Checklist!K79="De forma parcial",2,IF(B_Checklist!K79="No",3,0)))</f>
        <v>0</v>
      </c>
      <c r="I88" s="96">
        <f>IF(B_Checklist!L79="Si",1,IF(B_Checklist!L79="De forma parcial",2,IF(B_Checklist!L79="No",3,0)))</f>
        <v>0</v>
      </c>
      <c r="J88" s="96">
        <f>IF(B_Checklist!M79="Si",1,IF(B_Checklist!M79="De forma parcial",2,IF(B_Checklist!M79="No",3,0)))</f>
        <v>0</v>
      </c>
      <c r="K88" s="96">
        <f>IF(B_Checklist!N79="Si",1,IF(B_Checklist!N79="De forma parcial",2,IF(B_Checklist!N79="No",3,0)))</f>
        <v>0</v>
      </c>
    </row>
    <row r="89" spans="4:11" ht="31.95" customHeight="1" thickBot="1">
      <c r="D89" s="25" t="str">
        <f>IF(Idioma=Castellano,"Total amenaza",IF(Idioma=Valencià,"Total amenaça","Total amenaza"))</f>
        <v>Total amenaza</v>
      </c>
      <c r="E89" s="26"/>
      <c r="F89" s="26"/>
      <c r="G89" s="88">
        <f>(G70+G71)/2</f>
        <v>0</v>
      </c>
      <c r="H89" s="88">
        <f>(H70+H71)/2</f>
        <v>0</v>
      </c>
      <c r="I89" s="88">
        <f>(I70+I71)/2</f>
        <v>0</v>
      </c>
      <c r="J89" s="88">
        <f>(J70+J71)/2</f>
        <v>0</v>
      </c>
      <c r="K89" s="88">
        <f>(K70+K71)/2</f>
        <v>0</v>
      </c>
    </row>
    <row r="90" spans="4:11" ht="31.95" customHeight="1">
      <c r="D90" s="25" t="str">
        <f>IF(Idioma=Castellano,"Total exposición",IF(Idioma=Valencià,"Total exposició","Total exposición"))</f>
        <v>Total exposición</v>
      </c>
      <c r="E90" s="26"/>
      <c r="F90" s="26"/>
      <c r="G90" s="88" t="e">
        <f>SUM(G72:G72)/COUNTA(B_Checklist!J$65:J$65)</f>
        <v>#DIV/0!</v>
      </c>
      <c r="H90" s="88" t="e">
        <f>SUM(H72:H72)/COUNTA(B_Checklist!K$65:K$65)</f>
        <v>#DIV/0!</v>
      </c>
      <c r="I90" s="88" t="e">
        <f>SUM(I72:I72)/COUNTA(B_Checklist!L$65:L$65)</f>
        <v>#DIV/0!</v>
      </c>
      <c r="J90" s="88" t="e">
        <f>SUM(J72:J72)/COUNTA(B_Checklist!M$65:M$65)</f>
        <v>#DIV/0!</v>
      </c>
      <c r="K90" s="88" t="e">
        <f>SUM(K72:K72)/COUNTA(B_Checklist!N$65:N$65)</f>
        <v>#DIV/0!</v>
      </c>
    </row>
    <row r="91" spans="4:11" ht="31.95" customHeight="1">
      <c r="D91" s="25" t="str">
        <f>IF(Idioma=Castellano,"Total sensibilidad",IF(Idioma=Valencià,"Total sensibilitat","Total sensibilidad"))</f>
        <v>Total sensibilidad</v>
      </c>
      <c r="E91" s="26"/>
      <c r="F91" s="26"/>
      <c r="G91" s="106" t="e">
        <f>SUM(G73:G80)/COUNTA(B_Checklist!J$66:J$73)</f>
        <v>#DIV/0!</v>
      </c>
      <c r="H91" s="106" t="e">
        <f>SUM(H73:H80)/COUNTA(B_Checklist!K$66:K$73)</f>
        <v>#DIV/0!</v>
      </c>
      <c r="I91" s="106" t="e">
        <f>SUM(I73:I80)/COUNTA(B_Checklist!L$66:L$73)</f>
        <v>#DIV/0!</v>
      </c>
      <c r="J91" s="106" t="e">
        <f>SUM(J73:J80)/COUNTA(B_Checklist!M$66:M$73)</f>
        <v>#DIV/0!</v>
      </c>
      <c r="K91" s="106" t="e">
        <f>SUM(K73:K80)/COUNTA(B_Checklist!N$66:N$73)</f>
        <v>#DIV/0!</v>
      </c>
    </row>
    <row r="92" spans="4:11" ht="31.95" customHeight="1">
      <c r="D92" s="25" t="str">
        <f>IF(Idioma=Castellano,"Total capacidad de adaptación",IF(Idioma=Valencià,"Total capacitat d'adaptació","Total capacidad de adaptación"))</f>
        <v>Total capacidad de adaptación</v>
      </c>
      <c r="E92" s="26"/>
      <c r="F92" s="26"/>
      <c r="G92" s="106" t="e">
        <f>(SUM(G85:G88)+G84+G82)/COUNTA(B_Checklist!J74:J79)</f>
        <v>#DIV/0!</v>
      </c>
      <c r="H92" s="106" t="e">
        <f>(SUM(H85:H88)+H84+H82)/COUNTA(B_Checklist!K74:K79)</f>
        <v>#DIV/0!</v>
      </c>
      <c r="I92" s="106" t="e">
        <f>(SUM(I85:I88)+I84+I82)/COUNTA(B_Checklist!L74:L79)</f>
        <v>#DIV/0!</v>
      </c>
      <c r="J92" s="106" t="e">
        <f>(SUM(J85:J88)+J84+J82)/COUNTA(B_Checklist!M74:M79)</f>
        <v>#DIV/0!</v>
      </c>
      <c r="K92" s="106" t="e">
        <f>(SUM(K85:K88)+K84+K82)/COUNTA(B_Checklist!N74:N79)</f>
        <v>#DIV/0!</v>
      </c>
    </row>
    <row r="93" spans="4:11" ht="31.95" customHeight="1">
      <c r="D93" s="25" t="str">
        <f>IF(Idioma=Castellano,"Índice de riesgo",IF(Idioma=Valencià,"Índex de risc","Índice de riesgo"))</f>
        <v>Índice de riesgo</v>
      </c>
      <c r="E93" s="26"/>
      <c r="F93" s="26"/>
      <c r="G93" s="22" t="e">
        <f>(G89*G90*((G91+G92)/2))^(1/3)</f>
        <v>#DIV/0!</v>
      </c>
      <c r="H93" s="22" t="e">
        <f>(H89*H90*((H91+H92)/2))^(1/3)</f>
        <v>#DIV/0!</v>
      </c>
      <c r="I93" s="22" t="e">
        <f>(I89*I90*((I91+I92)/2))^(1/3)</f>
        <v>#DIV/0!</v>
      </c>
      <c r="J93" s="22" t="e">
        <f>(J89*J90*((J91+J92)/2))^(1/3)</f>
        <v>#DIV/0!</v>
      </c>
      <c r="K93" s="22" t="e">
        <f>(K89*K90*((K91+K92)/2))^(1/3)</f>
        <v>#DIV/0!</v>
      </c>
    </row>
    <row r="97" spans="1:11" s="296" customFormat="1" ht="31.8" thickBot="1">
      <c r="A97" s="148"/>
      <c r="B97" s="136"/>
      <c r="E97" s="296" t="str">
        <f>IF(Idioma=Castellano,"4. IMPACTO POR OLAS DE CALOR",IF(Idioma=Valencià,"4. IMPACTE PER ONADES DE CALOR","4. IMPACTO POR OLAS DE CALOR"))</f>
        <v>4. IMPACTO POR OLAS DE CALOR</v>
      </c>
    </row>
    <row r="98" spans="1:11" ht="31.8" thickBot="1">
      <c r="D98" s="734" t="str">
        <f>IF(Idioma=Castellano,"Amenaza",IF(Idioma=Valencià,"Amenaça","Amenaza"))</f>
        <v>Amenaza</v>
      </c>
      <c r="E98" s="736"/>
      <c r="F98" s="120" t="str">
        <f>IF(Idioma=Castellano,"Olas de calor",IF(Idioma=Valencià,"Onades de calor","Olas de calor"))</f>
        <v>Olas de calor</v>
      </c>
      <c r="G98" s="468" t="s">
        <v>595</v>
      </c>
      <c r="H98" s="468" t="s">
        <v>31</v>
      </c>
      <c r="I98" s="468" t="s">
        <v>36</v>
      </c>
      <c r="J98" s="468" t="s">
        <v>39</v>
      </c>
      <c r="K98" s="468" t="s">
        <v>42</v>
      </c>
    </row>
    <row r="99" spans="1:11" ht="31.8" thickBot="1">
      <c r="D99" s="734"/>
      <c r="E99" s="736"/>
      <c r="F99" s="120" t="str">
        <f>IF(Idioma=Castellano,"Temperatura máxima",IF(Idioma=Valencià,"Temperatura màxima","Temperatura máxima"))</f>
        <v>Temperatura máxima</v>
      </c>
      <c r="G99" s="96">
        <f>IF(ISBLANK(B_Checklist!J84),0,IF(B_Checklist!J84=0,1,B_Checklist!J84*3/MAX(B_Checklist!$J$84:$N$85)))</f>
        <v>0</v>
      </c>
      <c r="H99" s="96">
        <f>IF(ISBLANK(B_Checklist!K85),0,IF(B_Checklist!K85=0,1,B_Checklist!K85*3/MAX(B_Checklist!$J$84:$N$85)))</f>
        <v>0</v>
      </c>
      <c r="I99" s="96">
        <f>IF(ISBLANK(B_Checklist!L85),0,IF(B_Checklist!L85=0,1,B_Checklist!L85*3/MAX(B_Checklist!$J$84:$N$85)))</f>
        <v>0</v>
      </c>
      <c r="J99" s="96">
        <f>IF(ISBLANK(B_Checklist!M85),0,IF(B_Checklist!M85=0,1,B_Checklist!M85*3/MAX(B_Checklist!$J$84:$N$85)))</f>
        <v>0</v>
      </c>
      <c r="K99" s="96">
        <f>IF(ISBLANK(B_Checklist!N85),0,IF(B_Checklist!N85=0,1,B_Checklist!N85*3/MAX(B_Checklist!$J$84:$N$85)))</f>
        <v>0</v>
      </c>
    </row>
    <row r="100" spans="1:11" ht="31.8" thickBot="1">
      <c r="D100" s="697" t="str">
        <f>IF(Idioma=Castellano,"Exposición",IF(Idioma=Valencià,"Exposició","Exposición"))</f>
        <v>Exposición</v>
      </c>
      <c r="E100" s="737"/>
      <c r="F100" s="120" t="str">
        <f>IF(Idioma=Castellano,"Densidad de población estimada del suelo residencial, terciario y equipamientos",IF(Idioma=Valencià,"Densitat de població estimada del sòl residencial, terciari i equipaments","Densidad de población estimada del suelo residencial, terciario y equipamientos"))</f>
        <v>Densidad de población estimada del suelo residencial, terciario y equipamientos</v>
      </c>
      <c r="G100" s="96">
        <f>IF(ISBLANK(B_Checklist!J86),0,IF(B_Checklist!J86=0,1,B_Checklist!J86*3/MAX(B_Checklist!$J86:$N86)))</f>
        <v>0</v>
      </c>
      <c r="H100" s="96">
        <f>IF(ISBLANK(B_Checklist!K86),0,IF(B_Checklist!K86=0,1,B_Checklist!K86*3/MAX(B_Checklist!$J86:$N86)))</f>
        <v>0</v>
      </c>
      <c r="I100" s="96">
        <f>IF(ISBLANK(B_Checklist!L86),0,IF(B_Checklist!L86=0,1,B_Checklist!L86*3/MAX(B_Checklist!$J86:$N86)))</f>
        <v>0</v>
      </c>
      <c r="J100" s="96">
        <f>IF(ISBLANK(B_Checklist!M86),0,IF(B_Checklist!M86=0,1,B_Checklist!M86*3/MAX(B_Checklist!$J86:$N86)))</f>
        <v>0</v>
      </c>
      <c r="K100" s="96">
        <f>IF(ISBLANK(B_Checklist!N86),0,IF(B_Checklist!N86=0,1,B_Checklist!N86*3/MAX(B_Checklist!$J86:$N86)))</f>
        <v>0</v>
      </c>
    </row>
    <row r="101" spans="1:11" ht="31.95" customHeight="1" thickBot="1">
      <c r="D101" s="699" t="str">
        <f>IF(Idioma=Castellano,"Vulnerabilidad",IF(Idioma=Valencià,"Vulnerabilitat","Vulnerabilidad"))</f>
        <v>Vulnerabilidad</v>
      </c>
      <c r="E101" s="766" t="str">
        <f>IF(Idioma=Castellano,"Sensibilidad",IF(Idioma=Valencià,"Sensibilitat","Sensibilidad"))</f>
        <v>Sensibilidad</v>
      </c>
      <c r="F101" s="120" t="str">
        <f>IF(Idioma=Castellano,"Porcentaje de suelo urbano con respecto al total del área de estudio",IF(Idioma=Valencià,"Percentatge de sòl urbà respecte al total de l'àrea d'estudi","Porcentaje de suelo urbano con respecto al total del área de estudio"))</f>
        <v>Porcentaje de suelo urbano con respecto al total del área de estudio</v>
      </c>
      <c r="G101" s="96">
        <f>IF(ISBLANK(B_Checklist!J87),0,IF(B_Checklist!J87=0,1,B_Checklist!J87*3/MAX(B_Checklist!$J87:$N87)))</f>
        <v>0</v>
      </c>
      <c r="H101" s="96">
        <f>IF(ISBLANK(B_Checklist!K87),0,IF(B_Checklist!K87=0,1,B_Checklist!K87*3/MAX(B_Checklist!$J87:$N87)))</f>
        <v>0</v>
      </c>
      <c r="I101" s="96">
        <f>IF(ISBLANK(B_Checklist!L87),0,IF(B_Checklist!L87=0,1,B_Checklist!L87*3/MAX(B_Checklist!$J87:$N87)))</f>
        <v>0</v>
      </c>
      <c r="J101" s="96">
        <f>IF(ISBLANK(B_Checklist!M87),0,IF(B_Checklist!M87=0,1,B_Checklist!M87*3/MAX(B_Checklist!$J87:$N87)))</f>
        <v>0</v>
      </c>
      <c r="K101" s="96">
        <f>IF(ISBLANK(B_Checklist!N87),0,IF(B_Checklist!N87=0,1,B_Checklist!N87*3/MAX(B_Checklist!$J87:$N87)))</f>
        <v>0</v>
      </c>
    </row>
    <row r="102" spans="1:11" ht="31.95" customHeight="1" thickBot="1">
      <c r="D102" s="699"/>
      <c r="E102" s="766"/>
      <c r="F102" s="120" t="str">
        <f>IF(Idioma=Castellano,"Porcentaje de suelo urbanizable con respecto al total del área de estudio",IF(Idioma=Valencià,"Percentatge de sòl urbanitzable respecte al total de l'àrea d'estudi","Porcentaje de suelo urbanizable con respecto al total del área de estudio"))</f>
        <v>Porcentaje de suelo urbanizable con respecto al total del área de estudio</v>
      </c>
      <c r="G102" s="96">
        <f>IF(ISBLANK(B_Checklist!J88),0,IF(B_Checklist!J88=0,1,B_Checklist!J88*3/MAX(B_Checklist!$J88:$N88)))</f>
        <v>0</v>
      </c>
      <c r="H102" s="96">
        <f>IF(ISBLANK(B_Checklist!K88),0,IF(B_Checklist!K88=0,1,B_Checklist!K88*3/MAX(B_Checklist!$J88:$N88)))</f>
        <v>0</v>
      </c>
      <c r="I102" s="96">
        <f>IF(ISBLANK(B_Checklist!L88),0,IF(B_Checklist!L88=0,1,B_Checklist!L88*3/MAX(B_Checklist!$J88:$N88)))</f>
        <v>0</v>
      </c>
      <c r="J102" s="96">
        <f>IF(ISBLANK(B_Checklist!M88),0,IF(B_Checklist!M88=0,1,B_Checklist!M88*3/MAX(B_Checklist!$J88:$N88)))</f>
        <v>0</v>
      </c>
      <c r="K102" s="96">
        <f>IF(ISBLANK(B_Checklist!N88),0,IF(B_Checklist!N88=0,1,B_Checklist!N88*3/MAX(B_Checklist!$J88:$N88)))</f>
        <v>0</v>
      </c>
    </row>
    <row r="103" spans="1:11" ht="31.95" customHeight="1" thickBot="1">
      <c r="D103" s="699"/>
      <c r="E103" s="766"/>
      <c r="F103" s="120" t="str">
        <f>IF(Idioma=Castellano,"Porcentaje de suelo residencial con respecto al total del área de estudio",IF(Idioma=Valencià,"Percentatge de sòl residencial respecte al total de l'àrea d'estudi","Porcentaje de suelo residencial con respecto al total del área de estudio"))</f>
        <v>Porcentaje de suelo residencial con respecto al total del área de estudio</v>
      </c>
      <c r="G103" s="96">
        <f>IF(ISBLANK(B_Checklist!J89),0,IF(B_Checklist!J89=0,1,B_Checklist!J89*3/MAX(B_Checklist!$J89:$N89)))</f>
        <v>0</v>
      </c>
      <c r="H103" s="96">
        <f>IF(ISBLANK(B_Checklist!K89),0,IF(B_Checklist!K89=0,1,B_Checklist!K89*3/MAX(B_Checklist!$J89:$N89)))</f>
        <v>0</v>
      </c>
      <c r="I103" s="96">
        <f>IF(ISBLANK(B_Checklist!L89),0,IF(B_Checklist!L89=0,1,B_Checklist!L89*3/MAX(B_Checklist!$J89:$N89)))</f>
        <v>0</v>
      </c>
      <c r="J103" s="96">
        <f>IF(ISBLANK(B_Checklist!M89),0,IF(B_Checklist!M89=0,1,B_Checklist!M89*3/MAX(B_Checklist!$J89:$N89)))</f>
        <v>0</v>
      </c>
      <c r="K103" s="96">
        <f>IF(ISBLANK(B_Checklist!N89),0,IF(B_Checklist!N89=0,1,B_Checklist!N89*3/MAX(B_Checklist!$J89:$N89)))</f>
        <v>0</v>
      </c>
    </row>
    <row r="104" spans="1:11" ht="31.95" customHeight="1" thickBot="1">
      <c r="D104" s="699"/>
      <c r="E104" s="766"/>
      <c r="F104" s="120" t="str">
        <f>IF(Idioma=Castellano,"Porcentaje de suelo de actividades económicas con respecto al total del área de estudio",IF(Idioma=Valencià,"Percentatge de sòl d'activitats econòmiques respecte al total de l'àrea d'estudi","Porcentaje de suelo de actividades económicas con respecto al total del área de estudio"))</f>
        <v>Porcentaje de suelo de actividades económicas con respecto al total del área de estudio</v>
      </c>
      <c r="G104" s="96">
        <f>IF(ISBLANK(B_Checklist!J90),0,IF(B_Checklist!J90=0,1,B_Checklist!J90*3/MAX(B_Checklist!$J90:$N90)))</f>
        <v>0</v>
      </c>
      <c r="H104" s="96">
        <f>IF(ISBLANK(B_Checklist!K90),0,IF(B_Checklist!K90=0,1,B_Checklist!K90*3/MAX(B_Checklist!$J90:$N90)))</f>
        <v>0</v>
      </c>
      <c r="I104" s="96">
        <f>IF(ISBLANK(B_Checklist!L90),0,IF(B_Checklist!L90=0,1,B_Checklist!L90*3/MAX(B_Checklist!$J90:$N90)))</f>
        <v>0</v>
      </c>
      <c r="J104" s="96">
        <f>IF(ISBLANK(B_Checklist!M90),0,IF(B_Checklist!M90=0,1,B_Checklist!M90*3/MAX(B_Checklist!$J90:$N90)))</f>
        <v>0</v>
      </c>
      <c r="K104" s="96">
        <f>IF(ISBLANK(B_Checklist!N90),0,IF(B_Checklist!N90=0,1,B_Checklist!N90*3/MAX(B_Checklist!$J90:$N90)))</f>
        <v>0</v>
      </c>
    </row>
    <row r="105" spans="1:11" ht="31.95" customHeight="1" thickBot="1">
      <c r="D105" s="699"/>
      <c r="E105" s="766"/>
      <c r="F105" s="120" t="str">
        <f>IF(Idioma=Castellano,"Porcentaje de suelo identificado como espacio urbano sensible",IF(Idioma=Valencià,"Percentatge de sòl identificat com a espai urbà sensible","Porcentaje de suelo identificado como espacio urbano sensible"))</f>
        <v>Porcentaje de suelo identificado como espacio urbano sensible</v>
      </c>
      <c r="G105" s="96">
        <f>IF(ISBLANK(B_Checklist!J91),0,IF(B_Checklist!J91=0,1,B_Checklist!J91*3/MAX(B_Checklist!$J91:$N91)))</f>
        <v>0</v>
      </c>
      <c r="H105" s="96">
        <f>IF(ISBLANK(B_Checklist!K91),0,IF(B_Checklist!K91=0,1,B_Checklist!K91*3/MAX(B_Checklist!$J91:$N91)))</f>
        <v>0</v>
      </c>
      <c r="I105" s="96">
        <f>IF(ISBLANK(B_Checklist!L91),0,IF(B_Checklist!L91=0,1,B_Checklist!L91*3/MAX(B_Checklist!$J91:$N91)))</f>
        <v>0</v>
      </c>
      <c r="J105" s="96">
        <f>IF(ISBLANK(B_Checklist!M91),0,IF(B_Checklist!M91=0,1,B_Checklist!M91*3/MAX(B_Checklist!$J91:$N91)))</f>
        <v>0</v>
      </c>
      <c r="K105" s="96">
        <f>IF(ISBLANK(B_Checklist!N91),0,IF(B_Checklist!N91=0,1,B_Checklist!N91*3/MAX(B_Checklist!$J91:$N91)))</f>
        <v>0</v>
      </c>
    </row>
    <row r="106" spans="1:11" ht="31.8" thickBot="1">
      <c r="D106" s="699"/>
      <c r="E106" s="766"/>
      <c r="F106" s="120" t="str">
        <f>IF(Idioma=Castellano,"Personas de &gt; 70 años",IF(Idioma=Valencià,"Persones de &gt; 70 anys ","Personas de &gt; 70 años"))</f>
        <v>Personas de &gt; 70 años</v>
      </c>
      <c r="G106" s="96">
        <f>IF(ISBLANK(B_Checklist!J92),0,IF(B_Checklist!J92=0,1,B_Checklist!J92*3/MAX(B_Checklist!$J92:$N92)))</f>
        <v>0</v>
      </c>
      <c r="H106" s="96">
        <f>IF(ISBLANK(B_Checklist!K92),0,IF(B_Checklist!K92=0,1,B_Checklist!K92*3/MAX(B_Checklist!$J92:$N92)))</f>
        <v>0</v>
      </c>
      <c r="I106" s="96">
        <f>IF(ISBLANK(B_Checklist!L92),0,IF(B_Checklist!L92=0,1,B_Checklist!L92*3/MAX(B_Checklist!$J92:$N92)))</f>
        <v>0</v>
      </c>
      <c r="J106" s="96">
        <f>IF(ISBLANK(B_Checklist!M92),0,IF(B_Checklist!M92=0,1,B_Checklist!M92*3/MAX(B_Checklist!$J92:$N92)))</f>
        <v>0</v>
      </c>
      <c r="K106" s="96">
        <f>IF(ISBLANK(B_Checklist!N92),0,IF(B_Checklist!N92=0,1,B_Checklist!N92*3/MAX(B_Checklist!$J92:$N92)))</f>
        <v>0</v>
      </c>
    </row>
    <row r="107" spans="1:11" ht="31.95" customHeight="1" thickBot="1">
      <c r="D107" s="699"/>
      <c r="E107" s="766"/>
      <c r="F107" s="120" t="str">
        <f>IF(Idioma=Castellano,"Personas de &lt; 12 años",IF(Idioma=Valencià,"Persones de &lt; 12 anys","Personas de &lt; 12 años"))</f>
        <v>Personas de &lt; 12 años</v>
      </c>
      <c r="G107" s="96">
        <f>IF(ISBLANK(B_Checklist!J93),0,IF(B_Checklist!J93=0,1,B_Checklist!J93*3/MAX(B_Checklist!$J93:$N93)))</f>
        <v>0</v>
      </c>
      <c r="H107" s="96">
        <f>IF(ISBLANK(B_Checklist!K93),0,IF(B_Checklist!K93=0,1,B_Checklist!K93*3/MAX(B_Checklist!$J93:$N93)))</f>
        <v>0</v>
      </c>
      <c r="I107" s="96">
        <f>IF(ISBLANK(B_Checklist!L93),0,IF(B_Checklist!L93=0,1,B_Checklist!L93*3/MAX(B_Checklist!$J93:$N93)))</f>
        <v>0</v>
      </c>
      <c r="J107" s="96">
        <f>IF(ISBLANK(B_Checklist!M93),0,IF(B_Checklist!M93=0,1,B_Checklist!M93*3/MAX(B_Checklist!$J93:$N93)))</f>
        <v>0</v>
      </c>
      <c r="K107" s="96">
        <f>IF(ISBLANK(B_Checklist!N93),0,IF(B_Checklist!N93=0,1,B_Checklist!N93*3/MAX(B_Checklist!$J93:$N93)))</f>
        <v>0</v>
      </c>
    </row>
    <row r="108" spans="1:11" ht="31.8" thickBot="1">
      <c r="D108" s="699"/>
      <c r="E108" s="739" t="str">
        <f>IF(Idioma=Castellano,"Capacidad de adaptación",IF(Idioma=Valencià,"Capacitat d'adaptació","Capacidad de adaptación"))</f>
        <v>Capacidad de adaptación</v>
      </c>
      <c r="F108" s="761" t="str">
        <f>IF(Idioma=Castellano,"Dotación arbórea urbana per cápita",IF(Idioma=Valencià,"Dotació arbòria urbana per càpita.","Dotación arbórea urbana per cápita"))</f>
        <v>Dotación arbórea urbana per cápita</v>
      </c>
      <c r="G108" s="96" cm="1">
        <f t="array" ref="G108">IF(B_Checklist!J94=0,1,MIN(IF(B_Checklist!$J$94:$N$94&gt;0,B_Checklist!$J$94:$N$94))*MAX(B_Checklist!$J$94:$N$94)/B_Checklist!J94)</f>
        <v>1</v>
      </c>
      <c r="H108" s="96" cm="1">
        <f t="array" ref="H108">IF(B_Checklist!K94=0,1,MIN(IF(B_Checklist!$J$94:$N$94&gt;0,B_Checklist!$J$94:$N$94))*MAX(B_Checklist!$J$94:$N$94)/B_Checklist!K94)</f>
        <v>1</v>
      </c>
      <c r="I108" s="96" cm="1">
        <f t="array" ref="I108">IF(B_Checklist!L94=0,1,MIN(IF(B_Checklist!$J$94:$N$94&gt;0,B_Checklist!$J$94:$N$94))*MAX(B_Checklist!$J$94:$N$94)/B_Checklist!L94)</f>
        <v>1</v>
      </c>
      <c r="J108" s="96" cm="1">
        <f t="array" ref="J108">IF(B_Checklist!M94=0,1,MIN(IF(B_Checklist!$J$94:$N$94&gt;0,B_Checklist!$J$94:$N$94))*MAX(B_Checklist!$J$94:$N$94)/B_Checklist!M94)</f>
        <v>1</v>
      </c>
      <c r="K108" s="96" cm="1">
        <f t="array" ref="K108">IF(B_Checklist!N94=0,1,MIN(IF(B_Checklist!$J$94:$N$94&gt;0,B_Checklist!$J$94:$N$94))*MAX(B_Checklist!$J$94:$N$94)/B_Checklist!N94)</f>
        <v>1</v>
      </c>
    </row>
    <row r="109" spans="1:11" ht="31.8" thickBot="1">
      <c r="D109" s="699"/>
      <c r="E109" s="739"/>
      <c r="F109" s="762"/>
      <c r="G109" s="96">
        <f>IF(ISBLANK(B_Checklist!J94),0,IF(B_Checklist!J94=0,1,G108*3/MAX($G$108:$K$108)))</f>
        <v>0</v>
      </c>
      <c r="H109" s="96">
        <f>IF(ISBLANK(B_Checklist!K94),0,IF(B_Checklist!K94=0,1,H108*3/MAX($G$108:$K$108)))</f>
        <v>0</v>
      </c>
      <c r="I109" s="96">
        <f>IF(ISBLANK(B_Checklist!L94),0,IF(B_Checklist!L94=0,1,I108*3/MAX($G$108:$K$108)))</f>
        <v>0</v>
      </c>
      <c r="J109" s="96">
        <f>IF(ISBLANK(B_Checklist!M94),0,IF(B_Checklist!M94=0,1,J108*3/MAX($G$108:$K$108)))</f>
        <v>0</v>
      </c>
      <c r="K109" s="96">
        <f>IF(ISBLANK(B_Checklist!N94),0,IF(B_Checklist!N94=0,1,K108*3/MAX($G$108:$K$108)))</f>
        <v>0</v>
      </c>
    </row>
    <row r="110" spans="1:11" ht="31.8" thickBot="1">
      <c r="D110" s="699"/>
      <c r="E110" s="739"/>
      <c r="F110" s="761" t="str">
        <f>IF(Idioma=Castellano,"Superficie de zonas verdes o naturales en el área urbana por cada habitante",IF(Idioma=Valencià,"Superfície de zones verdes o naturals en l'àrea urbana per cada habitant","Superficie de zonas verdes o naturales en el área urbana por cada habitante"))</f>
        <v>Superficie de zonas verdes o naturales en el área urbana por cada habitante</v>
      </c>
      <c r="G110" s="96" cm="1">
        <f t="array" ref="G110">IF(B_Checklist!J95=0,1,MIN(IF(B_Checklist!$J$95:$N$95&gt;0,B_Checklist!$J$95:$N$95))*MAX(B_Checklist!$J$95:$N$95)/B_Checklist!J95)</f>
        <v>1</v>
      </c>
      <c r="H110" s="96" cm="1">
        <f t="array" ref="H110">IF(B_Checklist!K95=0,1,MIN(IF(B_Checklist!$J$95:$N$95&gt;0,B_Checklist!$J$95:$N$95))*MAX(B_Checklist!$J$95:$N$95)/B_Checklist!K95)</f>
        <v>1</v>
      </c>
      <c r="I110" s="96" cm="1">
        <f t="array" ref="I110">IF(B_Checklist!L95=0,1,MIN(IF(B_Checklist!$J$95:$N$95&gt;0,B_Checklist!$J$95:$N$95))*MAX(B_Checklist!$J$95:$N$95)/B_Checklist!L95)</f>
        <v>1</v>
      </c>
      <c r="J110" s="96" cm="1">
        <f t="array" ref="J110">IF(B_Checklist!M95=0,1,MIN(IF(B_Checklist!$J$95:$N$95&gt;0,B_Checklist!$J$95:$N$95))*MAX(B_Checklist!$J$95:$N$95)/B_Checklist!M95)</f>
        <v>1</v>
      </c>
      <c r="K110" s="96" cm="1">
        <f t="array" ref="K110">IF(B_Checklist!N95=0,1,MIN(IF(B_Checklist!$J$95:$N$95&gt;0,B_Checklist!$J$95:$N$95))*MAX(B_Checklist!$J$95:$N$95)/B_Checklist!N95)</f>
        <v>1</v>
      </c>
    </row>
    <row r="111" spans="1:11" ht="31.8" thickBot="1">
      <c r="D111" s="699"/>
      <c r="E111" s="739"/>
      <c r="F111" s="762"/>
      <c r="G111" s="96">
        <f>IF(ISBLANK(B_Checklist!J95),0,IF(B_Checklist!J95=0,1,G110*3/MAX($G$110:$K$110)))</f>
        <v>0</v>
      </c>
      <c r="H111" s="96">
        <f>IF(ISBLANK(B_Checklist!K95),0,IF(B_Checklist!K95=0,1,H110*3/MAX($G$110:$K$110)))</f>
        <v>0</v>
      </c>
      <c r="I111" s="96">
        <f>IF(ISBLANK(B_Checklist!L95),0,IF(B_Checklist!L95=0,1,I110*3/MAX($G$110:$K$110)))</f>
        <v>0</v>
      </c>
      <c r="J111" s="96">
        <f>IF(ISBLANK(B_Checklist!M95),0,IF(B_Checklist!M95=0,1,J110*3/MAX($G$110:$K$110)))</f>
        <v>0</v>
      </c>
      <c r="K111" s="96">
        <f>IF(ISBLANK(B_Checklist!N95),0,IF(B_Checklist!N95=0,1,K110*3/MAX($G$110:$K$110)))</f>
        <v>0</v>
      </c>
    </row>
    <row r="112" spans="1:11" ht="31.8" thickBot="1">
      <c r="D112" s="699"/>
      <c r="E112" s="739"/>
      <c r="F112" s="761" t="str">
        <f>IF(Idioma=Castellano,"Centros de salud y hospitales por cada 1.000 habitantes",IF(Idioma=Valencià,"Centres de salut i hospitals per cada 1.000 habitants","Centros de salud y hospitales por cada 1.000 habitantes"))</f>
        <v>Centros de salud y hospitales por cada 1.000 habitantes</v>
      </c>
      <c r="G112" s="96" cm="1">
        <f t="array" ref="G112">IF(B_Checklist!J96=0,1,MIN(IF(B_Checklist!$J$96:$N$96&gt;0,B_Checklist!$J$96:$N$96))*MAX(B_Checklist!$J$96:$N$96)/B_Checklist!J96)</f>
        <v>1</v>
      </c>
      <c r="H112" s="96" cm="1">
        <f t="array" ref="H112">IF(B_Checklist!K96=0,1,MIN(IF(B_Checklist!$J$96:$N$96&gt;0,B_Checklist!$J$96:$N$96))*MAX(B_Checklist!$J$96:$N$96)/B_Checklist!K96)</f>
        <v>1</v>
      </c>
      <c r="I112" s="96" cm="1">
        <f t="array" ref="I112">IF(B_Checklist!L96=0,1,MIN(IF(B_Checklist!$J$96:$N$96&gt;0,B_Checklist!$J$96:$N$96))*MAX(B_Checklist!$J$96:$N$96)/B_Checklist!L96)</f>
        <v>1</v>
      </c>
      <c r="J112" s="96" cm="1">
        <f t="array" ref="J112">IF(B_Checklist!M96=0,1,MIN(IF(B_Checklist!$J$96:$N$96&gt;0,B_Checklist!$J$96:$N$96))*MAX(B_Checklist!$J$96:$N$96)/B_Checklist!M96)</f>
        <v>1</v>
      </c>
      <c r="K112" s="96" cm="1">
        <f t="array" ref="K112">IF(B_Checklist!N96=0,1,MIN(IF(B_Checklist!$J$96:$N$96&gt;0,B_Checklist!$J$96:$N$96))*MAX(B_Checklist!$J$96:$N$96)/B_Checklist!N96)</f>
        <v>1</v>
      </c>
    </row>
    <row r="113" spans="4:11" ht="31.8" thickBot="1">
      <c r="D113" s="699"/>
      <c r="E113" s="739"/>
      <c r="F113" s="762"/>
      <c r="G113" s="96">
        <f>IF(ISBLANK(B_Checklist!J96),0,IF(B_Checklist!J96=0,1,G112*3/MAX($G$112:$K$112)))</f>
        <v>0</v>
      </c>
      <c r="H113" s="96">
        <f>IF(ISBLANK(B_Checklist!K96),0,IF(B_Checklist!K96=0,1,H112*3/MAX($G$112:$K$112)))</f>
        <v>0</v>
      </c>
      <c r="I113" s="96">
        <f>IF(ISBLANK(B_Checklist!L96),0,IF(B_Checklist!L96=0,1,I112*3/MAX($G$112:$K$112)))</f>
        <v>0</v>
      </c>
      <c r="J113" s="96">
        <f>IF(ISBLANK(B_Checklist!M96),0,IF(B_Checklist!M96=0,1,J112*3/MAX($G$112:$K$112)))</f>
        <v>0</v>
      </c>
      <c r="K113" s="96">
        <f>IF(ISBLANK(B_Checklist!N96),0,IF(B_Checklist!N96=0,1,K112*3/MAX($G$112:$K$112)))</f>
        <v>0</v>
      </c>
    </row>
    <row r="114" spans="4:11" ht="31.8" thickBot="1">
      <c r="D114" s="699"/>
      <c r="E114" s="739"/>
      <c r="F114" s="120" t="str">
        <f>IF(Idioma=Castellano,"¿Se ha considerado la disposición de corredores de sombras en las áreas peatonales y carriles bici?",IF(Idioma=Valencià,"S'ha considerat la disposició de corredors d'ombres en les àrees per als vianants i carrils bici?","¿Se ha considerado la disposición de corredores de sombras en las áreas peatonales y carriles bici?"))</f>
        <v>¿Se ha considerado la disposición de corredores de sombras en las áreas peatonales y carriles bici?</v>
      </c>
      <c r="G114" s="96">
        <f>IF(B_Checklist!J97="Si",1,IF(B_Checklist!J97="De forma parcial",2,IF(B_Checklist!J97="No",3,0)))</f>
        <v>0</v>
      </c>
      <c r="H114" s="96">
        <f>IF(B_Checklist!K97="Si",1,IF(B_Checklist!K97="De forma parcial",2,IF(B_Checklist!K97="No",3,0)))</f>
        <v>0</v>
      </c>
      <c r="I114" s="96">
        <f>IF(B_Checklist!L97="Si",1,IF(B_Checklist!L97="De forma parcial",2,IF(B_Checklist!L97="No",3,0)))</f>
        <v>0</v>
      </c>
      <c r="J114" s="96">
        <f>IF(B_Checklist!M97="Si",1,IF(B_Checklist!M97="De forma parcial",2,IF(B_Checklist!M97="No",3,0)))</f>
        <v>0</v>
      </c>
      <c r="K114" s="96">
        <f>IF(B_Checklist!N97="Si",1,IF(B_Checklist!N97="De forma parcial",2,IF(B_Checklist!N97="No",3,0)))</f>
        <v>0</v>
      </c>
    </row>
    <row r="115" spans="4:11" ht="31.8" thickBot="1">
      <c r="D115" s="699"/>
      <c r="E115" s="739"/>
      <c r="F115" s="120" t="str">
        <f>IF(Idioma=Castellano,"¿Se ha considerado la disposición de edificios equipados con cubiertas y/o fachadas verdes?",IF(Idioma=Valencià,"S'ha considerat la disposició d'edificis equipats amb cobertes i/o façanes verdes?","¿Se ha considerado la disposición de edificios equipados con cubiertas y/o fachadas verdes?"))</f>
        <v>¿Se ha considerado la disposición de edificios equipados con cubiertas y/o fachadas verdes?</v>
      </c>
      <c r="G115" s="96">
        <f>IF(B_Checklist!J98="Si",1,IF(B_Checklist!J98="De forma parcial",2,IF(B_Checklist!J98="No",3,0)))</f>
        <v>0</v>
      </c>
      <c r="H115" s="96">
        <f>IF(B_Checklist!K98="Si",1,IF(B_Checklist!K98="De forma parcial",2,IF(B_Checklist!K98="No",3,0)))</f>
        <v>0</v>
      </c>
      <c r="I115" s="96">
        <f>IF(B_Checklist!L98="Si",1,IF(B_Checklist!L98="De forma parcial",2,IF(B_Checklist!L98="No",3,0)))</f>
        <v>0</v>
      </c>
      <c r="J115" s="96">
        <f>IF(B_Checklist!M98="Si",1,IF(B_Checklist!M98="De forma parcial",2,IF(B_Checklist!M98="No",3,0)))</f>
        <v>0</v>
      </c>
      <c r="K115" s="96">
        <f>IF(B_Checklist!N98="Si",1,IF(B_Checklist!N98="De forma parcial",2,IF(B_Checklist!N98="No",3,0)))</f>
        <v>0</v>
      </c>
    </row>
    <row r="116" spans="4:11" ht="31.8" thickBot="1">
      <c r="D116" s="699"/>
      <c r="E116" s="739"/>
      <c r="F116" s="120" t="str">
        <f>IF(Idioma=Castellano,"¿Se ha considerado el desarrollo de planes o estrategias relacionadas con la adaptación al cambio climático?",IF(Idioma=Valencià,"S'ha considerat el desenvolupament de plans o estratègies relacionades amb l'adaptació al canvi climàtic?","¿Se ha considerado el desarrollo de planes o estrategias relacionadas con la adaptación al cambio climático?"))</f>
        <v>¿Se ha considerado el desarrollo de planes o estrategias relacionadas con la adaptación al cambio climático?</v>
      </c>
      <c r="G116" s="96">
        <f>IF(B_Checklist!J99="Si",1,IF(B_Checklist!J99="De forma parcial",2,IF(B_Checklist!J99="No",3,0)))</f>
        <v>0</v>
      </c>
      <c r="H116" s="96">
        <f>IF(B_Checklist!K99="Si",1,IF(B_Checklist!K99="De forma parcial",2,IF(B_Checklist!K99="No",3,0)))</f>
        <v>0</v>
      </c>
      <c r="I116" s="96">
        <f>IF(B_Checklist!L99="Si",1,IF(B_Checklist!L99="De forma parcial",2,IF(B_Checklist!L99="No",3,0)))</f>
        <v>0</v>
      </c>
      <c r="J116" s="96">
        <f>IF(B_Checklist!M99="Si",1,IF(B_Checklist!M99="De forma parcial",2,IF(B_Checklist!M99="No",3,0)))</f>
        <v>0</v>
      </c>
      <c r="K116" s="96">
        <f>IF(B_Checklist!N99="Si",1,IF(B_Checklist!N99="De forma parcial",2,IF(B_Checklist!N99="No",3,0)))</f>
        <v>0</v>
      </c>
    </row>
    <row r="117" spans="4:11" ht="31.8" thickBot="1">
      <c r="D117" s="699"/>
      <c r="E117" s="739"/>
      <c r="F117" s="120" t="str">
        <f>IF(Idioma=Castellano,"¿Se han considerado criterios de eficiencia energética en edificaciones nuevas o existentes?",IF(Idioma=Valencià,"S'han considerat criteris d'eficiència energètica en edificacions noves o existents?","¿Se han considerado criterios de eficiencia energética en edificaciones nuevas o existentes?"))</f>
        <v>¿Se han considerado criterios de eficiencia energética en edificaciones nuevas o existentes?</v>
      </c>
      <c r="G117" s="96">
        <f>IF(B_Checklist!J100="Si",1,IF(B_Checklist!J100="De forma parcial",2,IF(B_Checklist!J100="No",3,0)))</f>
        <v>0</v>
      </c>
      <c r="H117" s="96">
        <f>IF(B_Checklist!K100="Si",1,IF(B_Checklist!K100="De forma parcial",2,IF(B_Checklist!K100="No",3,0)))</f>
        <v>0</v>
      </c>
      <c r="I117" s="96">
        <f>IF(B_Checklist!L100="Si",1,IF(B_Checklist!L100="De forma parcial",2,IF(B_Checklist!L100="No",3,0)))</f>
        <v>0</v>
      </c>
      <c r="J117" s="96">
        <f>IF(B_Checklist!M100="Si",1,IF(B_Checklist!M100="De forma parcial",2,IF(B_Checklist!M100="No",3,0)))</f>
        <v>0</v>
      </c>
      <c r="K117" s="96">
        <f>IF(B_Checklist!N100="Si",1,IF(B_Checklist!N100="De forma parcial",2,IF(B_Checklist!N100="No",3,0)))</f>
        <v>0</v>
      </c>
    </row>
    <row r="118" spans="4:11" ht="31.8" thickBot="1">
      <c r="D118" s="699"/>
      <c r="E118" s="739"/>
      <c r="F118" s="120" t="str">
        <f>IF(Idioma=Castellano,"¿Se ha considera la ventilación urbana como un criterio para la planificación urbana?",IF(Idioma=Valencià,"S'ha considera la ventilació urbana com un criteri per a la planificació urbana?","¿Se ha considera la ventilación urbana como un criterio para la planificación urbana?"))</f>
        <v>¿Se ha considera la ventilación urbana como un criterio para la planificación urbana?</v>
      </c>
      <c r="G118" s="96">
        <f>IF(B_Checklist!J101="Si",1,IF(B_Checklist!J101="De forma parcial",2,IF(B_Checklist!J101="No",3,0)))</f>
        <v>0</v>
      </c>
      <c r="H118" s="96">
        <f>IF(B_Checklist!K101="Si",1,IF(B_Checklist!K101="De forma parcial",2,IF(B_Checklist!K101="No",3,0)))</f>
        <v>0</v>
      </c>
      <c r="I118" s="96">
        <f>IF(B_Checklist!L101="Si",1,IF(B_Checklist!L101="De forma parcial",2,IF(B_Checklist!L101="No",3,0)))</f>
        <v>0</v>
      </c>
      <c r="J118" s="96">
        <f>IF(B_Checklist!M101="Si",1,IF(B_Checklist!M101="De forma parcial",2,IF(B_Checklist!M101="No",3,0)))</f>
        <v>0</v>
      </c>
      <c r="K118" s="96">
        <f>IF(B_Checklist!N101="Si",1,IF(B_Checklist!N101="De forma parcial",2,IF(B_Checklist!N101="No",3,0)))</f>
        <v>0</v>
      </c>
    </row>
    <row r="119" spans="4:11" ht="31.8" thickBot="1">
      <c r="D119" s="25" t="str">
        <f>IF(Idioma=Castellano,"Total amenaza",IF(Idioma=Valencià,"Total amenaça","Total amenaza"))</f>
        <v>Total amenaza</v>
      </c>
      <c r="E119" s="26"/>
      <c r="F119" s="26"/>
      <c r="G119" s="88">
        <f t="shared" ref="G119:K120" si="1">G99</f>
        <v>0</v>
      </c>
      <c r="H119" s="88">
        <f t="shared" si="1"/>
        <v>0</v>
      </c>
      <c r="I119" s="88">
        <f t="shared" si="1"/>
        <v>0</v>
      </c>
      <c r="J119" s="88">
        <f t="shared" si="1"/>
        <v>0</v>
      </c>
      <c r="K119" s="88">
        <f t="shared" si="1"/>
        <v>0</v>
      </c>
    </row>
    <row r="120" spans="4:11" ht="31.8" thickBot="1">
      <c r="D120" s="25" t="str">
        <f>IF(Idioma=Castellano,"Total exposición",IF(Idioma=Valencià,"Total exposició","Total exposición"))</f>
        <v>Total exposición</v>
      </c>
      <c r="E120" s="26"/>
      <c r="F120" s="26"/>
      <c r="G120" s="88">
        <f t="shared" si="1"/>
        <v>0</v>
      </c>
      <c r="H120" s="88">
        <f t="shared" si="1"/>
        <v>0</v>
      </c>
      <c r="I120" s="88">
        <f t="shared" si="1"/>
        <v>0</v>
      </c>
      <c r="J120" s="88">
        <f t="shared" si="1"/>
        <v>0</v>
      </c>
      <c r="K120" s="88">
        <f t="shared" si="1"/>
        <v>0</v>
      </c>
    </row>
    <row r="121" spans="4:11" ht="31.8" thickBot="1">
      <c r="D121" s="25" t="str">
        <f>IF(Idioma=Castellano,"Total sensibilidad",IF(Idioma=Valencià,"Total sensibilitat","Total sensibilidad"))</f>
        <v>Total sensibilidad</v>
      </c>
      <c r="E121" s="26"/>
      <c r="F121" s="26"/>
      <c r="G121" s="106" t="e">
        <f>SUM(G101:G107)/COUNTA(B_Checklist!J$87:J$93)</f>
        <v>#DIV/0!</v>
      </c>
      <c r="H121" s="106" t="e">
        <f>SUM(H101:H107)/COUNTA(B_Checklist!K$87:K$93)</f>
        <v>#DIV/0!</v>
      </c>
      <c r="I121" s="106" t="e">
        <f>SUM(I101:I107)/COUNTA(B_Checklist!L$87:L$93)</f>
        <v>#DIV/0!</v>
      </c>
      <c r="J121" s="106" t="e">
        <f>SUM(J101:J107)/COUNTA(B_Checklist!M$87:M$93)</f>
        <v>#DIV/0!</v>
      </c>
      <c r="K121" s="106" t="e">
        <f>SUM(K101:K107)/COUNTA(B_Checklist!N$87:N$93)</f>
        <v>#DIV/0!</v>
      </c>
    </row>
    <row r="122" spans="4:11" ht="31.8" thickBot="1">
      <c r="D122" s="25" t="str">
        <f>IF(Idioma=Castellano,"Total capacidad de adaptación",IF(Idioma=Valencià,"Total capacitat d'adaptació","Total capacidad de adaptación"))</f>
        <v>Total capacidad de adaptación</v>
      </c>
      <c r="E122" s="26"/>
      <c r="F122" s="26"/>
      <c r="G122" s="153" t="e">
        <f>(SUM(G114:G118)+G113+G111+G109)/COUNTA(B_Checklist!J95:J101)</f>
        <v>#DIV/0!</v>
      </c>
      <c r="H122" s="153" t="e">
        <f>(SUM(H114:H118)+H113+H111+H109)/COUNTA(B_Checklist!K95:K101)</f>
        <v>#DIV/0!</v>
      </c>
      <c r="I122" s="153" t="e">
        <f>(SUM(I114:I118)+I113+I111+I109)/COUNTA(B_Checklist!L95:L101)</f>
        <v>#DIV/0!</v>
      </c>
      <c r="J122" s="153" t="e">
        <f>(SUM(J114:J118)+J113+J111+J109)/COUNTA(B_Checklist!M95:M101)</f>
        <v>#DIV/0!</v>
      </c>
      <c r="K122" s="153" t="e">
        <f>(SUM(K114:K118)+K113+K111+K109)/COUNTA(B_Checklist!N95:N101)</f>
        <v>#DIV/0!</v>
      </c>
    </row>
    <row r="123" spans="4:11" ht="31.8" thickBot="1">
      <c r="D123" s="25" t="str">
        <f>IF(Idioma=Castellano,"Índice de riesgo",IF(Idioma=Valencià,"Índex de risc","Índice de riesgo"))</f>
        <v>Índice de riesgo</v>
      </c>
      <c r="E123" s="26"/>
      <c r="F123" s="26"/>
      <c r="G123" s="22" t="e">
        <f>(G119*G120*((G121+G122)/2))^(1/3)</f>
        <v>#DIV/0!</v>
      </c>
      <c r="H123" s="22" t="e">
        <f>(H119*H120*((H121+H122)/2))^(1/3)</f>
        <v>#DIV/0!</v>
      </c>
      <c r="I123" s="22" t="e">
        <f>(I119*I120*((I121+I122)/2))^(1/3)</f>
        <v>#DIV/0!</v>
      </c>
      <c r="J123" s="22" t="e">
        <f>(J119*J120*((J121+J122)/2))^(1/3)</f>
        <v>#DIV/0!</v>
      </c>
      <c r="K123" s="22" t="e">
        <f>(K119*K120*((K121+K122)/2))^(1/3)</f>
        <v>#DIV/0!</v>
      </c>
    </row>
    <row r="127" spans="4:11">
      <c r="H127" s="197"/>
      <c r="I127" s="197"/>
      <c r="J127" s="197"/>
      <c r="K127" s="197"/>
    </row>
    <row r="132" spans="1:11" s="257" customFormat="1" ht="31.8" thickBot="1">
      <c r="A132" s="148"/>
      <c r="B132" s="136"/>
      <c r="C132" s="296"/>
      <c r="D132" s="296"/>
      <c r="E132" s="296" t="str">
        <f>IF(Idioma=Castellano,"5. IMPACTO POR ESTRÉS TERMICO Y SEQUIA",IF(Idioma=Valencià,"5. IMPACTE PER ESTRÉS TERMICO I SEQUIA","5. IMPACTO POR ESTRÉS TERMICO Y SEQUIA"))</f>
        <v>5. IMPACTO POR ESTRÉS TERMICO Y SEQUIA</v>
      </c>
      <c r="F132" s="296"/>
      <c r="G132" s="296"/>
      <c r="H132" s="296"/>
      <c r="I132" s="296"/>
      <c r="J132" s="296"/>
      <c r="K132" s="296"/>
    </row>
    <row r="133" spans="1:11" ht="31.95" customHeight="1" thickBot="1">
      <c r="D133" s="734" t="str">
        <f>IF(Idioma=Castellano,"Amenaza",IF(Idioma=Valencià,"Amenaça","Amenaza"))</f>
        <v>Amenaza</v>
      </c>
      <c r="E133" s="736"/>
      <c r="F133" s="120" t="str">
        <f>IF(Idioma=Castellano,"Reducción de aportación hídrica",IF(Idioma=Valencià,"Reducció d'aportació hídrica","Reducción de aportación hídrica"))</f>
        <v>Reducción de aportación hídrica</v>
      </c>
      <c r="G133" s="97" t="s">
        <v>595</v>
      </c>
      <c r="H133" s="97" t="s">
        <v>31</v>
      </c>
      <c r="I133" s="97" t="s">
        <v>36</v>
      </c>
      <c r="J133" s="97" t="s">
        <v>39</v>
      </c>
      <c r="K133" s="100" t="s">
        <v>42</v>
      </c>
    </row>
    <row r="134" spans="1:11" ht="31.95" customHeight="1" thickBot="1">
      <c r="D134" s="734"/>
      <c r="E134" s="736"/>
      <c r="F134" s="120" t="str">
        <f>IF(Idioma=Castellano,"Precipitación acumulada",IF(Idioma=Valencià,"Precipitació acumulada","Precipitación acumulada"))</f>
        <v>Precipitación acumulada</v>
      </c>
      <c r="G134" s="96">
        <f>IF(ISBLANK(B_Checklist!J105),0,IF(B_Checklist!J105=0,3,3-(B_Checklist!J105/MAX(B_Checklist!$J$105:$N$106)*3)))</f>
        <v>0</v>
      </c>
      <c r="H134" s="96">
        <f>IF(ISBLANK(B_Checklist!K106),0,IF(B_Checklist!K106=0,3,3-(B_Checklist!K106/MAX(B_Checklist!$J$105:$N$106)*3)))</f>
        <v>0</v>
      </c>
      <c r="I134" s="96">
        <f>IF(ISBLANK(B_Checklist!L106),0,IF(B_Checklist!L106=0,3,3-(B_Checklist!L106/MAX(B_Checklist!$J$105:$N$106)*3)))</f>
        <v>0</v>
      </c>
      <c r="J134" s="96">
        <f>IF(ISBLANK(B_Checklist!M106),0,IF(B_Checklist!M106=0,3,3-(B_Checklist!M106/MAX(B_Checklist!$J$105:$N$106)*3)))</f>
        <v>0</v>
      </c>
      <c r="K134" s="96">
        <f>IF(ISBLANK(B_Checklist!N106),0,IF(B_Checklist!N106=0,3,3-(B_Checklist!N106/MAX(B_Checklist!$J$105:$N$106)*3)))</f>
        <v>0</v>
      </c>
    </row>
    <row r="135" spans="1:11" ht="31.95" customHeight="1" thickBot="1">
      <c r="D135" s="734"/>
      <c r="E135" s="736"/>
      <c r="F135" s="120" t="str">
        <f>IF(Idioma=Castellano,"Máximo N° de días consecutivos con precipitación &lt; 1mm",IF(Idioma=Valencià,"Màxim N° de dies consecutius amb precipitació &lt; 1mm","Máximo N° de días consecutivos con precipitación &lt; 1mm"))</f>
        <v>Máximo N° de días consecutivos con precipitación &lt; 1mm</v>
      </c>
      <c r="G135" s="96">
        <f>IF(ISBLANK(B_Checklist!J107),0,IF(B_Checklist!J107=0,1,B_Checklist!J107*3/MAX(B_Checklist!$J107:$N108)))</f>
        <v>0</v>
      </c>
      <c r="H135" s="96">
        <f>IF(ISBLANK(B_Checklist!K108),0,IF(B_Checklist!K108=0,1,B_Checklist!K108*3/MAX(B_Checklist!$J107:$N108)))</f>
        <v>0</v>
      </c>
      <c r="I135" s="96">
        <f>IF(ISBLANK(B_Checklist!L108),0,IF(B_Checklist!L108=0,1,B_Checklist!L108*3/MAX(B_Checklist!$J107:$N108)))</f>
        <v>0</v>
      </c>
      <c r="J135" s="96">
        <f>IF(ISBLANK(B_Checklist!M108),0,IF(B_Checklist!M108=0,1,B_Checklist!M108*3/MAX(B_Checklist!$J107:$N108)))</f>
        <v>0</v>
      </c>
      <c r="K135" s="96">
        <f>IF(ISBLANK(B_Checklist!N108),0,IF(B_Checklist!N108=0,1,B_Checklist!N108*3/MAX(B_Checklist!$J107:$N108)))</f>
        <v>0</v>
      </c>
    </row>
    <row r="136" spans="1:11" ht="31.95" customHeight="1" thickBot="1">
      <c r="D136" s="697" t="str">
        <f>IF(Idioma=Castellano,"Exposición",IF(Idioma=Valencià,"Exposició","Exposición"))</f>
        <v>Exposición</v>
      </c>
      <c r="E136" s="697"/>
      <c r="F136" s="120" t="str">
        <f>IF(Idioma=Castellano,"Densidad de población estimada del suelo residencial, terciario y equipamientos",IF(Idioma=Valencià,"Densitat de població estimada del sòl residencial, terciari i equipaments","Densidad de población estimada del suelo residencial, terciario y equipamientos"))</f>
        <v>Densidad de población estimada del suelo residencial, terciario y equipamientos</v>
      </c>
      <c r="G136" s="96">
        <f>IF(ISBLANK(B_Checklist!J109),0,IF(B_Checklist!J109=0,1,B_Checklist!J109*3/MAX(B_Checklist!$J109:$N109)))</f>
        <v>0</v>
      </c>
      <c r="H136" s="96">
        <f>IF(ISBLANK(B_Checklist!K109),0,IF(B_Checklist!K109=0,1,B_Checklist!K109*3/MAX(B_Checklist!$J109:$N109)))</f>
        <v>0</v>
      </c>
      <c r="I136" s="96">
        <f>IF(ISBLANK(B_Checklist!L109),0,IF(B_Checklist!L109=0,1,B_Checklist!L109*3/MAX(B_Checklist!$J109:$N109)))</f>
        <v>0</v>
      </c>
      <c r="J136" s="96">
        <f>IF(ISBLANK(B_Checklist!M109),0,IF(B_Checklist!M109=0,1,B_Checklist!M109*3/MAX(B_Checklist!$J109:$N109)))</f>
        <v>0</v>
      </c>
      <c r="K136" s="96">
        <f>IF(ISBLANK(B_Checklist!N109),0,IF(B_Checklist!N109=0,1,B_Checklist!N109*3/MAX(B_Checklist!$J109:$N109)))</f>
        <v>0</v>
      </c>
    </row>
    <row r="137" spans="1:11" ht="31.95" customHeight="1" thickBot="1">
      <c r="D137" s="697"/>
      <c r="E137" s="697"/>
      <c r="F137" s="120" t="str">
        <f>IF(Idioma=Castellano,"Áreas de cultivo de regadío (superficie / superficie total)",IF(Idioma=Valencià,"Àrees de cultiu de regadiu (superfície / superfície total)","Áreas de cultivo de regadío (superficie / superficie total)"))</f>
        <v>Áreas de cultivo de regadío (superficie / superficie total)</v>
      </c>
      <c r="G137" s="96">
        <f>IF(ISBLANK(B_Checklist!J110),0,IF(B_Checklist!J110=0,1,B_Checklist!J110*3/MAX(B_Checklist!$J110:$N110)))</f>
        <v>0</v>
      </c>
      <c r="H137" s="96">
        <f>IF(ISBLANK(B_Checklist!K110),0,IF(B_Checklist!K110=0,1,B_Checklist!K110*3/MAX(B_Checklist!$J110:$N110)))</f>
        <v>0</v>
      </c>
      <c r="I137" s="96">
        <f>IF(ISBLANK(B_Checklist!L110),0,IF(B_Checklist!L110=0,1,B_Checklist!L110*3/MAX(B_Checklist!$J110:$N110)))</f>
        <v>0</v>
      </c>
      <c r="J137" s="96">
        <f>IF(ISBLANK(B_Checklist!M110),0,IF(B_Checklist!M110=0,1,B_Checklist!M110*3/MAX(B_Checklist!$J110:$N110)))</f>
        <v>0</v>
      </c>
      <c r="K137" s="96">
        <f>IF(ISBLANK(B_Checklist!N110),0,IF(B_Checklist!N110=0,1,B_Checklist!N110*3/MAX(B_Checklist!$J110:$N110)))</f>
        <v>0</v>
      </c>
    </row>
    <row r="138" spans="1:11" ht="31.95" customHeight="1" thickBot="1">
      <c r="D138" s="697"/>
      <c r="E138" s="697"/>
      <c r="F138" s="120" t="str">
        <f>IF(Idioma=Castellano,"Zonas verdes con necesidades de riego en suelo urbano o urbanizable",IF(Idioma=Valencià,"Zones verdes amb necessitats de reg en sòl urbà o urbanitzable","Zonas verdes con necesidades de riego en suelo urbano o urbanizable"))</f>
        <v>Zonas verdes con necesidades de riego en suelo urbano o urbanizable</v>
      </c>
      <c r="G138" s="96">
        <f>IF(ISBLANK(B_Checklist!J111),0,IF(B_Checklist!J111=0,1,B_Checklist!J111*3/MAX(B_Checklist!$J111:$N111)))</f>
        <v>0</v>
      </c>
      <c r="H138" s="96">
        <f>IF(ISBLANK(B_Checklist!K111),0,IF(B_Checklist!K111=0,1,B_Checklist!K111*3/MAX(B_Checklist!$J111:$N111)))</f>
        <v>0</v>
      </c>
      <c r="I138" s="96">
        <f>IF(ISBLANK(B_Checklist!L111),0,IF(B_Checklist!L111=0,1,B_Checklist!L111*3/MAX(B_Checklist!$J111:$N111)))</f>
        <v>0</v>
      </c>
      <c r="J138" s="96">
        <f>IF(ISBLANK(B_Checklist!M111),0,IF(B_Checklist!M111=0,1,B_Checklist!M111*3/MAX(B_Checklist!$J111:$N111)))</f>
        <v>0</v>
      </c>
      <c r="K138" s="96">
        <f>IF(ISBLANK(B_Checklist!N111),0,IF(B_Checklist!N111=0,1,B_Checklist!N111*3/MAX(B_Checklist!$J111:$N111)))</f>
        <v>0</v>
      </c>
    </row>
    <row r="139" spans="1:11" ht="31.95" customHeight="1" thickBot="1">
      <c r="D139" s="699" t="str">
        <f>IF(Idioma=Castellano,"Vulnerabilidad",IF(Idioma=Valencià,"Vulnerabilitat","Vulnerabilidad"))</f>
        <v>Vulnerabilidad</v>
      </c>
      <c r="E139" s="695" t="str">
        <f>IF(Idioma=Castellano,"Sensibilidad",IF(Idioma=Valencià,"Sensibilitat","Sensibilidad"))</f>
        <v>Sensibilidad</v>
      </c>
      <c r="F139" s="120" t="str">
        <f>IF(Idioma=Castellano,"Superficie de suelo con accesibilidad a acuíferos baja",IF(Idioma=Valencià,"Superfície de sòl amb accessibilitat a aqüífers baixa","Superficie de suelo con accesibilidad a acuíferos baja"))</f>
        <v>Superficie de suelo con accesibilidad a acuíferos baja</v>
      </c>
      <c r="G139" s="96">
        <f>IF(ISBLANK(B_Checklist!J112),0,IF(B_Checklist!J112=0,1,B_Checklist!J112*3/MAX(B_Checklist!$J112:$N112)))</f>
        <v>0</v>
      </c>
      <c r="H139" s="96">
        <f>IF(ISBLANK(B_Checklist!K112),0,IF(B_Checklist!K112=0,1,B_Checklist!K112*3/MAX(B_Checklist!$J112:$N112)))</f>
        <v>0</v>
      </c>
      <c r="I139" s="96">
        <f>IF(ISBLANK(B_Checklist!L112),0,IF(B_Checklist!L112=0,1,B_Checklist!L112*3/MAX(B_Checklist!$J112:$N112)))</f>
        <v>0</v>
      </c>
      <c r="J139" s="96">
        <f>IF(ISBLANK(B_Checklist!M112),0,IF(B_Checklist!M112=0,1,B_Checklist!M112*3/MAX(B_Checklist!$J112:$N112)))</f>
        <v>0</v>
      </c>
      <c r="K139" s="96">
        <f>IF(ISBLANK(B_Checklist!N112),0,IF(B_Checklist!N112=0,1,B_Checklist!N112*3/MAX(B_Checklist!$J112:$N112)))</f>
        <v>0</v>
      </c>
    </row>
    <row r="140" spans="1:11" ht="31.95" customHeight="1" thickBot="1">
      <c r="D140" s="699"/>
      <c r="E140" s="695"/>
      <c r="F140" s="120" t="str">
        <f>IF(Idioma=Castellano,"Superficie de suelo con vulnerabilidad de acuiferos alta",IF(Idioma=Valencià,"Superfície de sòl amb vulnerabilitat d'aqüífers alta","Superficie de suelo con vulnerabilidad de acuiferos alta"))</f>
        <v>Superficie de suelo con vulnerabilidad de acuiferos alta</v>
      </c>
      <c r="G140" s="96">
        <f>IF(ISBLANK(B_Checklist!J113),0,IF(B_Checklist!J113=0,1,B_Checklist!J113*3/MAX(B_Checklist!$J113:$N113)))</f>
        <v>0</v>
      </c>
      <c r="H140" s="96">
        <f>IF(ISBLANK(B_Checklist!K113),0,IF(B_Checklist!K113=0,1,B_Checklist!K113*3/MAX(B_Checklist!$J113:$N113)))</f>
        <v>0</v>
      </c>
      <c r="I140" s="96">
        <f>IF(ISBLANK(B_Checklist!L113),0,IF(B_Checklist!L113=0,1,B_Checklist!L113*3/MAX(B_Checklist!$J113:$N113)))</f>
        <v>0</v>
      </c>
      <c r="J140" s="96">
        <f>IF(ISBLANK(B_Checklist!M113),0,IF(B_Checklist!M113=0,1,B_Checklist!M113*3/MAX(B_Checklist!$J113:$N113)))</f>
        <v>0</v>
      </c>
      <c r="K140" s="96">
        <f>IF(ISBLANK(B_Checklist!N113),0,IF(B_Checklist!N113=0,1,B_Checklist!N113*3/MAX(B_Checklist!$J113:$N113)))</f>
        <v>0</v>
      </c>
    </row>
    <row r="141" spans="1:11" ht="31.5" customHeight="1" thickBot="1">
      <c r="D141" s="699"/>
      <c r="E141" s="695"/>
      <c r="F141" s="120" t="str">
        <f>IF(Idioma=Castellano,"Superficie de suelo con permeabilidad baja",IF(Idioma=Valencià,"Superfície de sòl amb permeabilitat baixa","Superficie de suelo con permeabilidad baja"))</f>
        <v>Superficie de suelo con permeabilidad baja</v>
      </c>
      <c r="G141" s="96">
        <f>IF(ISBLANK(B_Checklist!J114),0,IF(B_Checklist!J114=0,1,B_Checklist!J114*3/MAX(B_Checklist!$J114:$N114)))</f>
        <v>0</v>
      </c>
      <c r="H141" s="96">
        <f>IF(ISBLANK(B_Checklist!K114),0,IF(B_Checklist!K114=0,1,B_Checklist!K114*3/MAX(B_Checklist!$J114:$N114)))</f>
        <v>0</v>
      </c>
      <c r="I141" s="96">
        <f>IF(ISBLANK(B_Checklist!L114),0,IF(B_Checklist!L114=0,1,B_Checklist!L114*3/MAX(B_Checklist!$J114:$N114)))</f>
        <v>0</v>
      </c>
      <c r="J141" s="96">
        <f>IF(ISBLANK(B_Checklist!M114),0,IF(B_Checklist!M114=0,1,B_Checklist!M114*3/MAX(B_Checklist!$J114:$N114)))</f>
        <v>0</v>
      </c>
      <c r="K141" s="96">
        <f>IF(ISBLANK(B_Checklist!N114),0,IF(B_Checklist!N114=0,1,B_Checklist!N114*3/MAX(B_Checklist!$J114:$N114)))</f>
        <v>0</v>
      </c>
    </row>
    <row r="142" spans="1:11" ht="31.95" customHeight="1" thickBot="1">
      <c r="D142" s="699"/>
      <c r="E142" s="695"/>
      <c r="F142" s="120" t="str">
        <f>IF(Idioma=Castellano,"¿Se ha encontrado la cuenca hidrográfica del área de estudio en estado de emergencia por sequía en los últimos años?",IF(Idioma=Valencià,"S'ha trobat la conca hidrogràfica de l'àrea d'estudi en estat d'emergència per sequera en els últims anys?","¿Se ha encontrado la cuenca hidrográfica del área de estudio en estado de emergencia por sequía en los últimos años?"))</f>
        <v>¿Se ha encontrado la cuenca hidrográfica del área de estudio en estado de emergencia por sequía en los últimos años?</v>
      </c>
      <c r="G142" s="96">
        <f>IF(B_Checklist!J115="Si",3,IF(B_Checklist!J115="No",1,0))</f>
        <v>0</v>
      </c>
      <c r="H142" s="96">
        <f>IF(B_Checklist!K115="Si",3,IF(B_Checklist!K115="No",1,0))</f>
        <v>0</v>
      </c>
      <c r="I142" s="96">
        <f>IF(B_Checklist!L115="Si",3,IF(B_Checklist!L115="No",1,0))</f>
        <v>0</v>
      </c>
      <c r="J142" s="96">
        <f>IF(B_Checklist!M115="Si",3,IF(B_Checklist!M115="No",1,0))</f>
        <v>0</v>
      </c>
      <c r="K142" s="96">
        <f>IF(B_Checklist!N115="Si",3,IF(B_Checklist!N115="No",1,0))</f>
        <v>0</v>
      </c>
    </row>
    <row r="143" spans="1:11" ht="31.95" customHeight="1" thickBot="1">
      <c r="D143" s="699"/>
      <c r="E143" s="695"/>
      <c r="F143" s="120" t="str">
        <f>IF(Idioma=Castellano,"¿Se ha dado un estado de sequía prolongada en la cuenca hidrográfica del área de estudio en los últimos años?",IF(Idioma=Valencià,"S'ha donat un estat de sequera prolongada en la conca hidrogràfica de l'àrea d'estudi en els últims anys?","¿Se ha dado un estado de sequía prolongada en la cuenca hidrográfica del área de estudio en los últimos años?"))</f>
        <v>¿Se ha dado un estado de sequía prolongada en la cuenca hidrográfica del área de estudio en los últimos años?</v>
      </c>
      <c r="G143" s="96">
        <f>IF(B_Checklist!J116="Si",3,IF(B_Checklist!J116="No",1,0))</f>
        <v>0</v>
      </c>
      <c r="H143" s="96">
        <f>IF(B_Checklist!K116="Si",3,IF(B_Checklist!K116="No",1,0))</f>
        <v>0</v>
      </c>
      <c r="I143" s="96">
        <f>IF(B_Checklist!L116="Si",3,IF(B_Checklist!L116="No",1,0))</f>
        <v>0</v>
      </c>
      <c r="J143" s="96">
        <f>IF(B_Checklist!M116="Si",3,IF(B_Checklist!M116="No",1,0))</f>
        <v>0</v>
      </c>
      <c r="K143" s="96">
        <f>IF(B_Checklist!N116="Si",3,IF(B_Checklist!N116="No",1,0))</f>
        <v>0</v>
      </c>
    </row>
    <row r="144" spans="1:11" ht="31.95" customHeight="1" thickBot="1">
      <c r="D144" s="699"/>
      <c r="E144" s="695"/>
      <c r="F144" s="120" t="str">
        <f>IF(Idioma=Castellano,"Personas de &gt; 70 años",IF(Idioma=Valencià,"Persones de &gt; 70 anys ","Personas de &gt; 70 años"))</f>
        <v>Personas de &gt; 70 años</v>
      </c>
      <c r="G144" s="96">
        <f>IF(ISBLANK(B_Checklist!J117),0,IF(B_Checklist!J117=0,1,B_Checklist!J117*3/MAX(B_Checklist!$J117:$N117)))</f>
        <v>0</v>
      </c>
      <c r="H144" s="96">
        <f>IF(ISBLANK(B_Checklist!K117),0,IF(B_Checklist!K117=0,1,B_Checklist!K117*3/MAX(B_Checklist!$J117:$N117)))</f>
        <v>0</v>
      </c>
      <c r="I144" s="96">
        <f>IF(ISBLANK(B_Checklist!L117),0,IF(B_Checklist!L117=0,1,B_Checklist!L117*3/MAX(B_Checklist!$J117:$N117)))</f>
        <v>0</v>
      </c>
      <c r="J144" s="96">
        <f>IF(ISBLANK(B_Checklist!M117),0,IF(B_Checklist!M117=0,1,B_Checklist!M117*3/MAX(B_Checklist!$J117:$N117)))</f>
        <v>0</v>
      </c>
      <c r="K144" s="96">
        <f>IF(ISBLANK(B_Checklist!N117),0,IF(B_Checklist!N117=0,1,B_Checklist!N117*3/MAX(B_Checklist!$J117:$N117)))</f>
        <v>0</v>
      </c>
    </row>
    <row r="145" spans="4:11" ht="31.95" customHeight="1" thickBot="1">
      <c r="D145" s="699"/>
      <c r="E145" s="695"/>
      <c r="F145" s="120" t="str">
        <f>IF(Idioma=Castellano,"Personas de &lt; 12 años",IF(Idioma=Valencià,"Persones de &lt; 12 anys","Personas de &lt; 12 años"))</f>
        <v>Personas de &lt; 12 años</v>
      </c>
      <c r="G145" s="96">
        <f>IF(ISBLANK(B_Checklist!J118),0,IF(B_Checklist!J118=0,1,B_Checklist!J118*3/MAX(B_Checklist!$J118:$N118)))</f>
        <v>0</v>
      </c>
      <c r="H145" s="96">
        <f>IF(ISBLANK(B_Checklist!K118),0,IF(B_Checklist!K118=0,1,B_Checklist!K118*3/MAX(B_Checklist!$J118:$N118)))</f>
        <v>0</v>
      </c>
      <c r="I145" s="96">
        <f>IF(ISBLANK(B_Checklist!L118),0,IF(B_Checklist!L118=0,1,B_Checklist!L118*3/MAX(B_Checklist!$J118:$N118)))</f>
        <v>0</v>
      </c>
      <c r="J145" s="96">
        <f>IF(ISBLANK(B_Checklist!M118),0,IF(B_Checklist!M118=0,1,B_Checklist!M118*3/MAX(B_Checklist!$J118:$N118)))</f>
        <v>0</v>
      </c>
      <c r="K145" s="96">
        <f>IF(ISBLANK(B_Checklist!N118),0,IF(B_Checklist!N118=0,1,B_Checklist!N118*3/MAX(B_Checklist!$J118:$N118)))</f>
        <v>0</v>
      </c>
    </row>
    <row r="146" spans="4:11" ht="31.95" customHeight="1" thickBot="1">
      <c r="D146" s="699"/>
      <c r="E146" s="695"/>
      <c r="F146" s="120" t="str">
        <f>IF(Idioma=Castellano,"Estado Global de las Masas de agua subterránea",IF(Idioma=Valencià,"Estat Global de les Masses d'aigua subterràniat","Estado Global de las Masas de agua subterránea"))</f>
        <v>Estado Global de las Masas de agua subterránea</v>
      </c>
      <c r="G146" s="96">
        <f>IF(B_Checklist!J119="Bueno",1,IF(B_Checklist!J119="Malo",3,0))</f>
        <v>0</v>
      </c>
      <c r="H146" s="96">
        <f>IF(B_Checklist!K119="Bueno",1,IF(B_Checklist!K119="Malo",3,0))</f>
        <v>0</v>
      </c>
      <c r="I146" s="96">
        <f>IF(B_Checklist!L119="Bueno",1,IF(B_Checklist!L119="Malo",3,0))</f>
        <v>0</v>
      </c>
      <c r="J146" s="96">
        <f>IF(B_Checklist!M119="Bueno",1,IF(B_Checklist!M119="Malo",3,0))</f>
        <v>0</v>
      </c>
      <c r="K146" s="96">
        <f>IF(B_Checklist!N119="Bueno",1,IF(B_Checklist!N119="Malo",3,0))</f>
        <v>0</v>
      </c>
    </row>
    <row r="147" spans="4:11" ht="31.95" customHeight="1" thickBot="1">
      <c r="D147" s="699"/>
      <c r="E147" s="695"/>
      <c r="F147" s="120" t="str">
        <f>IF(Idioma=Castellano,"Necesidades de agua potable",IF(Idioma=Valencià,"Necessitats d'aigua potable ","Necesidades de agua potable"))</f>
        <v>Necesidades de agua potable</v>
      </c>
      <c r="G147" s="96">
        <f>IF(ISBLANK(B_Checklist!J120),0,IF(B_Checklist!J120=0,1,B_Checklist!J120*3/MAX(B_Checklist!$J120:$N120)))</f>
        <v>0</v>
      </c>
      <c r="H147" s="96">
        <f>IF(ISBLANK(B_Checklist!K120),0,IF(B_Checklist!K120=0,1,B_Checklist!K120*3/MAX(B_Checklist!$J120:$N120)))</f>
        <v>0</v>
      </c>
      <c r="I147" s="96">
        <f>IF(ISBLANK(B_Checklist!L120),0,IF(B_Checklist!L120=0,1,B_Checklist!L120*3/MAX(B_Checklist!$J120:$N120)))</f>
        <v>0</v>
      </c>
      <c r="J147" s="96">
        <f>IF(ISBLANK(B_Checklist!M120),0,IF(B_Checklist!M120=0,1,B_Checklist!M120*3/MAX(B_Checklist!$J120:$N120)))</f>
        <v>0</v>
      </c>
      <c r="K147" s="96">
        <f>IF(ISBLANK(B_Checklist!N120),0,IF(B_Checklist!N120=0,1,B_Checklist!N120*3/MAX(B_Checklist!$J120:$N120)))</f>
        <v>0</v>
      </c>
    </row>
    <row r="148" spans="4:11" ht="31.95" customHeight="1" thickBot="1">
      <c r="D148" s="699"/>
      <c r="E148" s="695"/>
      <c r="F148" s="120" t="str">
        <f>IF(Idioma=Castellano,"Necesidades de agua de riego ",IF(Idioma=Valencià,"Necessitats d'aigua de reg ","Necesidades de agua de riego "))</f>
        <v xml:space="preserve">Necesidades de agua de riego </v>
      </c>
      <c r="G148" s="96">
        <f>IF(ISBLANK(B_Checklist!J121),0,IF(B_Checklist!J121=0,1,B_Checklist!J121*3/MAX(B_Checklist!$J121:$N121)))</f>
        <v>0</v>
      </c>
      <c r="H148" s="96">
        <f>IF(ISBLANK(B_Checklist!K121),0,IF(B_Checklist!K121=0,1,B_Checklist!K121*3/MAX(B_Checklist!$J121:$N121)))</f>
        <v>0</v>
      </c>
      <c r="I148" s="96">
        <f>IF(ISBLANK(B_Checklist!L121),0,IF(B_Checklist!L121=0,1,B_Checklist!L121*3/MAX(B_Checklist!$J121:$N121)))</f>
        <v>0</v>
      </c>
      <c r="J148" s="96">
        <f>IF(ISBLANK(B_Checklist!M121),0,IF(B_Checklist!M121=0,1,B_Checklist!M121*3/MAX(B_Checklist!$J121:$N121)))</f>
        <v>0</v>
      </c>
      <c r="K148" s="96">
        <f>IF(ISBLANK(B_Checklist!N121),0,IF(B_Checklist!N121=0,1,B_Checklist!N121*3/MAX(B_Checklist!$J121:$N121)))</f>
        <v>0</v>
      </c>
    </row>
    <row r="149" spans="4:11" ht="31.95" customHeight="1" thickBot="1">
      <c r="D149" s="699"/>
      <c r="E149" s="695"/>
      <c r="F149" s="120" t="str">
        <f>IF(Idioma=Castellano,"¿Hay explotaciones agrícolas en el área de estudio?",IF(Idioma=Valencià,"Hi ha explotacions agrícoles en l'àrea d'estudi?","¿Hay explotaciones agrícolas en el área de estudio?"))</f>
        <v>¿Hay explotaciones agrícolas en el área de estudio?</v>
      </c>
      <c r="G149" s="96">
        <f>IF(B_Checklist!J122="Si",3,IF(B_Checklist!J122="No",1,0))</f>
        <v>0</v>
      </c>
      <c r="H149" s="96">
        <f>IF(B_Checklist!K122="Si",3,IF(B_Checklist!K122="No",1,0))</f>
        <v>0</v>
      </c>
      <c r="I149" s="96">
        <f>IF(B_Checklist!L122="Si",3,IF(B_Checklist!L122="No",1,0))</f>
        <v>0</v>
      </c>
      <c r="J149" s="96">
        <f>IF(B_Checklist!M122="Si",3,IF(B_Checklist!M122="No",1,0))</f>
        <v>0</v>
      </c>
      <c r="K149" s="96">
        <f>IF(B_Checklist!N122="Si",3,IF(B_Checklist!N122="No",1,0))</f>
        <v>0</v>
      </c>
    </row>
    <row r="150" spans="4:11" ht="31.95" customHeight="1" thickBot="1">
      <c r="D150" s="699"/>
      <c r="E150" s="695"/>
      <c r="F150" s="120" t="str">
        <f>IF(Idioma=Castellano,"¿Hay explotaciones ganaderas en el área de estudio?",IF(Idioma=Valencià,"Hi ha explotacions ramaderes en l'àrea d'estudi?","¿Hay explotaciones ganaderas en el área de estudio?"))</f>
        <v>¿Hay explotaciones ganaderas en el área de estudio?</v>
      </c>
      <c r="G150" s="96">
        <f>IF(B_Checklist!J123="Si",3,IF(B_Checklist!J123="No",1,0))</f>
        <v>0</v>
      </c>
      <c r="H150" s="96">
        <f>IF(B_Checklist!K123="Si",3,IF(B_Checklist!K123="No",1,0))</f>
        <v>0</v>
      </c>
      <c r="I150" s="96">
        <f>IF(B_Checklist!L123="Si",3,IF(B_Checklist!L123="No",1,0))</f>
        <v>0</v>
      </c>
      <c r="J150" s="96">
        <f>IF(B_Checklist!M123="Si",3,IF(B_Checklist!M123="No",1,0))</f>
        <v>0</v>
      </c>
      <c r="K150" s="96">
        <f>IF(B_Checklist!N123="Si",3,IF(B_Checklist!N123="No",1,0))</f>
        <v>0</v>
      </c>
    </row>
    <row r="151" spans="4:11" ht="31.95" customHeight="1" thickBot="1">
      <c r="D151" s="699"/>
      <c r="E151" s="696" t="str">
        <f>IF(Idioma=Castellano,"Capacidad de adaptación",IF(Idioma=Valencià,"Capacitat d'adaptació","Capacidad de adaptación"))</f>
        <v>Capacidad de adaptación</v>
      </c>
      <c r="F151" s="120" t="str">
        <f>IF(Idioma=Castellano,"¿Se han tenido en cuenta sistemas de recogida de agua de lluvia para riego?",IF(Idioma=Valencià,"S'han tingut en compte sistemes de recollida d'aigua de pluja per a reg?","¿Se han tenido en cuenta sistemas de recogida de agua de lluvia para riego?"))</f>
        <v>¿Se han tenido en cuenta sistemas de recogida de agua de lluvia para riego?</v>
      </c>
      <c r="G151" s="96">
        <f>IF(B_Checklist!J124="Si",1,IF(B_Checklist!J124="De forma parcial",2,IF(B_Checklist!J124="No",3,0)))</f>
        <v>0</v>
      </c>
      <c r="H151" s="96">
        <f>IF(B_Checklist!K124="Si",1,IF(B_Checklist!K124="De forma parcial",2,IF(B_Checklist!K124="No",3,0)))</f>
        <v>0</v>
      </c>
      <c r="I151" s="96">
        <f>IF(B_Checklist!L124="Si",1,IF(B_Checklist!L124="De forma parcial",2,IF(B_Checklist!L124="No",3,0)))</f>
        <v>0</v>
      </c>
      <c r="J151" s="96">
        <f>IF(B_Checklist!M124="Si",1,IF(B_Checklist!M124="De forma parcial",2,IF(B_Checklist!M124="No",3,0)))</f>
        <v>0</v>
      </c>
      <c r="K151" s="96">
        <f>IF(B_Checklist!N124="Si",1,IF(B_Checklist!N124="De forma parcial",2,IF(B_Checklist!N124="No",3,0)))</f>
        <v>0</v>
      </c>
    </row>
    <row r="152" spans="4:11" ht="31.95" customHeight="1" thickBot="1">
      <c r="D152" s="699"/>
      <c r="E152" s="696"/>
      <c r="F152" s="120" t="str">
        <f>IF(Idioma=Castellano,"¿Se han considerado suministros de agua alternativos a fuentes naturales?",IF(Idioma=Valencià,"S'han considerat subministraments d'aigua alternatius a fonts naturals?","¿Se han considerado suministros de agua alternativos a fuentes naturales?"))</f>
        <v>¿Se han considerado suministros de agua alternativos a fuentes naturales?</v>
      </c>
      <c r="G152" s="96">
        <f>IF(B_Checklist!J125="Si",1,IF(B_Checklist!J125="De forma parcial",2,IF(B_Checklist!J125="No",3,0)))</f>
        <v>0</v>
      </c>
      <c r="H152" s="96">
        <f>IF(B_Checklist!K125="Si",1,IF(B_Checklist!K125="De forma parcial",2,IF(B_Checklist!K125="No",3,0)))</f>
        <v>0</v>
      </c>
      <c r="I152" s="96">
        <f>IF(B_Checklist!L125="Si",1,IF(B_Checklist!L125="De forma parcial",2,IF(B_Checklist!L125="No",3,0)))</f>
        <v>0</v>
      </c>
      <c r="J152" s="96">
        <f>IF(B_Checklist!M125="Si",1,IF(B_Checklist!M125="De forma parcial",2,IF(B_Checklist!M125="No",3,0)))</f>
        <v>0</v>
      </c>
      <c r="K152" s="96">
        <f>IF(B_Checklist!N125="Si",1,IF(B_Checklist!N125="De forma parcial",2,IF(B_Checklist!N125="No",3,0)))</f>
        <v>0</v>
      </c>
    </row>
    <row r="153" spans="4:11" ht="31.95" customHeight="1" thickBot="1">
      <c r="D153" s="699"/>
      <c r="E153" s="696"/>
      <c r="F153" s="120" t="str">
        <f>IF(Idioma=Castellano,"¿Se han considerado sistemas de recogida de agua de lluvia? ",IF(Idioma=Valencià,"S'han considerat sistemes de recollida d'aigua de pluja? ","¿Se han considerado sistemas de recogida de agua de lluvia? "))</f>
        <v xml:space="preserve">¿Se han considerado sistemas de recogida de agua de lluvia? </v>
      </c>
      <c r="G153" s="96">
        <f>IF(B_Checklist!J126="Si",1,IF(B_Checklist!J126="De forma parcial",2,IF(B_Checklist!J126="No",3,0)))</f>
        <v>0</v>
      </c>
      <c r="H153" s="96">
        <f>IF(B_Checklist!K126="Si",1,IF(B_Checklist!K126="De forma parcial",2,IF(B_Checklist!K126="No",3,0)))</f>
        <v>0</v>
      </c>
      <c r="I153" s="96">
        <f>IF(B_Checklist!L126="Si",1,IF(B_Checklist!L126="De forma parcial",2,IF(B_Checklist!L126="No",3,0)))</f>
        <v>0</v>
      </c>
      <c r="J153" s="96">
        <f>IF(B_Checklist!M126="Si",1,IF(B_Checklist!M126="De forma parcial",2,IF(B_Checklist!M126="No",3,0)))</f>
        <v>0</v>
      </c>
      <c r="K153" s="96">
        <f>IF(B_Checklist!N126="Si",1,IF(B_Checklist!N126="De forma parcial",2,IF(B_Checklist!N126="No",3,0)))</f>
        <v>0</v>
      </c>
    </row>
    <row r="154" spans="4:11" ht="31.95" customHeight="1" thickBot="1">
      <c r="D154" s="699"/>
      <c r="E154" s="696"/>
      <c r="F154" s="120" t="str">
        <f>IF(Idioma=Castellano,"¿Se han considerado sistemas de recuperación aguas grises?",IF(Idioma=Valencià,"S'han considerat sistemes de recuperació aigües grises?","¿Se han considerado sistemas de recuperación aguas grises?"))</f>
        <v>¿Se han considerado sistemas de recuperación aguas grises?</v>
      </c>
      <c r="G154" s="96">
        <f>IF(B_Checklist!J127="Si",1,IF(B_Checklist!J127="De forma parcial",2,IF(B_Checklist!J127="No",3,0)))</f>
        <v>0</v>
      </c>
      <c r="H154" s="96">
        <f>IF(B_Checklist!K127="Si",1,IF(B_Checklist!K127="De forma parcial",2,IF(B_Checklist!K127="No",3,0)))</f>
        <v>0</v>
      </c>
      <c r="I154" s="96">
        <f>IF(B_Checklist!L127="Si",1,IF(B_Checklist!L127="De forma parcial",2,IF(B_Checklist!L127="No",3,0)))</f>
        <v>0</v>
      </c>
      <c r="J154" s="96">
        <f>IF(B_Checklist!M127="Si",1,IF(B_Checklist!M127="De forma parcial",2,IF(B_Checklist!M127="No",3,0)))</f>
        <v>0</v>
      </c>
      <c r="K154" s="96">
        <f>IF(B_Checklist!N127="Si",1,IF(B_Checklist!N127="De forma parcial",2,IF(B_Checklist!N127="No",3,0)))</f>
        <v>0</v>
      </c>
    </row>
    <row r="155" spans="4:11" ht="31.95" customHeight="1" thickBot="1">
      <c r="D155" s="699"/>
      <c r="E155" s="696"/>
      <c r="F155" s="120" t="str">
        <f>IF(Idioma=Castellano,"¿Se han considerado sistemas de recogida de agua de lluvia para riego?",IF(Idioma=Valencià,"S'han considerat sistemes de recollida d'aigua de pluja per a reg?","¿Se han considerado sistemas de recogida de agua de lluvia para riego?"))</f>
        <v>¿Se han considerado sistemas de recogida de agua de lluvia para riego?</v>
      </c>
      <c r="G155" s="96">
        <f>IF(B_Checklist!J128="Si",1,IF(B_Checklist!J128="De forma parcial",2,IF(B_Checklist!J128="No",3,0)))</f>
        <v>0</v>
      </c>
      <c r="H155" s="96">
        <f>IF(B_Checklist!K128="Si",1,IF(B_Checklist!K128="De forma parcial",2,IF(B_Checklist!K128="No",3,0)))</f>
        <v>0</v>
      </c>
      <c r="I155" s="96">
        <f>IF(B_Checklist!L128="Si",1,IF(B_Checklist!L128="De forma parcial",2,IF(B_Checklist!L128="No",3,0)))</f>
        <v>0</v>
      </c>
      <c r="J155" s="96">
        <f>IF(B_Checklist!M128="Si",1,IF(B_Checklist!M128="De forma parcial",2,IF(B_Checklist!M128="No",3,0)))</f>
        <v>0</v>
      </c>
      <c r="K155" s="96">
        <f>IF(B_Checklist!N128="Si",1,IF(B_Checklist!N128="De forma parcial",2,IF(B_Checklist!N128="No",3,0)))</f>
        <v>0</v>
      </c>
    </row>
    <row r="156" spans="4:11" ht="31.95" customHeight="1" thickBot="1">
      <c r="D156" s="699"/>
      <c r="E156" s="696"/>
      <c r="F156" s="761" t="str">
        <f>IF(Idioma=Castellano,"Áreas de cultivo de secano",IF(Idioma=Valencià,"Àrees de cultiu de secà","Áreas de cultivo de secano"))</f>
        <v>Áreas de cultivo de secano</v>
      </c>
      <c r="G156" s="96" cm="1">
        <f t="array" ref="G156">IF(B_Checklist!J129=0,1,MIN(IF(B_Checklist!$J$129:$N$129&gt;0,B_Checklist!$J$129:$N$129))*MAX(B_Checklist!$J$129:$N$129)/B_Checklist!J129)</f>
        <v>1</v>
      </c>
      <c r="H156" s="96" cm="1">
        <f t="array" ref="H156">IF(B_Checklist!K129=0,1,MIN(IF(B_Checklist!$J$129:$N$129&gt;0,B_Checklist!$J$129:$N$129))*MAX(B_Checklist!$J$129:$N$129)/B_Checklist!K129)</f>
        <v>1</v>
      </c>
      <c r="I156" s="96" cm="1">
        <f t="array" ref="I156">IF(B_Checklist!L129=0,1,MIN(IF(B_Checklist!$J$129:$N$129&gt;0,B_Checklist!$J$129:$N$129))*MAX(B_Checklist!$J$129:$N$129)/B_Checklist!L129)</f>
        <v>1</v>
      </c>
      <c r="J156" s="96" cm="1">
        <f t="array" ref="J156">IF(B_Checklist!M129=0,1,MIN(IF(B_Checklist!$J$129:$N$129&gt;0,B_Checklist!$J$129:$N$129))*MAX(B_Checklist!$J$129:$N$129)/B_Checklist!M129)</f>
        <v>1</v>
      </c>
      <c r="K156" s="96" cm="1">
        <f t="array" ref="K156">IF(B_Checklist!N129=0,1,MIN(IF(B_Checklist!$J$129:$N$129&gt;0,B_Checklist!$J$129:$N$129))*MAX(B_Checklist!$J$129:$N$129)/B_Checklist!N129)</f>
        <v>1</v>
      </c>
    </row>
    <row r="157" spans="4:11" ht="31.95" customHeight="1" thickBot="1">
      <c r="D157" s="699"/>
      <c r="E157" s="696"/>
      <c r="F157" s="762"/>
      <c r="G157" s="198">
        <f>IF(ISBLANK(B_Checklist!J129),0,IF(B_Checklist!J129=0,1,G156*3/MAX($G$156:$K$156)))</f>
        <v>0</v>
      </c>
      <c r="H157" s="198">
        <f>IF(ISBLANK(B_Checklist!K129),0,IF(B_Checklist!K129=0,1,H156*3/MAX($G$156:$K$156)))</f>
        <v>0</v>
      </c>
      <c r="I157" s="198">
        <f>IF(ISBLANK(B_Checklist!L129),0,IF(B_Checklist!L129=0,1,I156*3/MAX($G$156:$K$156)))</f>
        <v>0</v>
      </c>
      <c r="J157" s="198">
        <f>IF(ISBLANK(B_Checklist!M129),0,IF(B_Checklist!M129=0,1,J156*3/MAX($G$156:$K$156)))</f>
        <v>0</v>
      </c>
      <c r="K157" s="198">
        <f>IF(ISBLANK(B_Checklist!N129),0,IF(B_Checklist!N129=0,1,K156*3/MAX($G$156:$K$156)))</f>
        <v>0</v>
      </c>
    </row>
    <row r="158" spans="4:11" ht="31.95" customHeight="1" thickBot="1">
      <c r="D158" s="25" t="str">
        <f>IF(Idioma=Castellano,"Total amenaza",IF(Idioma=Valencià,"Total amenaça","Total amenaza"))</f>
        <v>Total amenaza</v>
      </c>
      <c r="E158" s="26"/>
      <c r="F158" s="26"/>
      <c r="G158" s="88">
        <f>(G134+G135)/2</f>
        <v>0</v>
      </c>
      <c r="H158" s="88">
        <f>(H134+H135)/2</f>
        <v>0</v>
      </c>
      <c r="I158" s="88">
        <f>(I134+I135)/2</f>
        <v>0</v>
      </c>
      <c r="J158" s="88">
        <f>(J134+J135)/2</f>
        <v>0</v>
      </c>
      <c r="K158" s="88">
        <f>(K134+K135)/2</f>
        <v>0</v>
      </c>
    </row>
    <row r="159" spans="4:11" ht="31.95" customHeight="1">
      <c r="D159" s="25" t="str">
        <f>IF(Idioma=Castellano,"Total exposición",IF(Idioma=Valencià,"Total exposició","Total exposición"))</f>
        <v>Total exposición</v>
      </c>
      <c r="E159" s="26"/>
      <c r="F159" s="26"/>
      <c r="G159" s="88" t="e">
        <f>SUM(G136:G138)/COUNTA(B_Checklist!J$109:J$111)</f>
        <v>#DIV/0!</v>
      </c>
      <c r="H159" s="88" t="e">
        <f>SUM(H136:H137)/COUNTA(B_Checklist!K$109:K$110)</f>
        <v>#DIV/0!</v>
      </c>
      <c r="I159" s="88" t="e">
        <f>SUM(I136:I137)/COUNTA(B_Checklist!L$109:L$110)</f>
        <v>#DIV/0!</v>
      </c>
      <c r="J159" s="88" t="e">
        <f>SUM(J136:J137)/COUNTA(B_Checklist!M$109:M$110)</f>
        <v>#DIV/0!</v>
      </c>
      <c r="K159" s="88" t="e">
        <f>SUM(K136:K137)/COUNTA(B_Checklist!N$109:N$110)</f>
        <v>#DIV/0!</v>
      </c>
    </row>
    <row r="160" spans="4:11" ht="31.95" customHeight="1">
      <c r="D160" s="25" t="str">
        <f>IF(Idioma=Castellano,"Total sensibilidad",IF(Idioma=Valencià,"Total sensibilitat","Total sensibilidad"))</f>
        <v>Total sensibilidad</v>
      </c>
      <c r="E160" s="26"/>
      <c r="F160" s="26"/>
      <c r="G160" s="106" t="e">
        <f>SUM(G139:G148)/COUNTA(B_Checklist!J$112:J$121)</f>
        <v>#DIV/0!</v>
      </c>
      <c r="H160" s="106" t="e">
        <f>SUM(H139:H148)/COUNTA(B_Checklist!K$112:K$121)</f>
        <v>#DIV/0!</v>
      </c>
      <c r="I160" s="106" t="e">
        <f>SUM(I139:I148)/COUNTA(B_Checklist!L$112:L$121)</f>
        <v>#DIV/0!</v>
      </c>
      <c r="J160" s="106" t="e">
        <f>SUM(J139:J148)/COUNTA(B_Checklist!M$112:M$121)</f>
        <v>#DIV/0!</v>
      </c>
      <c r="K160" s="106" t="e">
        <f>SUM(K139:K148)/COUNTA(B_Checklist!N$112:N$121)</f>
        <v>#DIV/0!</v>
      </c>
    </row>
    <row r="161" spans="1:11" ht="31.2" customHeight="1">
      <c r="D161" s="25" t="str">
        <f>IF(Idioma=Castellano,"Total capacidad de adaptación",IF(Idioma=Valencià,"Total capacitat d'adaptació","Total capacidad de adaptación"))</f>
        <v>Total capacidad de adaptación</v>
      </c>
      <c r="E161" s="26"/>
      <c r="F161" s="26"/>
      <c r="G161" s="153" t="e">
        <f>(SUM(G151:G155)+G157)/COUNTA(B_Checklist!J124:J129)</f>
        <v>#DIV/0!</v>
      </c>
      <c r="H161" s="153" t="e">
        <f>(SUM(H151:H155)+H157)/COUNTA(B_Checklist!K124:K129)</f>
        <v>#DIV/0!</v>
      </c>
      <c r="I161" s="153" t="e">
        <f>(SUM(I151:I155)+I157)/COUNTA(B_Checklist!L124:L129)</f>
        <v>#DIV/0!</v>
      </c>
      <c r="J161" s="153" t="e">
        <f>(SUM(J151:J155)+J157)/COUNTA(B_Checklist!M124:M129)</f>
        <v>#DIV/0!</v>
      </c>
      <c r="K161" s="153" t="e">
        <f>(SUM(K151:K155)+K157)/COUNTA(B_Checklist!N124:N129)</f>
        <v>#DIV/0!</v>
      </c>
    </row>
    <row r="162" spans="1:11" ht="31.2" customHeight="1">
      <c r="D162" s="25" t="str">
        <f>IF(Idioma=Castellano,"Índice de riesgo",IF(Idioma=Valencià,"Índex de risc","Índice de riesgo"))</f>
        <v>Índice de riesgo</v>
      </c>
      <c r="E162" s="26"/>
      <c r="F162" s="26"/>
      <c r="G162" s="22" t="e">
        <f>(G158*G159*((G160+G161)/2))^(1/3)</f>
        <v>#DIV/0!</v>
      </c>
      <c r="H162" s="22" t="e">
        <f t="shared" ref="H162:K162" si="2">(H158*H159*((H160+H161)/2))^(1/3)</f>
        <v>#DIV/0!</v>
      </c>
      <c r="I162" s="22" t="e">
        <f t="shared" si="2"/>
        <v>#DIV/0!</v>
      </c>
      <c r="J162" s="22" t="e">
        <f t="shared" si="2"/>
        <v>#DIV/0!</v>
      </c>
      <c r="K162" s="22" t="e">
        <f t="shared" si="2"/>
        <v>#DIV/0!</v>
      </c>
    </row>
    <row r="165" spans="1:11" s="257" customFormat="1" ht="31.8" hidden="1" thickBot="1">
      <c r="A165" s="148"/>
      <c r="B165" s="136"/>
      <c r="C165" s="296"/>
      <c r="D165" s="296"/>
      <c r="E165" s="296" t="s">
        <v>833</v>
      </c>
      <c r="F165" s="296"/>
      <c r="G165" s="296"/>
      <c r="H165" s="296"/>
      <c r="I165" s="296"/>
      <c r="J165" s="296"/>
      <c r="K165" s="296"/>
    </row>
    <row r="166" spans="1:11" ht="31.8" hidden="1" thickBot="1">
      <c r="C166" s="107"/>
      <c r="D166" s="763" t="s">
        <v>834</v>
      </c>
      <c r="E166" s="763"/>
      <c r="F166" s="105" t="s">
        <v>840</v>
      </c>
      <c r="G166" s="108" t="s">
        <v>595</v>
      </c>
      <c r="H166" s="108" t="s">
        <v>31</v>
      </c>
      <c r="I166" s="108" t="s">
        <v>36</v>
      </c>
      <c r="J166" s="108" t="s">
        <v>39</v>
      </c>
      <c r="K166" s="109" t="s">
        <v>42</v>
      </c>
    </row>
    <row r="167" spans="1:11" ht="31.8" hidden="1" thickBot="1">
      <c r="C167" s="107"/>
      <c r="D167" s="763"/>
      <c r="E167" s="763"/>
      <c r="F167" s="764" t="s">
        <v>827</v>
      </c>
      <c r="G167" s="114"/>
      <c r="H167" s="114"/>
      <c r="I167" s="114"/>
      <c r="J167" s="114"/>
      <c r="K167" s="114"/>
    </row>
    <row r="168" spans="1:11" ht="31.8" hidden="1" thickBot="1">
      <c r="C168" s="107"/>
      <c r="D168" s="763" t="s">
        <v>841</v>
      </c>
      <c r="E168" s="763"/>
      <c r="F168" s="765"/>
      <c r="G168" s="114"/>
      <c r="H168" s="114"/>
      <c r="I168" s="114"/>
      <c r="J168" s="114"/>
      <c r="K168" s="114"/>
    </row>
    <row r="169" spans="1:11" ht="31.8" hidden="1" thickBot="1">
      <c r="C169" s="107"/>
      <c r="D169" s="756" t="s">
        <v>836</v>
      </c>
      <c r="E169" s="757"/>
      <c r="F169" s="110" t="s">
        <v>842</v>
      </c>
      <c r="G169" s="114"/>
      <c r="H169" s="114"/>
      <c r="I169" s="114"/>
      <c r="J169" s="114"/>
      <c r="K169" s="114"/>
    </row>
    <row r="170" spans="1:11" ht="31.8" hidden="1" thickBot="1">
      <c r="C170" s="107"/>
      <c r="D170" s="756"/>
      <c r="E170" s="757"/>
      <c r="F170" s="110" t="s">
        <v>843</v>
      </c>
      <c r="G170" s="114"/>
      <c r="H170" s="114"/>
      <c r="I170" s="114"/>
      <c r="J170" s="114"/>
      <c r="K170" s="114"/>
    </row>
    <row r="171" spans="1:11" ht="31.8" hidden="1" thickBot="1">
      <c r="C171" s="107"/>
      <c r="D171" s="756" t="s">
        <v>837</v>
      </c>
      <c r="E171" s="757" t="s">
        <v>838</v>
      </c>
      <c r="F171" s="111" t="s">
        <v>844</v>
      </c>
      <c r="G171" s="114"/>
      <c r="H171" s="114"/>
      <c r="I171" s="114"/>
      <c r="J171" s="114"/>
      <c r="K171" s="114"/>
    </row>
    <row r="172" spans="1:11" ht="31.8" hidden="1" thickBot="1">
      <c r="C172" s="107"/>
      <c r="D172" s="758" t="s">
        <v>837</v>
      </c>
      <c r="E172" s="759" t="s">
        <v>838</v>
      </c>
      <c r="F172" s="110"/>
      <c r="G172" s="114"/>
      <c r="H172" s="114"/>
      <c r="I172" s="114"/>
      <c r="J172" s="114"/>
      <c r="K172" s="114"/>
    </row>
    <row r="173" spans="1:11" ht="31.8" hidden="1" thickBot="1">
      <c r="C173" s="107"/>
      <c r="D173" s="758"/>
      <c r="E173" s="759"/>
      <c r="F173" s="110"/>
      <c r="G173" s="114"/>
      <c r="H173" s="114"/>
      <c r="I173" s="114"/>
      <c r="J173" s="114"/>
      <c r="K173" s="114"/>
    </row>
    <row r="174" spans="1:11" ht="31.8" hidden="1" thickBot="1">
      <c r="C174" s="107"/>
      <c r="D174" s="758"/>
      <c r="E174" s="759"/>
      <c r="F174" s="110"/>
      <c r="G174" s="114"/>
      <c r="H174" s="114"/>
      <c r="I174" s="114"/>
      <c r="J174" s="114"/>
      <c r="K174" s="114"/>
    </row>
    <row r="175" spans="1:11" ht="31.8" hidden="1" thickBot="1">
      <c r="C175" s="107"/>
      <c r="D175" s="758"/>
      <c r="E175" s="759"/>
      <c r="F175" s="110" t="s">
        <v>845</v>
      </c>
      <c r="G175" s="114"/>
      <c r="H175" s="114"/>
      <c r="I175" s="114"/>
      <c r="J175" s="114"/>
      <c r="K175" s="114"/>
    </row>
    <row r="176" spans="1:11" ht="31.8" hidden="1" thickBot="1">
      <c r="C176" s="107"/>
      <c r="D176" s="758"/>
      <c r="E176" s="759"/>
      <c r="F176" s="110" t="s">
        <v>846</v>
      </c>
      <c r="G176" s="114"/>
      <c r="H176" s="114"/>
      <c r="I176" s="114"/>
      <c r="J176" s="114"/>
      <c r="K176" s="114"/>
    </row>
    <row r="177" spans="3:11" ht="31.8" hidden="1" thickBot="1">
      <c r="C177" s="107"/>
      <c r="D177" s="758"/>
      <c r="E177" s="759"/>
      <c r="F177" s="110" t="s">
        <v>847</v>
      </c>
      <c r="G177" s="114"/>
      <c r="H177" s="114"/>
      <c r="I177" s="114"/>
      <c r="J177" s="114"/>
      <c r="K177" s="114"/>
    </row>
    <row r="178" spans="3:11" ht="31.8" hidden="1" thickBot="1">
      <c r="C178" s="107"/>
      <c r="D178" s="758"/>
      <c r="E178" s="759"/>
      <c r="F178" s="110" t="s">
        <v>848</v>
      </c>
      <c r="G178" s="114"/>
      <c r="H178" s="114"/>
      <c r="I178" s="114"/>
      <c r="J178" s="114"/>
      <c r="K178" s="114"/>
    </row>
    <row r="179" spans="3:11" ht="31.8" hidden="1" thickBot="1">
      <c r="C179" s="107"/>
      <c r="D179" s="758"/>
      <c r="E179" s="759"/>
      <c r="F179" s="110"/>
      <c r="G179" s="114"/>
      <c r="H179" s="114"/>
      <c r="I179" s="114"/>
      <c r="J179" s="114"/>
      <c r="K179" s="114"/>
    </row>
    <row r="180" spans="3:11" ht="31.8" hidden="1" thickBot="1">
      <c r="C180" s="107"/>
      <c r="D180" s="758"/>
      <c r="E180" s="759"/>
      <c r="F180" s="110"/>
      <c r="G180" s="114"/>
      <c r="H180" s="114"/>
      <c r="I180" s="114"/>
      <c r="J180" s="114"/>
      <c r="K180" s="114"/>
    </row>
    <row r="181" spans="3:11" ht="31.8" hidden="1" thickBot="1">
      <c r="C181" s="107"/>
      <c r="D181" s="758"/>
      <c r="E181" s="759"/>
      <c r="F181" s="110"/>
      <c r="G181" s="114"/>
      <c r="H181" s="114"/>
      <c r="I181" s="114"/>
      <c r="J181" s="114"/>
      <c r="K181" s="114"/>
    </row>
    <row r="182" spans="3:11" ht="31.8" hidden="1" thickBot="1">
      <c r="C182" s="107"/>
      <c r="D182" s="758"/>
      <c r="E182" s="759"/>
      <c r="F182" s="110"/>
      <c r="G182" s="114"/>
      <c r="H182" s="114"/>
      <c r="I182" s="114"/>
      <c r="J182" s="114"/>
      <c r="K182" s="114"/>
    </row>
    <row r="183" spans="3:11" ht="31.8" hidden="1" thickBot="1">
      <c r="C183" s="107"/>
      <c r="D183" s="758"/>
      <c r="E183" s="759"/>
      <c r="F183" s="110"/>
      <c r="G183" s="114"/>
      <c r="H183" s="114"/>
      <c r="I183" s="114"/>
      <c r="J183" s="114"/>
      <c r="K183" s="114"/>
    </row>
    <row r="184" spans="3:11" ht="31.8" hidden="1" thickBot="1">
      <c r="C184" s="107"/>
      <c r="D184" s="758"/>
      <c r="E184" s="759"/>
      <c r="F184" s="110" t="s">
        <v>849</v>
      </c>
      <c r="G184" s="114"/>
      <c r="H184" s="114"/>
      <c r="I184" s="114"/>
      <c r="J184" s="114"/>
      <c r="K184" s="114"/>
    </row>
    <row r="185" spans="3:11" ht="31.8" hidden="1" thickBot="1">
      <c r="C185" s="107"/>
      <c r="D185" s="758"/>
      <c r="E185" s="760" t="s">
        <v>839</v>
      </c>
      <c r="F185" s="110" t="s">
        <v>850</v>
      </c>
      <c r="G185" s="114"/>
      <c r="H185" s="114"/>
      <c r="I185" s="114"/>
      <c r="J185" s="114"/>
      <c r="K185" s="114"/>
    </row>
    <row r="186" spans="3:11" ht="31.8" hidden="1" thickBot="1">
      <c r="C186" s="107"/>
      <c r="D186" s="758"/>
      <c r="E186" s="760"/>
      <c r="F186" s="110"/>
      <c r="G186" s="114"/>
      <c r="H186" s="114"/>
      <c r="I186" s="114"/>
      <c r="J186" s="114"/>
      <c r="K186" s="114"/>
    </row>
    <row r="187" spans="3:11" ht="31.8" hidden="1" thickBot="1">
      <c r="C187" s="107"/>
      <c r="D187" s="758"/>
      <c r="E187" s="760"/>
      <c r="F187" s="110"/>
      <c r="G187" s="114"/>
      <c r="H187" s="114"/>
      <c r="I187" s="114"/>
      <c r="J187" s="114"/>
      <c r="K187" s="114"/>
    </row>
    <row r="188" spans="3:11" ht="21.75" hidden="1" customHeight="1" thickBot="1">
      <c r="C188" s="107"/>
      <c r="D188" s="758"/>
      <c r="E188" s="760"/>
      <c r="F188" s="110"/>
      <c r="G188" s="114"/>
      <c r="H188" s="114"/>
      <c r="I188" s="114"/>
      <c r="J188" s="114"/>
      <c r="K188" s="114"/>
    </row>
    <row r="189" spans="3:11" ht="26.25" hidden="1" customHeight="1" thickBot="1">
      <c r="C189" s="107"/>
      <c r="D189" s="758"/>
      <c r="E189" s="760"/>
      <c r="F189" s="110"/>
      <c r="G189" s="114"/>
      <c r="H189" s="114"/>
      <c r="I189" s="114"/>
      <c r="J189" s="114"/>
      <c r="K189" s="114"/>
    </row>
    <row r="190" spans="3:11" hidden="1">
      <c r="C190" s="107"/>
      <c r="D190" s="758"/>
      <c r="E190" s="760"/>
    </row>
    <row r="191" spans="3:11" hidden="1"/>
  </sheetData>
  <sheetProtection algorithmName="SHA-512" hashValue="WOc/rbh+5gH3bJWwDYyInm5q7pKGZWxfUceWUAO27V4vMH2v2rlc5aFcj+jcTNs/+vJ6Hx0TvWhw9eWNp6GpXA==" saltValue="k/RMadSyx/maSkM5miubuQ==" spinCount="100000" sheet="1" objects="1" scenarios="1"/>
  <mergeCells count="49">
    <mergeCell ref="E73:E79"/>
    <mergeCell ref="E10:E21"/>
    <mergeCell ref="D101:D116"/>
    <mergeCell ref="D117:D118"/>
    <mergeCell ref="D139:D157"/>
    <mergeCell ref="D136:E138"/>
    <mergeCell ref="D72:E72"/>
    <mergeCell ref="D38:E40"/>
    <mergeCell ref="D69:E71"/>
    <mergeCell ref="F54:F55"/>
    <mergeCell ref="F56:F57"/>
    <mergeCell ref="D42:D59"/>
    <mergeCell ref="E42:E53"/>
    <mergeCell ref="D41:E41"/>
    <mergeCell ref="E54:E59"/>
    <mergeCell ref="D9:E9"/>
    <mergeCell ref="D7:E8"/>
    <mergeCell ref="F23:F24"/>
    <mergeCell ref="F25:F26"/>
    <mergeCell ref="E23:E29"/>
    <mergeCell ref="D10:D27"/>
    <mergeCell ref="D28:D29"/>
    <mergeCell ref="K38:K40"/>
    <mergeCell ref="F39:F40"/>
    <mergeCell ref="G38:G40"/>
    <mergeCell ref="H38:H40"/>
    <mergeCell ref="I38:I40"/>
    <mergeCell ref="J38:J40"/>
    <mergeCell ref="F156:F157"/>
    <mergeCell ref="D166:E168"/>
    <mergeCell ref="F167:F168"/>
    <mergeCell ref="D100:E100"/>
    <mergeCell ref="D73:D88"/>
    <mergeCell ref="E81:E88"/>
    <mergeCell ref="D98:E99"/>
    <mergeCell ref="F83:F84"/>
    <mergeCell ref="F81:F82"/>
    <mergeCell ref="F108:F109"/>
    <mergeCell ref="F110:F111"/>
    <mergeCell ref="E108:E118"/>
    <mergeCell ref="F112:F113"/>
    <mergeCell ref="E101:E107"/>
    <mergeCell ref="E151:E157"/>
    <mergeCell ref="E139:E150"/>
    <mergeCell ref="D169:E171"/>
    <mergeCell ref="D172:D190"/>
    <mergeCell ref="E172:E184"/>
    <mergeCell ref="E185:E190"/>
    <mergeCell ref="D133:E135"/>
  </mergeCells>
  <conditionalFormatting sqref="G167:K167 G108:K118">
    <cfRule type="expression" dxfId="101" priority="274">
      <formula>#REF!="No"</formula>
    </cfRule>
  </conditionalFormatting>
  <conditionalFormatting sqref="G108:K118">
    <cfRule type="expression" dxfId="100" priority="271">
      <formula>#REF!="No"</formula>
    </cfRule>
  </conditionalFormatting>
  <conditionalFormatting sqref="G99:K107">
    <cfRule type="expression" dxfId="99" priority="268">
      <formula>#REF!="No"</formula>
    </cfRule>
  </conditionalFormatting>
  <conditionalFormatting sqref="G99:K107 G70:K88 G41:K56 G8:K29">
    <cfRule type="expression" dxfId="98" priority="267">
      <formula>#REF!="No"</formula>
    </cfRule>
  </conditionalFormatting>
  <conditionalFormatting sqref="F169:F189">
    <cfRule type="expression" dxfId="97" priority="264">
      <formula>#REF!="No"</formula>
    </cfRule>
  </conditionalFormatting>
  <conditionalFormatting sqref="F169:F189">
    <cfRule type="expression" dxfId="96" priority="263">
      <formula>#REF!="No"</formula>
    </cfRule>
  </conditionalFormatting>
  <conditionalFormatting sqref="G167:K169 G70:K88 G41:K56 G8:K29">
    <cfRule type="expression" dxfId="95" priority="262">
      <formula>#REF!="No"</formula>
    </cfRule>
  </conditionalFormatting>
  <conditionalFormatting sqref="G168:K169">
    <cfRule type="expression" dxfId="94" priority="261">
      <formula>#REF!="No"</formula>
    </cfRule>
  </conditionalFormatting>
  <conditionalFormatting sqref="G170:K189">
    <cfRule type="expression" dxfId="93" priority="259">
      <formula>#REF!="No"</formula>
    </cfRule>
  </conditionalFormatting>
  <conditionalFormatting sqref="G170:K189">
    <cfRule type="expression" dxfId="92" priority="258">
      <formula>#REF!="No"</formula>
    </cfRule>
  </conditionalFormatting>
  <conditionalFormatting sqref="K166">
    <cfRule type="expression" dxfId="91" priority="238">
      <formula>#REF!="No"</formula>
    </cfRule>
  </conditionalFormatting>
  <conditionalFormatting sqref="K166">
    <cfRule type="expression" dxfId="90" priority="237">
      <formula>#REF!="No"</formula>
    </cfRule>
  </conditionalFormatting>
  <conditionalFormatting sqref="K108:K118 G70:K76 K41:K53">
    <cfRule type="expression" dxfId="89" priority="266">
      <formula>#REF!=#REF!</formula>
    </cfRule>
  </conditionalFormatting>
  <conditionalFormatting sqref="K170:K189">
    <cfRule type="expression" dxfId="88" priority="260">
      <formula>#REF!=#REF!</formula>
    </cfRule>
  </conditionalFormatting>
  <conditionalFormatting sqref="K9:K28">
    <cfRule type="expression" dxfId="87" priority="184">
      <formula>#REF!=#REF!</formula>
    </cfRule>
  </conditionalFormatting>
  <conditionalFormatting sqref="K38">
    <cfRule type="expression" dxfId="86" priority="176">
      <formula>#REF!="No"</formula>
    </cfRule>
  </conditionalFormatting>
  <conditionalFormatting sqref="K38">
    <cfRule type="expression" dxfId="85" priority="175">
      <formula>#REF!="No"</formula>
    </cfRule>
  </conditionalFormatting>
  <conditionalFormatting sqref="K133">
    <cfRule type="expression" dxfId="84" priority="134">
      <formula>#REF!="No"</formula>
    </cfRule>
  </conditionalFormatting>
  <conditionalFormatting sqref="K133">
    <cfRule type="expression" dxfId="83" priority="133">
      <formula>#REF!="No"</formula>
    </cfRule>
  </conditionalFormatting>
  <conditionalFormatting sqref="G58:K59">
    <cfRule type="expression" dxfId="82" priority="115">
      <formula>#REF!="No"</formula>
    </cfRule>
  </conditionalFormatting>
  <conditionalFormatting sqref="G58:K59">
    <cfRule type="expression" dxfId="81" priority="114">
      <formula>#REF!="No"</formula>
    </cfRule>
  </conditionalFormatting>
  <conditionalFormatting sqref="G57:K57">
    <cfRule type="expression" dxfId="80" priority="113">
      <formula>#REF!="No"</formula>
    </cfRule>
  </conditionalFormatting>
  <conditionalFormatting sqref="G57:K57">
    <cfRule type="expression" dxfId="79" priority="112">
      <formula>#REF!="No"</formula>
    </cfRule>
  </conditionalFormatting>
  <conditionalFormatting sqref="G134:K157">
    <cfRule type="expression" dxfId="78" priority="108">
      <formula>#REF!="No"</formula>
    </cfRule>
  </conditionalFormatting>
  <conditionalFormatting sqref="G134:K157">
    <cfRule type="expression" dxfId="77" priority="107">
      <formula>#REF!="No"</formula>
    </cfRule>
  </conditionalFormatting>
  <conditionalFormatting sqref="K146:K157">
    <cfRule type="expression" dxfId="76" priority="106">
      <formula>#REF!=#REF!</formula>
    </cfRule>
  </conditionalFormatting>
  <conditionalFormatting sqref="K77:K88">
    <cfRule type="expression" dxfId="75" priority="102">
      <formula>#REF!=#REF!</formula>
    </cfRule>
  </conditionalFormatting>
  <conditionalFormatting sqref="F9">
    <cfRule type="expression" dxfId="74" priority="99">
      <formula>#REF!="No"</formula>
    </cfRule>
  </conditionalFormatting>
  <conditionalFormatting sqref="F10:F15">
    <cfRule type="expression" dxfId="73" priority="98">
      <formula>$G$5="No"</formula>
    </cfRule>
  </conditionalFormatting>
  <conditionalFormatting sqref="F9:F22">
    <cfRule type="expression" dxfId="72" priority="97">
      <formula>"$G$7=""No"""</formula>
    </cfRule>
  </conditionalFormatting>
  <conditionalFormatting sqref="F9:F22">
    <cfRule type="expression" dxfId="71" priority="94">
      <formula>$G$7="No"</formula>
    </cfRule>
  </conditionalFormatting>
  <conditionalFormatting sqref="F27:F29">
    <cfRule type="expression" dxfId="70" priority="93">
      <formula>"$G$7=""No"""</formula>
    </cfRule>
  </conditionalFormatting>
  <conditionalFormatting sqref="F27:F29">
    <cfRule type="expression" dxfId="69" priority="92">
      <formula>$G$7="No"</formula>
    </cfRule>
  </conditionalFormatting>
  <conditionalFormatting sqref="F42:F53">
    <cfRule type="expression" dxfId="68" priority="87">
      <formula>$G$5="No"</formula>
    </cfRule>
  </conditionalFormatting>
  <conditionalFormatting sqref="F42:F53">
    <cfRule type="expression" dxfId="67" priority="86">
      <formula>"$G$7=""No"""</formula>
    </cfRule>
  </conditionalFormatting>
  <conditionalFormatting sqref="F42:F53">
    <cfRule type="expression" dxfId="66" priority="85">
      <formula>$G$5="No"</formula>
    </cfRule>
  </conditionalFormatting>
  <conditionalFormatting sqref="F42:F53">
    <cfRule type="expression" dxfId="65" priority="84">
      <formula>$G$7="No"</formula>
    </cfRule>
  </conditionalFormatting>
  <conditionalFormatting sqref="F53">
    <cfRule type="expression" dxfId="64" priority="83">
      <formula>"$G$7=""No"""</formula>
    </cfRule>
  </conditionalFormatting>
  <conditionalFormatting sqref="F53">
    <cfRule type="expression" dxfId="63" priority="82">
      <formula>$G$7="No"</formula>
    </cfRule>
  </conditionalFormatting>
  <conditionalFormatting sqref="F41">
    <cfRule type="expression" dxfId="62" priority="63">
      <formula>$G$5="No"</formula>
    </cfRule>
  </conditionalFormatting>
  <conditionalFormatting sqref="F41">
    <cfRule type="expression" dxfId="61" priority="62">
      <formula>"$G$7=""No"""</formula>
    </cfRule>
  </conditionalFormatting>
  <conditionalFormatting sqref="F41">
    <cfRule type="expression" dxfId="60" priority="61">
      <formula>$G$5="No"</formula>
    </cfRule>
  </conditionalFormatting>
  <conditionalFormatting sqref="F41">
    <cfRule type="expression" dxfId="59" priority="60">
      <formula>$G$7="No"</formula>
    </cfRule>
  </conditionalFormatting>
  <conditionalFormatting sqref="F39">
    <cfRule type="expression" dxfId="58" priority="59">
      <formula>$G$5="No"</formula>
    </cfRule>
  </conditionalFormatting>
  <conditionalFormatting sqref="F39">
    <cfRule type="expression" dxfId="57" priority="58">
      <formula>"$G$7=""No"""</formula>
    </cfRule>
  </conditionalFormatting>
  <conditionalFormatting sqref="F39">
    <cfRule type="expression" dxfId="56" priority="57">
      <formula>$G$5="No"</formula>
    </cfRule>
  </conditionalFormatting>
  <conditionalFormatting sqref="F39">
    <cfRule type="expression" dxfId="55" priority="56">
      <formula>$G$7="No"</formula>
    </cfRule>
  </conditionalFormatting>
  <conditionalFormatting sqref="F38">
    <cfRule type="expression" dxfId="54" priority="55">
      <formula>$G$5="No"</formula>
    </cfRule>
  </conditionalFormatting>
  <conditionalFormatting sqref="F38">
    <cfRule type="expression" dxfId="53" priority="54">
      <formula>"$G$7=""No"""</formula>
    </cfRule>
  </conditionalFormatting>
  <conditionalFormatting sqref="F38">
    <cfRule type="expression" dxfId="52" priority="53">
      <formula>$G$5="No"</formula>
    </cfRule>
  </conditionalFormatting>
  <conditionalFormatting sqref="F38">
    <cfRule type="expression" dxfId="51" priority="52">
      <formula>$G$7="No"</formula>
    </cfRule>
  </conditionalFormatting>
  <conditionalFormatting sqref="F54 F56">
    <cfRule type="expression" dxfId="50" priority="51">
      <formula>$G$5="No"</formula>
    </cfRule>
  </conditionalFormatting>
  <conditionalFormatting sqref="F54 F56">
    <cfRule type="expression" dxfId="49" priority="50">
      <formula>"$G$7=""No"""</formula>
    </cfRule>
  </conditionalFormatting>
  <conditionalFormatting sqref="F54 F56">
    <cfRule type="expression" dxfId="48" priority="49">
      <formula>$G$5="No"</formula>
    </cfRule>
  </conditionalFormatting>
  <conditionalFormatting sqref="F54 F56">
    <cfRule type="expression" dxfId="47" priority="48">
      <formula>$G$7="No"</formula>
    </cfRule>
  </conditionalFormatting>
  <conditionalFormatting sqref="F58:F59">
    <cfRule type="expression" dxfId="46" priority="47">
      <formula>$G$5="No"</formula>
    </cfRule>
  </conditionalFormatting>
  <conditionalFormatting sqref="F58:F59">
    <cfRule type="expression" dxfId="45" priority="46">
      <formula>"$G$7=""No"""</formula>
    </cfRule>
  </conditionalFormatting>
  <conditionalFormatting sqref="F58:F59">
    <cfRule type="expression" dxfId="44" priority="45">
      <formula>$G$5="No"</formula>
    </cfRule>
  </conditionalFormatting>
  <conditionalFormatting sqref="F58:F59">
    <cfRule type="expression" dxfId="43" priority="44">
      <formula>$G$7="No"</formula>
    </cfRule>
  </conditionalFormatting>
  <conditionalFormatting sqref="F23 F25">
    <cfRule type="expression" dxfId="42" priority="43">
      <formula>$G$5="No"</formula>
    </cfRule>
  </conditionalFormatting>
  <conditionalFormatting sqref="F23 F25">
    <cfRule type="expression" dxfId="41" priority="42">
      <formula>"$G$7=""No"""</formula>
    </cfRule>
  </conditionalFormatting>
  <conditionalFormatting sqref="F23 F25">
    <cfRule type="expression" dxfId="40" priority="41">
      <formula>$G$5="No"</formula>
    </cfRule>
  </conditionalFormatting>
  <conditionalFormatting sqref="F23 F25">
    <cfRule type="expression" dxfId="39" priority="40">
      <formula>$G$7="No"</formula>
    </cfRule>
  </conditionalFormatting>
  <conditionalFormatting sqref="F9">
    <cfRule type="expression" dxfId="38" priority="39">
      <formula>$G$5="No"</formula>
    </cfRule>
  </conditionalFormatting>
  <conditionalFormatting sqref="F69:F80">
    <cfRule type="expression" dxfId="37" priority="38">
      <formula>$G$5="No"</formula>
    </cfRule>
  </conditionalFormatting>
  <conditionalFormatting sqref="F69:F80">
    <cfRule type="expression" dxfId="36" priority="37">
      <formula>"$G$7=""No"""</formula>
    </cfRule>
  </conditionalFormatting>
  <conditionalFormatting sqref="F69:F80">
    <cfRule type="expression" dxfId="35" priority="36">
      <formula>$G$5="No"</formula>
    </cfRule>
  </conditionalFormatting>
  <conditionalFormatting sqref="F69:F80">
    <cfRule type="expression" dxfId="34" priority="35">
      <formula>$G$7="No"</formula>
    </cfRule>
  </conditionalFormatting>
  <conditionalFormatting sqref="F81 F83">
    <cfRule type="expression" dxfId="33" priority="34">
      <formula>$G$5="No"</formula>
    </cfRule>
  </conditionalFormatting>
  <conditionalFormatting sqref="F81 F83">
    <cfRule type="expression" dxfId="32" priority="33">
      <formula>"$G$7=""No"""</formula>
    </cfRule>
  </conditionalFormatting>
  <conditionalFormatting sqref="F81 F83">
    <cfRule type="expression" dxfId="31" priority="32">
      <formula>$G$5="No"</formula>
    </cfRule>
  </conditionalFormatting>
  <conditionalFormatting sqref="F81 F83">
    <cfRule type="expression" dxfId="30" priority="31">
      <formula>$G$7="No"</formula>
    </cfRule>
  </conditionalFormatting>
  <conditionalFormatting sqref="F85:F88">
    <cfRule type="expression" dxfId="29" priority="30">
      <formula>$G$5="No"</formula>
    </cfRule>
  </conditionalFormatting>
  <conditionalFormatting sqref="F85:F88">
    <cfRule type="expression" dxfId="28" priority="29">
      <formula>"$G$7=""No"""</formula>
    </cfRule>
  </conditionalFormatting>
  <conditionalFormatting sqref="F85:F88">
    <cfRule type="expression" dxfId="27" priority="28">
      <formula>$G$5="No"</formula>
    </cfRule>
  </conditionalFormatting>
  <conditionalFormatting sqref="F85:F88">
    <cfRule type="expression" dxfId="26" priority="27">
      <formula>$G$7="No"</formula>
    </cfRule>
  </conditionalFormatting>
  <conditionalFormatting sqref="F98:F107">
    <cfRule type="expression" dxfId="25" priority="26">
      <formula>$G$5="No"</formula>
    </cfRule>
  </conditionalFormatting>
  <conditionalFormatting sqref="F98:F107">
    <cfRule type="expression" dxfId="24" priority="25">
      <formula>"$G$7=""No"""</formula>
    </cfRule>
  </conditionalFormatting>
  <conditionalFormatting sqref="F98:F107">
    <cfRule type="expression" dxfId="23" priority="24">
      <formula>$G$5="No"</formula>
    </cfRule>
  </conditionalFormatting>
  <conditionalFormatting sqref="F98:F107">
    <cfRule type="expression" dxfId="22" priority="23">
      <formula>$G$7="No"</formula>
    </cfRule>
  </conditionalFormatting>
  <conditionalFormatting sqref="F108 F110 F112">
    <cfRule type="expression" dxfId="21" priority="22">
      <formula>$G$5="No"</formula>
    </cfRule>
  </conditionalFormatting>
  <conditionalFormatting sqref="F108 F110 F112">
    <cfRule type="expression" dxfId="20" priority="21">
      <formula>"$G$7=""No"""</formula>
    </cfRule>
  </conditionalFormatting>
  <conditionalFormatting sqref="F108 F110 F112">
    <cfRule type="expression" dxfId="19" priority="20">
      <formula>$G$5="No"</formula>
    </cfRule>
  </conditionalFormatting>
  <conditionalFormatting sqref="F108 F110 F112">
    <cfRule type="expression" dxfId="18" priority="19">
      <formula>$G$7="No"</formula>
    </cfRule>
  </conditionalFormatting>
  <conditionalFormatting sqref="F114:F118">
    <cfRule type="expression" dxfId="17" priority="18">
      <formula>$G$5="No"</formula>
    </cfRule>
  </conditionalFormatting>
  <conditionalFormatting sqref="F114:F118">
    <cfRule type="expression" dxfId="16" priority="17">
      <formula>"$G$7=""No"""</formula>
    </cfRule>
  </conditionalFormatting>
  <conditionalFormatting sqref="F114:F118">
    <cfRule type="expression" dxfId="15" priority="16">
      <formula>$G$5="No"</formula>
    </cfRule>
  </conditionalFormatting>
  <conditionalFormatting sqref="F114:F118">
    <cfRule type="expression" dxfId="14" priority="15">
      <formula>$G$7="No"</formula>
    </cfRule>
  </conditionalFormatting>
  <conditionalFormatting sqref="F133:F155">
    <cfRule type="expression" dxfId="13" priority="14">
      <formula>$G$5="No"</formula>
    </cfRule>
  </conditionalFormatting>
  <conditionalFormatting sqref="F133:F155">
    <cfRule type="expression" dxfId="12" priority="13">
      <formula>"$G$7=""No"""</formula>
    </cfRule>
  </conditionalFormatting>
  <conditionalFormatting sqref="F133:F155">
    <cfRule type="expression" dxfId="11" priority="12">
      <formula>$G$5="No"</formula>
    </cfRule>
  </conditionalFormatting>
  <conditionalFormatting sqref="F133:F155">
    <cfRule type="expression" dxfId="10" priority="11">
      <formula>$G$7="No"</formula>
    </cfRule>
  </conditionalFormatting>
  <conditionalFormatting sqref="F156">
    <cfRule type="expression" dxfId="9" priority="10">
      <formula>$G$5="No"</formula>
    </cfRule>
  </conditionalFormatting>
  <conditionalFormatting sqref="F156">
    <cfRule type="expression" dxfId="8" priority="9">
      <formula>"$G$7=""No"""</formula>
    </cfRule>
  </conditionalFormatting>
  <conditionalFormatting sqref="F156">
    <cfRule type="expression" dxfId="7" priority="8">
      <formula>$G$5="No"</formula>
    </cfRule>
  </conditionalFormatting>
  <conditionalFormatting sqref="F156">
    <cfRule type="expression" dxfId="6" priority="7">
      <formula>$G$7="No"</formula>
    </cfRule>
  </conditionalFormatting>
  <conditionalFormatting sqref="G98:K98">
    <cfRule type="expression" dxfId="5" priority="6">
      <formula>#REF!="No"</formula>
    </cfRule>
  </conditionalFormatting>
  <conditionalFormatting sqref="G98:K98">
    <cfRule type="expression" dxfId="4" priority="5">
      <formula>#REF!="No"</formula>
    </cfRule>
  </conditionalFormatting>
  <conditionalFormatting sqref="G69:K69">
    <cfRule type="expression" dxfId="3" priority="4">
      <formula>#REF!="No"</formula>
    </cfRule>
  </conditionalFormatting>
  <conditionalFormatting sqref="G69:K69">
    <cfRule type="expression" dxfId="2" priority="3">
      <formula>#REF!="No"</formula>
    </cfRule>
  </conditionalFormatting>
  <conditionalFormatting sqref="G7:K7">
    <cfRule type="expression" dxfId="1" priority="2">
      <formula>#REF!="No"</formula>
    </cfRule>
  </conditionalFormatting>
  <conditionalFormatting sqref="G7:K7">
    <cfRule type="expression" dxfId="0" priority="1">
      <formula>#REF!="No"</formula>
    </cfRule>
  </conditionalFormatting>
  <hyperlinks>
    <hyperlink ref="D168" location="FASE_4a_Vulnerabilidad!A1" display="FASE  4. Análisis de la VULNERABILIDAD" xr:uid="{898DE4AE-B57A-4581-8E85-C49DEDF08AAD}"/>
    <hyperlink ref="A6" location="Instrucciones_Valencia!A1" display="Instrucciones_Valencia!A1" xr:uid="{0AC903B1-5A6D-4E58-AE66-D0725E754DB5}"/>
    <hyperlink ref="A8" location="M_Datos_Valencia!A1" display="M_Datos_Valencia!A1" xr:uid="{BC1FF714-73E2-42CD-B36E-517762770789}"/>
    <hyperlink ref="A10" location="V_A0!A1" display="2.1. Alternativa 0 (A0)" xr:uid="{02D13F3F-A94E-4463-BE33-9B40CD91DF28}"/>
    <hyperlink ref="A11" location="V_A1!A1" display="2.2. Alternativa 1 (A1)" xr:uid="{1B8972E9-A621-4B4B-A37E-D362FA4F9D72}"/>
    <hyperlink ref="A12" location="V_A2!A1" display="2.3. Alternativa 2 (A2)" xr:uid="{4732B967-38A7-4DE8-9994-B00030C6C6E9}"/>
    <hyperlink ref="A13" location="V_A3!A1" display="2.4. Alternativa 3 (A3)" xr:uid="{1FBC9847-301E-48B7-B2D6-51FFD2AB72D9}"/>
    <hyperlink ref="A14" location="V_A4!A1" display="2.5. Alternativa 4 (A4)" xr:uid="{EDF76963-2385-44A9-AC23-2A1FFB644DDF}"/>
    <hyperlink ref="A15" location="B_Resultados!A1" display="B_Resultados!A1" xr:uid="{F4C3D9A5-DDDF-43E6-832B-1C3AC0C0D4FD}"/>
    <hyperlink ref="A16" location="V_Factores!A1" display="V_Factores!A1" xr:uid="{8B246D41-989F-4368-AE16-EEE7C5584873}"/>
    <hyperlink ref="A18" location="B_Alcance!A1" display="B_Alcance!A1" xr:uid="{392B44F1-5A9C-4FF9-88F4-70D326760DC6}"/>
    <hyperlink ref="A19" location="B_Checklist!A1" display="2. Checklist" xr:uid="{74B6736B-4EE6-4C08-AB3C-FA2A15C7279B}"/>
    <hyperlink ref="A20" location="B_Resultados!A1" display="B_Resultados!A1" xr:uid="{AA04D7EE-28AB-48BB-B556-054792CC6180}"/>
    <hyperlink ref="A21" location="Resultados_generales!A1" display="Resultados_generales!A1" xr:uid="{D2D7DCEC-9588-43DA-9962-4BE0F5684C61}"/>
    <hyperlink ref="A22" location="Medidas_Propuestas!A1" display="Medidas_Propuestas!A1" xr:uid="{51CFDB67-F3E8-4B7F-84D7-25A25407B025}"/>
  </hyperlink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634CB-7898-4FB0-8E68-584957260C29}">
  <sheetPr codeName="Hoja20">
    <tabColor theme="7" tint="0.79998168889431442"/>
  </sheetPr>
  <dimension ref="A1:Z106"/>
  <sheetViews>
    <sheetView zoomScale="70" zoomScaleNormal="70" workbookViewId="0">
      <selection activeCell="K33" sqref="K33"/>
    </sheetView>
  </sheetViews>
  <sheetFormatPr baseColWidth="10" defaultColWidth="11.44140625" defaultRowHeight="15.6"/>
  <cols>
    <col min="1" max="1" width="27.5546875" style="148" customWidth="1"/>
    <col min="2" max="2" width="1" style="135" customWidth="1"/>
    <col min="3" max="3" width="7.44140625" customWidth="1"/>
    <col min="4" max="4" width="27.33203125" customWidth="1"/>
    <col min="5" max="5" width="16.44140625" bestFit="1" customWidth="1"/>
    <col min="6" max="6" width="15.6640625" bestFit="1" customWidth="1"/>
    <col min="7" max="9" width="16" bestFit="1" customWidth="1"/>
    <col min="12" max="12" width="30.88671875" customWidth="1"/>
    <col min="13" max="13" width="16.44140625" bestFit="1" customWidth="1"/>
    <col min="14" max="14" width="15.6640625" bestFit="1" customWidth="1"/>
    <col min="15" max="17" width="16" bestFit="1" customWidth="1"/>
    <col min="29" max="29" width="20.44140625" customWidth="1"/>
  </cols>
  <sheetData>
    <row r="1" spans="1:21" s="136" customFormat="1" ht="31.2">
      <c r="A1"/>
    </row>
    <row r="2" spans="1:21" s="136" customFormat="1" ht="26.25" customHeight="1">
      <c r="A2" s="5"/>
      <c r="D2" s="136" t="str">
        <f>IF(Idioma=Castellano,"4. Resultados",IF(Idioma=Valencià,"4. Resultats","4. Resultados"))</f>
        <v>4. Resultados</v>
      </c>
    </row>
    <row r="3" spans="1:21" s="136" customFormat="1" ht="24.75" customHeight="1">
      <c r="A3" s="5"/>
    </row>
    <row r="4" spans="1:21" s="1" customFormat="1" ht="16.2" thickBot="1">
      <c r="A4" s="148"/>
      <c r="B4" s="135"/>
    </row>
    <row r="5" spans="1:21" s="301" customFormat="1" ht="21.6" thickBot="1">
      <c r="A5" s="335" t="str">
        <f>IF(Idioma=Castellano,"Índice",IF(Idioma=Valencià,"Índex","Índice"))</f>
        <v>Índice</v>
      </c>
      <c r="B5" s="135"/>
      <c r="C5" s="1"/>
      <c r="D5" s="298" t="str">
        <f>IF(Idioma=Castellano,"ÍNDICE DE RIESGO",IF(Idioma=Valencià,"ÍNDEX DE RIC","ÍNDICE DE RIESGO"))</f>
        <v>ÍNDICE DE RIESGO</v>
      </c>
      <c r="E5" s="299"/>
      <c r="F5" s="299"/>
      <c r="G5" s="299"/>
      <c r="H5" s="299"/>
      <c r="I5" s="299"/>
      <c r="J5" s="300"/>
      <c r="K5" s="1"/>
      <c r="L5" s="298" t="str">
        <f>IF(Idioma=Castellano,"ÍNDICE DE VULNERABILIDAD",IF(Idioma=Valencià,"ÍNDEX DE VULNERABILITAT","ÍNDICE DE VULNERABILIDAD"))</f>
        <v>ÍNDICE DE VULNERABILIDAD</v>
      </c>
      <c r="M5" s="299"/>
      <c r="N5" s="299"/>
      <c r="O5" s="299"/>
      <c r="P5" s="299"/>
      <c r="Q5" s="299"/>
      <c r="R5" s="300"/>
    </row>
    <row r="6" spans="1:21" s="1" customFormat="1" ht="15" thickBot="1">
      <c r="A6" s="202" t="str">
        <f>IF(Idioma=Castellano,"Instrucciones",IF(Idioma=Valencià,"Instruccions","Instrucciones"))</f>
        <v>Instrucciones</v>
      </c>
      <c r="B6" s="135"/>
      <c r="D6" s="3"/>
      <c r="E6" s="3"/>
      <c r="F6" s="3"/>
      <c r="G6" s="3"/>
      <c r="H6" s="3"/>
    </row>
    <row r="7" spans="1:21" s="1" customFormat="1" ht="15" thickBot="1">
      <c r="A7" s="203" t="str">
        <f>IF(Idioma=Castellano,"Sección de Mitigación",IF(Idioma=Valencià,"Secció de Mitigació", "Sección de Mitigación"))</f>
        <v>Sección de Mitigación</v>
      </c>
      <c r="B7" s="135"/>
      <c r="D7" s="21"/>
      <c r="E7" s="20" t="s">
        <v>595</v>
      </c>
      <c r="F7" s="23" t="s">
        <v>31</v>
      </c>
      <c r="G7" s="23" t="s">
        <v>36</v>
      </c>
      <c r="H7" s="23" t="s">
        <v>39</v>
      </c>
      <c r="I7" s="23" t="s">
        <v>42</v>
      </c>
      <c r="L7" s="21"/>
      <c r="M7" s="20" t="s">
        <v>595</v>
      </c>
      <c r="N7" s="23" t="s">
        <v>31</v>
      </c>
      <c r="O7" s="23" t="s">
        <v>36</v>
      </c>
      <c r="P7" s="23" t="s">
        <v>39</v>
      </c>
      <c r="Q7" s="23" t="s">
        <v>42</v>
      </c>
    </row>
    <row r="8" spans="1:21" s="1" customFormat="1" ht="14.4">
      <c r="A8" s="204" t="str">
        <f>IF(Idioma=Castellano,"1. Datos de entrada",IF(Idioma=Valencià,"1.Dades d'entrada","1. Datos de entrada"))</f>
        <v>1. Datos de entrada</v>
      </c>
      <c r="B8" s="135"/>
      <c r="D8" s="29" t="str">
        <f>IF(Idioma=Castellano,"Inundaciones fluviales",IF(Idioma=Valencià,"Inundacions fluvials","Inundaciones fluviales"))</f>
        <v>Inundaciones fluviales</v>
      </c>
      <c r="E8" s="89" t="e">
        <f>B_Cálculos!G34</f>
        <v>#DIV/0!</v>
      </c>
      <c r="F8" s="89" t="e">
        <f>B_Cálculos!H34</f>
        <v>#DIV/0!</v>
      </c>
      <c r="G8" s="89" t="e">
        <f>B_Cálculos!I34</f>
        <v>#DIV/0!</v>
      </c>
      <c r="H8" s="89" t="e">
        <f>B_Cálculos!J34</f>
        <v>#DIV/0!</v>
      </c>
      <c r="I8" s="89" t="e">
        <f>B_Cálculos!K34</f>
        <v>#DIV/0!</v>
      </c>
      <c r="L8" s="29" t="str">
        <f>IF(Idioma=Castellano,"Inundaciones fluviales",IF(Idioma=Valencià,"Inundacions fluvials","Inundaciones fluviales"))</f>
        <v>Inundaciones fluviales</v>
      </c>
      <c r="M8" s="89" t="e">
        <f>((B_Cálculos!G32+B_Cálculos!G33)/2)</f>
        <v>#DIV/0!</v>
      </c>
      <c r="N8" s="89" t="e">
        <f>((B_Cálculos!H32+B_Cálculos!H33)/2)</f>
        <v>#DIV/0!</v>
      </c>
      <c r="O8" s="89" t="e">
        <f>((B_Cálculos!I32+B_Cálculos!I33)/2)</f>
        <v>#DIV/0!</v>
      </c>
      <c r="P8" s="89" t="e">
        <f>((B_Cálculos!J32+B_Cálculos!J33)/2)</f>
        <v>#DIV/0!</v>
      </c>
      <c r="Q8" s="89" t="e">
        <f>((B_Cálculos!K32+B_Cálculos!K33)/2)</f>
        <v>#DIV/0!</v>
      </c>
    </row>
    <row r="9" spans="1:21" s="1" customFormat="1" ht="14.4">
      <c r="A9" s="204" t="str">
        <f>IF(Idioma=Castellano,"2. Cálculo de Alternativas:",IF(Idioma=Valencià,"2. Càlcul d'alternatives :","2. Cálculo de Alternativas:"))</f>
        <v>2. Cálculo de Alternativas:</v>
      </c>
      <c r="B9" s="135"/>
      <c r="D9" s="29" t="str">
        <f>IF(Idioma=Castellano,"Inundaciones costeras",IF(Idioma=Valencià,"Inundacions costaneres","Inundaciones costeras"))</f>
        <v>Inundaciones costeras</v>
      </c>
      <c r="E9" s="90" t="e" cm="1">
        <f t="array" ref="E9:I9">B_Cálculos!G63:K63</f>
        <v>#DIV/0!</v>
      </c>
      <c r="F9" s="90" t="e">
        <v>#DIV/0!</v>
      </c>
      <c r="G9" s="90" t="e">
        <v>#DIV/0!</v>
      </c>
      <c r="H9" s="90" t="e">
        <v>#DIV/0!</v>
      </c>
      <c r="I9" s="90" t="e">
        <v>#DIV/0!</v>
      </c>
      <c r="L9" s="29" t="str">
        <f>IF(Idioma=Castellano,"Inundaciones costeras",IF(Idioma=Valencià,"Inundacions costaneres","Inundaciones costeras"))</f>
        <v>Inundaciones costeras</v>
      </c>
      <c r="M9" s="90" t="e">
        <f>(B_Cálculos!G61+B_Cálculos!G62)/2</f>
        <v>#DIV/0!</v>
      </c>
      <c r="N9" s="90" t="e">
        <f>(B_Cálculos!H61+B_Cálculos!H62)/2</f>
        <v>#DIV/0!</v>
      </c>
      <c r="O9" s="90" t="e">
        <f>(B_Cálculos!I61+B_Cálculos!I62)/2</f>
        <v>#DIV/0!</v>
      </c>
      <c r="P9" s="90" t="e">
        <f>(B_Cálculos!J61+B_Cálculos!J62)/2</f>
        <v>#DIV/0!</v>
      </c>
      <c r="Q9" s="90" t="e">
        <f>(B_Cálculos!K61+B_Cálculos!K62)/2</f>
        <v>#DIV/0!</v>
      </c>
    </row>
    <row r="10" spans="1:21" s="1" customFormat="1" ht="14.4">
      <c r="A10" s="205" t="s">
        <v>1</v>
      </c>
      <c r="B10" s="135"/>
      <c r="D10" s="27" t="str">
        <f>IF(Idioma=Castellano,"Deslizamientos",IF(Idioma=Valencià,"Lliscaments","Deslizamientos"))</f>
        <v>Deslizamientos</v>
      </c>
      <c r="E10" s="90" t="e" cm="1">
        <f t="array" ref="E10:I10">B_Cálculos!G93:K93</f>
        <v>#DIV/0!</v>
      </c>
      <c r="F10" s="90" t="e">
        <v>#DIV/0!</v>
      </c>
      <c r="G10" s="90" t="e">
        <v>#DIV/0!</v>
      </c>
      <c r="H10" s="90" t="e">
        <v>#DIV/0!</v>
      </c>
      <c r="I10" s="90" t="e">
        <v>#DIV/0!</v>
      </c>
      <c r="L10" s="27" t="str">
        <f>IF(Idioma=Castellano,"Deslizamientos",IF(Idioma=Valencià,"Lliscaments","Deslizamientos"))</f>
        <v>Deslizamientos</v>
      </c>
      <c r="M10" s="90" t="e">
        <f>(B_Cálculos!G91+B_Cálculos!G92)/2</f>
        <v>#DIV/0!</v>
      </c>
      <c r="N10" s="90" t="e">
        <f>(B_Cálculos!H91+B_Cálculos!H92)/2</f>
        <v>#DIV/0!</v>
      </c>
      <c r="O10" s="90" t="e">
        <f>(B_Cálculos!I91+B_Cálculos!I92)/2</f>
        <v>#DIV/0!</v>
      </c>
      <c r="P10" s="90" t="e">
        <f>(B_Cálculos!J91+B_Cálculos!J92)/2</f>
        <v>#DIV/0!</v>
      </c>
      <c r="Q10" s="90" t="e">
        <f>(B_Cálculos!K91+B_Cálculos!K92)/2</f>
        <v>#DIV/0!</v>
      </c>
    </row>
    <row r="11" spans="1:21" s="1" customFormat="1" ht="15" thickBot="1">
      <c r="A11" s="205" t="s">
        <v>2</v>
      </c>
      <c r="B11" s="135"/>
      <c r="D11" s="25" t="str">
        <f>IF(Idioma=Castellano,"Olas de Calor",IF(Idioma=Valencià,"Onades de calor","Olas de Calor"))</f>
        <v>Olas de Calor</v>
      </c>
      <c r="E11" s="91" t="e" cm="1">
        <f t="array" ref="E11:I11">B_Cálculos!G123:K123</f>
        <v>#DIV/0!</v>
      </c>
      <c r="F11" s="91" t="e">
        <v>#DIV/0!</v>
      </c>
      <c r="G11" s="91" t="e">
        <v>#DIV/0!</v>
      </c>
      <c r="H11" s="91" t="e">
        <v>#DIV/0!</v>
      </c>
      <c r="I11" s="91" t="e">
        <v>#DIV/0!</v>
      </c>
      <c r="L11" s="25" t="str">
        <f>IF(Idioma=Castellano,"Olas de Calor",IF(Idioma=Valencià,"Onades de calor","Olas de Calor"))</f>
        <v>Olas de Calor</v>
      </c>
      <c r="M11" s="91" t="e">
        <f>(B_Cálculos!G123+B_Cálculos!G122)/2</f>
        <v>#DIV/0!</v>
      </c>
      <c r="N11" s="91" t="e">
        <f>(B_Cálculos!H123+B_Cálculos!H122)/2</f>
        <v>#DIV/0!</v>
      </c>
      <c r="O11" s="91" t="e">
        <f>(B_Cálculos!I123+B_Cálculos!I122)/2</f>
        <v>#DIV/0!</v>
      </c>
      <c r="P11" s="91" t="e">
        <f>(B_Cálculos!J123+B_Cálculos!J122)/2</f>
        <v>#DIV/0!</v>
      </c>
      <c r="Q11" s="91" t="e">
        <f>(B_Cálculos!K123+B_Cálculos!K122)/2</f>
        <v>#DIV/0!</v>
      </c>
    </row>
    <row r="12" spans="1:21" s="1" customFormat="1" ht="15" thickBot="1">
      <c r="A12" s="205" t="s">
        <v>3</v>
      </c>
      <c r="B12" s="135"/>
      <c r="D12" s="25" t="str">
        <f>IF(Idioma=Castellano,"Sequías y estés hídrico",IF(Idioma=Valencià,"Sequeres i estigues hídric","Sequías y estés hídrico"))</f>
        <v>Sequías y estés hídrico</v>
      </c>
      <c r="E12" s="91" t="e" cm="1">
        <f t="array" ref="E12:I12">B_Cálculos!G162:K162</f>
        <v>#DIV/0!</v>
      </c>
      <c r="F12" s="91" t="e">
        <v>#DIV/0!</v>
      </c>
      <c r="G12" s="91" t="e">
        <v>#DIV/0!</v>
      </c>
      <c r="H12" s="91" t="e">
        <v>#DIV/0!</v>
      </c>
      <c r="I12" s="91" t="e">
        <v>#DIV/0!</v>
      </c>
      <c r="L12" s="25" t="str">
        <f>IF(Idioma=Castellano,"Sequías y estés hídrico",IF(Idioma=Valencià,"Sequeres i estigues hídric","Sequías y estés hídrico"))</f>
        <v>Sequías y estés hídrico</v>
      </c>
      <c r="M12" s="91" t="e" cm="1">
        <f t="array" ref="M12:Q12">(B_Cálculos!G160:K160+B_Cálculos!G161:K161)/2</f>
        <v>#DIV/0!</v>
      </c>
      <c r="N12" s="91" t="e">
        <v>#DIV/0!</v>
      </c>
      <c r="O12" s="91" t="e">
        <v>#DIV/0!</v>
      </c>
      <c r="P12" s="91" t="e">
        <v>#DIV/0!</v>
      </c>
      <c r="Q12" s="91" t="e">
        <v>#DIV/0!</v>
      </c>
    </row>
    <row r="13" spans="1:21" s="1" customFormat="1" ht="14.4">
      <c r="A13" s="205" t="s">
        <v>4</v>
      </c>
      <c r="B13" s="135"/>
    </row>
    <row r="14" spans="1:21" s="1" customFormat="1" ht="15" thickBot="1">
      <c r="A14" s="205" t="s">
        <v>5</v>
      </c>
      <c r="B14" s="135"/>
      <c r="D14" s="3"/>
      <c r="E14" s="3"/>
      <c r="F14" s="3"/>
      <c r="G14" s="3"/>
      <c r="H14" s="3"/>
      <c r="I14" s="1" t="s">
        <v>851</v>
      </c>
    </row>
    <row r="15" spans="1:21" s="301" customFormat="1" ht="21.6" thickBot="1">
      <c r="A15" s="204" t="str">
        <f>IF(Idioma=Castellano,"3. Resultados",IF(Idioma=Valencià,"3. Resultats","3. Resultados"))</f>
        <v>3. Resultados</v>
      </c>
      <c r="B15" s="135"/>
      <c r="C15" s="1"/>
      <c r="D15" s="298" t="str">
        <f>IF(Idioma=Castellano,"COMPARATIVA POR AMENAZAS",IF(Idioma=Valencià,"COMPARATIVA PER AMENACES","COMPARATIVA POR AMENAZAS"))</f>
        <v>COMPARATIVA POR AMENAZAS</v>
      </c>
      <c r="E15" s="298"/>
      <c r="F15" s="299"/>
      <c r="G15" s="299"/>
      <c r="H15" s="299"/>
      <c r="I15" s="299"/>
      <c r="J15" s="299"/>
      <c r="K15" s="299"/>
      <c r="L15" s="299"/>
      <c r="M15" s="299"/>
      <c r="N15" s="299"/>
      <c r="O15" s="299"/>
      <c r="P15" s="299"/>
      <c r="Q15" s="299"/>
      <c r="R15" s="299"/>
      <c r="S15" s="299"/>
      <c r="T15" s="299"/>
      <c r="U15" s="300"/>
    </row>
    <row r="16" spans="1:21" s="1" customFormat="1" ht="14.4">
      <c r="A16" s="204" t="str">
        <f>IF(Idioma=Castellano,"4. Factores de emisión",IF(Idioma=Valencià,"4. Factors d'emissió","4. Factores de emisión"))</f>
        <v>4. Factores de emisión</v>
      </c>
      <c r="B16" s="135"/>
    </row>
    <row r="17" spans="1:2" s="1" customFormat="1" ht="14.4">
      <c r="A17" s="203" t="str">
        <f>IF(Idioma=Castellano,"Sección de Adaptación",IF(Idioma=Valencià,"Secció d'Adaptació","Sección de Adaptación"))</f>
        <v>Sección de Adaptación</v>
      </c>
      <c r="B17" s="135"/>
    </row>
    <row r="18" spans="1:2" s="1" customFormat="1" ht="14.4">
      <c r="A18" s="204" t="str">
        <f>IF(Idioma=Castellano,"1. Alcance",IF(Idioma=Valencià,"1. Abast","1. Alcance"))</f>
        <v>1. Alcance</v>
      </c>
      <c r="B18" s="135"/>
    </row>
    <row r="19" spans="1:2" s="1" customFormat="1" ht="14.4">
      <c r="A19" s="204" t="s">
        <v>6</v>
      </c>
      <c r="B19" s="135"/>
    </row>
    <row r="20" spans="1:2" s="1" customFormat="1" ht="14.4">
      <c r="A20" s="204" t="str">
        <f>IF(Idioma=Castellano,"3. Resultados",IF(Idioma=Valencià,"3. Resultats","3. Resultados"))</f>
        <v>3. Resultados</v>
      </c>
      <c r="B20" s="135"/>
    </row>
    <row r="21" spans="1:2" s="1" customFormat="1" ht="14.4">
      <c r="A21" s="203" t="str">
        <f>IF(Idioma=Castellano,"Resultados generales",IF(Idioma=Valencià,"Resultats generals","Resultados generales"))</f>
        <v>Resultados generales</v>
      </c>
      <c r="B21" s="135"/>
    </row>
    <row r="22" spans="1:2" s="1" customFormat="1" ht="14.4">
      <c r="A22" s="203" t="str">
        <f>IF(Idioma=Castellano,"Medidas Propuestas",IF(Idioma=Valencià,"Mesures Proposades","Medidas Propuestas"))</f>
        <v>Medidas Propuestas</v>
      </c>
      <c r="B22" s="135"/>
    </row>
    <row r="23" spans="1:2" s="1" customFormat="1">
      <c r="A23" s="144"/>
      <c r="B23" s="135"/>
    </row>
    <row r="24" spans="1:2" s="1" customFormat="1">
      <c r="A24" s="144"/>
      <c r="B24" s="135"/>
    </row>
    <row r="25" spans="1:2" s="1" customFormat="1">
      <c r="A25" s="144"/>
      <c r="B25" s="135"/>
    </row>
    <row r="26" spans="1:2" s="1" customFormat="1">
      <c r="A26" s="144"/>
      <c r="B26" s="135"/>
    </row>
    <row r="27" spans="1:2" s="1" customFormat="1">
      <c r="A27" s="144"/>
      <c r="B27" s="135"/>
    </row>
    <row r="28" spans="1:2" s="1" customFormat="1">
      <c r="A28" s="144"/>
      <c r="B28" s="135"/>
    </row>
    <row r="29" spans="1:2" s="1" customFormat="1">
      <c r="A29" s="144"/>
      <c r="B29" s="135"/>
    </row>
    <row r="30" spans="1:2" s="1" customFormat="1">
      <c r="A30" s="148"/>
      <c r="B30" s="135"/>
    </row>
    <row r="31" spans="1:2" s="1" customFormat="1">
      <c r="A31" s="148"/>
      <c r="B31" s="135"/>
    </row>
    <row r="32" spans="1:2" s="1" customFormat="1">
      <c r="A32" s="148"/>
      <c r="B32" s="135"/>
    </row>
    <row r="33" spans="1:2" s="1" customFormat="1">
      <c r="A33" s="148"/>
      <c r="B33" s="135"/>
    </row>
    <row r="34" spans="1:2" s="1" customFormat="1">
      <c r="A34" s="148"/>
      <c r="B34" s="135"/>
    </row>
    <row r="35" spans="1:2" s="1" customFormat="1">
      <c r="A35" s="148"/>
      <c r="B35" s="135"/>
    </row>
    <row r="36" spans="1:2" s="1" customFormat="1">
      <c r="A36" s="148"/>
      <c r="B36" s="135"/>
    </row>
    <row r="37" spans="1:2" s="1" customFormat="1">
      <c r="A37" s="148"/>
      <c r="B37" s="135"/>
    </row>
    <row r="38" spans="1:2" s="1" customFormat="1">
      <c r="A38" s="148"/>
      <c r="B38" s="135"/>
    </row>
    <row r="39" spans="1:2" s="1" customFormat="1">
      <c r="A39" s="148"/>
      <c r="B39" s="135"/>
    </row>
    <row r="40" spans="1:2" s="1" customFormat="1">
      <c r="A40" s="148"/>
      <c r="B40" s="135"/>
    </row>
    <row r="41" spans="1:2" s="1" customFormat="1">
      <c r="A41" s="148"/>
      <c r="B41" s="135"/>
    </row>
    <row r="42" spans="1:2" s="1" customFormat="1">
      <c r="A42" s="148"/>
      <c r="B42" s="135"/>
    </row>
    <row r="43" spans="1:2" s="1" customFormat="1">
      <c r="A43" s="148"/>
      <c r="B43" s="135"/>
    </row>
    <row r="44" spans="1:2" s="1" customFormat="1">
      <c r="A44" s="148"/>
      <c r="B44" s="135"/>
    </row>
    <row r="45" spans="1:2" s="1" customFormat="1">
      <c r="A45" s="148"/>
      <c r="B45" s="135"/>
    </row>
    <row r="46" spans="1:2" s="1" customFormat="1">
      <c r="A46" s="148"/>
      <c r="B46" s="135"/>
    </row>
    <row r="47" spans="1:2" s="1" customFormat="1">
      <c r="A47" s="148"/>
      <c r="B47" s="135"/>
    </row>
    <row r="48" spans="1:2" s="1" customFormat="1" ht="16.2" thickBot="1">
      <c r="A48" s="148"/>
      <c r="B48" s="135"/>
    </row>
    <row r="49" spans="1:26" s="301" customFormat="1" ht="21.6" thickBot="1">
      <c r="A49" s="148"/>
      <c r="B49" s="135"/>
      <c r="C49" s="1"/>
      <c r="D49" s="298" t="str">
        <f>IF(Idioma=Castellano,"COMPARATIVA POR ALTERNATIVAS",IF(Idioma=Valencià,"COMPARATIVA PER ALTERNATIVES","COMPARATIVA POR ALTERNATIVAS"))</f>
        <v>COMPARATIVA POR ALTERNATIVAS</v>
      </c>
      <c r="E49" s="298"/>
      <c r="F49" s="299"/>
      <c r="G49" s="299"/>
      <c r="H49" s="299"/>
      <c r="I49" s="299"/>
      <c r="J49" s="299"/>
      <c r="K49" s="299"/>
      <c r="L49" s="299"/>
      <c r="M49" s="299"/>
      <c r="N49" s="299"/>
      <c r="O49" s="299"/>
      <c r="P49" s="299"/>
      <c r="Q49" s="299"/>
      <c r="R49" s="299"/>
      <c r="S49" s="299"/>
      <c r="T49" s="299"/>
      <c r="U49" s="299"/>
      <c r="V49" s="303"/>
      <c r="W49" s="302"/>
      <c r="X49" s="302"/>
      <c r="Y49" s="302"/>
      <c r="Z49" s="302"/>
    </row>
    <row r="50" spans="1:26" s="1" customFormat="1">
      <c r="A50" s="148"/>
      <c r="B50" s="135"/>
    </row>
    <row r="51" spans="1:26" s="1" customFormat="1">
      <c r="A51" s="148"/>
      <c r="B51" s="135"/>
    </row>
    <row r="52" spans="1:26" s="1" customFormat="1">
      <c r="A52" s="148"/>
      <c r="B52" s="135"/>
    </row>
    <row r="53" spans="1:26" s="1" customFormat="1">
      <c r="A53" s="148"/>
      <c r="B53" s="135"/>
    </row>
    <row r="54" spans="1:26" s="1" customFormat="1">
      <c r="A54" s="148"/>
      <c r="B54" s="135"/>
    </row>
    <row r="55" spans="1:26" s="1" customFormat="1">
      <c r="A55" s="148"/>
      <c r="B55" s="135"/>
    </row>
    <row r="56" spans="1:26" s="1" customFormat="1">
      <c r="A56" s="148"/>
      <c r="B56" s="135"/>
    </row>
    <row r="57" spans="1:26" s="1" customFormat="1">
      <c r="A57" s="148"/>
      <c r="B57" s="135"/>
    </row>
    <row r="58" spans="1:26" s="1" customFormat="1">
      <c r="A58" s="148"/>
      <c r="B58" s="135"/>
    </row>
    <row r="59" spans="1:26" s="1" customFormat="1">
      <c r="A59" s="148"/>
      <c r="B59" s="135"/>
    </row>
    <row r="60" spans="1:26" s="1" customFormat="1">
      <c r="A60" s="148"/>
      <c r="B60" s="135"/>
    </row>
    <row r="61" spans="1:26" s="1" customFormat="1">
      <c r="A61" s="148"/>
      <c r="B61" s="135"/>
    </row>
    <row r="62" spans="1:26" s="1" customFormat="1">
      <c r="A62" s="148"/>
      <c r="B62" s="135"/>
    </row>
    <row r="63" spans="1:26" s="1" customFormat="1">
      <c r="A63" s="148"/>
      <c r="B63" s="135"/>
    </row>
    <row r="64" spans="1:26" s="1" customFormat="1">
      <c r="A64" s="148"/>
      <c r="B64" s="135"/>
    </row>
    <row r="65" spans="1:2" s="1" customFormat="1">
      <c r="A65" s="148"/>
      <c r="B65" s="135"/>
    </row>
    <row r="66" spans="1:2" s="1" customFormat="1">
      <c r="A66" s="148"/>
      <c r="B66" s="135"/>
    </row>
    <row r="67" spans="1:2" s="1" customFormat="1">
      <c r="A67" s="148"/>
      <c r="B67" s="135"/>
    </row>
    <row r="68" spans="1:2" s="1" customFormat="1">
      <c r="A68" s="148"/>
      <c r="B68" s="135"/>
    </row>
    <row r="69" spans="1:2" s="1" customFormat="1">
      <c r="A69" s="148"/>
      <c r="B69" s="135"/>
    </row>
    <row r="70" spans="1:2" s="1" customFormat="1">
      <c r="A70" s="148"/>
      <c r="B70" s="135"/>
    </row>
    <row r="71" spans="1:2" s="1" customFormat="1">
      <c r="A71" s="148"/>
      <c r="B71" s="135"/>
    </row>
    <row r="72" spans="1:2" s="1" customFormat="1">
      <c r="A72" s="148"/>
      <c r="B72" s="135"/>
    </row>
    <row r="73" spans="1:2" s="1" customFormat="1">
      <c r="A73" s="148"/>
      <c r="B73" s="135"/>
    </row>
    <row r="74" spans="1:2" s="1" customFormat="1">
      <c r="A74" s="148"/>
      <c r="B74" s="135"/>
    </row>
    <row r="75" spans="1:2" s="1" customFormat="1">
      <c r="A75" s="148"/>
      <c r="B75" s="135"/>
    </row>
    <row r="76" spans="1:2" s="1" customFormat="1">
      <c r="A76" s="148"/>
      <c r="B76" s="135"/>
    </row>
    <row r="77" spans="1:2" s="1" customFormat="1">
      <c r="A77" s="148"/>
      <c r="B77" s="135"/>
    </row>
    <row r="78" spans="1:2" s="1" customFormat="1">
      <c r="A78" s="148"/>
      <c r="B78" s="135"/>
    </row>
    <row r="79" spans="1:2" s="1" customFormat="1">
      <c r="A79" s="148"/>
      <c r="B79" s="135"/>
    </row>
    <row r="80" spans="1:2" s="1" customFormat="1">
      <c r="A80" s="148"/>
      <c r="B80" s="135"/>
    </row>
    <row r="81" spans="1:2" s="1" customFormat="1">
      <c r="A81" s="148"/>
      <c r="B81" s="135"/>
    </row>
    <row r="82" spans="1:2" s="1" customFormat="1">
      <c r="A82" s="148"/>
      <c r="B82" s="135"/>
    </row>
    <row r="83" spans="1:2" s="1" customFormat="1">
      <c r="A83" s="148"/>
      <c r="B83" s="135"/>
    </row>
    <row r="84" spans="1:2" s="1" customFormat="1">
      <c r="A84" s="148"/>
      <c r="B84" s="135"/>
    </row>
    <row r="85" spans="1:2" s="1" customFormat="1">
      <c r="A85" s="148"/>
      <c r="B85" s="135"/>
    </row>
    <row r="86" spans="1:2" s="1" customFormat="1">
      <c r="A86" s="148"/>
      <c r="B86" s="135"/>
    </row>
    <row r="87" spans="1:2" s="1" customFormat="1">
      <c r="A87" s="148"/>
      <c r="B87" s="135"/>
    </row>
    <row r="88" spans="1:2" s="1" customFormat="1">
      <c r="A88" s="148"/>
      <c r="B88" s="135"/>
    </row>
    <row r="89" spans="1:2" s="1" customFormat="1">
      <c r="A89" s="148"/>
      <c r="B89" s="135"/>
    </row>
    <row r="90" spans="1:2" s="1" customFormat="1">
      <c r="A90" s="148"/>
      <c r="B90" s="135"/>
    </row>
    <row r="91" spans="1:2" s="1" customFormat="1">
      <c r="A91" s="148"/>
      <c r="B91" s="135"/>
    </row>
    <row r="92" spans="1:2" s="1" customFormat="1">
      <c r="A92" s="148"/>
      <c r="B92" s="135"/>
    </row>
    <row r="93" spans="1:2" s="1" customFormat="1">
      <c r="A93" s="148"/>
      <c r="B93" s="135"/>
    </row>
    <row r="94" spans="1:2" s="1" customFormat="1">
      <c r="A94" s="148"/>
      <c r="B94" s="135"/>
    </row>
    <row r="95" spans="1:2" s="1" customFormat="1">
      <c r="A95" s="148"/>
      <c r="B95" s="135"/>
    </row>
    <row r="96" spans="1:2" s="1" customFormat="1">
      <c r="A96" s="148"/>
      <c r="B96" s="135"/>
    </row>
    <row r="97" spans="1:2" s="1" customFormat="1">
      <c r="A97" s="148"/>
      <c r="B97" s="135"/>
    </row>
    <row r="98" spans="1:2" s="1" customFormat="1">
      <c r="A98" s="148"/>
      <c r="B98" s="135"/>
    </row>
    <row r="99" spans="1:2" s="1" customFormat="1">
      <c r="A99" s="148"/>
      <c r="B99" s="135"/>
    </row>
    <row r="100" spans="1:2" s="1" customFormat="1">
      <c r="A100" s="148"/>
      <c r="B100" s="135"/>
    </row>
    <row r="101" spans="1:2" s="1" customFormat="1">
      <c r="A101" s="148"/>
      <c r="B101" s="135"/>
    </row>
    <row r="102" spans="1:2" s="1" customFormat="1">
      <c r="A102" s="148"/>
      <c r="B102" s="135"/>
    </row>
    <row r="103" spans="1:2" s="1" customFormat="1">
      <c r="A103" s="148"/>
      <c r="B103" s="135"/>
    </row>
    <row r="104" spans="1:2" s="1" customFormat="1">
      <c r="A104" s="148"/>
      <c r="B104" s="135"/>
    </row>
    <row r="105" spans="1:2" s="1" customFormat="1">
      <c r="A105" s="148"/>
      <c r="B105" s="135"/>
    </row>
    <row r="106" spans="1:2" s="1" customFormat="1">
      <c r="A106" s="148"/>
      <c r="B106" s="135"/>
    </row>
  </sheetData>
  <sheetProtection algorithmName="SHA-512" hashValue="TIv0RcKqzFanYUh7juXG3MkB/9xkvjOdRmZsQUjq6JswzMgndTStIRi4XxoTiseR6r2NhAnhqjBfh/Cylj9TVQ==" saltValue="CnvemvwcvTpsq8dYAPwlXQ==" spinCount="100000" sheet="1" objects="1" scenarios="1"/>
  <conditionalFormatting sqref="E8:J8 J6:J7">
    <cfRule type="colorScale" priority="18">
      <colorScale>
        <cfvo type="min"/>
        <cfvo type="percentile" val="50"/>
        <cfvo type="max"/>
        <color rgb="FF63BE7B"/>
        <color rgb="FFFFEB84"/>
        <color rgb="FFF8696B"/>
      </colorScale>
    </cfRule>
  </conditionalFormatting>
  <conditionalFormatting sqref="E9:J9">
    <cfRule type="colorScale" priority="17">
      <colorScale>
        <cfvo type="min"/>
        <cfvo type="percentile" val="50"/>
        <cfvo type="max"/>
        <color rgb="FF63BE7B"/>
        <color rgb="FFFFEB84"/>
        <color rgb="FFF8696B"/>
      </colorScale>
    </cfRule>
  </conditionalFormatting>
  <conditionalFormatting sqref="F10:J10">
    <cfRule type="colorScale" priority="16">
      <colorScale>
        <cfvo type="min"/>
        <cfvo type="percentile" val="50"/>
        <cfvo type="max"/>
        <color rgb="FF63BE7B"/>
        <color rgb="FFFFEB84"/>
        <color rgb="FFF8696B"/>
      </colorScale>
    </cfRule>
  </conditionalFormatting>
  <conditionalFormatting sqref="J11:J12">
    <cfRule type="colorScale" priority="15">
      <colorScale>
        <cfvo type="min"/>
        <cfvo type="percentile" val="50"/>
        <cfvo type="max"/>
        <color rgb="FF63BE7B"/>
        <color rgb="FFFFEB84"/>
        <color rgb="FFF8696B"/>
      </colorScale>
    </cfRule>
  </conditionalFormatting>
  <conditionalFormatting sqref="E10">
    <cfRule type="colorScale" priority="10">
      <colorScale>
        <cfvo type="min"/>
        <cfvo type="percentile" val="50"/>
        <cfvo type="max"/>
        <color rgb="FF63BE7B"/>
        <color rgb="FFFFEB84"/>
        <color rgb="FFF8696B"/>
      </colorScale>
    </cfRule>
  </conditionalFormatting>
  <conditionalFormatting sqref="E11:I12">
    <cfRule type="colorScale" priority="9">
      <colorScale>
        <cfvo type="min"/>
        <cfvo type="percentile" val="50"/>
        <cfvo type="max"/>
        <color rgb="FF63BE7B"/>
        <color rgb="FFFFEB84"/>
        <color rgb="FFF8696B"/>
      </colorScale>
    </cfRule>
  </conditionalFormatting>
  <conditionalFormatting sqref="M8:Q8">
    <cfRule type="colorScale" priority="4">
      <colorScale>
        <cfvo type="min"/>
        <cfvo type="percentile" val="50"/>
        <cfvo type="max"/>
        <color rgb="FF63BE7B"/>
        <color rgb="FFFFEB84"/>
        <color rgb="FFF8696B"/>
      </colorScale>
    </cfRule>
  </conditionalFormatting>
  <conditionalFormatting sqref="M9:Q9">
    <cfRule type="colorScale" priority="3">
      <colorScale>
        <cfvo type="min"/>
        <cfvo type="percentile" val="50"/>
        <cfvo type="max"/>
        <color rgb="FF63BE7B"/>
        <color rgb="FFFFEB84"/>
        <color rgb="FFF8696B"/>
      </colorScale>
    </cfRule>
  </conditionalFormatting>
  <conditionalFormatting sqref="M10:Q10">
    <cfRule type="colorScale" priority="2">
      <colorScale>
        <cfvo type="min"/>
        <cfvo type="percentile" val="50"/>
        <cfvo type="max"/>
        <color rgb="FF63BE7B"/>
        <color rgb="FFFFEB84"/>
        <color rgb="FFF8696B"/>
      </colorScale>
    </cfRule>
  </conditionalFormatting>
  <conditionalFormatting sqref="M11:Q12">
    <cfRule type="colorScale" priority="1">
      <colorScale>
        <cfvo type="min"/>
        <cfvo type="percentile" val="50"/>
        <cfvo type="max"/>
        <color rgb="FF63BE7B"/>
        <color rgb="FFFFEB84"/>
        <color rgb="FFF8696B"/>
      </colorScale>
    </cfRule>
  </conditionalFormatting>
  <hyperlinks>
    <hyperlink ref="A6" location="Instrucciones_Valencia!A1" display="Instrucciones_Valencia!A1" xr:uid="{3D9BE7E6-896E-4396-9834-E75EBB7CA426}"/>
    <hyperlink ref="A8" location="M_Datos_Valencia!A1" display="M_Datos_Valencia!A1" xr:uid="{B49AA746-E750-4B8D-A7F3-6235FF4E5588}"/>
    <hyperlink ref="A10" location="V_A0!A1" display="2.1. Alternativa 0 (A0)" xr:uid="{11A57D9A-2C73-4EA6-B514-90C8BAFB2A5D}"/>
    <hyperlink ref="A11" location="V_A1!A1" display="2.2. Alternativa 1 (A1)" xr:uid="{D81922C3-478A-4B73-B7C8-168439944FA5}"/>
    <hyperlink ref="A12" location="V_A2!A1" display="2.3. Alternativa 2 (A2)" xr:uid="{DDA75C0E-6019-4C38-A30E-6B42E7A5DC69}"/>
    <hyperlink ref="A13" location="V_A3!A1" display="2.4. Alternativa 3 (A3)" xr:uid="{2FA90E97-204D-43EA-80BE-B431C0C94CCB}"/>
    <hyperlink ref="A14" location="V_A4!A1" display="2.5. Alternativa 4 (A4)" xr:uid="{E12ACC4F-2B5A-4764-992A-E27DD65D3163}"/>
    <hyperlink ref="A15" location="B_Resultados!A1" display="B_Resultados!A1" xr:uid="{C4BC1502-3C5F-4728-A0AE-A67144D27376}"/>
    <hyperlink ref="A16" location="V_Factores!A1" display="V_Factores!A1" xr:uid="{5905EFD7-7B59-4549-BFE9-96DBF497ED07}"/>
    <hyperlink ref="A18" location="B_Alcance!A1" display="B_Alcance!A1" xr:uid="{C4F2790E-5807-4650-AF67-29D2366FD000}"/>
    <hyperlink ref="A19" location="B_Checklist!A1" display="2. Checklist" xr:uid="{41D5B8BA-9D08-4C09-ADF0-B770B1FDC7D6}"/>
    <hyperlink ref="A20" location="B_Resultados!A1" display="B_Resultados!A1" xr:uid="{8771A38C-E429-4F3D-90D8-F5B748456466}"/>
    <hyperlink ref="A21" location="Resultados_generales!A1" display="Resultados_generales!A1" xr:uid="{613960A0-13F8-46BC-9617-58A6BAFEDB9E}"/>
    <hyperlink ref="A22" location="Medidas_Propuestas!A1" display="Medidas_Propuestas!A1" xr:uid="{126CC4DA-F7E6-422C-BDC5-AC7F6048077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5DA2-08EE-4892-885F-D9874271A625}">
  <sheetPr>
    <tabColor theme="5" tint="0.79998168889431442"/>
  </sheetPr>
  <dimension ref="A1:AZ150"/>
  <sheetViews>
    <sheetView zoomScale="60" zoomScaleNormal="60" workbookViewId="0">
      <selection activeCell="F19" sqref="F19"/>
    </sheetView>
  </sheetViews>
  <sheetFormatPr baseColWidth="10" defaultColWidth="11.44140625" defaultRowHeight="14.4"/>
  <cols>
    <col min="1" max="1" width="29.44140625" style="147" customWidth="1"/>
    <col min="2" max="2" width="1.44140625" style="135" customWidth="1"/>
    <col min="4" max="4" width="31.109375" customWidth="1"/>
    <col min="5" max="5" width="23.33203125" customWidth="1"/>
    <col min="6" max="6" width="19.44140625" customWidth="1"/>
    <col min="7" max="7" width="18" customWidth="1"/>
    <col min="8" max="8" width="18.5546875" customWidth="1"/>
    <col min="9" max="9" width="24.44140625" customWidth="1"/>
    <col min="10" max="10" width="19.33203125" customWidth="1"/>
    <col min="11" max="11" width="18.33203125" customWidth="1"/>
    <col min="12" max="12" width="35.33203125" customWidth="1"/>
    <col min="13" max="13" width="29.6640625" customWidth="1"/>
    <col min="14" max="14" width="23.33203125" customWidth="1"/>
    <col min="15" max="15" width="20.44140625" bestFit="1" customWidth="1"/>
    <col min="16" max="16" width="22.109375" customWidth="1"/>
    <col min="17" max="17" width="20.109375" customWidth="1"/>
    <col min="18" max="18" width="20.6640625" customWidth="1"/>
    <col min="19" max="19" width="23.6640625" customWidth="1"/>
    <col min="20" max="20" width="24.33203125" customWidth="1"/>
    <col min="21" max="21" width="18.6640625" customWidth="1"/>
    <col min="22" max="22" width="21.6640625" customWidth="1"/>
    <col min="23" max="23" width="17.33203125" customWidth="1"/>
    <col min="24" max="24" width="21.44140625" customWidth="1"/>
  </cols>
  <sheetData>
    <row r="1" spans="1:52" s="135" customFormat="1" ht="30" customHeight="1">
      <c r="A1" s="1"/>
      <c r="B1" s="137"/>
    </row>
    <row r="2" spans="1:52" s="135" customFormat="1" ht="30" customHeight="1">
      <c r="A2" s="1"/>
      <c r="B2" s="137"/>
      <c r="D2" s="136" t="str">
        <f>IF(Idioma=Castellano,"1. Datos de entrada",IF(Idioma=Valencià,"1.Dades d'entrada","1. Datos de entrada"))</f>
        <v>1. Datos de entrada</v>
      </c>
    </row>
    <row r="3" spans="1:52" s="135" customFormat="1" ht="30" customHeight="1">
      <c r="A3" s="1"/>
      <c r="B3" s="137"/>
    </row>
    <row r="4" spans="1:52" s="115" customFormat="1" ht="15" customHeight="1">
      <c r="A4" s="143"/>
      <c r="B4" s="137"/>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52" s="135" customFormat="1" ht="18">
      <c r="A5" s="143"/>
      <c r="B5" s="137"/>
      <c r="C5" s="142"/>
      <c r="D5" s="141" t="str">
        <f>IF(Idioma=Castellano,"Información Preliminar",IF(Idioma=Valencià,"Informació Preliminar","Información Preliminar"))</f>
        <v>Información Preliminar</v>
      </c>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row>
    <row r="6" spans="1:52" ht="18">
      <c r="A6" s="335" t="str">
        <f>IF(Idioma=Castellano,"Índice",IF(Idioma=Valencià,"Índex","Índice"))</f>
        <v>Índice</v>
      </c>
      <c r="B6" s="137"/>
      <c r="C6" s="1"/>
      <c r="D6" s="30"/>
      <c r="E6" s="1"/>
      <c r="F6" s="1"/>
      <c r="G6" s="1"/>
      <c r="H6" s="1"/>
      <c r="I6" s="1"/>
      <c r="J6" s="1"/>
      <c r="K6" s="1"/>
      <c r="L6" s="278" t="str">
        <f>IF(Idioma=Castellano,"Estrategia de Cambio Climatico/Energética/Sostenibilidad",IF(Idioma=Valencià,"Estratègia de Canvi Climàtic/Energètica/Sostenibilitat","Estrategia de Cambio Climatico/Energética/Sostenibilidad"))</f>
        <v>Estrategia de Cambio Climatico/Energética/Sostenibilidad</v>
      </c>
      <c r="M6" s="278"/>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1:52" ht="18">
      <c r="A7" s="202" t="str">
        <f>IF(Idioma=Castellano,"Instrucciones",IF(Idioma=Valencià,"Instruccions","Instrucciones"))</f>
        <v>Instrucciones</v>
      </c>
      <c r="B7" s="137"/>
      <c r="C7" s="1"/>
      <c r="D7" s="31" t="str">
        <f>IF(Idioma=Castellano,"Nombre del plan",IF(Idioma=Valencià,"Nom del pla","Nombre del plan"))</f>
        <v>Nombre del plan</v>
      </c>
      <c r="E7" s="635"/>
      <c r="F7" s="636"/>
      <c r="G7" s="636"/>
      <c r="H7" s="636"/>
      <c r="I7" s="636"/>
      <c r="J7" s="637"/>
      <c r="K7" s="1"/>
      <c r="L7" s="1"/>
      <c r="M7" s="1" t="str">
        <f>IF(Idioma=Castellano,"Año base",IF(Idioma=Valencià,"Any base","Año base"))</f>
        <v>Año base</v>
      </c>
      <c r="N7" s="1" t="str">
        <f>IF(Idioma=Castellano,"Objetivo",IF(Idioma=Valencià,"Objectiu","Objetivo"))</f>
        <v>Objetivo</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1:52" ht="18">
      <c r="A8" s="203" t="str">
        <f>IF(Idioma=Castellano,"Sección de Mitigación",IF(Idioma=Valencià,"Secció de Mitigació", "Sección de Mitigación"))</f>
        <v>Sección de Mitigación</v>
      </c>
      <c r="B8" s="137"/>
      <c r="C8" s="1"/>
      <c r="D8" t="s">
        <v>10</v>
      </c>
      <c r="E8" s="632"/>
      <c r="F8" s="633"/>
      <c r="G8" s="633"/>
      <c r="H8" s="634"/>
      <c r="I8" s="1"/>
      <c r="J8" s="1"/>
      <c r="K8" s="1"/>
      <c r="L8" s="199" t="s">
        <v>593</v>
      </c>
      <c r="M8" s="212"/>
      <c r="N8" s="213"/>
      <c r="O8" s="1" t="str">
        <f>IF(Idioma=Castellano,"Toneladas de CO2e",IF(Idioma=Valencià,"Tones de CO2e","Toneladas de CO2e"))</f>
        <v>Toneladas de CO2e</v>
      </c>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1:52" ht="18">
      <c r="A9" s="204" t="str">
        <f>IF(Idioma=Castellano,"1. Datos de entrada",IF(Idioma=Valencià,"1.Dades d'entrada","1. Datos de entrada"))</f>
        <v>1. Datos de entrada</v>
      </c>
      <c r="B9" s="137"/>
      <c r="C9" s="1"/>
      <c r="D9" s="31" t="str">
        <f>IF(Idioma=Castellano,"Municipio",IF(Idioma=Valencià,"Municipi","Municipio"))</f>
        <v>Municipio</v>
      </c>
      <c r="E9" s="632"/>
      <c r="F9" s="633"/>
      <c r="G9" s="633"/>
      <c r="H9" s="634"/>
      <c r="I9" s="32"/>
      <c r="J9" s="1"/>
      <c r="K9" s="1"/>
      <c r="L9" s="199" t="s">
        <v>594</v>
      </c>
      <c r="M9" s="214"/>
      <c r="N9" s="215"/>
      <c r="O9" s="1" t="str">
        <f>IF(Idioma=Castellano,"Toneladas de CO2e",IF(Idioma=Valencià,"Tones de CO2e","Toneladas de CO2e"))</f>
        <v>Toneladas de CO2e</v>
      </c>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1:52" ht="15" customHeight="1">
      <c r="A10" s="204" t="str">
        <f>IF(Idioma=Castellano,"2. Cálculo de Alternativas:",IF(Idioma=Valencià,"2. Càlcul d'alternatives :","2. Cálculo de Alternativas:"))</f>
        <v>2. Cálculo de Alternativas:</v>
      </c>
      <c r="B10" s="137"/>
      <c r="C10" s="1"/>
      <c r="D10" s="31"/>
      <c r="E10" s="194"/>
      <c r="F10" s="1"/>
      <c r="G10" s="194"/>
      <c r="H10" s="194"/>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1:52" ht="18">
      <c r="A11" s="205" t="s">
        <v>1</v>
      </c>
      <c r="B11" s="137"/>
      <c r="C11" s="1"/>
      <c r="D11" s="86" t="str">
        <f>IF(Idioma=Castellano,"Altitud media del área de estudio",IF(Idioma=Valencià,"Altitud mitjana de l'àrea d'estudi","Altitud media del área de estudio"))</f>
        <v>Altitud media del área de estudio</v>
      </c>
      <c r="E11" s="207" t="e">
        <f>VLOOKUP(E9,M_Lista!B2:D544,2,FALSE)</f>
        <v>#N/A</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1:52" ht="18">
      <c r="A12" s="205" t="s">
        <v>2</v>
      </c>
      <c r="B12" s="137"/>
      <c r="C12" s="1"/>
      <c r="D12" s="1" t="str">
        <f>IF(Idioma=Castellano,"Zona Climática",IF(Idioma=Valencià,"Zona Climàtica","Zona Climática"))</f>
        <v>Zona Climática</v>
      </c>
      <c r="E12" s="208" t="e">
        <f>VLOOKUP(E9,M_Lista!B2:D544,3,FALSE)</f>
        <v>#N/A</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1:52" ht="18">
      <c r="A13" s="205" t="s">
        <v>3</v>
      </c>
      <c r="B13" s="137"/>
      <c r="C13" s="1"/>
      <c r="D13" s="1"/>
      <c r="E13" s="1"/>
      <c r="F13" s="1"/>
      <c r="G13" s="1"/>
      <c r="H13" s="1"/>
      <c r="I13" s="1"/>
      <c r="J13" s="1"/>
      <c r="K13" s="1"/>
      <c r="L13" s="1"/>
      <c r="M13" s="1"/>
      <c r="N13" s="195"/>
      <c r="O13" s="195"/>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1:52" ht="18">
      <c r="A14" s="205" t="s">
        <v>4</v>
      </c>
      <c r="B14" s="137"/>
      <c r="C14" s="1"/>
      <c r="D14" s="1"/>
      <c r="E14" s="1" t="str">
        <f>IF(Idioma=Castellano,"Municipio total",IF(Idioma=Valencià,"Municipi total","Municipio total"))</f>
        <v>Municipio total</v>
      </c>
      <c r="F14" s="1" t="s">
        <v>595</v>
      </c>
      <c r="G14" s="1" t="s">
        <v>31</v>
      </c>
      <c r="H14" s="1" t="s">
        <v>36</v>
      </c>
      <c r="I14" s="1" t="s">
        <v>39</v>
      </c>
      <c r="J14" s="1" t="s">
        <v>42</v>
      </c>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1:52" ht="18">
      <c r="A15" s="205" t="s">
        <v>5</v>
      </c>
      <c r="B15" s="137"/>
      <c r="C15" s="1"/>
      <c r="D15" s="33" t="str">
        <f>IF(Idioma=Castellano,"Población total",IF(Idioma=Valencià,"Població total","Población total"))</f>
        <v>Población total</v>
      </c>
      <c r="E15" s="209"/>
      <c r="F15" s="210"/>
      <c r="G15" s="210"/>
      <c r="H15" s="210"/>
      <c r="I15" s="210"/>
      <c r="J15" s="21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1:52" ht="18">
      <c r="A16" s="204" t="str">
        <f>IF(Idioma=Castellano,"3. Resultados",IF(Idioma=Valencià,"3. Resultats","3. Resultados"))</f>
        <v>3. Resultados</v>
      </c>
      <c r="B16" s="137"/>
      <c r="C16" s="1"/>
      <c r="D16" s="33"/>
      <c r="E16" s="191"/>
      <c r="F16" s="192"/>
      <c r="G16" s="192"/>
      <c r="H16" s="192"/>
      <c r="I16" s="192"/>
      <c r="J16" s="192"/>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1:52" ht="18">
      <c r="A17" s="204" t="str">
        <f>IF(Idioma=Castellano,"4. Factores de emisión",IF(Idioma=Valencià,"4. Factors d'emissió","4. Factores de emisión"))</f>
        <v>4. Factores de emisión</v>
      </c>
      <c r="B17" s="137"/>
      <c r="C17" s="1"/>
      <c r="D17" s="33"/>
      <c r="E17" s="193" t="str">
        <f>IF(Idioma=Castellano,"¿Se dispone de información pormenorizada en el área de estudio?",IF(Idioma=Valencià,"Es disposa d'informació detallada en l'àrea d'estudi?","¿Se dispone de información pormenorizada en el área de estudio?"))</f>
        <v>¿Se dispone de información pormenorizada en el área de estudio?</v>
      </c>
      <c r="F17" s="192"/>
      <c r="G17" s="192"/>
      <c r="H17" s="192"/>
      <c r="I17" s="192"/>
      <c r="J17" s="310" t="s">
        <v>27</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1:52" ht="18">
      <c r="A18" s="203" t="str">
        <f>IF(Idioma=Castellano,"Sección de Adaptación",IF(Idioma=Valencià,"Secció d'Adaptació","Sección de Adaptación"))</f>
        <v>Sección de Adaptación</v>
      </c>
      <c r="B18" s="137"/>
      <c r="C18" s="1"/>
      <c r="D18" s="33"/>
      <c r="E18" s="191"/>
      <c r="F18" s="191"/>
      <c r="G18" s="192"/>
      <c r="H18" s="192"/>
      <c r="I18" s="192"/>
      <c r="J18" s="192"/>
      <c r="K18" s="192"/>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1:52" ht="18">
      <c r="A19" s="204" t="str">
        <f>IF(Idioma=Castellano,"1. Alcance",IF(Idioma=Valencià,"1. Abast","1. Alcance"))</f>
        <v>1. Alcance</v>
      </c>
      <c r="B19" s="137"/>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1:52" s="137" customFormat="1" ht="18">
      <c r="A20" s="204" t="s">
        <v>6</v>
      </c>
      <c r="C20" s="140"/>
      <c r="D20" s="141" t="s">
        <v>596</v>
      </c>
      <c r="E20" s="140"/>
      <c r="F20" s="140"/>
      <c r="G20" s="140"/>
      <c r="H20" s="140"/>
      <c r="I20" s="140"/>
      <c r="J20" s="140"/>
      <c r="K20" s="140"/>
      <c r="L20" s="140"/>
      <c r="M20" s="140"/>
      <c r="N20" s="140"/>
      <c r="O20" s="140"/>
      <c r="P20" s="140"/>
      <c r="Q20" s="140"/>
      <c r="R20" s="140"/>
      <c r="S20" s="140"/>
      <c r="T20" s="140"/>
      <c r="U20" s="140"/>
      <c r="V20" s="140"/>
    </row>
    <row r="21" spans="1:52" ht="18">
      <c r="A21" s="204" t="str">
        <f>IF(Idioma=Castellano,"3. Resultados",IF(Idioma=Valencià,"3. Resultats","3. Resultados"))</f>
        <v>3. Resultados</v>
      </c>
      <c r="B21" s="137"/>
      <c r="C21" s="3"/>
      <c r="D21" s="8"/>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row>
    <row r="22" spans="1:52" ht="18">
      <c r="A22" s="203" t="str">
        <f>IF(Idioma=Castellano,"Resultados generales",IF(Idioma=Valencià,"Resultats generals","Resultados generales"))</f>
        <v>Resultados generales</v>
      </c>
      <c r="B22" s="137"/>
      <c r="C22" s="1"/>
      <c r="E22" s="638" t="s">
        <v>597</v>
      </c>
      <c r="F22" s="638"/>
      <c r="G22" s="638"/>
      <c r="H22" s="638"/>
      <c r="I22" s="638"/>
      <c r="J22" s="1"/>
      <c r="K22" s="1"/>
      <c r="L22" s="219" t="str">
        <f>IF(Idioma=Castellano,"USO DEL SUELO",IF(Idioma=Valencià,"ÚS DEL SÒL","USO DEL SUELO"))</f>
        <v>USO DEL SUELO</v>
      </c>
      <c r="M22" s="219"/>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1:52" ht="28.2">
      <c r="A23" s="203" t="str">
        <f>IF(Idioma=Castellano,"Medidas Propuestas",IF(Idioma=Valencià,"Mesures Proposades","Medidas Propuestas"))</f>
        <v>Medidas Propuestas</v>
      </c>
      <c r="B23" s="137"/>
      <c r="C23" s="2"/>
      <c r="D23" s="200"/>
      <c r="E23" s="216" t="str">
        <f>IF(Idioma=Castellano,"Tipología de vivienda",IF(Idioma=Valencià,"Tipologia d'habitatge","Tipología de vivienda"))</f>
        <v>Tipología de vivienda</v>
      </c>
      <c r="F23" s="216" t="str">
        <f>IF(Idioma=Castellano,"Existente/Nuevo desarrollo",IF(Idioma=Valencià,"Existent/Nou desenvolupament","Existente/Nuevo desarrollo"))</f>
        <v>Existente/Nuevo desarrollo</v>
      </c>
      <c r="G23" s="216" t="str">
        <f>IF(Idioma=Castellano,"Superficie de techo (m2)",IF(Idioma=Valencià,"Superfície de sostre (m²)","Superficie de techo (m2)"))</f>
        <v>Superficie de techo (m2)</v>
      </c>
      <c r="H23" s="216" t="str">
        <f>IF(Idioma=Castellano,"Nº viviendas",IF(Idioma=Valencià,"Núm. habitatges","Nº viviendas"))</f>
        <v>Nº viviendas</v>
      </c>
      <c r="I23" s="216" t="str">
        <f>IF(Idioma=Castellano,"Categoría energética",IF(Idioma=Valencià,"Categoria energètica","Categoría energética"))</f>
        <v>Categoría energética</v>
      </c>
      <c r="J23" s="2"/>
      <c r="K23" s="1"/>
      <c r="L23" s="34" t="str">
        <f>IF(Idioma=Castellano,"Superficie por uso del suelo (m2)",IF(Idioma=Valencià,"Superficie por uso del suelo (m2)","Superficie por uso del suelo (m2)"))</f>
        <v>Superficie por uso del suelo (m2)</v>
      </c>
      <c r="M23" s="34"/>
      <c r="N23" s="1"/>
      <c r="O23" s="1"/>
      <c r="P23" s="1"/>
      <c r="Q23" s="1"/>
      <c r="R23" s="1"/>
      <c r="S23" s="1"/>
      <c r="T23" s="1"/>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row>
    <row r="24" spans="1:52" ht="18">
      <c r="B24" s="137"/>
      <c r="C24" s="1"/>
      <c r="D24" s="642" t="s">
        <v>23</v>
      </c>
      <c r="E24" s="639" t="str">
        <f>IF(Idioma=Castellano,"Vivienda Unifamiliar",IF(Idioma=Valencià,"Habitatge Unifamiliar","Vivienda Unifamiliar"))</f>
        <v>Vivienda Unifamiliar</v>
      </c>
      <c r="F24" s="358"/>
      <c r="G24" s="217"/>
      <c r="H24" s="217"/>
      <c r="I24" s="218"/>
      <c r="J24" s="1"/>
      <c r="K24" s="1"/>
      <c r="L24" s="1"/>
      <c r="M24" s="362"/>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1:52" ht="18">
      <c r="B25" s="137"/>
      <c r="C25" s="1"/>
      <c r="D25" s="642"/>
      <c r="E25" s="639"/>
      <c r="F25" s="358"/>
      <c r="G25" s="217"/>
      <c r="H25" s="217"/>
      <c r="I25" s="218"/>
      <c r="J25" s="1"/>
      <c r="K25" s="1"/>
      <c r="L25" s="1"/>
      <c r="M25" s="223" t="s">
        <v>23</v>
      </c>
      <c r="N25" s="224" t="s">
        <v>31</v>
      </c>
      <c r="O25" s="225" t="s">
        <v>36</v>
      </c>
      <c r="P25" s="226" t="s">
        <v>39</v>
      </c>
      <c r="Q25" s="228" t="s">
        <v>42</v>
      </c>
      <c r="R25" s="231" t="s">
        <v>598</v>
      </c>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1:52" ht="18">
      <c r="B26" s="137"/>
      <c r="C26" s="1"/>
      <c r="D26" s="642"/>
      <c r="E26" s="639"/>
      <c r="F26" s="358"/>
      <c r="G26" s="217"/>
      <c r="H26" s="217"/>
      <c r="I26" s="218"/>
      <c r="J26" s="1"/>
      <c r="K26" s="1"/>
      <c r="L26" s="220" t="str">
        <f>IF(Idioma=Castellano,"Uso residencial",IF(Idioma=Valencià,"Ús residencial ","Uso residencial"))</f>
        <v>Uso residencial</v>
      </c>
      <c r="M26" s="574">
        <f>SUM(G24:G29)</f>
        <v>0</v>
      </c>
      <c r="N26" s="574">
        <f>SUM(G30:G35)</f>
        <v>0</v>
      </c>
      <c r="O26" s="574">
        <f>SUM(G36:G41)</f>
        <v>0</v>
      </c>
      <c r="P26" s="574">
        <f>SUM(G42:G47)</f>
        <v>0</v>
      </c>
      <c r="Q26" s="575">
        <f>SUM(G48:G53)</f>
        <v>0</v>
      </c>
      <c r="R26" s="231" t="s">
        <v>599</v>
      </c>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1:52" ht="18">
      <c r="A27" s="145"/>
      <c r="B27" s="137"/>
      <c r="C27" s="1"/>
      <c r="D27" s="642"/>
      <c r="E27" s="639" t="str">
        <f>IF(Idioma=Castellano,"Vivienda Plurifamiliar",IF(Idioma=Valencià,"Habitatge Plurifamiliar","Vivienda Plurifamiliar"))</f>
        <v>Vivienda Plurifamiliar</v>
      </c>
      <c r="F27" s="358"/>
      <c r="G27" s="217"/>
      <c r="H27" s="217"/>
      <c r="I27" s="218"/>
      <c r="J27" s="1"/>
      <c r="K27" s="1"/>
      <c r="L27" s="220" t="str">
        <f>IF(Idioma=Castellano,"Uso terciario",IF(Idioma=Valencià,"Ús terciari ","Uso terciario"))</f>
        <v>Uso terciario</v>
      </c>
      <c r="M27" s="576">
        <f>SUM(N56:N70)</f>
        <v>0</v>
      </c>
      <c r="N27" s="576">
        <f>SUM(P56:P70)</f>
        <v>0</v>
      </c>
      <c r="O27" s="576">
        <f>SUM(R56:R70)</f>
        <v>0</v>
      </c>
      <c r="P27" s="576">
        <f>SUM(T56:T70)</f>
        <v>0</v>
      </c>
      <c r="Q27" s="576">
        <f>SUM(V56:V70)</f>
        <v>0</v>
      </c>
      <c r="R27" s="231" t="s">
        <v>599</v>
      </c>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1:52" ht="18">
      <c r="A28" s="145"/>
      <c r="B28" s="137"/>
      <c r="C28" s="1"/>
      <c r="D28" s="642"/>
      <c r="E28" s="639"/>
      <c r="F28" s="358"/>
      <c r="G28" s="217"/>
      <c r="H28" s="217"/>
      <c r="I28" s="218"/>
      <c r="J28" s="1"/>
      <c r="K28" s="1"/>
      <c r="L28" s="220" t="str">
        <f>IF(Idioma=Castellano,"Uso industrial",IF(Idioma=Valencià,"Ús industrial ","Uso industrial"))</f>
        <v>Uso industrial</v>
      </c>
      <c r="M28" s="576">
        <f>SUM(N78:N92)</f>
        <v>0</v>
      </c>
      <c r="N28" s="576">
        <f>SUM(O78:O92)</f>
        <v>0</v>
      </c>
      <c r="O28" s="576">
        <f>SUM(P78:P92)</f>
        <v>0</v>
      </c>
      <c r="P28" s="576">
        <f>SUM(Q78:Q92)</f>
        <v>0</v>
      </c>
      <c r="Q28" s="576">
        <f>SUM(R78:R92)</f>
        <v>0</v>
      </c>
      <c r="R28" s="231" t="s">
        <v>599</v>
      </c>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1:52" ht="18">
      <c r="A29" s="145"/>
      <c r="B29" s="137"/>
      <c r="C29" s="1"/>
      <c r="D29" s="642"/>
      <c r="E29" s="639"/>
      <c r="F29" s="358"/>
      <c r="G29" s="217"/>
      <c r="H29" s="217"/>
      <c r="I29" s="218"/>
      <c r="J29" s="1"/>
      <c r="K29" s="1"/>
      <c r="L29" s="220" t="str">
        <f>IF(Idioma=Castellano,"Equipamientos",IF(Idioma=Valencià,"Equipaments ","Equipamientos"))</f>
        <v>Equipamientos</v>
      </c>
      <c r="M29" s="576">
        <f>SUM(N38:N49)</f>
        <v>0</v>
      </c>
      <c r="N29" s="576">
        <f>SUM(P38:P49)</f>
        <v>0</v>
      </c>
      <c r="O29" s="576">
        <f>SUM(R38:R49)</f>
        <v>0</v>
      </c>
      <c r="P29" s="576">
        <f>SUM(T38:T49)</f>
        <v>0</v>
      </c>
      <c r="Q29" s="577">
        <f>SUM(V38:V49)</f>
        <v>0</v>
      </c>
      <c r="R29" s="231" t="s">
        <v>599</v>
      </c>
      <c r="S29" s="1"/>
      <c r="T29" s="35"/>
      <c r="U29" s="1"/>
      <c r="V29" s="35"/>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1:52" ht="18">
      <c r="A30" s="145"/>
      <c r="B30" s="137"/>
      <c r="C30" s="1"/>
      <c r="D30" s="643" t="s">
        <v>31</v>
      </c>
      <c r="E30" s="641" t="str">
        <f>IF(Idioma=Castellano,"Vivienda Unifamiliar",IF(Idioma=Valencià,"Habitatge Unifamiliar","Vivienda Unifamiliar"))</f>
        <v>Vivienda Unifamiliar</v>
      </c>
      <c r="F30" s="358"/>
      <c r="G30" s="217"/>
      <c r="H30" s="217"/>
      <c r="I30" s="218"/>
      <c r="J30" s="1"/>
      <c r="K30" s="1"/>
      <c r="L30" s="220" t="str">
        <f>IF(Idioma=Castellano,"Zonas verdes/Espacios Libres",IF(Idioma=Valencià,"Zones verdes/Espais Lliures ","Zonas verdes/Espacios Libres"))</f>
        <v>Zonas verdes/Espacios Libres</v>
      </c>
      <c r="M30" s="221"/>
      <c r="N30" s="221"/>
      <c r="O30" s="221"/>
      <c r="P30" s="221"/>
      <c r="Q30" s="229"/>
      <c r="R30" s="231" t="s">
        <v>599</v>
      </c>
      <c r="S30" s="1"/>
      <c r="T30" s="35"/>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1:52" ht="18">
      <c r="A31" s="145"/>
      <c r="B31" s="137"/>
      <c r="C31" s="1"/>
      <c r="D31" s="643"/>
      <c r="E31" s="641"/>
      <c r="F31" s="358"/>
      <c r="G31" s="217"/>
      <c r="H31" s="217"/>
      <c r="I31" s="218"/>
      <c r="J31" s="1"/>
      <c r="K31" s="1"/>
      <c r="L31" s="220" t="str">
        <f>IF(Idioma=Castellano,"Franja costera",IF(Idioma=Valencià,"Franja costanera ","Franja costera"))</f>
        <v>Franja costera</v>
      </c>
      <c r="M31" s="221"/>
      <c r="N31" s="221"/>
      <c r="O31" s="221"/>
      <c r="P31" s="221"/>
      <c r="Q31" s="229"/>
      <c r="R31" s="231" t="s">
        <v>600</v>
      </c>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1:52" ht="18">
      <c r="A32" s="145"/>
      <c r="B32" s="137"/>
      <c r="C32" s="1"/>
      <c r="D32" s="643"/>
      <c r="E32" s="641"/>
      <c r="F32" s="358"/>
      <c r="G32" s="217"/>
      <c r="H32" s="217"/>
      <c r="I32" s="218"/>
      <c r="J32" s="1"/>
      <c r="K32" s="1"/>
      <c r="L32" s="222" t="str">
        <f>IF(Idioma=Castellano,"Actividades económicas",IF(Idioma=Valencià,"Activitats econòmiques ","Actividades económicas"))</f>
        <v>Actividades económicas</v>
      </c>
      <c r="M32" s="574">
        <f>M27+M28</f>
        <v>0</v>
      </c>
      <c r="N32" s="574">
        <f>N27+N28</f>
        <v>0</v>
      </c>
      <c r="O32" s="574">
        <f>O27+O28</f>
        <v>0</v>
      </c>
      <c r="P32" s="574">
        <f>P27+P28</f>
        <v>0</v>
      </c>
      <c r="Q32" s="575">
        <f>Q27+Q28</f>
        <v>0</v>
      </c>
      <c r="R32" s="231" t="s">
        <v>599</v>
      </c>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1:52" ht="18">
      <c r="A33" s="145"/>
      <c r="B33" s="137"/>
      <c r="C33" s="1"/>
      <c r="D33" s="643"/>
      <c r="E33" s="641" t="str">
        <f>IF(Idioma=Castellano,"Vivienda Plurifamiliar",IF(Idioma=Valencià,"Habitatge Plurifamiliar","Vivienda Plurifamiliar"))</f>
        <v>Vivienda Plurifamiliar</v>
      </c>
      <c r="F33" s="358"/>
      <c r="G33" s="217"/>
      <c r="H33" s="217"/>
      <c r="I33" s="218"/>
      <c r="J33" s="1"/>
      <c r="K33" s="1"/>
      <c r="L33" s="230" t="s">
        <v>602</v>
      </c>
      <c r="M33" s="578">
        <f>SUM(M26:M30)</f>
        <v>0</v>
      </c>
      <c r="N33" s="578">
        <f>SUM(N26:N30)</f>
        <v>0</v>
      </c>
      <c r="O33" s="578">
        <f>SUM(O26:O30)</f>
        <v>0</v>
      </c>
      <c r="P33" s="578">
        <f>SUM(P26:P30)</f>
        <v>0</v>
      </c>
      <c r="Q33" s="579">
        <f>SUM(Q26:Q30)</f>
        <v>0</v>
      </c>
      <c r="R33" s="231" t="s">
        <v>599</v>
      </c>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1:52" ht="18">
      <c r="A34" s="145"/>
      <c r="B34" s="137"/>
      <c r="C34" s="1"/>
      <c r="D34" s="643"/>
      <c r="E34" s="641"/>
      <c r="F34" s="358"/>
      <c r="G34" s="217"/>
      <c r="H34" s="217"/>
      <c r="I34" s="218"/>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1:52" ht="18">
      <c r="A35" s="145"/>
      <c r="B35" s="137"/>
      <c r="C35" s="1"/>
      <c r="D35" s="643"/>
      <c r="E35" s="641"/>
      <c r="F35" s="358"/>
      <c r="G35" s="217"/>
      <c r="H35" s="217"/>
      <c r="I35" s="218"/>
      <c r="J35" s="1"/>
      <c r="K35" s="1"/>
      <c r="L35" s="39" t="str">
        <f>IF(Idioma=Castellano,"Equipamientos",IF(Idioma=Valencià,"Equipaments ","Equipamientos"))</f>
        <v>Equipamientos</v>
      </c>
      <c r="M35" s="39"/>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1:52" ht="18">
      <c r="A36" s="145"/>
      <c r="B36" s="137"/>
      <c r="C36" s="1"/>
      <c r="D36" s="644" t="s">
        <v>36</v>
      </c>
      <c r="E36" s="641" t="str">
        <f>IF(Idioma=Castellano,"Vivienda Unifamiliar",IF(Idioma=Valencià,"Habitatge Unifamiliar","Vivienda Unifamiliar"))</f>
        <v>Vivienda Unifamiliar</v>
      </c>
      <c r="F36" s="358"/>
      <c r="G36" s="217"/>
      <c r="H36" s="217"/>
      <c r="I36" s="218"/>
      <c r="J36" s="1"/>
      <c r="K36" s="1"/>
      <c r="L36" s="1"/>
      <c r="M36" s="1"/>
      <c r="N36" s="343" t="s">
        <v>603</v>
      </c>
      <c r="O36" s="344"/>
      <c r="P36" s="345" t="s">
        <v>31</v>
      </c>
      <c r="Q36" s="345"/>
      <c r="R36" s="346" t="s">
        <v>36</v>
      </c>
      <c r="S36" s="346"/>
      <c r="T36" s="347" t="s">
        <v>39</v>
      </c>
      <c r="U36" s="347"/>
      <c r="V36" s="348" t="s">
        <v>42</v>
      </c>
      <c r="W36" s="348"/>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1:52" ht="18">
      <c r="A37" s="145"/>
      <c r="B37" s="137"/>
      <c r="C37" s="1"/>
      <c r="D37" s="644"/>
      <c r="E37" s="641"/>
      <c r="F37" s="358"/>
      <c r="G37" s="217"/>
      <c r="H37" s="217"/>
      <c r="I37" s="218"/>
      <c r="J37" s="1"/>
      <c r="K37" s="1"/>
      <c r="L37" s="1"/>
      <c r="M37" s="216" t="str">
        <f>IF(Idioma=Castellano,"Existente/Nuevo desarrollo",IF(Idioma=Valencià,"Existent/Nou desenvolupament","Existente/Nuevo desarrollo"))</f>
        <v>Existente/Nuevo desarrollo</v>
      </c>
      <c r="N37" s="216" t="s">
        <v>604</v>
      </c>
      <c r="O37" s="216" t="str">
        <f>IF(Idioma=Castellano,"Categoría energética",IF(Idioma=Valencià,"Categoria energètica","Categoría energética"))</f>
        <v>Categoría energética</v>
      </c>
      <c r="P37" s="216" t="s">
        <v>604</v>
      </c>
      <c r="Q37" s="216" t="str">
        <f>IF(Idioma=Castellano,"Categoría energética",IF(Idioma=Valencià,"Categoria energètica","Categoría energética"))</f>
        <v>Categoría energética</v>
      </c>
      <c r="R37" s="216" t="s">
        <v>604</v>
      </c>
      <c r="S37" s="216" t="str">
        <f>IF(Idioma=Castellano,"Categoría energética",IF(Idioma=Valencià,"Categoria energètica","Categoría energética"))</f>
        <v>Categoría energética</v>
      </c>
      <c r="T37" s="216" t="s">
        <v>604</v>
      </c>
      <c r="U37" s="216" t="str">
        <f>IF(Idioma=Castellano,"Categoría energética",IF(Idioma=Valencià,"Categoria energètica","Categoría energética"))</f>
        <v>Categoría energética</v>
      </c>
      <c r="V37" s="216" t="s">
        <v>604</v>
      </c>
      <c r="W37" s="216" t="str">
        <f>IF(Idioma=Castellano,"Categoría energética",IF(Idioma=Valencià,"Categoria energètica","Categoría energética"))</f>
        <v>Categoría energética</v>
      </c>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1:52" ht="18">
      <c r="A38" s="145"/>
      <c r="B38" s="137"/>
      <c r="C38" s="1"/>
      <c r="D38" s="644"/>
      <c r="E38" s="641"/>
      <c r="F38" s="358"/>
      <c r="G38" s="217"/>
      <c r="H38" s="217"/>
      <c r="I38" s="218"/>
      <c r="J38" s="1"/>
      <c r="K38" s="1"/>
      <c r="L38" s="622" t="str">
        <f>IF(Idioma=Castellano,"Equipamientos - Sin especificar",IF(Idioma=Valencià,"Equipaments - Sense especificar ","Equipamientos - Sin especificar"))</f>
        <v>Equipamientos - Sin especificar</v>
      </c>
      <c r="M38" s="361"/>
      <c r="N38" s="221"/>
      <c r="O38" s="218"/>
      <c r="P38" s="221"/>
      <c r="Q38" s="218"/>
      <c r="R38" s="221"/>
      <c r="S38" s="218"/>
      <c r="T38" s="221"/>
      <c r="U38" s="218"/>
      <c r="V38" s="221"/>
      <c r="W38" s="218"/>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1:52" ht="18">
      <c r="A39" s="145"/>
      <c r="B39" s="137"/>
      <c r="C39" s="1"/>
      <c r="D39" s="644"/>
      <c r="E39" s="641" t="str">
        <f>IF(Idioma=Castellano,"Vivienda Plurifamiliar",IF(Idioma=Valencià,"Habitatge Plurifamiliar","Vivienda Plurifamiliar"))</f>
        <v>Vivienda Plurifamiliar</v>
      </c>
      <c r="F39" s="358"/>
      <c r="G39" s="217"/>
      <c r="H39" s="217"/>
      <c r="I39" s="218"/>
      <c r="J39" s="1"/>
      <c r="K39" s="1"/>
      <c r="L39" s="622"/>
      <c r="M39" s="361"/>
      <c r="N39" s="221"/>
      <c r="O39" s="218"/>
      <c r="P39" s="221"/>
      <c r="Q39" s="218"/>
      <c r="R39" s="221"/>
      <c r="S39" s="218"/>
      <c r="T39" s="221"/>
      <c r="U39" s="218"/>
      <c r="V39" s="221"/>
      <c r="W39" s="218"/>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1:52" ht="18">
      <c r="A40" s="145"/>
      <c r="B40" s="137"/>
      <c r="C40" s="1"/>
      <c r="D40" s="644"/>
      <c r="E40" s="641"/>
      <c r="F40" s="358"/>
      <c r="G40" s="217"/>
      <c r="H40" s="217"/>
      <c r="I40" s="218"/>
      <c r="J40" s="1"/>
      <c r="K40" s="1"/>
      <c r="L40" s="622"/>
      <c r="M40" s="361"/>
      <c r="N40" s="221"/>
      <c r="O40" s="218"/>
      <c r="P40" s="221"/>
      <c r="Q40" s="218"/>
      <c r="R40" s="221"/>
      <c r="S40" s="218"/>
      <c r="T40" s="221"/>
      <c r="U40" s="218"/>
      <c r="V40" s="221"/>
      <c r="W40" s="218"/>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1:52" ht="18">
      <c r="A41" s="145"/>
      <c r="B41" s="137"/>
      <c r="C41" s="1"/>
      <c r="D41" s="644"/>
      <c r="E41" s="641"/>
      <c r="F41" s="358"/>
      <c r="G41" s="217"/>
      <c r="H41" s="217"/>
      <c r="I41" s="218"/>
      <c r="J41" s="1"/>
      <c r="K41" s="1"/>
      <c r="L41" s="622" t="str">
        <f>IF(Idioma=Castellano,"Sanitario",IF(Idioma=Valencià,"Sanitari ","Sanitario"))</f>
        <v>Sanitario</v>
      </c>
      <c r="M41" s="361"/>
      <c r="N41" s="221"/>
      <c r="O41" s="361"/>
      <c r="P41" s="221"/>
      <c r="Q41" s="361"/>
      <c r="R41" s="221"/>
      <c r="S41" s="361"/>
      <c r="T41" s="221"/>
      <c r="U41" s="361"/>
      <c r="V41" s="221"/>
      <c r="W41" s="36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ht="18">
      <c r="A42" s="145"/>
      <c r="B42" s="137"/>
      <c r="C42" s="1"/>
      <c r="D42" s="645" t="s">
        <v>39</v>
      </c>
      <c r="E42" s="641" t="str">
        <f>IF(Idioma=Castellano,"Vivienda Unifamiliar",IF(Idioma=Valencià,"Habitatge Unifamiliar","Vivienda Unifamiliar"))</f>
        <v>Vivienda Unifamiliar</v>
      </c>
      <c r="F42" s="358"/>
      <c r="G42" s="217"/>
      <c r="H42" s="217"/>
      <c r="I42" s="218"/>
      <c r="J42" s="1"/>
      <c r="K42" s="1"/>
      <c r="L42" s="622"/>
      <c r="M42" s="361"/>
      <c r="N42" s="221"/>
      <c r="O42" s="361"/>
      <c r="P42" s="221"/>
      <c r="Q42" s="361"/>
      <c r="R42" s="221"/>
      <c r="S42" s="361"/>
      <c r="T42" s="221"/>
      <c r="U42" s="361"/>
      <c r="V42" s="221"/>
      <c r="W42" s="36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ht="18">
      <c r="A43" s="145"/>
      <c r="B43" s="137"/>
      <c r="C43" s="1"/>
      <c r="D43" s="645"/>
      <c r="E43" s="641"/>
      <c r="F43" s="358"/>
      <c r="G43" s="217"/>
      <c r="H43" s="217"/>
      <c r="I43" s="218"/>
      <c r="J43" s="1"/>
      <c r="K43" s="1"/>
      <c r="L43" s="622"/>
      <c r="M43" s="361"/>
      <c r="N43" s="221"/>
      <c r="O43" s="361"/>
      <c r="P43" s="221"/>
      <c r="Q43" s="361"/>
      <c r="R43" s="221"/>
      <c r="S43" s="361"/>
      <c r="T43" s="221"/>
      <c r="U43" s="361"/>
      <c r="V43" s="221"/>
      <c r="W43" s="36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ht="18">
      <c r="A44" s="145"/>
      <c r="B44" s="137"/>
      <c r="C44" s="1"/>
      <c r="D44" s="645"/>
      <c r="E44" s="641"/>
      <c r="F44" s="358"/>
      <c r="G44" s="217"/>
      <c r="H44" s="217"/>
      <c r="I44" s="218"/>
      <c r="J44" s="1"/>
      <c r="K44" s="1"/>
      <c r="L44" s="622" t="str">
        <f>IF(Idioma=Castellano,"Educativo",IF(Idioma=Valencià,"Educatiu","Educativo"))</f>
        <v>Educativo</v>
      </c>
      <c r="M44" s="361"/>
      <c r="N44" s="221"/>
      <c r="O44" s="361"/>
      <c r="P44" s="221"/>
      <c r="Q44" s="361"/>
      <c r="R44" s="221"/>
      <c r="S44" s="361"/>
      <c r="T44" s="221"/>
      <c r="U44" s="361"/>
      <c r="V44" s="221"/>
      <c r="W44" s="36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ht="18">
      <c r="A45" s="145"/>
      <c r="B45" s="137"/>
      <c r="C45" s="1"/>
      <c r="D45" s="645"/>
      <c r="E45" s="641" t="str">
        <f>IF(Idioma=Castellano,"Vivienda Plurifamiliar",IF(Idioma=Valencià,"Habitatge Plurifamiliar","Vivienda Plurifamiliar"))</f>
        <v>Vivienda Plurifamiliar</v>
      </c>
      <c r="F45" s="358"/>
      <c r="G45" s="217"/>
      <c r="H45" s="217"/>
      <c r="I45" s="218"/>
      <c r="J45" s="1"/>
      <c r="K45" s="1"/>
      <c r="L45" s="622"/>
      <c r="M45" s="361"/>
      <c r="N45" s="221"/>
      <c r="O45" s="361"/>
      <c r="P45" s="221"/>
      <c r="Q45" s="361"/>
      <c r="R45" s="221"/>
      <c r="S45" s="361"/>
      <c r="T45" s="221"/>
      <c r="U45" s="361"/>
      <c r="V45" s="221"/>
      <c r="W45" s="36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ht="18">
      <c r="A46" s="145"/>
      <c r="B46" s="137"/>
      <c r="C46" s="1"/>
      <c r="D46" s="645"/>
      <c r="E46" s="641"/>
      <c r="F46" s="358"/>
      <c r="G46" s="217"/>
      <c r="H46" s="217"/>
      <c r="I46" s="218"/>
      <c r="J46" s="1"/>
      <c r="K46" s="1"/>
      <c r="L46" s="622"/>
      <c r="M46" s="361"/>
      <c r="N46" s="221"/>
      <c r="O46" s="361"/>
      <c r="P46" s="221"/>
      <c r="Q46" s="361"/>
      <c r="R46" s="221"/>
      <c r="S46" s="361"/>
      <c r="T46" s="221"/>
      <c r="U46" s="361"/>
      <c r="V46" s="221"/>
      <c r="W46" s="36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8">
      <c r="A47" s="145"/>
      <c r="B47" s="137"/>
      <c r="C47" s="1"/>
      <c r="D47" s="645"/>
      <c r="E47" s="641"/>
      <c r="F47" s="358"/>
      <c r="G47" s="217"/>
      <c r="H47" s="217"/>
      <c r="I47" s="218"/>
      <c r="J47" s="1"/>
      <c r="K47" s="1"/>
      <c r="L47" s="622" t="str">
        <f>IF(Idioma=Castellano,"Deportivo",IF(Idioma=Valencià,"Esportiu","Deportivo"))</f>
        <v>Deportivo</v>
      </c>
      <c r="M47" s="361"/>
      <c r="N47" s="221"/>
      <c r="O47" s="361"/>
      <c r="P47" s="221"/>
      <c r="Q47" s="361"/>
      <c r="R47" s="221"/>
      <c r="S47" s="361"/>
      <c r="T47" s="221"/>
      <c r="U47" s="361"/>
      <c r="V47" s="221"/>
      <c r="W47" s="36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1:52" ht="18">
      <c r="A48" s="145"/>
      <c r="B48" s="137"/>
      <c r="C48" s="1"/>
      <c r="D48" s="646" t="s">
        <v>42</v>
      </c>
      <c r="E48" s="641" t="str">
        <f>IF(Idioma=Castellano,"Vivienda Unifamiliar",IF(Idioma=Valencià,"Habitatge Unifamiliar","Vivienda Unifamiliar"))</f>
        <v>Vivienda Unifamiliar</v>
      </c>
      <c r="F48" s="358"/>
      <c r="G48" s="217"/>
      <c r="H48" s="217"/>
      <c r="I48" s="218"/>
      <c r="J48" s="1"/>
      <c r="K48" s="1"/>
      <c r="L48" s="622"/>
      <c r="M48" s="361"/>
      <c r="N48" s="221"/>
      <c r="O48" s="361"/>
      <c r="P48" s="221"/>
      <c r="Q48" s="361"/>
      <c r="R48" s="221"/>
      <c r="S48" s="361"/>
      <c r="T48" s="221"/>
      <c r="U48" s="361"/>
      <c r="V48" s="221"/>
      <c r="W48" s="36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8">
      <c r="A49" s="145"/>
      <c r="B49" s="137"/>
      <c r="C49" s="1"/>
      <c r="D49" s="646"/>
      <c r="E49" s="641"/>
      <c r="F49" s="358"/>
      <c r="G49" s="217"/>
      <c r="H49" s="217"/>
      <c r="I49" s="218"/>
      <c r="J49" s="1"/>
      <c r="K49" s="1"/>
      <c r="L49" s="622"/>
      <c r="M49" s="361"/>
      <c r="N49" s="221"/>
      <c r="O49" s="361"/>
      <c r="P49" s="221"/>
      <c r="Q49" s="361"/>
      <c r="R49" s="221"/>
      <c r="S49" s="361"/>
      <c r="T49" s="221"/>
      <c r="U49" s="361"/>
      <c r="V49" s="221"/>
      <c r="W49" s="36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52" ht="18">
      <c r="A50" s="145"/>
      <c r="B50" s="137"/>
      <c r="C50" s="1"/>
      <c r="D50" s="646"/>
      <c r="E50" s="641"/>
      <c r="F50" s="358"/>
      <c r="G50" s="217"/>
      <c r="H50" s="217"/>
      <c r="I50" s="218"/>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52" ht="18">
      <c r="A51" s="145"/>
      <c r="B51" s="137"/>
      <c r="C51" s="1"/>
      <c r="D51" s="646"/>
      <c r="E51" s="641" t="str">
        <f>IF(Idioma=Castellano,"Vivienda Plurifamiliar",IF(Idioma=Valencià,"Habitatge Plurifamiliar","Vivienda Plurifamiliar"))</f>
        <v>Vivienda Plurifamiliar</v>
      </c>
      <c r="F51" s="358"/>
      <c r="G51" s="217"/>
      <c r="H51" s="217"/>
      <c r="I51" s="218"/>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52" ht="18">
      <c r="A52" s="145"/>
      <c r="B52" s="137"/>
      <c r="C52" s="1"/>
      <c r="D52" s="646"/>
      <c r="E52" s="641"/>
      <c r="F52" s="358"/>
      <c r="G52" s="217"/>
      <c r="H52" s="217"/>
      <c r="I52" s="218"/>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52" ht="18">
      <c r="A53" s="145"/>
      <c r="B53" s="137"/>
      <c r="C53" s="1"/>
      <c r="D53" s="646"/>
      <c r="E53" s="641"/>
      <c r="F53" s="358"/>
      <c r="G53" s="217"/>
      <c r="H53" s="217"/>
      <c r="I53" s="218"/>
      <c r="J53" s="1"/>
      <c r="K53" s="1"/>
      <c r="L53" s="39" t="str">
        <f>IF(Idioma=Castellano,"Usos terciarios",IF(Idioma=Valencià,"Usos terciaris","Usos terciarios"))</f>
        <v>Usos terciarios</v>
      </c>
      <c r="M53" s="39"/>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52" ht="18">
      <c r="A54" s="145"/>
      <c r="B54" s="137"/>
      <c r="C54" s="1"/>
      <c r="D54" s="1"/>
      <c r="E54" s="1"/>
      <c r="F54" s="1"/>
      <c r="G54" s="1"/>
      <c r="H54" s="1"/>
      <c r="I54" s="1"/>
      <c r="J54" s="1"/>
      <c r="K54" s="1"/>
      <c r="L54" s="1"/>
      <c r="M54" s="1"/>
      <c r="N54" s="342" t="s">
        <v>603</v>
      </c>
      <c r="O54" s="342"/>
      <c r="P54" s="345" t="s">
        <v>31</v>
      </c>
      <c r="Q54" s="345"/>
      <c r="R54" s="346" t="s">
        <v>36</v>
      </c>
      <c r="S54" s="346"/>
      <c r="T54" s="347" t="s">
        <v>39</v>
      </c>
      <c r="U54" s="347"/>
      <c r="V54" s="348" t="s">
        <v>42</v>
      </c>
      <c r="W54" s="348"/>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52" ht="18">
      <c r="A55" s="145"/>
      <c r="B55" s="137"/>
      <c r="C55" s="1"/>
      <c r="D55" s="1"/>
      <c r="E55" s="1"/>
      <c r="F55" s="1"/>
      <c r="G55" s="1"/>
      <c r="H55" s="1"/>
      <c r="I55" s="1"/>
      <c r="J55" s="1"/>
      <c r="K55" s="1"/>
      <c r="M55" s="216" t="str">
        <f>IF(Idioma=Castellano,"Existente/Nuevo desarrollo",IF(Idioma=Valencià,"Existent/Nou desenvolupament","Existente/Nuevo desarrollo"))</f>
        <v>Existente/Nuevo desarrollo</v>
      </c>
      <c r="N55" s="182" t="s">
        <v>604</v>
      </c>
      <c r="O55" s="216" t="str">
        <f>IF(Idioma=Castellano,"Categoría energética",IF(Idioma=Valencià,"Categoria energètica","Categoría energética"))</f>
        <v>Categoría energética</v>
      </c>
      <c r="P55" s="182" t="s">
        <v>604</v>
      </c>
      <c r="Q55" s="216" t="str">
        <f>IF(Idioma=Castellano,"Categoría energética",IF(Idioma=Valencià,"Categoria energètica","Categoría energética"))</f>
        <v>Categoría energética</v>
      </c>
      <c r="R55" s="182" t="s">
        <v>604</v>
      </c>
      <c r="S55" s="216" t="str">
        <f>IF(Idioma=Castellano,"Categoría energética",IF(Idioma=Valencià,"Categoria energètica","Categoría energética"))</f>
        <v>Categoría energética</v>
      </c>
      <c r="T55" s="182" t="s">
        <v>604</v>
      </c>
      <c r="U55" s="216" t="str">
        <f>IF(Idioma=Castellano,"Categoría energética",IF(Idioma=Valencià,"Categoria energètica","Categoría energética"))</f>
        <v>Categoría energética</v>
      </c>
      <c r="V55" s="182" t="s">
        <v>604</v>
      </c>
      <c r="W55" s="216" t="str">
        <f>IF(Idioma=Castellano,"Categoría energética",IF(Idioma=Valencià,"Categoria energètica","Categoría energética"))</f>
        <v>Categoría energética</v>
      </c>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52" ht="18">
      <c r="A56" s="145"/>
      <c r="B56" s="137"/>
      <c r="C56" s="1"/>
      <c r="D56" s="1"/>
      <c r="E56" s="1"/>
      <c r="F56" s="1"/>
      <c r="G56" s="1"/>
      <c r="H56" s="1"/>
      <c r="I56" s="1"/>
      <c r="J56" s="1"/>
      <c r="K56" s="1"/>
      <c r="L56" s="623" t="str">
        <f>IF(Idioma=Castellano,"Sin especificar",IF(Idioma=Valencià,"Sense especificar ","Sin especificar"))</f>
        <v>Sin especificar</v>
      </c>
      <c r="M56" s="361"/>
      <c r="N56" s="221"/>
      <c r="O56" s="218"/>
      <c r="P56" s="221"/>
      <c r="Q56" s="218"/>
      <c r="R56" s="221"/>
      <c r="S56" s="218"/>
      <c r="T56" s="221"/>
      <c r="U56" s="218"/>
      <c r="V56" s="221"/>
      <c r="W56" s="218"/>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52" ht="18">
      <c r="A57" s="145"/>
      <c r="B57" s="137"/>
      <c r="C57" s="1"/>
      <c r="D57" s="1"/>
      <c r="E57" s="1"/>
      <c r="F57" s="1"/>
      <c r="G57" s="1"/>
      <c r="H57" s="1"/>
      <c r="I57" s="1"/>
      <c r="J57" s="1"/>
      <c r="K57" s="1"/>
      <c r="L57" s="624"/>
      <c r="M57" s="361"/>
      <c r="N57" s="221"/>
      <c r="O57" s="218"/>
      <c r="P57" s="221"/>
      <c r="Q57" s="218"/>
      <c r="R57" s="221"/>
      <c r="S57" s="218"/>
      <c r="T57" s="221"/>
      <c r="U57" s="218"/>
      <c r="V57" s="221"/>
      <c r="W57" s="218"/>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52" ht="18">
      <c r="A58" s="145"/>
      <c r="B58" s="137"/>
      <c r="C58" s="1"/>
      <c r="D58" s="1"/>
      <c r="E58" s="1"/>
      <c r="F58" s="1"/>
      <c r="G58" s="1"/>
      <c r="H58" s="1"/>
      <c r="I58" s="1"/>
      <c r="J58" s="1"/>
      <c r="K58" s="1"/>
      <c r="L58" s="625"/>
      <c r="M58" s="361"/>
      <c r="N58" s="221"/>
      <c r="O58" s="218"/>
      <c r="P58" s="221"/>
      <c r="Q58" s="218"/>
      <c r="R58" s="221"/>
      <c r="S58" s="218"/>
      <c r="T58" s="221"/>
      <c r="U58" s="218"/>
      <c r="V58" s="221"/>
      <c r="W58" s="218"/>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52" ht="18">
      <c r="A59" s="145"/>
      <c r="B59" s="137"/>
      <c r="C59" s="1"/>
      <c r="D59" s="1"/>
      <c r="E59" s="1"/>
      <c r="F59" s="1"/>
      <c r="G59" s="1"/>
      <c r="H59" s="1"/>
      <c r="I59" s="1"/>
      <c r="J59" s="1"/>
      <c r="K59" s="1"/>
      <c r="L59" s="623" t="str">
        <f>IF(Idioma=Castellano,"Oficinas",IF(Idioma=Valencià,"Oficines","Oficinas"))</f>
        <v>Oficinas</v>
      </c>
      <c r="M59" s="361"/>
      <c r="N59" s="221"/>
      <c r="O59" s="361"/>
      <c r="P59" s="221"/>
      <c r="Q59" s="361"/>
      <c r="R59" s="221"/>
      <c r="S59" s="361"/>
      <c r="T59" s="221"/>
      <c r="U59" s="361"/>
      <c r="V59" s="221"/>
      <c r="W59" s="36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1:52" ht="18">
      <c r="A60" s="145"/>
      <c r="B60" s="137"/>
      <c r="C60" s="1"/>
      <c r="D60" s="1"/>
      <c r="E60" s="1"/>
      <c r="F60" s="1"/>
      <c r="G60" s="1"/>
      <c r="H60" s="1"/>
      <c r="I60" s="1"/>
      <c r="J60" s="1"/>
      <c r="K60" s="1"/>
      <c r="L60" s="624"/>
      <c r="M60" s="361"/>
      <c r="N60" s="221"/>
      <c r="O60" s="361"/>
      <c r="P60" s="221"/>
      <c r="Q60" s="361"/>
      <c r="R60" s="221"/>
      <c r="S60" s="361"/>
      <c r="T60" s="221"/>
      <c r="U60" s="361"/>
      <c r="V60" s="221"/>
      <c r="W60" s="36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1:52" ht="18">
      <c r="A61" s="145"/>
      <c r="B61" s="137"/>
      <c r="C61" s="1"/>
      <c r="D61" s="1"/>
      <c r="E61" s="1"/>
      <c r="F61" s="1"/>
      <c r="G61" s="1"/>
      <c r="H61" s="1"/>
      <c r="I61" s="1"/>
      <c r="J61" s="1"/>
      <c r="K61" s="1"/>
      <c r="L61" s="625"/>
      <c r="M61" s="361"/>
      <c r="N61" s="221"/>
      <c r="O61" s="361"/>
      <c r="P61" s="221"/>
      <c r="Q61" s="361"/>
      <c r="R61" s="221"/>
      <c r="S61" s="361"/>
      <c r="T61" s="221"/>
      <c r="U61" s="361"/>
      <c r="V61" s="221"/>
      <c r="W61" s="36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1:52" ht="18">
      <c r="A62" s="145"/>
      <c r="B62" s="137"/>
      <c r="C62" s="1"/>
      <c r="D62" s="1"/>
      <c r="E62" s="1"/>
      <c r="F62" s="1"/>
      <c r="G62" s="1"/>
      <c r="H62" s="1"/>
      <c r="I62" s="1"/>
      <c r="J62" s="1"/>
      <c r="K62" s="1"/>
      <c r="L62" s="626" t="str">
        <f>IF(Idioma=Castellano,"Comercio",IF(Idioma=Valencià,"Comerç","Comercio"))</f>
        <v>Comercio</v>
      </c>
      <c r="M62" s="361"/>
      <c r="N62" s="221"/>
      <c r="O62" s="361"/>
      <c r="P62" s="221"/>
      <c r="Q62" s="361"/>
      <c r="R62" s="221"/>
      <c r="S62" s="361"/>
      <c r="T62" s="221"/>
      <c r="U62" s="361"/>
      <c r="V62" s="221"/>
      <c r="W62" s="36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1:52" ht="18">
      <c r="A63" s="145"/>
      <c r="B63" s="137"/>
      <c r="C63" s="1"/>
      <c r="D63" s="1"/>
      <c r="E63" s="1"/>
      <c r="F63" s="1"/>
      <c r="G63" s="1"/>
      <c r="H63" s="1"/>
      <c r="I63" s="1"/>
      <c r="J63" s="1"/>
      <c r="K63" s="1"/>
      <c r="L63" s="627"/>
      <c r="M63" s="361"/>
      <c r="N63" s="221"/>
      <c r="O63" s="361"/>
      <c r="P63" s="221"/>
      <c r="Q63" s="361"/>
      <c r="R63" s="221"/>
      <c r="S63" s="361"/>
      <c r="T63" s="221"/>
      <c r="U63" s="361"/>
      <c r="V63" s="221"/>
      <c r="W63" s="36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1:52" ht="18">
      <c r="A64" s="145"/>
      <c r="B64" s="137"/>
      <c r="C64" s="1"/>
      <c r="D64" s="1"/>
      <c r="E64" s="1"/>
      <c r="F64" s="1"/>
      <c r="G64" s="1"/>
      <c r="H64" s="1"/>
      <c r="I64" s="1"/>
      <c r="J64" s="1"/>
      <c r="K64" s="1"/>
      <c r="L64" s="628"/>
      <c r="M64" s="361"/>
      <c r="N64" s="221"/>
      <c r="O64" s="361"/>
      <c r="P64" s="221"/>
      <c r="Q64" s="361"/>
      <c r="R64" s="221"/>
      <c r="S64" s="361"/>
      <c r="T64" s="221"/>
      <c r="U64" s="361"/>
      <c r="V64" s="221"/>
      <c r="W64" s="36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52" ht="18">
      <c r="A65" s="145"/>
      <c r="B65" s="137"/>
      <c r="C65" s="1"/>
      <c r="D65" s="1"/>
      <c r="E65" s="1"/>
      <c r="F65" s="1"/>
      <c r="G65" s="1"/>
      <c r="H65" s="1"/>
      <c r="I65" s="1"/>
      <c r="J65" s="1"/>
      <c r="K65" s="1"/>
      <c r="L65" s="626" t="s">
        <v>606</v>
      </c>
      <c r="M65" s="361"/>
      <c r="N65" s="221"/>
      <c r="O65" s="361"/>
      <c r="P65" s="221"/>
      <c r="Q65" s="361"/>
      <c r="R65" s="221"/>
      <c r="S65" s="361"/>
      <c r="T65" s="221"/>
      <c r="U65" s="361"/>
      <c r="V65" s="221"/>
      <c r="W65" s="36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52" ht="18">
      <c r="A66" s="145"/>
      <c r="B66" s="137"/>
      <c r="C66" s="1"/>
      <c r="D66" s="1"/>
      <c r="E66" s="1"/>
      <c r="F66" s="1"/>
      <c r="G66" s="1"/>
      <c r="H66" s="1"/>
      <c r="I66" s="1"/>
      <c r="J66" s="1"/>
      <c r="K66" s="1"/>
      <c r="L66" s="627"/>
      <c r="M66" s="361"/>
      <c r="N66" s="221"/>
      <c r="O66" s="361"/>
      <c r="P66" s="221"/>
      <c r="Q66" s="361"/>
      <c r="R66" s="221"/>
      <c r="S66" s="361"/>
      <c r="T66" s="221"/>
      <c r="U66" s="361"/>
      <c r="V66" s="221"/>
      <c r="W66" s="36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52" ht="18">
      <c r="A67" s="145"/>
      <c r="B67" s="137"/>
      <c r="C67" s="1"/>
      <c r="D67" s="1"/>
      <c r="E67" s="1"/>
      <c r="F67" s="1"/>
      <c r="G67" s="1"/>
      <c r="H67" s="1"/>
      <c r="I67" s="1"/>
      <c r="J67" s="1"/>
      <c r="K67" s="1"/>
      <c r="L67" s="628"/>
      <c r="M67" s="361"/>
      <c r="N67" s="221"/>
      <c r="O67" s="361"/>
      <c r="P67" s="221"/>
      <c r="Q67" s="361"/>
      <c r="R67" s="221"/>
      <c r="S67" s="361"/>
      <c r="T67" s="221"/>
      <c r="U67" s="361"/>
      <c r="V67" s="221"/>
      <c r="W67" s="36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52" ht="18">
      <c r="A68" s="145"/>
      <c r="B68" s="137"/>
      <c r="C68" s="1"/>
      <c r="D68" s="1"/>
      <c r="E68" s="1"/>
      <c r="F68" s="1"/>
      <c r="G68" s="1"/>
      <c r="H68" s="1"/>
      <c r="I68" s="1"/>
      <c r="J68" s="1"/>
      <c r="K68" s="1"/>
      <c r="L68" s="626" t="str">
        <f>IF(Idioma=Castellano,"Restauración",IF(Idioma=Valencià,"Restauració","Restauración"))</f>
        <v>Restauración</v>
      </c>
      <c r="M68" s="361"/>
      <c r="N68" s="221"/>
      <c r="O68" s="361"/>
      <c r="P68" s="221"/>
      <c r="Q68" s="361"/>
      <c r="R68" s="221"/>
      <c r="S68" s="361"/>
      <c r="T68" s="221"/>
      <c r="U68" s="361"/>
      <c r="V68" s="221"/>
      <c r="W68" s="36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52" ht="18">
      <c r="A69" s="145"/>
      <c r="B69" s="137"/>
      <c r="C69" s="1"/>
      <c r="D69" s="1"/>
      <c r="E69" s="1"/>
      <c r="F69" s="1"/>
      <c r="G69" s="1"/>
      <c r="H69" s="1"/>
      <c r="I69" s="1"/>
      <c r="J69" s="1"/>
      <c r="K69" s="1"/>
      <c r="L69" s="627"/>
      <c r="M69" s="361"/>
      <c r="N69" s="221"/>
      <c r="O69" s="361"/>
      <c r="P69" s="221"/>
      <c r="Q69" s="361"/>
      <c r="R69" s="221"/>
      <c r="S69" s="361"/>
      <c r="T69" s="221"/>
      <c r="U69" s="361"/>
      <c r="V69" s="221"/>
      <c r="W69" s="36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52" ht="18">
      <c r="A70" s="145"/>
      <c r="B70" s="137"/>
      <c r="C70" s="1"/>
      <c r="D70" s="1"/>
      <c r="E70" s="1"/>
      <c r="F70" s="1"/>
      <c r="G70" s="1"/>
      <c r="H70" s="1"/>
      <c r="I70" s="1"/>
      <c r="J70" s="1"/>
      <c r="K70" s="1"/>
      <c r="L70" s="628"/>
      <c r="M70" s="361"/>
      <c r="N70" s="221"/>
      <c r="O70" s="361"/>
      <c r="P70" s="221"/>
      <c r="Q70" s="361"/>
      <c r="R70" s="221"/>
      <c r="S70" s="361"/>
      <c r="T70" s="221"/>
      <c r="U70" s="361"/>
      <c r="V70" s="221"/>
      <c r="W70" s="36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52" ht="18">
      <c r="A71" s="145"/>
      <c r="B71" s="137"/>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52" ht="18">
      <c r="A72" s="145"/>
      <c r="B72" s="137"/>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52" ht="18">
      <c r="A73" s="145"/>
      <c r="B73" s="137"/>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52" ht="18">
      <c r="A74" s="145"/>
      <c r="B74" s="137"/>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52" ht="18">
      <c r="A75" s="145"/>
      <c r="B75" s="137"/>
      <c r="C75" s="1"/>
      <c r="D75" s="1"/>
      <c r="E75" s="1"/>
      <c r="F75" s="1"/>
      <c r="G75" s="1"/>
      <c r="H75" s="1"/>
      <c r="I75" s="1"/>
      <c r="J75" s="1"/>
      <c r="K75" s="1"/>
      <c r="L75" s="39" t="str">
        <f>IF(Idioma=Castellano,"Uso industrial",IF(Idioma=Valencià,"Ús industrial"))</f>
        <v>Uso industrial</v>
      </c>
      <c r="M75" s="39"/>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52" ht="18">
      <c r="A76" s="145"/>
      <c r="B76" s="137"/>
      <c r="C76" s="1"/>
      <c r="D76" s="1"/>
      <c r="E76" s="1"/>
      <c r="F76" s="1"/>
      <c r="G76" s="1"/>
      <c r="H76" s="1"/>
      <c r="I76" s="1"/>
      <c r="J76" s="1"/>
      <c r="K76" s="1"/>
      <c r="L76" s="1"/>
      <c r="M76" s="362"/>
      <c r="N76" s="342" t="s">
        <v>603</v>
      </c>
      <c r="O76" s="345" t="s">
        <v>31</v>
      </c>
      <c r="P76" s="346" t="s">
        <v>36</v>
      </c>
      <c r="Q76" s="347" t="s">
        <v>39</v>
      </c>
      <c r="R76" s="348" t="s">
        <v>42</v>
      </c>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52" ht="18">
      <c r="A77" s="145"/>
      <c r="B77" s="137"/>
      <c r="C77" s="1"/>
      <c r="D77" s="1"/>
      <c r="E77" s="1"/>
      <c r="F77" s="1"/>
      <c r="G77" s="1"/>
      <c r="H77" s="1"/>
      <c r="I77" s="1"/>
      <c r="J77" s="1"/>
      <c r="K77" s="1"/>
      <c r="L77" s="1"/>
      <c r="M77" s="216" t="str">
        <f>IF(Idioma=Castellano,"Existente/Nuevo desarrollo",IF(Idioma=Valencià,"Existent/Nou desenvolupament","Existente/Nuevo desarrollo"))</f>
        <v>Existente/Nuevo desarrollo</v>
      </c>
      <c r="N77" s="182" t="s">
        <v>604</v>
      </c>
      <c r="O77" s="182" t="s">
        <v>604</v>
      </c>
      <c r="P77" s="182" t="s">
        <v>604</v>
      </c>
      <c r="Q77" s="182" t="s">
        <v>604</v>
      </c>
      <c r="R77" s="182" t="s">
        <v>604</v>
      </c>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52" ht="18">
      <c r="A78" s="145"/>
      <c r="B78" s="137"/>
      <c r="C78" s="1"/>
      <c r="D78" s="1"/>
      <c r="E78" s="1"/>
      <c r="F78" s="1"/>
      <c r="G78" s="1"/>
      <c r="H78" s="1"/>
      <c r="I78" s="1"/>
      <c r="J78" s="1"/>
      <c r="K78" s="1"/>
      <c r="L78" s="629" t="str">
        <f>IF(Idioma=Castellano,"Sin especificar",IF(Idioma=Valencià,"Sense especificar ","Sin especificar"))</f>
        <v>Sin especificar</v>
      </c>
      <c r="M78" s="361"/>
      <c r="N78" s="221"/>
      <c r="O78" s="221"/>
      <c r="P78" s="221"/>
      <c r="Q78" s="221"/>
      <c r="R78" s="22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52" ht="18">
      <c r="A79" s="145"/>
      <c r="B79" s="137"/>
      <c r="C79" s="1"/>
      <c r="D79" s="1"/>
      <c r="E79" s="1"/>
      <c r="F79" s="1"/>
      <c r="G79" s="1"/>
      <c r="H79" s="1"/>
      <c r="I79" s="1"/>
      <c r="J79" s="1"/>
      <c r="K79" s="1"/>
      <c r="L79" s="630"/>
      <c r="M79" s="361"/>
      <c r="N79" s="221"/>
      <c r="O79" s="221"/>
      <c r="P79" s="221"/>
      <c r="Q79" s="221"/>
      <c r="R79" s="22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52" ht="18">
      <c r="A80" s="145"/>
      <c r="B80" s="137"/>
      <c r="C80" s="1"/>
      <c r="D80" s="1"/>
      <c r="E80" s="1"/>
      <c r="F80" s="1"/>
      <c r="G80" s="1"/>
      <c r="H80" s="1"/>
      <c r="I80" s="1"/>
      <c r="J80" s="1"/>
      <c r="K80" s="1"/>
      <c r="L80" s="631"/>
      <c r="M80" s="361"/>
      <c r="N80" s="221"/>
      <c r="O80" s="221"/>
      <c r="P80" s="221"/>
      <c r="Q80" s="221"/>
      <c r="R80" s="22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52" ht="18">
      <c r="A81" s="145"/>
      <c r="B81" s="137"/>
      <c r="C81" s="1"/>
      <c r="D81" s="1"/>
      <c r="E81" s="1"/>
      <c r="F81" s="1"/>
      <c r="G81" s="1"/>
      <c r="H81" s="1"/>
      <c r="I81" s="1"/>
      <c r="J81" s="1"/>
      <c r="K81" s="1"/>
      <c r="L81" s="619" t="str">
        <f>IF(Idioma=Castellano,"Cerámica",IF(Idioma=Valencià,"Ceràmica","Cerámica"))</f>
        <v>Cerámica</v>
      </c>
      <c r="M81" s="361"/>
      <c r="N81" s="221"/>
      <c r="O81" s="221"/>
      <c r="P81" s="221"/>
      <c r="Q81" s="221"/>
      <c r="R81" s="22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52" ht="18">
      <c r="A82" s="145"/>
      <c r="B82" s="137"/>
      <c r="C82" s="1"/>
      <c r="D82" s="1"/>
      <c r="E82" s="1"/>
      <c r="F82" s="1"/>
      <c r="G82" s="1"/>
      <c r="H82" s="1"/>
      <c r="I82" s="1"/>
      <c r="J82" s="1"/>
      <c r="K82" s="1"/>
      <c r="L82" s="620"/>
      <c r="M82" s="361"/>
      <c r="N82" s="221"/>
      <c r="O82" s="221"/>
      <c r="P82" s="221"/>
      <c r="Q82" s="221"/>
      <c r="R82" s="22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52" ht="18">
      <c r="A83" s="145"/>
      <c r="B83" s="137"/>
      <c r="C83" s="1"/>
      <c r="D83" s="1"/>
      <c r="E83" s="1"/>
      <c r="F83" s="1"/>
      <c r="G83" s="1"/>
      <c r="H83" s="1"/>
      <c r="I83" s="1"/>
      <c r="J83" s="1"/>
      <c r="K83" s="1"/>
      <c r="L83" s="621"/>
      <c r="M83" s="361"/>
      <c r="N83" s="221"/>
      <c r="O83" s="221"/>
      <c r="P83" s="221"/>
      <c r="Q83" s="221"/>
      <c r="R83" s="22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52" ht="18">
      <c r="A84" s="145"/>
      <c r="B84" s="137"/>
      <c r="C84" s="1"/>
      <c r="D84" s="1"/>
      <c r="E84" s="1"/>
      <c r="F84" s="1"/>
      <c r="G84" s="1"/>
      <c r="H84" s="1"/>
      <c r="I84" s="1"/>
      <c r="J84" s="1"/>
      <c r="K84" s="1"/>
      <c r="L84" s="619" t="s">
        <v>887</v>
      </c>
      <c r="M84" s="361"/>
      <c r="N84" s="221"/>
      <c r="O84" s="221"/>
      <c r="P84" s="221"/>
      <c r="Q84" s="221"/>
      <c r="R84" s="22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52" ht="18">
      <c r="A85" s="145"/>
      <c r="B85" s="137"/>
      <c r="C85" s="1"/>
      <c r="D85" s="1"/>
      <c r="E85" s="1"/>
      <c r="F85" s="1"/>
      <c r="G85" s="1"/>
      <c r="H85" s="1"/>
      <c r="I85" s="1"/>
      <c r="J85" s="1"/>
      <c r="K85" s="1"/>
      <c r="L85" s="620"/>
      <c r="M85" s="361"/>
      <c r="N85" s="221"/>
      <c r="O85" s="221"/>
      <c r="P85" s="221"/>
      <c r="Q85" s="221"/>
      <c r="R85" s="22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52" ht="18">
      <c r="A86" s="145"/>
      <c r="B86" s="137"/>
      <c r="C86" s="1"/>
      <c r="D86" s="1"/>
      <c r="E86" s="1"/>
      <c r="F86" s="1"/>
      <c r="G86" s="1"/>
      <c r="H86" s="1"/>
      <c r="I86" s="1"/>
      <c r="J86" s="1"/>
      <c r="K86" s="1"/>
      <c r="L86" s="621"/>
      <c r="M86" s="361"/>
      <c r="N86" s="221"/>
      <c r="O86" s="221"/>
      <c r="P86" s="221"/>
      <c r="Q86" s="221"/>
      <c r="R86" s="22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52" ht="18">
      <c r="A87" s="145"/>
      <c r="B87" s="137"/>
      <c r="C87" s="1"/>
      <c r="D87" s="1"/>
      <c r="E87" s="1"/>
      <c r="F87" s="1"/>
      <c r="G87" s="1"/>
      <c r="H87" s="1"/>
      <c r="I87" s="1"/>
      <c r="J87" s="1"/>
      <c r="K87" s="1"/>
      <c r="L87" s="619" t="s">
        <v>888</v>
      </c>
      <c r="M87" s="361"/>
      <c r="N87" s="221"/>
      <c r="O87" s="221"/>
      <c r="P87" s="221"/>
      <c r="Q87" s="221"/>
      <c r="R87" s="22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52" ht="18">
      <c r="A88" s="145"/>
      <c r="B88" s="137"/>
      <c r="C88" s="1"/>
      <c r="D88" s="1"/>
      <c r="E88" s="1"/>
      <c r="F88" s="1"/>
      <c r="G88" s="1"/>
      <c r="H88" s="1"/>
      <c r="I88" s="1"/>
      <c r="J88" s="1"/>
      <c r="K88" s="1"/>
      <c r="L88" s="620"/>
      <c r="M88" s="361"/>
      <c r="N88" s="221"/>
      <c r="O88" s="221"/>
      <c r="P88" s="221"/>
      <c r="Q88" s="221"/>
      <c r="R88" s="22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52" ht="18">
      <c r="A89" s="145"/>
      <c r="B89" s="137"/>
      <c r="C89" s="1"/>
      <c r="D89" s="1"/>
      <c r="E89" s="1"/>
      <c r="F89" s="1"/>
      <c r="G89" s="1"/>
      <c r="H89" s="1"/>
      <c r="I89" s="1"/>
      <c r="J89" s="1"/>
      <c r="K89" s="1"/>
      <c r="L89" s="621"/>
      <c r="M89" s="361"/>
      <c r="N89" s="221"/>
      <c r="O89" s="221"/>
      <c r="P89" s="221"/>
      <c r="Q89" s="221"/>
      <c r="R89" s="22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52" ht="18">
      <c r="A90" s="145"/>
      <c r="B90" s="137"/>
      <c r="C90" s="1"/>
      <c r="D90" s="1"/>
      <c r="E90" s="1"/>
      <c r="F90" s="1"/>
      <c r="G90" s="1"/>
      <c r="H90" s="1"/>
      <c r="I90" s="1"/>
      <c r="J90" s="1"/>
      <c r="K90" s="1"/>
      <c r="L90" s="619" t="s">
        <v>924</v>
      </c>
      <c r="M90" s="361"/>
      <c r="N90" s="221"/>
      <c r="O90" s="221"/>
      <c r="P90" s="221"/>
      <c r="Q90" s="221"/>
      <c r="R90" s="22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52" ht="18">
      <c r="A91" s="145"/>
      <c r="B91" s="137"/>
      <c r="C91" s="1"/>
      <c r="D91" s="1"/>
      <c r="E91" s="1"/>
      <c r="F91" s="1"/>
      <c r="G91" s="1"/>
      <c r="H91" s="1"/>
      <c r="I91" s="1"/>
      <c r="J91" s="1"/>
      <c r="K91" s="1"/>
      <c r="L91" s="620"/>
      <c r="M91" s="361"/>
      <c r="N91" s="221"/>
      <c r="O91" s="221"/>
      <c r="P91" s="221"/>
      <c r="Q91" s="221"/>
      <c r="R91" s="22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52" ht="18">
      <c r="A92" s="145"/>
      <c r="B92" s="137"/>
      <c r="C92" s="1"/>
      <c r="D92" s="1"/>
      <c r="E92" s="1"/>
      <c r="F92" s="1"/>
      <c r="G92" s="1"/>
      <c r="H92" s="1"/>
      <c r="I92" s="1"/>
      <c r="J92" s="1"/>
      <c r="K92" s="1"/>
      <c r="L92" s="621"/>
      <c r="M92" s="361"/>
      <c r="N92" s="221"/>
      <c r="O92" s="221"/>
      <c r="P92" s="221"/>
      <c r="Q92" s="221"/>
      <c r="R92" s="22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52" ht="18">
      <c r="A93" s="145"/>
      <c r="B93" s="137"/>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52" ht="18">
      <c r="A94" s="145"/>
      <c r="B94" s="137"/>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52" ht="18">
      <c r="A95" s="145"/>
      <c r="B95" s="137"/>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52" ht="18">
      <c r="A96" s="145"/>
      <c r="B96" s="137"/>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52" ht="18">
      <c r="A97" s="145"/>
      <c r="B97" s="137"/>
      <c r="C97" s="1"/>
      <c r="D97" s="1"/>
      <c r="E97" s="1"/>
      <c r="F97" s="1"/>
      <c r="G97" s="1"/>
      <c r="H97" s="1"/>
      <c r="I97" s="1"/>
      <c r="J97" s="1"/>
      <c r="K97" s="1"/>
      <c r="L97" s="1"/>
      <c r="M97" s="1"/>
      <c r="N97" s="15"/>
      <c r="O97" s="15"/>
      <c r="P97" s="15"/>
      <c r="Q97" s="15"/>
      <c r="R97" s="15"/>
      <c r="S97" s="15"/>
      <c r="T97" s="15"/>
      <c r="U97" s="15"/>
      <c r="V97" s="15"/>
      <c r="W97" s="15"/>
      <c r="X97" s="15"/>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52" ht="18">
      <c r="A98" s="145"/>
      <c r="B98" s="137"/>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52" s="141" customFormat="1" ht="18">
      <c r="A99" s="143"/>
      <c r="B99" s="137"/>
      <c r="C99" s="137"/>
      <c r="D99" s="141" t="str">
        <f>IF(Idioma=Castellano,"B. Movilidad",IF(Idioma=Valencià,"B. Mobilitat","B. Movilidad"))</f>
        <v>B. Movilidad</v>
      </c>
    </row>
    <row r="100" spans="1:52" ht="18">
      <c r="A100" s="145"/>
      <c r="B100" s="137"/>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52" ht="18">
      <c r="A101" s="145"/>
      <c r="B101" s="137"/>
      <c r="C101" s="1"/>
      <c r="D101" s="1" t="str">
        <f>IF(Idioma=Castellano,"Distancia desde la centralidad principal al punto más lejano del municipio",IF(Idioma=Valencià,"Distància des de la centralitat principal al punt més llunyà del municipi","Distancia desde la centralidad principal al punto más lejano del municipio"))</f>
        <v>Distancia desde la centralidad principal al punto más lejano del municipio</v>
      </c>
      <c r="E101" s="1"/>
      <c r="F101" s="1"/>
      <c r="G101" s="1"/>
      <c r="H101" s="1"/>
      <c r="I101" s="44"/>
      <c r="J101" s="1" t="str">
        <f>IF(Idioma=Castellano,"Metros",IF(Idioma=Valencià,"Metres","Metros"))</f>
        <v>Metros</v>
      </c>
      <c r="K101" s="1"/>
      <c r="L101" s="1"/>
      <c r="M101" s="1"/>
      <c r="N101" s="1"/>
      <c r="O101" s="1"/>
      <c r="P101" s="1"/>
      <c r="Q101" s="1"/>
      <c r="R101" s="1"/>
      <c r="S101" s="1"/>
      <c r="T101" s="1"/>
      <c r="U101" s="1"/>
      <c r="V101" s="36"/>
      <c r="W101" s="36"/>
      <c r="X101" s="37"/>
      <c r="Y101" s="37"/>
      <c r="Z101" s="38"/>
      <c r="AA101" s="38"/>
      <c r="AB101" s="38"/>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52" ht="18">
      <c r="A102" s="145"/>
      <c r="B102" s="137"/>
      <c r="C102" s="1"/>
      <c r="D102" s="1"/>
      <c r="E102" s="1"/>
      <c r="F102" s="1"/>
      <c r="G102" s="1"/>
      <c r="H102" s="1"/>
      <c r="I102" s="1"/>
      <c r="J102" s="1"/>
      <c r="K102" s="1"/>
      <c r="L102" s="1"/>
      <c r="M102" s="1"/>
      <c r="N102" s="1"/>
      <c r="O102" s="1"/>
      <c r="P102" s="1"/>
      <c r="Q102" s="1"/>
      <c r="R102" s="1"/>
      <c r="S102" s="1"/>
      <c r="T102" s="1"/>
      <c r="U102" s="1"/>
      <c r="V102" s="36"/>
      <c r="W102" s="36"/>
      <c r="X102" s="647"/>
      <c r="Y102" s="648"/>
      <c r="Z102" s="38"/>
      <c r="AA102" s="38"/>
      <c r="AB102" s="38"/>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52" ht="18">
      <c r="A103" s="145"/>
      <c r="B103" s="137"/>
      <c r="C103" s="1"/>
      <c r="D103" s="39" t="str">
        <f>IF(Idioma=Castellano,"Repartición modal de transporte (%)",IF(Idioma=Valencià,"Repartició modal de transport (%)","Repartición modal de transporte (%)"))</f>
        <v>Repartición modal de transporte (%)</v>
      </c>
      <c r="E103" s="1"/>
      <c r="F103" s="1"/>
      <c r="G103" s="1"/>
      <c r="H103" s="1"/>
      <c r="I103" s="1"/>
      <c r="J103" s="1"/>
      <c r="K103" s="1"/>
      <c r="L103" s="1"/>
      <c r="M103" s="1"/>
      <c r="N103" s="1"/>
      <c r="O103" s="1"/>
      <c r="P103" s="1"/>
      <c r="Q103" s="1"/>
      <c r="R103" s="1"/>
      <c r="S103" s="1"/>
      <c r="T103" s="1"/>
      <c r="U103" s="1"/>
      <c r="V103" s="36"/>
      <c r="W103" s="36"/>
      <c r="X103" s="649"/>
      <c r="Y103" s="648"/>
      <c r="Z103" s="38"/>
      <c r="AA103" s="38"/>
      <c r="AB103" s="38"/>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52" ht="18">
      <c r="A104" s="145"/>
      <c r="B104" s="137"/>
      <c r="C104" s="1"/>
      <c r="D104" s="1"/>
      <c r="E104" s="1"/>
      <c r="F104" s="223" t="s">
        <v>603</v>
      </c>
      <c r="G104" s="224" t="s">
        <v>31</v>
      </c>
      <c r="H104" s="225" t="s">
        <v>36</v>
      </c>
      <c r="I104" s="226" t="s">
        <v>39</v>
      </c>
      <c r="J104" s="228" t="s">
        <v>42</v>
      </c>
      <c r="K104" s="1"/>
      <c r="L104" s="1"/>
      <c r="M104" s="1"/>
      <c r="N104" s="1"/>
      <c r="O104" s="1"/>
      <c r="P104" s="1"/>
      <c r="Q104" s="1"/>
      <c r="R104" s="1"/>
      <c r="S104" s="1"/>
      <c r="T104" s="1"/>
      <c r="U104" s="1"/>
      <c r="V104" s="40"/>
      <c r="W104" s="40"/>
      <c r="X104" s="40"/>
      <c r="Y104" s="40"/>
      <c r="Z104" s="40"/>
      <c r="AA104" s="40"/>
      <c r="AB104" s="40"/>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row r="105" spans="1:52" ht="18">
      <c r="A105" s="145"/>
      <c r="B105" s="137"/>
      <c r="C105" s="1"/>
      <c r="D105" s="640" t="str">
        <f>IF(Idioma=Castellano,"Andando",IF(Idioma=Valencià,"Caminant","Andando"))</f>
        <v>Andando</v>
      </c>
      <c r="E105" s="640"/>
      <c r="F105" s="232"/>
      <c r="G105" s="232"/>
      <c r="H105" s="233"/>
      <c r="I105" s="233"/>
      <c r="J105" s="234"/>
      <c r="K105" s="1" t="s">
        <v>609</v>
      </c>
      <c r="L105" s="1"/>
      <c r="M105" s="1"/>
      <c r="N105" s="1"/>
      <c r="O105" s="1"/>
      <c r="P105" s="1"/>
      <c r="Q105" s="1"/>
      <c r="R105" s="1"/>
      <c r="S105" s="1"/>
      <c r="T105" s="1"/>
      <c r="U105" s="1"/>
      <c r="V105" s="40"/>
      <c r="W105" s="40"/>
      <c r="X105" s="40"/>
      <c r="Y105" s="40"/>
      <c r="Z105" s="40"/>
      <c r="AA105" s="40"/>
      <c r="AB105" s="40"/>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row>
    <row r="106" spans="1:52" ht="18">
      <c r="A106" s="145"/>
      <c r="B106" s="137"/>
      <c r="C106" s="1"/>
      <c r="D106" s="640" t="s">
        <v>610</v>
      </c>
      <c r="E106" s="640"/>
      <c r="F106" s="232"/>
      <c r="G106" s="232"/>
      <c r="H106" s="233"/>
      <c r="I106" s="233"/>
      <c r="J106" s="234"/>
      <c r="K106" s="1" t="s">
        <v>609</v>
      </c>
      <c r="L106" s="1"/>
      <c r="M106" s="1"/>
      <c r="N106" s="1"/>
      <c r="O106" s="1"/>
      <c r="P106" s="1"/>
      <c r="Q106" s="1"/>
      <c r="R106" s="1"/>
      <c r="S106" s="1"/>
      <c r="T106" s="1"/>
      <c r="U106" s="1"/>
      <c r="V106" s="1"/>
      <c r="W106" s="40"/>
      <c r="X106" s="40"/>
      <c r="Y106" s="40"/>
      <c r="Z106" s="40"/>
      <c r="AA106" s="40"/>
      <c r="AB106" s="40"/>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row>
    <row r="107" spans="1:52" ht="18">
      <c r="A107" s="143"/>
      <c r="B107" s="137"/>
      <c r="C107" s="1"/>
      <c r="D107" s="640" t="str">
        <f>IF(Idioma=Castellano,"Automovil",IF(Idioma=Valencià,"Automòbil","Automovil"))</f>
        <v>Automovil</v>
      </c>
      <c r="E107" s="640"/>
      <c r="F107" s="232"/>
      <c r="G107" s="232"/>
      <c r="H107" s="233"/>
      <c r="I107" s="233"/>
      <c r="J107" s="234"/>
      <c r="K107" s="1" t="s">
        <v>609</v>
      </c>
      <c r="L107" s="1"/>
      <c r="M107" s="1"/>
      <c r="N107" s="1"/>
      <c r="O107" s="1"/>
      <c r="P107" s="1"/>
      <c r="Q107" s="1"/>
      <c r="R107" s="1"/>
      <c r="S107" s="1"/>
      <c r="T107" s="1"/>
      <c r="U107" s="1"/>
      <c r="V107" s="40"/>
      <c r="W107" s="40"/>
      <c r="X107" s="40"/>
      <c r="Y107" s="40"/>
      <c r="Z107" s="41"/>
      <c r="AA107" s="40"/>
      <c r="AB107" s="40"/>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row>
    <row r="108" spans="1:52" ht="18">
      <c r="A108" s="143"/>
      <c r="B108" s="137"/>
      <c r="C108" s="1"/>
      <c r="D108" s="640" t="s">
        <v>613</v>
      </c>
      <c r="E108" s="640"/>
      <c r="F108" s="235"/>
      <c r="G108" s="235"/>
      <c r="H108" s="233"/>
      <c r="I108" s="233"/>
      <c r="J108" s="234"/>
      <c r="K108" s="1" t="s">
        <v>609</v>
      </c>
      <c r="L108" s="1"/>
      <c r="M108" s="1"/>
      <c r="N108" s="1"/>
      <c r="O108" s="1"/>
      <c r="P108" s="1"/>
      <c r="Q108" s="1"/>
      <c r="R108" s="1"/>
      <c r="S108" s="1"/>
      <c r="T108" s="1"/>
      <c r="U108" s="1"/>
      <c r="V108" s="40"/>
      <c r="W108" s="40"/>
      <c r="X108" s="40"/>
      <c r="Y108" s="40"/>
      <c r="Z108" s="41"/>
      <c r="AA108" s="40"/>
      <c r="AB108" s="40"/>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row>
    <row r="109" spans="1:52" ht="18">
      <c r="A109" s="143"/>
      <c r="B109" s="137"/>
      <c r="C109" s="1"/>
      <c r="D109" s="640" t="str">
        <f>IF(Idioma=Castellano,"Autobús urbano e interurbano",IF(Idioma=Valencià,"Autobús urbà i interurbà","Autobús urbano e interurbano"))</f>
        <v>Autobús urbano e interurbano</v>
      </c>
      <c r="E109" s="640"/>
      <c r="F109" s="235"/>
      <c r="G109" s="235"/>
      <c r="H109" s="233"/>
      <c r="I109" s="233"/>
      <c r="J109" s="234"/>
      <c r="K109" s="1" t="s">
        <v>609</v>
      </c>
      <c r="L109" s="1"/>
      <c r="M109" s="1"/>
      <c r="N109" s="1"/>
      <c r="O109" s="1"/>
      <c r="P109" s="1"/>
      <c r="Q109" s="1"/>
      <c r="R109" s="1"/>
      <c r="S109" s="1"/>
      <c r="T109" s="1"/>
      <c r="U109" s="1"/>
      <c r="V109" s="40"/>
      <c r="W109" s="40"/>
      <c r="X109" s="40"/>
      <c r="Y109" s="40"/>
      <c r="Z109" s="41"/>
      <c r="AA109" s="40"/>
      <c r="AB109" s="40"/>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row>
    <row r="110" spans="1:52" ht="18">
      <c r="A110" s="143"/>
      <c r="B110" s="137"/>
      <c r="C110" s="1"/>
      <c r="D110" s="640" t="s">
        <v>615</v>
      </c>
      <c r="E110" s="640"/>
      <c r="F110" s="235"/>
      <c r="G110" s="235"/>
      <c r="H110" s="233"/>
      <c r="I110" s="233"/>
      <c r="J110" s="234"/>
      <c r="K110" s="1" t="s">
        <v>609</v>
      </c>
      <c r="L110" s="1"/>
      <c r="M110" s="1"/>
      <c r="N110" s="1"/>
      <c r="O110" s="1"/>
      <c r="P110" s="1"/>
      <c r="Q110" s="1"/>
      <c r="R110" s="1"/>
      <c r="S110" s="1"/>
      <c r="T110" s="1"/>
      <c r="U110" s="1"/>
      <c r="V110" s="40"/>
      <c r="W110" s="40"/>
      <c r="X110" s="40"/>
      <c r="Y110" s="40"/>
      <c r="Z110" s="41"/>
      <c r="AA110" s="40"/>
      <c r="AB110" s="40"/>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row>
    <row r="111" spans="1:52" ht="18">
      <c r="A111" s="143"/>
      <c r="B111" s="137"/>
      <c r="C111" s="1"/>
      <c r="D111" s="1"/>
      <c r="E111" s="1"/>
      <c r="F111" s="196">
        <f>SUM(F105:F110)</f>
        <v>0</v>
      </c>
      <c r="G111" s="196">
        <f>SUM(G105:G110)</f>
        <v>0</v>
      </c>
      <c r="H111" s="196">
        <f>SUM(H105:H110)</f>
        <v>0</v>
      </c>
      <c r="I111" s="196">
        <f>SUM(I105:I110)</f>
        <v>0</v>
      </c>
      <c r="J111" s="196">
        <f>SUM(J105:J110)</f>
        <v>0</v>
      </c>
      <c r="K111" s="1"/>
      <c r="L111" s="1"/>
      <c r="M111" s="1"/>
      <c r="N111" s="1"/>
      <c r="O111" s="1"/>
      <c r="P111" s="1"/>
      <c r="Q111" s="1"/>
      <c r="R111" s="1"/>
      <c r="S111" s="1"/>
      <c r="T111" s="1"/>
      <c r="U111" s="40"/>
      <c r="V111" s="40"/>
      <c r="W111" s="40"/>
      <c r="X111" s="40"/>
      <c r="Y111" s="40"/>
      <c r="Z111" s="40"/>
      <c r="AA111" s="40"/>
      <c r="AB111" s="40"/>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row>
    <row r="112" spans="1:52" ht="18">
      <c r="A112" s="143"/>
      <c r="B112" s="137"/>
      <c r="C112" s="1"/>
      <c r="D112" s="1"/>
      <c r="E112" s="1"/>
      <c r="F112" s="1"/>
      <c r="G112" s="1"/>
      <c r="H112" s="1"/>
      <c r="I112" s="1"/>
      <c r="J112" s="1"/>
      <c r="K112" s="1"/>
      <c r="L112" s="1"/>
      <c r="M112" s="1"/>
      <c r="N112" s="1"/>
      <c r="O112" s="1"/>
      <c r="P112" s="1"/>
      <c r="Q112" s="1"/>
      <c r="R112" s="1"/>
      <c r="S112" s="1"/>
      <c r="T112" s="1"/>
      <c r="U112" s="40"/>
      <c r="V112" s="40"/>
      <c r="W112" s="40"/>
      <c r="X112" s="40"/>
      <c r="Y112" s="40"/>
      <c r="Z112" s="40"/>
      <c r="AA112" s="40"/>
      <c r="AB112" s="40"/>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row>
    <row r="113" spans="1:52" s="141" customFormat="1" ht="18">
      <c r="A113" s="143"/>
      <c r="B113" s="137"/>
      <c r="C113" s="137"/>
      <c r="D113" s="141" t="str">
        <f>IF(Idioma=Castellano,"D. Residuos",IF(Idioma=Valencià,"D. Residus","D. Residuos"))</f>
        <v>D. Residuos</v>
      </c>
      <c r="I113" s="141" t="str">
        <f>IF(Idioma=Castellano,"E. SUMIDEROS Y CAMBIO USOS DEL SUELO",IF(Idioma=Valencià,"E. EMBORNALS I CANVI USOS DEL SÒL","E. SUMIDEROS Y CAMBIO USOS DEL SUELO"))</f>
        <v>E. SUMIDEROS Y CAMBIO USOS DEL SUELO</v>
      </c>
    </row>
    <row r="114" spans="1:52" ht="18">
      <c r="A114" s="143"/>
      <c r="B114" s="137"/>
      <c r="C114" s="1"/>
      <c r="D114" s="1"/>
      <c r="E114" s="1"/>
      <c r="F114" s="1"/>
      <c r="G114" s="1"/>
      <c r="H114" s="1"/>
      <c r="I114" s="219" t="str">
        <f>IF(Idioma=Castellano,"E.1. Absorción de emisiones",IF(Idioma=Valencià,"E.1. Absorció d'emissions","E.1. Absorción de emisiones"))</f>
        <v>E.1. Absorción de emisiones</v>
      </c>
      <c r="J114" s="42"/>
      <c r="K114" s="42"/>
      <c r="L114" s="219" t="str">
        <f>IF(Idioma=Castellano,"E.2. Cambios de uso del suelo",IF(Idioma=Valencià,"E.2. Canvis d'ús del sòl","E.2. Cambios de uso del suelo"))</f>
        <v>E.2. Cambios de uso del suelo</v>
      </c>
      <c r="M114" s="219"/>
      <c r="N114" s="1"/>
      <c r="O114" s="1"/>
      <c r="P114" s="42"/>
      <c r="Q114" s="42"/>
      <c r="R114" s="42"/>
      <c r="S114" s="42"/>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row>
    <row r="115" spans="1:52" ht="18">
      <c r="A115" s="143"/>
      <c r="B115" s="137"/>
      <c r="C115" s="1"/>
      <c r="D115" s="39" t="str">
        <f>IF(Idioma=Castellano,"Tipologia de gestión y tratamiento del residuo",IF(Idioma=Valencià,"Tipologia de gestió i tractament del residu","Tipologia de gestión y tratamiento del residuo"))</f>
        <v>Tipologia de gestión y tratamiento del residuo</v>
      </c>
      <c r="E115" s="1"/>
      <c r="F115" s="1"/>
      <c r="G115" s="1"/>
      <c r="H115" s="1"/>
      <c r="I115" s="43" t="str">
        <f>IF(Idioma=Castellano,"Información disponible",IF(Idioma=Valencià,"Informació disponible","Información disponible"))</f>
        <v>Información disponible</v>
      </c>
      <c r="J115" s="45" t="s">
        <v>22</v>
      </c>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row>
    <row r="116" spans="1:52" ht="18">
      <c r="A116" s="143"/>
      <c r="B116" s="137"/>
      <c r="C116" s="1"/>
      <c r="D116" s="6" t="str">
        <f>IF(Idioma=Castellano,"        % de residuo tratado en incineradora",IF(Idioma=Valencià,"        %de residu tractat en incineradora","        % de residuo tratado en incineradora"))</f>
        <v xml:space="preserve">        % de residuo tratado en incineradora</v>
      </c>
      <c r="E116" s="1"/>
      <c r="F116" s="237"/>
      <c r="G116" s="1" t="s">
        <v>609</v>
      </c>
      <c r="H116" s="1"/>
      <c r="I116" s="1"/>
      <c r="J116" s="1"/>
      <c r="K116" s="1"/>
      <c r="L116" s="39"/>
      <c r="M116" s="223" t="s">
        <v>603</v>
      </c>
      <c r="N116" s="224" t="s">
        <v>31</v>
      </c>
      <c r="O116" s="225" t="s">
        <v>36</v>
      </c>
      <c r="P116" s="226" t="s">
        <v>39</v>
      </c>
      <c r="Q116" s="228" t="s">
        <v>42</v>
      </c>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row>
    <row r="117" spans="1:52" ht="18">
      <c r="A117" s="143"/>
      <c r="B117" s="137"/>
      <c r="C117" s="1"/>
      <c r="D117" s="6" t="str">
        <f>IF(Idioma=Castellano,"        % de residuo tratado en vertedero",IF(Idioma=Valencià,"        %de residu tractat en abocador","        % de residuo tratado en vertedero"))</f>
        <v xml:space="preserve">        % de residuo tratado en vertedero</v>
      </c>
      <c r="E117" s="1"/>
      <c r="F117" s="237"/>
      <c r="G117" s="1" t="s">
        <v>609</v>
      </c>
      <c r="H117" s="1"/>
      <c r="I117" s="223" t="s">
        <v>23</v>
      </c>
      <c r="J117" s="236"/>
      <c r="K117" s="1" t="str">
        <f>IF(Idioma=Castellano,"árboles",IF(Idioma=Valencià,"arbres","árboles"))</f>
        <v>árboles</v>
      </c>
      <c r="L117" s="34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row>
    <row r="118" spans="1:52" ht="18">
      <c r="A118" s="143"/>
      <c r="B118" s="137"/>
      <c r="C118" s="1"/>
      <c r="D118" s="6" t="str">
        <f>IF(Idioma=Castellano,"         % de residuo reciclado",IF(Idioma=Valencià,"         % de residu reciclat","         % de residuo reciclado"))</f>
        <v xml:space="preserve">         % de residuo reciclado</v>
      </c>
      <c r="E118" s="1"/>
      <c r="F118" s="237"/>
      <c r="G118" s="1" t="s">
        <v>609</v>
      </c>
      <c r="H118" s="1"/>
      <c r="I118" s="224" t="s">
        <v>31</v>
      </c>
      <c r="J118" s="540"/>
      <c r="K118" s="1" t="str">
        <f>IF(Idioma=Castellano,"árboles",IF(Idioma=Valencià,"arbres","árboles"))</f>
        <v>árboles</v>
      </c>
      <c r="L118" s="473" t="str">
        <f>IF(Idioma=Castellano,"Bosque",IF(Idioma=Valencià,"Bosc","Bosque"))</f>
        <v>Bosque</v>
      </c>
      <c r="M118" s="236"/>
      <c r="N118" s="236"/>
      <c r="O118" s="236"/>
      <c r="P118" s="236"/>
      <c r="Q118" s="236"/>
      <c r="R118" s="1" t="s">
        <v>599</v>
      </c>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row>
    <row r="119" spans="1:52" ht="18">
      <c r="A119" s="143"/>
      <c r="B119" s="137"/>
      <c r="C119" s="1"/>
      <c r="D119" s="6" t="str">
        <f>IF(Idioma=Castellano,"        % de residuo compostado",IF(Idioma=Valencià,"          % de residu compostat","        % de residuo compostado"))</f>
        <v xml:space="preserve">        % de residuo compostado</v>
      </c>
      <c r="E119" s="1"/>
      <c r="F119" s="237"/>
      <c r="G119" s="1" t="s">
        <v>609</v>
      </c>
      <c r="H119" s="1"/>
      <c r="I119" s="225" t="s">
        <v>36</v>
      </c>
      <c r="J119" s="540"/>
      <c r="K119" s="1" t="str">
        <f>IF(Idioma=Castellano,"árboles",IF(Idioma=Valencià,"arbres","árboles"))</f>
        <v>árboles</v>
      </c>
      <c r="L119" s="473" t="str">
        <f>IF(Idioma=Castellano,"Garriga/Matorral (arbustivas)/Prado",IF(Idioma=Valencià,"Garriga/Matoll (arbustives)/Prado","Garriga/Matorral (arbustivas)/Prado"))</f>
        <v>Garriga/Matorral (arbustivas)/Prado</v>
      </c>
      <c r="M119" s="236"/>
      <c r="N119" s="236"/>
      <c r="O119" s="236"/>
      <c r="P119" s="236"/>
      <c r="Q119" s="236"/>
      <c r="R119" s="1" t="s">
        <v>599</v>
      </c>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row>
    <row r="120" spans="1:52" ht="18">
      <c r="A120" s="143"/>
      <c r="B120" s="137"/>
      <c r="C120" s="1"/>
      <c r="D120" s="6"/>
      <c r="E120" s="6"/>
      <c r="F120" s="6"/>
      <c r="G120" s="6"/>
      <c r="H120" s="1"/>
      <c r="I120" s="226" t="s">
        <v>39</v>
      </c>
      <c r="J120" s="540"/>
      <c r="K120" s="1" t="str">
        <f>IF(Idioma=Castellano,"árboles",IF(Idioma=Valencià,"arbres","árboles"))</f>
        <v>árboles</v>
      </c>
      <c r="L120" s="473" t="str">
        <f>IF(Idioma=Castellano,"Cultivo",IF(Idioma=Valencià,"Cultiu","Cultivo"))</f>
        <v>Cultivo</v>
      </c>
      <c r="M120" s="236"/>
      <c r="N120" s="236"/>
      <c r="O120" s="236"/>
      <c r="P120" s="236"/>
      <c r="Q120" s="236"/>
      <c r="R120" s="1" t="s">
        <v>599</v>
      </c>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row>
    <row r="121" spans="1:52" ht="18">
      <c r="A121" s="143"/>
      <c r="B121" s="137"/>
      <c r="C121" s="1"/>
      <c r="D121" s="6"/>
      <c r="E121" s="6"/>
      <c r="F121" s="6"/>
      <c r="G121" s="6"/>
      <c r="H121" s="1"/>
      <c r="I121" s="227" t="s">
        <v>42</v>
      </c>
      <c r="J121" s="540"/>
      <c r="K121" s="1" t="str">
        <f>IF(Idioma=Castellano,"árboles",IF(Idioma=Valencià,"arbres","árboles"))</f>
        <v>árboles</v>
      </c>
      <c r="L121" s="473" t="str">
        <f>IF(Idioma=Castellano,"Marismas y humedales",IF(Idioma=Valencià,"Marenys i aiguamolls","Marismas y humedales"))</f>
        <v>Marismas y humedales</v>
      </c>
      <c r="M121" s="236"/>
      <c r="N121" s="236"/>
      <c r="O121" s="236"/>
      <c r="P121" s="236"/>
      <c r="Q121" s="236"/>
      <c r="R121" s="1" t="s">
        <v>599</v>
      </c>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row>
    <row r="122" spans="1:52" ht="18">
      <c r="A122" s="143"/>
      <c r="B122" s="137"/>
      <c r="C122" s="1"/>
      <c r="D122" s="6"/>
      <c r="E122" s="6"/>
      <c r="F122" s="6"/>
      <c r="G122" s="6"/>
      <c r="H122" s="1"/>
      <c r="I122" s="6"/>
      <c r="J122" s="6"/>
      <c r="K122" s="6"/>
      <c r="L122" s="474" t="str">
        <f>IF(Idioma=Castellano,"Otras tierras",IF(Idioma=Valencià,"Altres terres","Otras tierras"))</f>
        <v>Otras tierras</v>
      </c>
      <c r="M122" s="236"/>
      <c r="N122" s="236"/>
      <c r="O122" s="236"/>
      <c r="P122" s="236"/>
      <c r="Q122" s="236"/>
      <c r="R122" s="1" t="s">
        <v>599</v>
      </c>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row>
    <row r="123" spans="1:52" ht="18">
      <c r="A123" s="143"/>
      <c r="B123" s="137"/>
      <c r="C123" s="1"/>
      <c r="D123" s="6"/>
      <c r="E123" s="6"/>
      <c r="F123" s="6"/>
      <c r="G123" s="6"/>
      <c r="H123" s="1"/>
      <c r="I123" s="6"/>
      <c r="J123" s="6"/>
      <c r="K123" s="6"/>
      <c r="L123" s="473" t="str">
        <f>IF(Idioma=Castellano,"Asentamientos",IF(Idioma=Valencià,"Assentaments","Asentamientos"))</f>
        <v>Asentamientos</v>
      </c>
      <c r="M123" s="236"/>
      <c r="N123" s="236"/>
      <c r="O123" s="236"/>
      <c r="P123" s="236"/>
      <c r="Q123" s="236"/>
      <c r="R123" s="1" t="s">
        <v>599</v>
      </c>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row>
    <row r="124" spans="1:52" ht="18">
      <c r="A124" s="143"/>
      <c r="B124" s="137"/>
      <c r="C124" s="1"/>
      <c r="D124" s="6"/>
      <c r="E124" s="6"/>
      <c r="F124" s="6"/>
      <c r="G124" s="6"/>
      <c r="H124" s="1"/>
      <c r="I124" s="6"/>
      <c r="J124" s="6"/>
      <c r="K124" s="6"/>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row>
    <row r="125" spans="1:52" ht="18">
      <c r="A125" s="143"/>
      <c r="B125" s="137"/>
      <c r="C125" s="1"/>
      <c r="D125" s="6"/>
      <c r="E125" s="6"/>
      <c r="F125" s="6"/>
      <c r="G125" s="6"/>
      <c r="H125" s="1"/>
      <c r="I125" s="6"/>
      <c r="J125" s="6"/>
      <c r="K125" s="6"/>
      <c r="L125" s="1"/>
      <c r="M125" s="60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row>
    <row r="126" spans="1:52" ht="18">
      <c r="A126" s="143"/>
      <c r="B126" s="137"/>
      <c r="C126" s="1"/>
      <c r="D126" s="6"/>
      <c r="E126" s="6"/>
      <c r="F126" s="6"/>
      <c r="G126" s="6"/>
      <c r="H126" s="1"/>
      <c r="I126" s="6"/>
      <c r="J126" s="6"/>
      <c r="K126" s="6"/>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row>
    <row r="127" spans="1:52" ht="18">
      <c r="A127" s="143"/>
      <c r="B127" s="137"/>
      <c r="C127" s="1"/>
      <c r="D127" s="6"/>
      <c r="E127" s="6"/>
      <c r="F127" s="6"/>
      <c r="G127" s="6"/>
      <c r="H127" s="1"/>
      <c r="I127" s="6"/>
      <c r="J127" s="6"/>
      <c r="K127" s="6"/>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row>
    <row r="128" spans="1:52" ht="18">
      <c r="A128" s="143"/>
      <c r="B128" s="137"/>
      <c r="C128" s="1"/>
      <c r="D128" s="6"/>
      <c r="E128" s="6"/>
      <c r="F128" s="6"/>
      <c r="G128" s="6"/>
      <c r="H128" s="1"/>
      <c r="I128" s="6"/>
      <c r="J128" s="6"/>
      <c r="K128" s="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row>
    <row r="129" spans="1:52" ht="18">
      <c r="A129" s="143"/>
      <c r="B129" s="137"/>
      <c r="C129" s="1"/>
      <c r="D129" s="6"/>
      <c r="E129" s="6"/>
      <c r="F129" s="6"/>
      <c r="G129" s="6"/>
      <c r="H129" s="1"/>
      <c r="I129" s="6"/>
      <c r="J129" s="6"/>
      <c r="K129" s="6"/>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row>
    <row r="130" spans="1:52" ht="18">
      <c r="A130" s="143"/>
      <c r="B130" s="137"/>
      <c r="C130" s="1"/>
      <c r="D130" s="6"/>
      <c r="E130" s="6"/>
      <c r="F130" s="6"/>
      <c r="G130" s="6"/>
      <c r="H130" s="1"/>
      <c r="I130" s="6"/>
      <c r="J130" s="6"/>
      <c r="K130" s="6"/>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row>
    <row r="131" spans="1:52" ht="18">
      <c r="A131" s="143"/>
      <c r="B131" s="137"/>
      <c r="C131" s="1"/>
      <c r="D131" s="6"/>
      <c r="E131" s="6"/>
      <c r="F131" s="6"/>
      <c r="G131" s="6"/>
      <c r="H131" s="1"/>
      <c r="I131" s="6"/>
      <c r="J131" s="6"/>
      <c r="K131" s="6"/>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row>
    <row r="132" spans="1:52" ht="18">
      <c r="A132" s="143"/>
      <c r="B132" s="137"/>
      <c r="C132" s="1"/>
      <c r="D132" s="6"/>
      <c r="E132" s="6"/>
      <c r="F132" s="6"/>
      <c r="G132" s="6"/>
      <c r="H132" s="1"/>
      <c r="I132" s="6"/>
      <c r="J132" s="6"/>
      <c r="K132" s="6"/>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row>
    <row r="133" spans="1:52" ht="18">
      <c r="A133" s="143"/>
      <c r="B133" s="137"/>
      <c r="C133" s="1"/>
      <c r="D133" s="6"/>
      <c r="E133" s="6"/>
      <c r="F133" s="6"/>
      <c r="G133" s="6"/>
      <c r="H133" s="1"/>
      <c r="I133" s="6"/>
      <c r="J133" s="6"/>
      <c r="K133" s="6"/>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row>
    <row r="134" spans="1:52" ht="18">
      <c r="A134" s="143"/>
      <c r="B134" s="137"/>
      <c r="C134" s="1"/>
      <c r="D134" s="6"/>
      <c r="E134" s="6"/>
      <c r="F134" s="6"/>
      <c r="G134" s="6"/>
      <c r="H134" s="1"/>
      <c r="I134" s="6"/>
      <c r="J134" s="6"/>
      <c r="K134" s="6"/>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row>
    <row r="135" spans="1:52" ht="18">
      <c r="A135" s="143"/>
      <c r="B135" s="137"/>
      <c r="C135" s="1"/>
      <c r="D135" s="6"/>
      <c r="E135" s="6"/>
      <c r="F135" s="6"/>
      <c r="G135" s="6"/>
      <c r="H135" s="1"/>
      <c r="I135" s="6"/>
      <c r="J135" s="6"/>
      <c r="K135" s="6"/>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row>
    <row r="136" spans="1:52" ht="18">
      <c r="A136" s="143"/>
      <c r="B136" s="137"/>
      <c r="C136" s="1"/>
      <c r="D136" s="6"/>
      <c r="E136" s="6"/>
      <c r="F136" s="6"/>
      <c r="G136" s="6"/>
      <c r="H136" s="1"/>
      <c r="I136" s="6"/>
      <c r="J136" s="6"/>
      <c r="K136" s="6"/>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row>
    <row r="137" spans="1:52" ht="18">
      <c r="A137" s="143"/>
      <c r="B137" s="137"/>
      <c r="C137" s="1"/>
      <c r="D137" s="6"/>
      <c r="E137" s="6"/>
      <c r="F137" s="6"/>
      <c r="G137" s="6"/>
      <c r="H137" s="1"/>
      <c r="I137" s="6"/>
      <c r="J137" s="6"/>
      <c r="K137" s="6"/>
      <c r="L137" s="1"/>
      <c r="M137" s="1"/>
      <c r="N137" s="187"/>
      <c r="O137" s="187"/>
      <c r="P137" s="187"/>
      <c r="Q137" s="187"/>
      <c r="R137" s="187"/>
      <c r="S137" s="187"/>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row>
    <row r="138" spans="1:52" ht="18">
      <c r="A138" s="143"/>
      <c r="B138" s="137"/>
      <c r="C138" s="1"/>
      <c r="D138" s="6"/>
      <c r="E138" s="6"/>
      <c r="F138" s="6"/>
      <c r="G138" s="6"/>
      <c r="H138" s="1"/>
      <c r="I138" s="6"/>
      <c r="J138" s="6"/>
      <c r="K138" s="6"/>
      <c r="L138" s="1"/>
      <c r="M138" s="1"/>
      <c r="N138" s="187"/>
      <c r="O138" s="187"/>
      <c r="P138" s="187"/>
      <c r="Q138" s="187"/>
      <c r="R138" s="187"/>
      <c r="S138" s="187"/>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row>
    <row r="139" spans="1:52" ht="18">
      <c r="A139" s="143"/>
      <c r="B139" s="137"/>
      <c r="C139" s="1"/>
      <c r="D139" s="6"/>
      <c r="E139" s="6"/>
      <c r="F139" s="6"/>
      <c r="G139" s="6"/>
      <c r="H139" s="1"/>
      <c r="I139" s="6"/>
      <c r="J139" s="6"/>
      <c r="K139" s="6"/>
      <c r="L139" s="1"/>
      <c r="M139" s="1"/>
      <c r="N139" s="187"/>
      <c r="O139" s="187"/>
      <c r="P139" s="187"/>
      <c r="Q139" s="187"/>
      <c r="R139" s="187"/>
      <c r="S139" s="187"/>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row>
    <row r="140" spans="1:52" ht="18">
      <c r="A140" s="143"/>
      <c r="B140" s="137"/>
      <c r="C140" s="1"/>
      <c r="D140" s="6"/>
      <c r="E140" s="6"/>
      <c r="F140" s="6"/>
      <c r="G140" s="6"/>
      <c r="H140" s="1"/>
      <c r="I140" s="6"/>
      <c r="J140" s="6"/>
      <c r="K140" s="6"/>
      <c r="L140" s="1"/>
      <c r="M140" s="1"/>
      <c r="N140" s="187"/>
      <c r="O140" s="187"/>
      <c r="P140" s="187"/>
      <c r="Q140" s="187"/>
      <c r="R140" s="187"/>
      <c r="S140" s="187"/>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row>
    <row r="141" spans="1:52" ht="18">
      <c r="A141" s="143"/>
      <c r="B141" s="137"/>
      <c r="C141" s="1"/>
      <c r="D141" s="6"/>
      <c r="E141" s="6"/>
      <c r="F141" s="6"/>
      <c r="G141" s="6"/>
      <c r="H141" s="1"/>
      <c r="I141" s="6"/>
      <c r="J141" s="6"/>
      <c r="K141" s="6"/>
      <c r="L141" s="1"/>
      <c r="M141" s="1"/>
      <c r="N141" s="187"/>
      <c r="O141" s="187"/>
      <c r="P141" s="187"/>
      <c r="Q141" s="187"/>
      <c r="R141" s="187"/>
      <c r="S141" s="187"/>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row>
    <row r="142" spans="1:52" ht="18">
      <c r="A142" s="143"/>
      <c r="B142" s="137"/>
      <c r="C142" s="1"/>
      <c r="D142" s="6"/>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row>
    <row r="143" spans="1:52" s="141" customFormat="1" ht="10.199999999999999" customHeight="1">
      <c r="A143" s="143"/>
      <c r="B143" s="137"/>
      <c r="C143" s="137"/>
    </row>
    <row r="144" spans="1:52" ht="18">
      <c r="A144" s="143"/>
      <c r="B144" s="137"/>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row>
    <row r="145" spans="1:52" ht="18">
      <c r="A145" s="146"/>
      <c r="B145" s="137"/>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row>
    <row r="146" spans="1:52" ht="18">
      <c r="A146" s="143"/>
      <c r="B146" s="137"/>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row>
    <row r="147" spans="1:52" ht="18">
      <c r="A147" s="143"/>
      <c r="B147" s="137"/>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row>
    <row r="148" spans="1:52" ht="18">
      <c r="A148" s="143"/>
      <c r="B148" s="137"/>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row>
    <row r="149" spans="1:52" ht="18">
      <c r="A149" s="143"/>
      <c r="B149" s="137"/>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row>
    <row r="150" spans="1:52" ht="18">
      <c r="A150" s="143"/>
      <c r="B150" s="137"/>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row>
  </sheetData>
  <mergeCells count="40">
    <mergeCell ref="D109:E109"/>
    <mergeCell ref="X102:Y103"/>
    <mergeCell ref="D105:E105"/>
    <mergeCell ref="D106:E106"/>
    <mergeCell ref="D107:E107"/>
    <mergeCell ref="D110:E110"/>
    <mergeCell ref="E51:E53"/>
    <mergeCell ref="E48:E50"/>
    <mergeCell ref="E27:E29"/>
    <mergeCell ref="D24:D29"/>
    <mergeCell ref="D30:D35"/>
    <mergeCell ref="D36:D41"/>
    <mergeCell ref="D42:D47"/>
    <mergeCell ref="E36:E38"/>
    <mergeCell ref="E39:E41"/>
    <mergeCell ref="E42:E44"/>
    <mergeCell ref="E45:E47"/>
    <mergeCell ref="D108:E108"/>
    <mergeCell ref="D48:D53"/>
    <mergeCell ref="E30:E32"/>
    <mergeCell ref="E33:E35"/>
    <mergeCell ref="E8:H8"/>
    <mergeCell ref="E7:J7"/>
    <mergeCell ref="E9:H9"/>
    <mergeCell ref="E22:I22"/>
    <mergeCell ref="E24:E26"/>
    <mergeCell ref="L84:L86"/>
    <mergeCell ref="L87:L89"/>
    <mergeCell ref="L90:L92"/>
    <mergeCell ref="L38:L40"/>
    <mergeCell ref="L41:L43"/>
    <mergeCell ref="L44:L46"/>
    <mergeCell ref="L47:L49"/>
    <mergeCell ref="L59:L61"/>
    <mergeCell ref="L56:L58"/>
    <mergeCell ref="L62:L64"/>
    <mergeCell ref="L65:L67"/>
    <mergeCell ref="L68:L70"/>
    <mergeCell ref="L78:L80"/>
    <mergeCell ref="L81:L83"/>
  </mergeCells>
  <phoneticPr fontId="71" type="noConversion"/>
  <conditionalFormatting sqref="P111:P112">
    <cfRule type="colorScale" priority="27">
      <colorScale>
        <cfvo type="formula" val="&quot;&gt;100&quot;"/>
        <cfvo type="formula" val="&quot;&lt;100&quot;"/>
        <color rgb="FFFF0000"/>
        <color rgb="FFFFEF9C"/>
      </colorScale>
    </cfRule>
  </conditionalFormatting>
  <conditionalFormatting sqref="J121">
    <cfRule type="expression" dxfId="305" priority="19">
      <formula>$J$115=#REF!</formula>
    </cfRule>
  </conditionalFormatting>
  <conditionalFormatting sqref="F111:J111">
    <cfRule type="cellIs" dxfId="304" priority="14" operator="equal">
      <formula>1</formula>
    </cfRule>
    <cfRule type="cellIs" dxfId="303" priority="15" operator="notEqual">
      <formula>100</formula>
    </cfRule>
  </conditionalFormatting>
  <conditionalFormatting sqref="L41:N49 L59:N70 L81:R92 P41:P49 T41:T49 V41:V49 P59:P70 R59:R70 T59:T70 V59:V70 R41:R49">
    <cfRule type="expression" dxfId="302" priority="485">
      <formula>$J$17="No"</formula>
    </cfRule>
  </conditionalFormatting>
  <conditionalFormatting sqref="J118:J121">
    <cfRule type="expression" dxfId="301" priority="12">
      <formula>$J$115="No se conoce"</formula>
    </cfRule>
  </conditionalFormatting>
  <conditionalFormatting sqref="O41:O49">
    <cfRule type="expression" dxfId="300" priority="10">
      <formula>$J$17="No"</formula>
    </cfRule>
  </conditionalFormatting>
  <conditionalFormatting sqref="Q41:Q49">
    <cfRule type="expression" dxfId="299" priority="9">
      <formula>$J$17="No"</formula>
    </cfRule>
  </conditionalFormatting>
  <conditionalFormatting sqref="S41:S49">
    <cfRule type="expression" dxfId="298" priority="8">
      <formula>$J$17="No"</formula>
    </cfRule>
  </conditionalFormatting>
  <conditionalFormatting sqref="U41:U49">
    <cfRule type="expression" dxfId="297" priority="7">
      <formula>$J$17="No"</formula>
    </cfRule>
  </conditionalFormatting>
  <conditionalFormatting sqref="W41:W49">
    <cfRule type="expression" dxfId="296" priority="6">
      <formula>$J$17="No"</formula>
    </cfRule>
  </conditionalFormatting>
  <conditionalFormatting sqref="O59:O70">
    <cfRule type="expression" dxfId="295" priority="5">
      <formula>$J$17="No"</formula>
    </cfRule>
  </conditionalFormatting>
  <conditionalFormatting sqref="Q59:Q70">
    <cfRule type="expression" dxfId="294" priority="4">
      <formula>$J$17="No"</formula>
    </cfRule>
  </conditionalFormatting>
  <conditionalFormatting sqref="S59:S70">
    <cfRule type="expression" dxfId="293" priority="3">
      <formula>$J$17="No"</formula>
    </cfRule>
  </conditionalFormatting>
  <conditionalFormatting sqref="U59:U70">
    <cfRule type="expression" dxfId="292" priority="2">
      <formula>$J$17="No"</formula>
    </cfRule>
  </conditionalFormatting>
  <conditionalFormatting sqref="W59:W70">
    <cfRule type="expression" dxfId="291" priority="1">
      <formula>$J$17="No"</formula>
    </cfRule>
  </conditionalFormatting>
  <dataValidations xWindow="445" yWindow="421" count="4">
    <dataValidation allowBlank="1" showInputMessage="1" showErrorMessage="1" error="Por favor, elige una de las comarcas de la lista desplegable" promptTitle="Comarca:" prompt="Introducir el nombre del área funcional" sqref="E10:H10" xr:uid="{69B3377C-572E-48B9-BEB4-A659B2FA9A33}"/>
    <dataValidation type="list" allowBlank="1" showInputMessage="1" showErrorMessage="1" promptTitle="Municipio" prompt="Elegir un municipio de  la lista desplegable" sqref="E9:H9" xr:uid="{2005159E-ECA1-4A47-B53A-8FB9C424CBEF}">
      <formula1>INDIRECT($E$8)</formula1>
    </dataValidation>
    <dataValidation type="list" allowBlank="1" showInputMessage="1" showErrorMessage="1" sqref="V51 R51 X51 T51 P51" xr:uid="{5E4912FD-D5D0-4D61-A1E4-E36F087ED06D}">
      <formula1>#REF!</formula1>
    </dataValidation>
    <dataValidation type="list" allowBlank="1" showInputMessage="1" showErrorMessage="1" sqref="N129:N134" xr:uid="{07220E51-8AAB-4923-8007-2AE682A74568}">
      <formula1>INDIRECT($L129)</formula1>
    </dataValidation>
  </dataValidations>
  <hyperlinks>
    <hyperlink ref="A7" location="Instrucciones_Valencia!A1" display="Instrucciones_Valencia!A1" xr:uid="{243401CC-4518-4B2B-8AA2-4E2603DD2D68}"/>
    <hyperlink ref="A9" location="M_Datos_Valencia!A1" display="M_Datos_Valencia!A1" xr:uid="{B2AF17E5-8DA9-488D-A8DF-DCA19398D8BE}"/>
    <hyperlink ref="A11" location="V_A0!A1" display="2.1. Alternativa 0 (A0)" xr:uid="{F1411739-0544-44B1-8ECF-E3088C71909B}"/>
    <hyperlink ref="A12" location="V_A1!A1" display="2.2. Alternativa 1 (A1)" xr:uid="{F4ECA334-2EC1-4FEB-B35A-E3EF34AFE27D}"/>
    <hyperlink ref="A13" location="V_A2!A1" display="2.3. Alternativa 2 (A2)" xr:uid="{A13962DA-1898-44A5-BDA5-5759DC81CC1B}"/>
    <hyperlink ref="A14" location="V_A3!A1" display="2.4. Alternativa 3 (A3)" xr:uid="{E1281CA0-886B-45E8-B4FC-4B6C1696B429}"/>
    <hyperlink ref="A15" location="V_A4!A1" display="2.5. Alternativa 4 (A4)" xr:uid="{6C2B6D59-269D-421F-AC34-9411D1EF290D}"/>
    <hyperlink ref="A16" location="B_Resultados!A1" display="B_Resultados!A1" xr:uid="{24975B35-A8A4-4F7D-B6BD-1DF3CE0CE542}"/>
    <hyperlink ref="A17" location="V_Factores!A1" display="V_Factores!A1" xr:uid="{A7581FC4-E05A-439E-B0F7-1BC1FA3F98FA}"/>
    <hyperlink ref="A19" location="B_Alcance!A1" display="B_Alcance!A1" xr:uid="{EFD40298-FC1B-4E4B-B6EF-E5E33B0FED10}"/>
    <hyperlink ref="A20" location="B_Checklist!A1" display="2. Checklist" xr:uid="{C5D8D305-6081-456A-87E6-2864F6B3C8D2}"/>
    <hyperlink ref="A21" location="B_Resultados!A1" display="B_Resultados!A1" xr:uid="{73AE1EFC-7F6D-493D-B330-6320E5DD5DFD}"/>
    <hyperlink ref="A22" location="Resultados_generales!A1" display="Resultados_generales!A1" xr:uid="{F4E6150E-54CC-4E31-B231-79A8AB226000}"/>
    <hyperlink ref="A23" location="Medidas_Propuestas!A1" display="Medidas_Propuestas!A1" xr:uid="{14873254-D651-4202-B755-16C150FF44D5}"/>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7" id="{68A29720-F780-4D0E-85FD-9B5E2B32AA4D}">
            <xm:f>$J$115='C:\Calibración herramienta CC\5.Documentacion ELABORADA\2. Casos piloto\HERRAMIENTA\Revisión_19072019\[Herramienta CC_Orio Amb. Dique_FINAL.xlsx]Listas M'!#REF!</xm:f>
            <x14:dxf>
              <fill>
                <patternFill>
                  <bgColor theme="7" tint="0.79998168889431442"/>
                </patternFill>
              </fill>
            </x14:dxf>
          </x14:cfRule>
          <xm:sqref>J117</xm:sqref>
        </x14:conditionalFormatting>
        <x14:conditionalFormatting xmlns:xm="http://schemas.microsoft.com/office/excel/2006/main">
          <x14:cfRule type="expression" priority="11" id="{6D363BBC-C2CE-4A9D-9C83-9BFBFEB1AEE0}">
            <xm:f>$J$115='C:\Calibración herramienta CC\5.Documentacion ELABORADA\2. Casos piloto\HERRAMIENTA\Revisión_19072019\[Herramienta CC_Orio Amb. Dique_FINAL.xlsx]Listas M'!#REF!</xm:f>
            <x14:dxf>
              <fill>
                <patternFill>
                  <bgColor theme="7" tint="0.79998168889431442"/>
                </patternFill>
              </fill>
            </x14:dxf>
          </x14:cfRule>
          <xm:sqref>M118:Q123</xm:sqref>
        </x14:conditionalFormatting>
      </x14:conditionalFormattings>
    </ext>
    <ext xmlns:x14="http://schemas.microsoft.com/office/spreadsheetml/2009/9/main" uri="{CCE6A557-97BC-4b89-ADB6-D9C93CAAB3DF}">
      <x14:dataValidations xmlns:xm="http://schemas.microsoft.com/office/excel/2006/main" xWindow="445" yWindow="421" count="8">
        <x14:dataValidation type="list" allowBlank="1" showInputMessage="1" showErrorMessage="1" xr:uid="{C9C729DF-F083-48CB-909F-D6BB27988FEC}">
          <x14:formula1>
            <xm:f>M_Lista!$H$3:$H$4</xm:f>
          </x14:formula1>
          <xm:sqref>J115</xm:sqref>
        </x14:dataValidation>
        <x14:dataValidation type="list" allowBlank="1" showInputMessage="1" showErrorMessage="1" xr:uid="{F97EF1DB-EBBB-4310-9933-E96DA5767890}">
          <x14:formula1>
            <xm:f>M_Lista!$A$3:$A$5</xm:f>
          </x14:formula1>
          <xm:sqref>E8:H8</xm:sqref>
        </x14:dataValidation>
        <x14:dataValidation type="list" allowBlank="1" showInputMessage="1" showErrorMessage="1" xr:uid="{4EE037EE-092B-4BD4-A68A-B20F1198A67C}">
          <x14:formula1>
            <xm:f>M_Lista!$G$3:$G$11</xm:f>
          </x14:formula1>
          <xm:sqref>W78:W92 U78:U92 S78:S92</xm:sqref>
        </x14:dataValidation>
        <x14:dataValidation type="list" allowBlank="1" showInputMessage="1" showErrorMessage="1" xr:uid="{09A0AADF-D691-4844-9053-83C796E2CD92}">
          <x14:formula1>
            <xm:f>M_Lista!$E$3:$E$4</xm:f>
          </x14:formula1>
          <xm:sqref>J17</xm:sqref>
        </x14:dataValidation>
        <x14:dataValidation type="list" allowBlank="1" showInputMessage="1" showErrorMessage="1" xr:uid="{37BB0AB2-E8CE-44F9-A9BB-2689611AB4ED}">
          <x14:formula1>
            <xm:f>M_Lista!$J$3:$J$4</xm:f>
          </x14:formula1>
          <xm:sqref>M38:M49 M56:M70 M78:M92 F24:F53</xm:sqref>
        </x14:dataValidation>
        <x14:dataValidation type="list" allowBlank="1" showInputMessage="1" showErrorMessage="1" xr:uid="{39A7A7C9-DFFF-4D52-ABA6-D31EC6EF2094}">
          <x14:formula1>
            <xm:f>IF($F24=M_Lista!$J$3,M_Lista!$G$4:$G$8,M_Lista!$G$3:$G$11)</xm:f>
          </x14:formula1>
          <xm:sqref>I24:I53</xm:sqref>
        </x14:dataValidation>
        <x14:dataValidation type="list" allowBlank="1" showInputMessage="1" showErrorMessage="1" xr:uid="{AE827375-8600-4774-B274-53E5A9026A9B}">
          <x14:formula1>
            <xm:f>IF($M38=M_Lista!$J$3,M_Lista!$G$4:$G$8,M_Lista!$G$3:$G$11)</xm:f>
          </x14:formula1>
          <xm:sqref>O38:O49 Q38:Q49 S38:S49 U38:U49 W38:W49 O56:O70 Q56:Q70 S56:S70 U56:U70 W56:W70</xm:sqref>
        </x14:dataValidation>
        <x14:dataValidation type="list" allowBlank="1" showInputMessage="1" showErrorMessage="1" xr:uid="{308DD05A-C368-487A-A4C0-D4580A4E495F}">
          <x14:formula1>
            <xm:f>M_Lista!$N$4:$N$7</xm:f>
          </x14:formula1>
          <xm:sqref>L124:L134 M129:M134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F1676-0B8A-4426-8E49-0225C650B2E3}">
  <sheetPr>
    <tabColor rgb="FFC00000"/>
  </sheetPr>
  <dimension ref="A1:XFC95"/>
  <sheetViews>
    <sheetView workbookViewId="0"/>
  </sheetViews>
  <sheetFormatPr baseColWidth="10" defaultColWidth="11.44140625" defaultRowHeight="14.4"/>
  <cols>
    <col min="1" max="1" width="28.88671875" style="147" customWidth="1"/>
    <col min="2" max="2" width="11.44140625" style="1"/>
    <col min="3" max="3" width="21.5546875" style="1" customWidth="1"/>
    <col min="4" max="7" width="11.44140625" style="1"/>
    <col min="8" max="8" width="16" style="1" customWidth="1"/>
    <col min="9" max="10" width="11.44140625" style="1"/>
    <col min="11" max="11" width="14.6640625" style="1" customWidth="1"/>
    <col min="12" max="12" width="14.109375" style="1" customWidth="1"/>
    <col min="13" max="13" width="14.33203125" style="1" customWidth="1"/>
    <col min="14" max="14" width="13.109375" style="1" customWidth="1"/>
    <col min="15" max="15" width="12.5546875" style="1" customWidth="1"/>
    <col min="16" max="16" width="12.88671875" style="1" customWidth="1"/>
    <col min="17" max="17" width="14.6640625" style="1" customWidth="1"/>
    <col min="18" max="18" width="14" style="1" customWidth="1"/>
    <col min="19" max="19" width="14.6640625" style="1" customWidth="1"/>
    <col min="20" max="20" width="13.6640625" style="1" customWidth="1"/>
    <col min="21" max="21" width="14.33203125" style="1" customWidth="1"/>
    <col min="22" max="23" width="15.33203125" style="1" customWidth="1"/>
    <col min="24" max="24" width="14.5546875" style="1" customWidth="1"/>
    <col min="25" max="25" width="14.6640625" style="1" customWidth="1"/>
    <col min="26" max="26" width="14.33203125" style="1" customWidth="1"/>
    <col min="27" max="27" width="15.44140625" style="1" customWidth="1"/>
    <col min="28" max="16384" width="11.44140625" style="1"/>
  </cols>
  <sheetData>
    <row r="1" spans="1:16383" customFormat="1" ht="30" customHeight="1">
      <c r="A1" s="1"/>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c r="EN1" s="136"/>
      <c r="EO1" s="136"/>
      <c r="EP1" s="136"/>
      <c r="EQ1" s="136"/>
      <c r="ER1" s="136"/>
      <c r="ES1" s="136"/>
      <c r="ET1" s="136"/>
      <c r="EU1" s="136"/>
      <c r="EV1" s="136"/>
      <c r="EW1" s="136"/>
      <c r="EX1" s="136"/>
      <c r="EY1" s="136"/>
      <c r="EZ1" s="136"/>
      <c r="FA1" s="136"/>
      <c r="FB1" s="136"/>
      <c r="FC1" s="136"/>
      <c r="FD1" s="136"/>
      <c r="FE1" s="136"/>
      <c r="FF1" s="136"/>
      <c r="FG1" s="136"/>
      <c r="FH1" s="136"/>
      <c r="FI1" s="136"/>
      <c r="FJ1" s="136"/>
      <c r="FK1" s="136"/>
      <c r="FL1" s="136"/>
      <c r="FM1" s="136"/>
      <c r="FN1" s="136"/>
      <c r="FO1" s="136"/>
      <c r="FP1" s="136"/>
      <c r="FQ1" s="136"/>
      <c r="FR1" s="136"/>
      <c r="FS1" s="136"/>
      <c r="FT1" s="136"/>
      <c r="FU1" s="136"/>
      <c r="FV1" s="136"/>
      <c r="FW1" s="136"/>
      <c r="FX1" s="136"/>
      <c r="FY1" s="136"/>
      <c r="FZ1" s="136"/>
      <c r="GA1" s="136"/>
      <c r="GB1" s="136"/>
      <c r="GC1" s="136"/>
      <c r="GD1" s="136"/>
      <c r="GE1" s="136"/>
      <c r="GF1" s="136"/>
      <c r="GG1" s="136"/>
      <c r="GH1" s="136"/>
      <c r="GI1" s="136"/>
      <c r="GJ1" s="136"/>
      <c r="GK1" s="136"/>
      <c r="GL1" s="136"/>
      <c r="GM1" s="136"/>
      <c r="GN1" s="136"/>
      <c r="GO1" s="136"/>
      <c r="GP1" s="136"/>
      <c r="GQ1" s="136"/>
      <c r="GR1" s="136"/>
      <c r="GS1" s="136"/>
      <c r="GT1" s="136"/>
      <c r="GU1" s="136"/>
      <c r="GV1" s="136"/>
      <c r="GW1" s="136"/>
      <c r="GX1" s="136"/>
      <c r="GY1" s="136"/>
      <c r="GZ1" s="136"/>
      <c r="HA1" s="136"/>
      <c r="HB1" s="136"/>
      <c r="HC1" s="136"/>
      <c r="HD1" s="136"/>
      <c r="HE1" s="136"/>
      <c r="HF1" s="136"/>
      <c r="HG1" s="136"/>
      <c r="HH1" s="136"/>
      <c r="HI1" s="136"/>
      <c r="HJ1" s="136"/>
      <c r="HK1" s="136"/>
      <c r="HL1" s="136"/>
      <c r="HM1" s="136"/>
      <c r="HN1" s="136"/>
      <c r="HO1" s="136"/>
      <c r="HP1" s="136"/>
      <c r="HQ1" s="136"/>
      <c r="HR1" s="136"/>
      <c r="HS1" s="136"/>
      <c r="HT1" s="136"/>
      <c r="HU1" s="136"/>
      <c r="HV1" s="136"/>
      <c r="HW1" s="136"/>
      <c r="HX1" s="136"/>
      <c r="HY1" s="136"/>
      <c r="HZ1" s="136"/>
      <c r="IA1" s="136"/>
      <c r="IB1" s="136"/>
      <c r="IC1" s="136"/>
      <c r="ID1" s="136"/>
      <c r="IE1" s="136"/>
      <c r="IF1" s="136"/>
      <c r="IG1" s="136"/>
      <c r="IH1" s="136"/>
      <c r="II1" s="136"/>
      <c r="IJ1" s="136"/>
      <c r="IK1" s="136"/>
      <c r="IL1" s="136"/>
      <c r="IM1" s="136"/>
      <c r="IN1" s="136"/>
      <c r="IO1" s="136"/>
      <c r="IP1" s="136"/>
      <c r="IQ1" s="136"/>
      <c r="IR1" s="136"/>
      <c r="IS1" s="136"/>
      <c r="IT1" s="136"/>
      <c r="IU1" s="136"/>
      <c r="IV1" s="136"/>
      <c r="IW1" s="136"/>
      <c r="IX1" s="136"/>
      <c r="IY1" s="136"/>
      <c r="IZ1" s="136"/>
      <c r="JA1" s="136"/>
      <c r="JB1" s="136"/>
      <c r="JC1" s="136"/>
      <c r="JD1" s="136"/>
      <c r="JE1" s="136"/>
      <c r="JF1" s="136"/>
      <c r="JG1" s="136"/>
      <c r="JH1" s="136"/>
      <c r="JI1" s="136"/>
      <c r="JJ1" s="136"/>
      <c r="JK1" s="136"/>
      <c r="JL1" s="136"/>
      <c r="JM1" s="136"/>
      <c r="JN1" s="136"/>
      <c r="JO1" s="136"/>
      <c r="JP1" s="136"/>
      <c r="JQ1" s="136"/>
      <c r="JR1" s="136"/>
      <c r="JS1" s="136"/>
      <c r="JT1" s="136"/>
      <c r="JU1" s="136"/>
      <c r="JV1" s="136"/>
      <c r="JW1" s="136"/>
      <c r="JX1" s="136"/>
      <c r="JY1" s="136"/>
      <c r="JZ1" s="136"/>
      <c r="KA1" s="136"/>
      <c r="KB1" s="136"/>
      <c r="KC1" s="136"/>
      <c r="KD1" s="136"/>
      <c r="KE1" s="136"/>
      <c r="KF1" s="136"/>
      <c r="KG1" s="136"/>
      <c r="KH1" s="136"/>
      <c r="KI1" s="136"/>
      <c r="KJ1" s="136"/>
      <c r="KK1" s="136"/>
      <c r="KL1" s="136"/>
      <c r="KM1" s="136"/>
      <c r="KN1" s="136"/>
      <c r="KO1" s="136"/>
      <c r="KP1" s="136"/>
      <c r="KQ1" s="136"/>
      <c r="KR1" s="136"/>
      <c r="KS1" s="136"/>
      <c r="KT1" s="136"/>
      <c r="KU1" s="136"/>
      <c r="KV1" s="136"/>
      <c r="KW1" s="136"/>
      <c r="KX1" s="136"/>
      <c r="KY1" s="136"/>
      <c r="KZ1" s="136"/>
      <c r="LA1" s="136"/>
      <c r="LB1" s="136"/>
      <c r="LC1" s="136"/>
      <c r="LD1" s="136"/>
      <c r="LE1" s="136"/>
      <c r="LF1" s="136"/>
      <c r="LG1" s="136"/>
      <c r="LH1" s="136"/>
      <c r="LI1" s="136"/>
      <c r="LJ1" s="136"/>
      <c r="LK1" s="136"/>
      <c r="LL1" s="136"/>
      <c r="LM1" s="136"/>
      <c r="LN1" s="136"/>
      <c r="LO1" s="136"/>
      <c r="LP1" s="136"/>
      <c r="LQ1" s="136"/>
      <c r="LR1" s="136"/>
      <c r="LS1" s="136"/>
      <c r="LT1" s="136"/>
      <c r="LU1" s="136"/>
      <c r="LV1" s="136"/>
      <c r="LW1" s="136"/>
      <c r="LX1" s="136"/>
      <c r="LY1" s="136"/>
      <c r="LZ1" s="136"/>
      <c r="MA1" s="136"/>
      <c r="MB1" s="136"/>
      <c r="MC1" s="136"/>
      <c r="MD1" s="136"/>
      <c r="ME1" s="136"/>
      <c r="MF1" s="136"/>
      <c r="MG1" s="136"/>
      <c r="MH1" s="136"/>
      <c r="MI1" s="136"/>
      <c r="MJ1" s="136"/>
      <c r="MK1" s="136"/>
      <c r="ML1" s="136"/>
      <c r="MM1" s="136"/>
      <c r="MN1" s="136"/>
      <c r="MO1" s="136"/>
      <c r="MP1" s="136"/>
      <c r="MQ1" s="136"/>
      <c r="MR1" s="136"/>
      <c r="MS1" s="136"/>
      <c r="MT1" s="136"/>
      <c r="MU1" s="136"/>
      <c r="MV1" s="136"/>
      <c r="MW1" s="136"/>
      <c r="MX1" s="136"/>
      <c r="MY1" s="136"/>
      <c r="MZ1" s="136"/>
      <c r="NA1" s="136"/>
      <c r="NB1" s="136"/>
      <c r="NC1" s="136"/>
      <c r="ND1" s="136"/>
      <c r="NE1" s="136"/>
      <c r="NF1" s="136"/>
      <c r="NG1" s="136"/>
      <c r="NH1" s="136"/>
      <c r="NI1" s="136"/>
      <c r="NJ1" s="136"/>
      <c r="NK1" s="136"/>
      <c r="NL1" s="136"/>
      <c r="NM1" s="136"/>
      <c r="NN1" s="136"/>
      <c r="NO1" s="136"/>
      <c r="NP1" s="136"/>
      <c r="NQ1" s="136"/>
      <c r="NR1" s="136"/>
      <c r="NS1" s="136"/>
      <c r="NT1" s="136"/>
      <c r="NU1" s="136"/>
      <c r="NV1" s="136"/>
      <c r="NW1" s="136"/>
      <c r="NX1" s="136"/>
      <c r="NY1" s="136"/>
      <c r="NZ1" s="136"/>
      <c r="OA1" s="136"/>
      <c r="OB1" s="136"/>
      <c r="OC1" s="136"/>
      <c r="OD1" s="136"/>
      <c r="OE1" s="136"/>
      <c r="OF1" s="136"/>
      <c r="OG1" s="136"/>
      <c r="OH1" s="136"/>
      <c r="OI1" s="136"/>
      <c r="OJ1" s="136"/>
      <c r="OK1" s="136"/>
      <c r="OL1" s="136"/>
      <c r="OM1" s="136"/>
      <c r="ON1" s="136"/>
      <c r="OO1" s="136"/>
      <c r="OP1" s="136"/>
      <c r="OQ1" s="136"/>
      <c r="OR1" s="136"/>
      <c r="OS1" s="136"/>
      <c r="OT1" s="136"/>
      <c r="OU1" s="136"/>
      <c r="OV1" s="136"/>
      <c r="OW1" s="136"/>
      <c r="OX1" s="136"/>
      <c r="OY1" s="136"/>
      <c r="OZ1" s="136"/>
      <c r="PA1" s="136"/>
      <c r="PB1" s="136"/>
      <c r="PC1" s="136"/>
      <c r="PD1" s="136"/>
      <c r="PE1" s="136"/>
      <c r="PF1" s="136"/>
      <c r="PG1" s="136"/>
      <c r="PH1" s="136"/>
      <c r="PI1" s="136"/>
      <c r="PJ1" s="136"/>
      <c r="PK1" s="136"/>
      <c r="PL1" s="136"/>
      <c r="PM1" s="136"/>
      <c r="PN1" s="136"/>
      <c r="PO1" s="136"/>
      <c r="PP1" s="136"/>
      <c r="PQ1" s="136"/>
      <c r="PR1" s="136"/>
      <c r="PS1" s="136"/>
      <c r="PT1" s="136"/>
      <c r="PU1" s="136"/>
      <c r="PV1" s="136"/>
      <c r="PW1" s="136"/>
      <c r="PX1" s="136"/>
      <c r="PY1" s="136"/>
      <c r="PZ1" s="136"/>
      <c r="QA1" s="136"/>
      <c r="QB1" s="136"/>
      <c r="QC1" s="136"/>
      <c r="QD1" s="136"/>
      <c r="QE1" s="136"/>
      <c r="QF1" s="136"/>
      <c r="QG1" s="136"/>
      <c r="QH1" s="136"/>
      <c r="QI1" s="136"/>
      <c r="QJ1" s="136"/>
      <c r="QK1" s="136"/>
      <c r="QL1" s="136"/>
      <c r="QM1" s="136"/>
      <c r="QN1" s="136"/>
      <c r="QO1" s="136"/>
      <c r="QP1" s="136"/>
      <c r="QQ1" s="136"/>
      <c r="QR1" s="136"/>
      <c r="QS1" s="136"/>
      <c r="QT1" s="136"/>
      <c r="QU1" s="136"/>
      <c r="QV1" s="136"/>
      <c r="QW1" s="136"/>
      <c r="QX1" s="136"/>
      <c r="QY1" s="136"/>
      <c r="QZ1" s="136"/>
      <c r="RA1" s="136"/>
      <c r="RB1" s="136"/>
      <c r="RC1" s="136"/>
      <c r="RD1" s="136"/>
      <c r="RE1" s="136"/>
      <c r="RF1" s="136"/>
      <c r="RG1" s="136"/>
      <c r="RH1" s="136"/>
      <c r="RI1" s="136"/>
      <c r="RJ1" s="136"/>
      <c r="RK1" s="136"/>
      <c r="RL1" s="136"/>
      <c r="RM1" s="136"/>
      <c r="RN1" s="136"/>
      <c r="RO1" s="136"/>
      <c r="RP1" s="136"/>
      <c r="RQ1" s="136"/>
      <c r="RR1" s="136"/>
      <c r="RS1" s="136"/>
      <c r="RT1" s="136"/>
      <c r="RU1" s="136"/>
      <c r="RV1" s="136"/>
      <c r="RW1" s="136"/>
      <c r="RX1" s="136"/>
      <c r="RY1" s="136"/>
      <c r="RZ1" s="136"/>
      <c r="SA1" s="136"/>
      <c r="SB1" s="136"/>
      <c r="SC1" s="136"/>
      <c r="SD1" s="136"/>
      <c r="SE1" s="136"/>
      <c r="SF1" s="136"/>
      <c r="SG1" s="136"/>
      <c r="SH1" s="136"/>
      <c r="SI1" s="136"/>
      <c r="SJ1" s="136"/>
      <c r="SK1" s="136"/>
      <c r="SL1" s="136"/>
      <c r="SM1" s="136"/>
      <c r="SN1" s="136"/>
      <c r="SO1" s="136"/>
      <c r="SP1" s="136"/>
      <c r="SQ1" s="136"/>
      <c r="SR1" s="136"/>
      <c r="SS1" s="136"/>
      <c r="ST1" s="136"/>
      <c r="SU1" s="136"/>
      <c r="SV1" s="136"/>
      <c r="SW1" s="136"/>
      <c r="SX1" s="136"/>
      <c r="SY1" s="136"/>
      <c r="SZ1" s="136"/>
      <c r="TA1" s="136"/>
      <c r="TB1" s="136"/>
      <c r="TC1" s="136"/>
      <c r="TD1" s="136"/>
      <c r="TE1" s="136"/>
      <c r="TF1" s="136"/>
      <c r="TG1" s="136"/>
      <c r="TH1" s="136"/>
      <c r="TI1" s="136"/>
      <c r="TJ1" s="136"/>
      <c r="TK1" s="136"/>
      <c r="TL1" s="136"/>
      <c r="TM1" s="136"/>
      <c r="TN1" s="136"/>
      <c r="TO1" s="136"/>
      <c r="TP1" s="136"/>
      <c r="TQ1" s="136"/>
      <c r="TR1" s="136"/>
      <c r="TS1" s="136"/>
      <c r="TT1" s="136"/>
      <c r="TU1" s="136"/>
      <c r="TV1" s="136"/>
      <c r="TW1" s="136"/>
      <c r="TX1" s="136"/>
      <c r="TY1" s="136"/>
      <c r="TZ1" s="136"/>
      <c r="UA1" s="136"/>
      <c r="UB1" s="136"/>
      <c r="UC1" s="136"/>
      <c r="UD1" s="136"/>
      <c r="UE1" s="136"/>
      <c r="UF1" s="136"/>
      <c r="UG1" s="136"/>
      <c r="UH1" s="136"/>
      <c r="UI1" s="136"/>
      <c r="UJ1" s="136"/>
      <c r="UK1" s="136"/>
      <c r="UL1" s="136"/>
      <c r="UM1" s="136"/>
      <c r="UN1" s="136"/>
      <c r="UO1" s="136"/>
      <c r="UP1" s="136"/>
      <c r="UQ1" s="136"/>
      <c r="UR1" s="136"/>
      <c r="US1" s="136"/>
      <c r="UT1" s="136"/>
      <c r="UU1" s="136"/>
      <c r="UV1" s="136"/>
      <c r="UW1" s="136"/>
      <c r="UX1" s="136"/>
      <c r="UY1" s="136"/>
      <c r="UZ1" s="136"/>
      <c r="VA1" s="136"/>
      <c r="VB1" s="136"/>
      <c r="VC1" s="136"/>
      <c r="VD1" s="136"/>
      <c r="VE1" s="136"/>
      <c r="VF1" s="136"/>
      <c r="VG1" s="136"/>
      <c r="VH1" s="136"/>
      <c r="VI1" s="136"/>
      <c r="VJ1" s="136"/>
      <c r="VK1" s="136"/>
      <c r="VL1" s="136"/>
      <c r="VM1" s="136"/>
      <c r="VN1" s="136"/>
      <c r="VO1" s="136"/>
      <c r="VP1" s="136"/>
      <c r="VQ1" s="136"/>
      <c r="VR1" s="136"/>
      <c r="VS1" s="136"/>
      <c r="VT1" s="136"/>
      <c r="VU1" s="136"/>
      <c r="VV1" s="136"/>
      <c r="VW1" s="136"/>
      <c r="VX1" s="136"/>
      <c r="VY1" s="136"/>
      <c r="VZ1" s="136"/>
      <c r="WA1" s="136"/>
      <c r="WB1" s="136"/>
      <c r="WC1" s="136"/>
      <c r="WD1" s="136"/>
      <c r="WE1" s="136"/>
      <c r="WF1" s="136"/>
      <c r="WG1" s="136"/>
      <c r="WH1" s="136"/>
      <c r="WI1" s="136"/>
      <c r="WJ1" s="136"/>
      <c r="WK1" s="136"/>
      <c r="WL1" s="136"/>
      <c r="WM1" s="136"/>
      <c r="WN1" s="136"/>
      <c r="WO1" s="136"/>
      <c r="WP1" s="136"/>
      <c r="WQ1" s="136"/>
      <c r="WR1" s="136"/>
      <c r="WS1" s="136"/>
      <c r="WT1" s="136"/>
      <c r="WU1" s="136"/>
      <c r="WV1" s="136"/>
      <c r="WW1" s="136"/>
      <c r="WX1" s="136"/>
      <c r="WY1" s="136"/>
      <c r="WZ1" s="136"/>
      <c r="XA1" s="136"/>
      <c r="XB1" s="136"/>
      <c r="XC1" s="136"/>
      <c r="XD1" s="136"/>
      <c r="XE1" s="136"/>
      <c r="XF1" s="136"/>
      <c r="XG1" s="136"/>
      <c r="XH1" s="136"/>
      <c r="XI1" s="136"/>
      <c r="XJ1" s="136"/>
      <c r="XK1" s="136"/>
      <c r="XL1" s="136"/>
      <c r="XM1" s="136"/>
      <c r="XN1" s="136"/>
      <c r="XO1" s="136"/>
      <c r="XP1" s="136"/>
      <c r="XQ1" s="136"/>
      <c r="XR1" s="136"/>
      <c r="XS1" s="136"/>
      <c r="XT1" s="136"/>
      <c r="XU1" s="136"/>
      <c r="XV1" s="136"/>
      <c r="XW1" s="136"/>
      <c r="XX1" s="136"/>
      <c r="XY1" s="136"/>
      <c r="XZ1" s="136"/>
      <c r="YA1" s="136"/>
      <c r="YB1" s="136"/>
      <c r="YC1" s="136"/>
      <c r="YD1" s="136"/>
      <c r="YE1" s="136"/>
      <c r="YF1" s="136"/>
      <c r="YG1" s="136"/>
      <c r="YH1" s="136"/>
      <c r="YI1" s="136"/>
      <c r="YJ1" s="136"/>
      <c r="YK1" s="136"/>
      <c r="YL1" s="136"/>
      <c r="YM1" s="136"/>
      <c r="YN1" s="136"/>
      <c r="YO1" s="136"/>
      <c r="YP1" s="136"/>
      <c r="YQ1" s="136"/>
      <c r="YR1" s="136"/>
      <c r="YS1" s="136"/>
      <c r="YT1" s="136"/>
      <c r="YU1" s="136"/>
      <c r="YV1" s="136"/>
      <c r="YW1" s="136"/>
      <c r="YX1" s="136"/>
      <c r="YY1" s="136"/>
      <c r="YZ1" s="136"/>
      <c r="ZA1" s="136"/>
      <c r="ZB1" s="136"/>
      <c r="ZC1" s="136"/>
      <c r="ZD1" s="136"/>
      <c r="ZE1" s="136"/>
      <c r="ZF1" s="136"/>
      <c r="ZG1" s="136"/>
      <c r="ZH1" s="136"/>
      <c r="ZI1" s="136"/>
      <c r="ZJ1" s="136"/>
      <c r="ZK1" s="136"/>
      <c r="ZL1" s="136"/>
      <c r="ZM1" s="136"/>
      <c r="ZN1" s="136"/>
      <c r="ZO1" s="136"/>
      <c r="ZP1" s="136"/>
      <c r="ZQ1" s="136"/>
      <c r="ZR1" s="136"/>
      <c r="ZS1" s="136"/>
      <c r="ZT1" s="136"/>
      <c r="ZU1" s="136"/>
      <c r="ZV1" s="136"/>
      <c r="ZW1" s="136"/>
      <c r="ZX1" s="136"/>
      <c r="ZY1" s="136"/>
      <c r="ZZ1" s="136"/>
      <c r="AAA1" s="136"/>
      <c r="AAB1" s="136"/>
      <c r="AAC1" s="136"/>
      <c r="AAD1" s="136"/>
      <c r="AAE1" s="136"/>
      <c r="AAF1" s="136"/>
      <c r="AAG1" s="136"/>
      <c r="AAH1" s="136"/>
      <c r="AAI1" s="136"/>
      <c r="AAJ1" s="136"/>
      <c r="AAK1" s="136"/>
      <c r="AAL1" s="136"/>
      <c r="AAM1" s="136"/>
      <c r="AAN1" s="136"/>
      <c r="AAO1" s="136"/>
      <c r="AAP1" s="136"/>
      <c r="AAQ1" s="136"/>
      <c r="AAR1" s="136"/>
      <c r="AAS1" s="136"/>
      <c r="AAT1" s="136"/>
      <c r="AAU1" s="136"/>
      <c r="AAV1" s="136"/>
      <c r="AAW1" s="136"/>
      <c r="AAX1" s="136"/>
      <c r="AAY1" s="136"/>
      <c r="AAZ1" s="136"/>
      <c r="ABA1" s="136"/>
      <c r="ABB1" s="136"/>
      <c r="ABC1" s="136"/>
      <c r="ABD1" s="136"/>
      <c r="ABE1" s="136"/>
      <c r="ABF1" s="136"/>
      <c r="ABG1" s="136"/>
      <c r="ABH1" s="136"/>
      <c r="ABI1" s="136"/>
      <c r="ABJ1" s="136"/>
      <c r="ABK1" s="136"/>
      <c r="ABL1" s="136"/>
      <c r="ABM1" s="136"/>
      <c r="ABN1" s="136"/>
      <c r="ABO1" s="136"/>
      <c r="ABP1" s="136"/>
      <c r="ABQ1" s="136"/>
      <c r="ABR1" s="136"/>
      <c r="ABS1" s="136"/>
      <c r="ABT1" s="136"/>
      <c r="ABU1" s="136"/>
      <c r="ABV1" s="136"/>
      <c r="ABW1" s="136"/>
      <c r="ABX1" s="136"/>
      <c r="ABY1" s="136"/>
      <c r="ABZ1" s="136"/>
      <c r="ACA1" s="136"/>
      <c r="ACB1" s="136"/>
      <c r="ACC1" s="136"/>
      <c r="ACD1" s="136"/>
      <c r="ACE1" s="136"/>
      <c r="ACF1" s="136"/>
      <c r="ACG1" s="136"/>
      <c r="ACH1" s="136"/>
      <c r="ACI1" s="136"/>
      <c r="ACJ1" s="136"/>
      <c r="ACK1" s="136"/>
      <c r="ACL1" s="136"/>
      <c r="ACM1" s="136"/>
      <c r="ACN1" s="136"/>
      <c r="ACO1" s="136"/>
      <c r="ACP1" s="136"/>
      <c r="ACQ1" s="136"/>
      <c r="ACR1" s="136"/>
      <c r="ACS1" s="136"/>
      <c r="ACT1" s="136"/>
      <c r="ACU1" s="136"/>
      <c r="ACV1" s="136"/>
      <c r="ACW1" s="136"/>
      <c r="ACX1" s="136"/>
      <c r="ACY1" s="136"/>
      <c r="ACZ1" s="136"/>
      <c r="ADA1" s="136"/>
      <c r="ADB1" s="136"/>
      <c r="ADC1" s="136"/>
      <c r="ADD1" s="136"/>
      <c r="ADE1" s="136"/>
      <c r="ADF1" s="136"/>
      <c r="ADG1" s="136"/>
      <c r="ADH1" s="136"/>
      <c r="ADI1" s="136"/>
      <c r="ADJ1" s="136"/>
      <c r="ADK1" s="136"/>
      <c r="ADL1" s="136"/>
      <c r="ADM1" s="136"/>
      <c r="ADN1" s="136"/>
      <c r="ADO1" s="136"/>
      <c r="ADP1" s="136"/>
      <c r="ADQ1" s="136"/>
      <c r="ADR1" s="136"/>
      <c r="ADS1" s="136"/>
      <c r="ADT1" s="136"/>
      <c r="ADU1" s="136"/>
      <c r="ADV1" s="136"/>
      <c r="ADW1" s="136"/>
      <c r="ADX1" s="136"/>
      <c r="ADY1" s="136"/>
      <c r="ADZ1" s="136"/>
      <c r="AEA1" s="136"/>
      <c r="AEB1" s="136"/>
      <c r="AEC1" s="136"/>
      <c r="AED1" s="136"/>
      <c r="AEE1" s="136"/>
      <c r="AEF1" s="136"/>
      <c r="AEG1" s="136"/>
      <c r="AEH1" s="136"/>
      <c r="AEI1" s="136"/>
      <c r="AEJ1" s="136"/>
      <c r="AEK1" s="136"/>
      <c r="AEL1" s="136"/>
      <c r="AEM1" s="136"/>
      <c r="AEN1" s="136"/>
      <c r="AEO1" s="136"/>
      <c r="AEP1" s="136"/>
      <c r="AEQ1" s="136"/>
      <c r="AER1" s="136"/>
      <c r="AES1" s="136"/>
      <c r="AET1" s="136"/>
      <c r="AEU1" s="136"/>
      <c r="AEV1" s="136"/>
      <c r="AEW1" s="136"/>
      <c r="AEX1" s="136"/>
      <c r="AEY1" s="136"/>
      <c r="AEZ1" s="136"/>
      <c r="AFA1" s="136"/>
      <c r="AFB1" s="136"/>
      <c r="AFC1" s="136"/>
      <c r="AFD1" s="136"/>
      <c r="AFE1" s="136"/>
      <c r="AFF1" s="136"/>
      <c r="AFG1" s="136"/>
      <c r="AFH1" s="136"/>
      <c r="AFI1" s="136"/>
      <c r="AFJ1" s="136"/>
      <c r="AFK1" s="136"/>
      <c r="AFL1" s="136"/>
      <c r="AFM1" s="136"/>
      <c r="AFN1" s="136"/>
      <c r="AFO1" s="136"/>
      <c r="AFP1" s="136"/>
      <c r="AFQ1" s="136"/>
      <c r="AFR1" s="136"/>
      <c r="AFS1" s="136"/>
      <c r="AFT1" s="136"/>
      <c r="AFU1" s="136"/>
      <c r="AFV1" s="136"/>
      <c r="AFW1" s="136"/>
      <c r="AFX1" s="136"/>
      <c r="AFY1" s="136"/>
      <c r="AFZ1" s="136"/>
      <c r="AGA1" s="136"/>
      <c r="AGB1" s="136"/>
      <c r="AGC1" s="136"/>
      <c r="AGD1" s="136"/>
      <c r="AGE1" s="136"/>
      <c r="AGF1" s="136"/>
      <c r="AGG1" s="136"/>
      <c r="AGH1" s="136"/>
      <c r="AGI1" s="136"/>
      <c r="AGJ1" s="136"/>
      <c r="AGK1" s="136"/>
      <c r="AGL1" s="136"/>
      <c r="AGM1" s="136"/>
      <c r="AGN1" s="136"/>
      <c r="AGO1" s="136"/>
      <c r="AGP1" s="136"/>
      <c r="AGQ1" s="136"/>
      <c r="AGR1" s="136"/>
      <c r="AGS1" s="136"/>
      <c r="AGT1" s="136"/>
      <c r="AGU1" s="136"/>
      <c r="AGV1" s="136"/>
      <c r="AGW1" s="136"/>
      <c r="AGX1" s="136"/>
      <c r="AGY1" s="136"/>
      <c r="AGZ1" s="136"/>
      <c r="AHA1" s="136"/>
      <c r="AHB1" s="136"/>
      <c r="AHC1" s="136"/>
      <c r="AHD1" s="136"/>
      <c r="AHE1" s="136"/>
      <c r="AHF1" s="136"/>
      <c r="AHG1" s="136"/>
      <c r="AHH1" s="136"/>
      <c r="AHI1" s="136"/>
      <c r="AHJ1" s="136"/>
      <c r="AHK1" s="136"/>
      <c r="AHL1" s="136"/>
      <c r="AHM1" s="136"/>
      <c r="AHN1" s="136"/>
      <c r="AHO1" s="136"/>
      <c r="AHP1" s="136"/>
      <c r="AHQ1" s="136"/>
      <c r="AHR1" s="136"/>
      <c r="AHS1" s="136"/>
      <c r="AHT1" s="136"/>
      <c r="AHU1" s="136"/>
      <c r="AHV1" s="136"/>
      <c r="AHW1" s="136"/>
      <c r="AHX1" s="136"/>
      <c r="AHY1" s="136"/>
      <c r="AHZ1" s="136"/>
      <c r="AIA1" s="136"/>
      <c r="AIB1" s="136"/>
      <c r="AIC1" s="136"/>
      <c r="AID1" s="136"/>
      <c r="AIE1" s="136"/>
      <c r="AIF1" s="136"/>
      <c r="AIG1" s="136"/>
      <c r="AIH1" s="136"/>
      <c r="AII1" s="136"/>
      <c r="AIJ1" s="136"/>
      <c r="AIK1" s="136"/>
      <c r="AIL1" s="136"/>
      <c r="AIM1" s="136"/>
      <c r="AIN1" s="136"/>
      <c r="AIO1" s="136"/>
      <c r="AIP1" s="136"/>
      <c r="AIQ1" s="136"/>
      <c r="AIR1" s="136"/>
      <c r="AIS1" s="136"/>
      <c r="AIT1" s="136"/>
      <c r="AIU1" s="136"/>
      <c r="AIV1" s="136"/>
      <c r="AIW1" s="136"/>
      <c r="AIX1" s="136"/>
      <c r="AIY1" s="136"/>
      <c r="AIZ1" s="136"/>
      <c r="AJA1" s="136"/>
      <c r="AJB1" s="136"/>
      <c r="AJC1" s="136"/>
      <c r="AJD1" s="136"/>
      <c r="AJE1" s="136"/>
      <c r="AJF1" s="136"/>
      <c r="AJG1" s="136"/>
      <c r="AJH1" s="136"/>
      <c r="AJI1" s="136"/>
      <c r="AJJ1" s="136"/>
      <c r="AJK1" s="136"/>
      <c r="AJL1" s="136"/>
      <c r="AJM1" s="136"/>
      <c r="AJN1" s="136"/>
      <c r="AJO1" s="136"/>
      <c r="AJP1" s="136"/>
      <c r="AJQ1" s="136"/>
      <c r="AJR1" s="136"/>
      <c r="AJS1" s="136"/>
      <c r="AJT1" s="136"/>
      <c r="AJU1" s="136"/>
      <c r="AJV1" s="136"/>
      <c r="AJW1" s="136"/>
      <c r="AJX1" s="136"/>
      <c r="AJY1" s="136"/>
      <c r="AJZ1" s="136"/>
      <c r="AKA1" s="136"/>
      <c r="AKB1" s="136"/>
      <c r="AKC1" s="136"/>
      <c r="AKD1" s="136"/>
      <c r="AKE1" s="136"/>
      <c r="AKF1" s="136"/>
      <c r="AKG1" s="136"/>
      <c r="AKH1" s="136"/>
      <c r="AKI1" s="136"/>
      <c r="AKJ1" s="136"/>
      <c r="AKK1" s="136"/>
      <c r="AKL1" s="136"/>
      <c r="AKM1" s="136"/>
      <c r="AKN1" s="136"/>
      <c r="AKO1" s="136"/>
      <c r="AKP1" s="136"/>
      <c r="AKQ1" s="136"/>
      <c r="AKR1" s="136"/>
      <c r="AKS1" s="136"/>
      <c r="AKT1" s="136"/>
      <c r="AKU1" s="136"/>
      <c r="AKV1" s="136"/>
      <c r="AKW1" s="136"/>
      <c r="AKX1" s="136"/>
      <c r="AKY1" s="136"/>
      <c r="AKZ1" s="136"/>
      <c r="ALA1" s="136"/>
      <c r="ALB1" s="136"/>
      <c r="ALC1" s="136"/>
      <c r="ALD1" s="136"/>
      <c r="ALE1" s="136"/>
      <c r="ALF1" s="136"/>
      <c r="ALG1" s="136"/>
      <c r="ALH1" s="136"/>
      <c r="ALI1" s="136"/>
      <c r="ALJ1" s="136"/>
      <c r="ALK1" s="136"/>
      <c r="ALL1" s="136"/>
      <c r="ALM1" s="136"/>
      <c r="ALN1" s="136"/>
      <c r="ALO1" s="136"/>
      <c r="ALP1" s="136"/>
      <c r="ALQ1" s="136"/>
      <c r="ALR1" s="136"/>
      <c r="ALS1" s="136"/>
      <c r="ALT1" s="136"/>
      <c r="ALU1" s="136"/>
      <c r="ALV1" s="136"/>
      <c r="ALW1" s="136"/>
      <c r="ALX1" s="136"/>
      <c r="ALY1" s="136"/>
      <c r="ALZ1" s="136"/>
      <c r="AMA1" s="136"/>
      <c r="AMB1" s="136"/>
      <c r="AMC1" s="136"/>
      <c r="AMD1" s="136"/>
      <c r="AME1" s="136"/>
      <c r="AMF1" s="136"/>
      <c r="AMG1" s="136"/>
      <c r="AMH1" s="136"/>
      <c r="AMI1" s="136"/>
      <c r="AMJ1" s="136"/>
      <c r="AMK1" s="136"/>
      <c r="AML1" s="136"/>
      <c r="AMM1" s="136"/>
      <c r="AMN1" s="136"/>
      <c r="AMO1" s="136"/>
      <c r="AMP1" s="136"/>
      <c r="AMQ1" s="136"/>
      <c r="AMR1" s="136"/>
      <c r="AMS1" s="136"/>
      <c r="AMT1" s="136"/>
      <c r="AMU1" s="136"/>
      <c r="AMV1" s="136"/>
      <c r="AMW1" s="136"/>
      <c r="AMX1" s="136"/>
      <c r="AMY1" s="136"/>
      <c r="AMZ1" s="136"/>
      <c r="ANA1" s="136"/>
      <c r="ANB1" s="136"/>
      <c r="ANC1" s="136"/>
      <c r="AND1" s="136"/>
      <c r="ANE1" s="136"/>
      <c r="ANF1" s="136"/>
      <c r="ANG1" s="136"/>
      <c r="ANH1" s="136"/>
      <c r="ANI1" s="136"/>
      <c r="ANJ1" s="136"/>
      <c r="ANK1" s="136"/>
      <c r="ANL1" s="136"/>
      <c r="ANM1" s="136"/>
      <c r="ANN1" s="136"/>
      <c r="ANO1" s="136"/>
      <c r="ANP1" s="136"/>
      <c r="ANQ1" s="136"/>
      <c r="ANR1" s="136"/>
      <c r="ANS1" s="136"/>
      <c r="ANT1" s="136"/>
      <c r="ANU1" s="136"/>
      <c r="ANV1" s="136"/>
      <c r="ANW1" s="136"/>
      <c r="ANX1" s="136"/>
      <c r="ANY1" s="136"/>
      <c r="ANZ1" s="136"/>
      <c r="AOA1" s="136"/>
      <c r="AOB1" s="136"/>
      <c r="AOC1" s="136"/>
      <c r="AOD1" s="136"/>
      <c r="AOE1" s="136"/>
      <c r="AOF1" s="136"/>
      <c r="AOG1" s="136"/>
      <c r="AOH1" s="136"/>
      <c r="AOI1" s="136"/>
      <c r="AOJ1" s="136"/>
      <c r="AOK1" s="136"/>
      <c r="AOL1" s="136"/>
      <c r="AOM1" s="136"/>
      <c r="AON1" s="136"/>
      <c r="AOO1" s="136"/>
      <c r="AOP1" s="136"/>
      <c r="AOQ1" s="136"/>
      <c r="AOR1" s="136"/>
      <c r="AOS1" s="136"/>
      <c r="AOT1" s="136"/>
      <c r="AOU1" s="136"/>
      <c r="AOV1" s="136"/>
      <c r="AOW1" s="136"/>
      <c r="AOX1" s="136"/>
      <c r="AOY1" s="136"/>
      <c r="AOZ1" s="136"/>
      <c r="APA1" s="136"/>
      <c r="APB1" s="136"/>
      <c r="APC1" s="136"/>
      <c r="APD1" s="136"/>
      <c r="APE1" s="136"/>
      <c r="APF1" s="136"/>
      <c r="APG1" s="136"/>
      <c r="APH1" s="136"/>
      <c r="API1" s="136"/>
      <c r="APJ1" s="136"/>
      <c r="APK1" s="136"/>
      <c r="APL1" s="136"/>
      <c r="APM1" s="136"/>
      <c r="APN1" s="136"/>
      <c r="APO1" s="136"/>
      <c r="APP1" s="136"/>
      <c r="APQ1" s="136"/>
      <c r="APR1" s="136"/>
      <c r="APS1" s="136"/>
      <c r="APT1" s="136"/>
      <c r="APU1" s="136"/>
      <c r="APV1" s="136"/>
      <c r="APW1" s="136"/>
      <c r="APX1" s="136"/>
      <c r="APY1" s="136"/>
      <c r="APZ1" s="136"/>
      <c r="AQA1" s="136"/>
      <c r="AQB1" s="136"/>
      <c r="AQC1" s="136"/>
      <c r="AQD1" s="136"/>
      <c r="AQE1" s="136"/>
      <c r="AQF1" s="136"/>
      <c r="AQG1" s="136"/>
      <c r="AQH1" s="136"/>
      <c r="AQI1" s="136"/>
      <c r="AQJ1" s="136"/>
      <c r="AQK1" s="136"/>
      <c r="AQL1" s="136"/>
      <c r="AQM1" s="136"/>
      <c r="AQN1" s="136"/>
      <c r="AQO1" s="136"/>
      <c r="AQP1" s="136"/>
      <c r="AQQ1" s="136"/>
      <c r="AQR1" s="136"/>
      <c r="AQS1" s="136"/>
      <c r="AQT1" s="136"/>
      <c r="AQU1" s="136"/>
      <c r="AQV1" s="136"/>
      <c r="AQW1" s="136"/>
      <c r="AQX1" s="136"/>
      <c r="AQY1" s="136"/>
      <c r="AQZ1" s="136"/>
      <c r="ARA1" s="136"/>
      <c r="ARB1" s="136"/>
      <c r="ARC1" s="136"/>
      <c r="ARD1" s="136"/>
      <c r="ARE1" s="136"/>
      <c r="ARF1" s="136"/>
      <c r="ARG1" s="136"/>
      <c r="ARH1" s="136"/>
      <c r="ARI1" s="136"/>
      <c r="ARJ1" s="136"/>
      <c r="ARK1" s="136"/>
      <c r="ARL1" s="136"/>
      <c r="ARM1" s="136"/>
      <c r="ARN1" s="136"/>
      <c r="ARO1" s="136"/>
      <c r="ARP1" s="136"/>
      <c r="ARQ1" s="136"/>
      <c r="ARR1" s="136"/>
      <c r="ARS1" s="136"/>
      <c r="ART1" s="136"/>
      <c r="ARU1" s="136"/>
      <c r="ARV1" s="136"/>
      <c r="ARW1" s="136"/>
      <c r="ARX1" s="136"/>
      <c r="ARY1" s="136"/>
      <c r="ARZ1" s="136"/>
      <c r="ASA1" s="136"/>
      <c r="ASB1" s="136"/>
      <c r="ASC1" s="136"/>
      <c r="ASD1" s="136"/>
      <c r="ASE1" s="136"/>
      <c r="ASF1" s="136"/>
      <c r="ASG1" s="136"/>
      <c r="ASH1" s="136"/>
      <c r="ASI1" s="136"/>
      <c r="ASJ1" s="136"/>
      <c r="ASK1" s="136"/>
      <c r="ASL1" s="136"/>
      <c r="ASM1" s="136"/>
      <c r="ASN1" s="136"/>
      <c r="ASO1" s="136"/>
      <c r="ASP1" s="136"/>
      <c r="ASQ1" s="136"/>
      <c r="ASR1" s="136"/>
      <c r="ASS1" s="136"/>
      <c r="AST1" s="136"/>
      <c r="ASU1" s="136"/>
      <c r="ASV1" s="136"/>
      <c r="ASW1" s="136"/>
      <c r="ASX1" s="136"/>
      <c r="ASY1" s="136"/>
      <c r="ASZ1" s="136"/>
      <c r="ATA1" s="136"/>
      <c r="ATB1" s="136"/>
      <c r="ATC1" s="136"/>
      <c r="ATD1" s="136"/>
      <c r="ATE1" s="136"/>
      <c r="ATF1" s="136"/>
      <c r="ATG1" s="136"/>
      <c r="ATH1" s="136"/>
      <c r="ATI1" s="136"/>
      <c r="ATJ1" s="136"/>
      <c r="ATK1" s="136"/>
      <c r="ATL1" s="136"/>
      <c r="ATM1" s="136"/>
      <c r="ATN1" s="136"/>
      <c r="ATO1" s="136"/>
      <c r="ATP1" s="136"/>
      <c r="ATQ1" s="136"/>
      <c r="ATR1" s="136"/>
      <c r="ATS1" s="136"/>
      <c r="ATT1" s="136"/>
      <c r="ATU1" s="136"/>
      <c r="ATV1" s="136"/>
      <c r="ATW1" s="136"/>
      <c r="ATX1" s="136"/>
      <c r="ATY1" s="136"/>
      <c r="ATZ1" s="136"/>
      <c r="AUA1" s="136"/>
      <c r="AUB1" s="136"/>
      <c r="AUC1" s="136"/>
      <c r="AUD1" s="136"/>
      <c r="AUE1" s="136"/>
      <c r="AUF1" s="136"/>
      <c r="AUG1" s="136"/>
      <c r="AUH1" s="136"/>
      <c r="AUI1" s="136"/>
      <c r="AUJ1" s="136"/>
      <c r="AUK1" s="136"/>
      <c r="AUL1" s="136"/>
      <c r="AUM1" s="136"/>
      <c r="AUN1" s="136"/>
      <c r="AUO1" s="136"/>
      <c r="AUP1" s="136"/>
      <c r="AUQ1" s="136"/>
      <c r="AUR1" s="136"/>
      <c r="AUS1" s="136"/>
      <c r="AUT1" s="136"/>
      <c r="AUU1" s="136"/>
      <c r="AUV1" s="136"/>
      <c r="AUW1" s="136"/>
      <c r="AUX1" s="136"/>
      <c r="AUY1" s="136"/>
      <c r="AUZ1" s="136"/>
      <c r="AVA1" s="136"/>
      <c r="AVB1" s="136"/>
      <c r="AVC1" s="136"/>
      <c r="AVD1" s="136"/>
      <c r="AVE1" s="136"/>
      <c r="AVF1" s="136"/>
      <c r="AVG1" s="136"/>
      <c r="AVH1" s="136"/>
      <c r="AVI1" s="136"/>
      <c r="AVJ1" s="136"/>
      <c r="AVK1" s="136"/>
      <c r="AVL1" s="136"/>
      <c r="AVM1" s="136"/>
      <c r="AVN1" s="136"/>
      <c r="AVO1" s="136"/>
      <c r="AVP1" s="136"/>
      <c r="AVQ1" s="136"/>
      <c r="AVR1" s="136"/>
      <c r="AVS1" s="136"/>
      <c r="AVT1" s="136"/>
      <c r="AVU1" s="136"/>
      <c r="AVV1" s="136"/>
      <c r="AVW1" s="136"/>
      <c r="AVX1" s="136"/>
      <c r="AVY1" s="136"/>
      <c r="AVZ1" s="136"/>
      <c r="AWA1" s="136"/>
      <c r="AWB1" s="136"/>
      <c r="AWC1" s="136"/>
      <c r="AWD1" s="136"/>
      <c r="AWE1" s="136"/>
      <c r="AWF1" s="136"/>
      <c r="AWG1" s="136"/>
      <c r="AWH1" s="136"/>
      <c r="AWI1" s="136"/>
      <c r="AWJ1" s="136"/>
      <c r="AWK1" s="136"/>
      <c r="AWL1" s="136"/>
      <c r="AWM1" s="136"/>
      <c r="AWN1" s="136"/>
      <c r="AWO1" s="136"/>
      <c r="AWP1" s="136"/>
      <c r="AWQ1" s="136"/>
      <c r="AWR1" s="136"/>
      <c r="AWS1" s="136"/>
      <c r="AWT1" s="136"/>
      <c r="AWU1" s="136"/>
      <c r="AWV1" s="136"/>
      <c r="AWW1" s="136"/>
      <c r="AWX1" s="136"/>
      <c r="AWY1" s="136"/>
      <c r="AWZ1" s="136"/>
      <c r="AXA1" s="136"/>
      <c r="AXB1" s="136"/>
      <c r="AXC1" s="136"/>
      <c r="AXD1" s="136"/>
      <c r="AXE1" s="136"/>
      <c r="AXF1" s="136"/>
      <c r="AXG1" s="136"/>
      <c r="AXH1" s="136"/>
      <c r="AXI1" s="136"/>
      <c r="AXJ1" s="136"/>
      <c r="AXK1" s="136"/>
      <c r="AXL1" s="136"/>
      <c r="AXM1" s="136"/>
      <c r="AXN1" s="136"/>
      <c r="AXO1" s="136"/>
      <c r="AXP1" s="136"/>
      <c r="AXQ1" s="136"/>
      <c r="AXR1" s="136"/>
      <c r="AXS1" s="136"/>
      <c r="AXT1" s="136"/>
      <c r="AXU1" s="136"/>
      <c r="AXV1" s="136"/>
      <c r="AXW1" s="136"/>
      <c r="AXX1" s="136"/>
      <c r="AXY1" s="136"/>
      <c r="AXZ1" s="136"/>
      <c r="AYA1" s="136"/>
      <c r="AYB1" s="136"/>
      <c r="AYC1" s="136"/>
      <c r="AYD1" s="136"/>
      <c r="AYE1" s="136"/>
      <c r="AYF1" s="136"/>
      <c r="AYG1" s="136"/>
      <c r="AYH1" s="136"/>
      <c r="AYI1" s="136"/>
      <c r="AYJ1" s="136"/>
      <c r="AYK1" s="136"/>
      <c r="AYL1" s="136"/>
      <c r="AYM1" s="136"/>
      <c r="AYN1" s="136"/>
      <c r="AYO1" s="136"/>
      <c r="AYP1" s="136"/>
      <c r="AYQ1" s="136"/>
      <c r="AYR1" s="136"/>
      <c r="AYS1" s="136"/>
      <c r="AYT1" s="136"/>
      <c r="AYU1" s="136"/>
      <c r="AYV1" s="136"/>
      <c r="AYW1" s="136"/>
      <c r="AYX1" s="136"/>
      <c r="AYY1" s="136"/>
      <c r="AYZ1" s="136"/>
      <c r="AZA1" s="136"/>
      <c r="AZB1" s="136"/>
      <c r="AZC1" s="136"/>
      <c r="AZD1" s="136"/>
      <c r="AZE1" s="136"/>
      <c r="AZF1" s="136"/>
      <c r="AZG1" s="136"/>
      <c r="AZH1" s="136"/>
      <c r="AZI1" s="136"/>
      <c r="AZJ1" s="136"/>
      <c r="AZK1" s="136"/>
      <c r="AZL1" s="136"/>
      <c r="AZM1" s="136"/>
      <c r="AZN1" s="136"/>
      <c r="AZO1" s="136"/>
      <c r="AZP1" s="136"/>
      <c r="AZQ1" s="136"/>
      <c r="AZR1" s="136"/>
      <c r="AZS1" s="136"/>
      <c r="AZT1" s="136"/>
      <c r="AZU1" s="136"/>
      <c r="AZV1" s="136"/>
      <c r="AZW1" s="136"/>
      <c r="AZX1" s="136"/>
      <c r="AZY1" s="136"/>
      <c r="AZZ1" s="136"/>
      <c r="BAA1" s="136"/>
      <c r="BAB1" s="136"/>
      <c r="BAC1" s="136"/>
      <c r="BAD1" s="136"/>
      <c r="BAE1" s="136"/>
      <c r="BAF1" s="136"/>
      <c r="BAG1" s="136"/>
      <c r="BAH1" s="136"/>
      <c r="BAI1" s="136"/>
      <c r="BAJ1" s="136"/>
      <c r="BAK1" s="136"/>
      <c r="BAL1" s="136"/>
      <c r="BAM1" s="136"/>
      <c r="BAN1" s="136"/>
      <c r="BAO1" s="136"/>
      <c r="BAP1" s="136"/>
      <c r="BAQ1" s="136"/>
      <c r="BAR1" s="136"/>
      <c r="BAS1" s="136"/>
      <c r="BAT1" s="136"/>
      <c r="BAU1" s="136"/>
      <c r="BAV1" s="136"/>
      <c r="BAW1" s="136"/>
      <c r="BAX1" s="136"/>
      <c r="BAY1" s="136"/>
      <c r="BAZ1" s="136"/>
      <c r="BBA1" s="136"/>
      <c r="BBB1" s="136"/>
      <c r="BBC1" s="136"/>
      <c r="BBD1" s="136"/>
      <c r="BBE1" s="136"/>
      <c r="BBF1" s="136"/>
      <c r="BBG1" s="136"/>
      <c r="BBH1" s="136"/>
      <c r="BBI1" s="136"/>
      <c r="BBJ1" s="136"/>
      <c r="BBK1" s="136"/>
      <c r="BBL1" s="136"/>
      <c r="BBM1" s="136"/>
      <c r="BBN1" s="136"/>
      <c r="BBO1" s="136"/>
      <c r="BBP1" s="136"/>
      <c r="BBQ1" s="136"/>
      <c r="BBR1" s="136"/>
      <c r="BBS1" s="136"/>
      <c r="BBT1" s="136"/>
      <c r="BBU1" s="136"/>
      <c r="BBV1" s="136"/>
      <c r="BBW1" s="136"/>
      <c r="BBX1" s="136"/>
      <c r="BBY1" s="136"/>
      <c r="BBZ1" s="136"/>
      <c r="BCA1" s="136"/>
      <c r="BCB1" s="136"/>
      <c r="BCC1" s="136"/>
      <c r="BCD1" s="136"/>
      <c r="BCE1" s="136"/>
      <c r="BCF1" s="136"/>
      <c r="BCG1" s="136"/>
      <c r="BCH1" s="136"/>
      <c r="BCI1" s="136"/>
      <c r="BCJ1" s="136"/>
      <c r="BCK1" s="136"/>
      <c r="BCL1" s="136"/>
      <c r="BCM1" s="136"/>
      <c r="BCN1" s="136"/>
      <c r="BCO1" s="136"/>
      <c r="BCP1" s="136"/>
      <c r="BCQ1" s="136"/>
      <c r="BCR1" s="136"/>
      <c r="BCS1" s="136"/>
      <c r="BCT1" s="136"/>
      <c r="BCU1" s="136"/>
      <c r="BCV1" s="136"/>
      <c r="BCW1" s="136"/>
      <c r="BCX1" s="136"/>
      <c r="BCY1" s="136"/>
      <c r="BCZ1" s="136"/>
      <c r="BDA1" s="136"/>
      <c r="BDB1" s="136"/>
      <c r="BDC1" s="136"/>
      <c r="BDD1" s="136"/>
      <c r="BDE1" s="136"/>
      <c r="BDF1" s="136"/>
      <c r="BDG1" s="136"/>
      <c r="BDH1" s="136"/>
      <c r="BDI1" s="136"/>
      <c r="BDJ1" s="136"/>
      <c r="BDK1" s="136"/>
      <c r="BDL1" s="136"/>
      <c r="BDM1" s="136"/>
      <c r="BDN1" s="136"/>
      <c r="BDO1" s="136"/>
      <c r="BDP1" s="136"/>
      <c r="BDQ1" s="136"/>
      <c r="BDR1" s="136"/>
      <c r="BDS1" s="136"/>
      <c r="BDT1" s="136"/>
      <c r="BDU1" s="136"/>
      <c r="BDV1" s="136"/>
      <c r="BDW1" s="136"/>
      <c r="BDX1" s="136"/>
      <c r="BDY1" s="136"/>
      <c r="BDZ1" s="136"/>
      <c r="BEA1" s="136"/>
      <c r="BEB1" s="136"/>
      <c r="BEC1" s="136"/>
      <c r="BED1" s="136"/>
      <c r="BEE1" s="136"/>
      <c r="BEF1" s="136"/>
      <c r="BEG1" s="136"/>
      <c r="BEH1" s="136"/>
      <c r="BEI1" s="136"/>
      <c r="BEJ1" s="136"/>
      <c r="BEK1" s="136"/>
      <c r="BEL1" s="136"/>
      <c r="BEM1" s="136"/>
      <c r="BEN1" s="136"/>
      <c r="BEO1" s="136"/>
      <c r="BEP1" s="136"/>
      <c r="BEQ1" s="136"/>
      <c r="BER1" s="136"/>
      <c r="BES1" s="136"/>
      <c r="BET1" s="136"/>
      <c r="BEU1" s="136"/>
      <c r="BEV1" s="136"/>
      <c r="BEW1" s="136"/>
      <c r="BEX1" s="136"/>
      <c r="BEY1" s="136"/>
      <c r="BEZ1" s="136"/>
      <c r="BFA1" s="136"/>
      <c r="BFB1" s="136"/>
      <c r="BFC1" s="136"/>
      <c r="BFD1" s="136"/>
      <c r="BFE1" s="136"/>
      <c r="BFF1" s="136"/>
      <c r="BFG1" s="136"/>
      <c r="BFH1" s="136"/>
      <c r="BFI1" s="136"/>
      <c r="BFJ1" s="136"/>
      <c r="BFK1" s="136"/>
      <c r="BFL1" s="136"/>
      <c r="BFM1" s="136"/>
      <c r="BFN1" s="136"/>
      <c r="BFO1" s="136"/>
      <c r="BFP1" s="136"/>
      <c r="BFQ1" s="136"/>
      <c r="BFR1" s="136"/>
      <c r="BFS1" s="136"/>
      <c r="BFT1" s="136"/>
      <c r="BFU1" s="136"/>
      <c r="BFV1" s="136"/>
      <c r="BFW1" s="136"/>
      <c r="BFX1" s="136"/>
      <c r="BFY1" s="136"/>
      <c r="BFZ1" s="136"/>
      <c r="BGA1" s="136"/>
      <c r="BGB1" s="136"/>
      <c r="BGC1" s="136"/>
      <c r="BGD1" s="136"/>
      <c r="BGE1" s="136"/>
      <c r="BGF1" s="136"/>
      <c r="BGG1" s="136"/>
      <c r="BGH1" s="136"/>
      <c r="BGI1" s="136"/>
      <c r="BGJ1" s="136"/>
      <c r="BGK1" s="136"/>
      <c r="BGL1" s="136"/>
      <c r="BGM1" s="136"/>
      <c r="BGN1" s="136"/>
      <c r="BGO1" s="136"/>
      <c r="BGP1" s="136"/>
      <c r="BGQ1" s="136"/>
      <c r="BGR1" s="136"/>
      <c r="BGS1" s="136"/>
      <c r="BGT1" s="136"/>
      <c r="BGU1" s="136"/>
      <c r="BGV1" s="136"/>
      <c r="BGW1" s="136"/>
      <c r="BGX1" s="136"/>
      <c r="BGY1" s="136"/>
      <c r="BGZ1" s="136"/>
      <c r="BHA1" s="136"/>
      <c r="BHB1" s="136"/>
      <c r="BHC1" s="136"/>
      <c r="BHD1" s="136"/>
      <c r="BHE1" s="136"/>
      <c r="BHF1" s="136"/>
      <c r="BHG1" s="136"/>
      <c r="BHH1" s="136"/>
      <c r="BHI1" s="136"/>
      <c r="BHJ1" s="136"/>
      <c r="BHK1" s="136"/>
      <c r="BHL1" s="136"/>
      <c r="BHM1" s="136"/>
      <c r="BHN1" s="136"/>
      <c r="BHO1" s="136"/>
      <c r="BHP1" s="136"/>
      <c r="BHQ1" s="136"/>
      <c r="BHR1" s="136"/>
      <c r="BHS1" s="136"/>
      <c r="BHT1" s="136"/>
      <c r="BHU1" s="136"/>
      <c r="BHV1" s="136"/>
      <c r="BHW1" s="136"/>
      <c r="BHX1" s="136"/>
      <c r="BHY1" s="136"/>
      <c r="BHZ1" s="136"/>
      <c r="BIA1" s="136"/>
      <c r="BIB1" s="136"/>
      <c r="BIC1" s="136"/>
      <c r="BID1" s="136"/>
      <c r="BIE1" s="136"/>
      <c r="BIF1" s="136"/>
      <c r="BIG1" s="136"/>
      <c r="BIH1" s="136"/>
      <c r="BII1" s="136"/>
      <c r="BIJ1" s="136"/>
      <c r="BIK1" s="136"/>
      <c r="BIL1" s="136"/>
      <c r="BIM1" s="136"/>
      <c r="BIN1" s="136"/>
      <c r="BIO1" s="136"/>
      <c r="BIP1" s="136"/>
      <c r="BIQ1" s="136"/>
      <c r="BIR1" s="136"/>
      <c r="BIS1" s="136"/>
      <c r="BIT1" s="136"/>
      <c r="BIU1" s="136"/>
      <c r="BIV1" s="136"/>
      <c r="BIW1" s="136"/>
      <c r="BIX1" s="136"/>
      <c r="BIY1" s="136"/>
      <c r="BIZ1" s="136"/>
      <c r="BJA1" s="136"/>
      <c r="BJB1" s="136"/>
      <c r="BJC1" s="136"/>
      <c r="BJD1" s="136"/>
      <c r="BJE1" s="136"/>
      <c r="BJF1" s="136"/>
      <c r="BJG1" s="136"/>
      <c r="BJH1" s="136"/>
      <c r="BJI1" s="136"/>
      <c r="BJJ1" s="136"/>
      <c r="BJK1" s="136"/>
      <c r="BJL1" s="136"/>
      <c r="BJM1" s="136"/>
      <c r="BJN1" s="136"/>
      <c r="BJO1" s="136"/>
      <c r="BJP1" s="136"/>
      <c r="BJQ1" s="136"/>
      <c r="BJR1" s="136"/>
      <c r="BJS1" s="136"/>
      <c r="BJT1" s="136"/>
      <c r="BJU1" s="136"/>
      <c r="BJV1" s="136"/>
      <c r="BJW1" s="136"/>
      <c r="BJX1" s="136"/>
      <c r="BJY1" s="136"/>
      <c r="BJZ1" s="136"/>
      <c r="BKA1" s="136"/>
      <c r="BKB1" s="136"/>
      <c r="BKC1" s="136"/>
      <c r="BKD1" s="136"/>
      <c r="BKE1" s="136"/>
      <c r="BKF1" s="136"/>
      <c r="BKG1" s="136"/>
      <c r="BKH1" s="136"/>
      <c r="BKI1" s="136"/>
      <c r="BKJ1" s="136"/>
      <c r="BKK1" s="136"/>
      <c r="BKL1" s="136"/>
      <c r="BKM1" s="136"/>
      <c r="BKN1" s="136"/>
      <c r="BKO1" s="136"/>
      <c r="BKP1" s="136"/>
      <c r="BKQ1" s="136"/>
      <c r="BKR1" s="136"/>
      <c r="BKS1" s="136"/>
      <c r="BKT1" s="136"/>
      <c r="BKU1" s="136"/>
      <c r="BKV1" s="136"/>
      <c r="BKW1" s="136"/>
      <c r="BKX1" s="136"/>
      <c r="BKY1" s="136"/>
      <c r="BKZ1" s="136"/>
      <c r="BLA1" s="136"/>
      <c r="BLB1" s="136"/>
      <c r="BLC1" s="136"/>
      <c r="BLD1" s="136"/>
      <c r="BLE1" s="136"/>
      <c r="BLF1" s="136"/>
      <c r="BLG1" s="136"/>
      <c r="BLH1" s="136"/>
      <c r="BLI1" s="136"/>
      <c r="BLJ1" s="136"/>
      <c r="BLK1" s="136"/>
      <c r="BLL1" s="136"/>
      <c r="BLM1" s="136"/>
      <c r="BLN1" s="136"/>
      <c r="BLO1" s="136"/>
      <c r="BLP1" s="136"/>
      <c r="BLQ1" s="136"/>
      <c r="BLR1" s="136"/>
      <c r="BLS1" s="136"/>
      <c r="BLT1" s="136"/>
      <c r="BLU1" s="136"/>
      <c r="BLV1" s="136"/>
      <c r="BLW1" s="136"/>
      <c r="BLX1" s="136"/>
      <c r="BLY1" s="136"/>
      <c r="BLZ1" s="136"/>
      <c r="BMA1" s="136"/>
      <c r="BMB1" s="136"/>
      <c r="BMC1" s="136"/>
      <c r="BMD1" s="136"/>
      <c r="BME1" s="136"/>
      <c r="BMF1" s="136"/>
      <c r="BMG1" s="136"/>
      <c r="BMH1" s="136"/>
      <c r="BMI1" s="136"/>
      <c r="BMJ1" s="136"/>
      <c r="BMK1" s="136"/>
      <c r="BML1" s="136"/>
      <c r="BMM1" s="136"/>
      <c r="BMN1" s="136"/>
      <c r="BMO1" s="136"/>
      <c r="BMP1" s="136"/>
      <c r="BMQ1" s="136"/>
      <c r="BMR1" s="136"/>
      <c r="BMS1" s="136"/>
      <c r="BMT1" s="136"/>
      <c r="BMU1" s="136"/>
      <c r="BMV1" s="136"/>
      <c r="BMW1" s="136"/>
      <c r="BMX1" s="136"/>
      <c r="BMY1" s="136"/>
      <c r="BMZ1" s="136"/>
      <c r="BNA1" s="136"/>
      <c r="BNB1" s="136"/>
      <c r="BNC1" s="136"/>
      <c r="BND1" s="136"/>
      <c r="BNE1" s="136"/>
      <c r="BNF1" s="136"/>
      <c r="BNG1" s="136"/>
      <c r="BNH1" s="136"/>
      <c r="BNI1" s="136"/>
      <c r="BNJ1" s="136"/>
      <c r="BNK1" s="136"/>
      <c r="BNL1" s="136"/>
      <c r="BNM1" s="136"/>
      <c r="BNN1" s="136"/>
      <c r="BNO1" s="136"/>
      <c r="BNP1" s="136"/>
      <c r="BNQ1" s="136"/>
      <c r="BNR1" s="136"/>
      <c r="BNS1" s="136"/>
      <c r="BNT1" s="136"/>
      <c r="BNU1" s="136"/>
      <c r="BNV1" s="136"/>
      <c r="BNW1" s="136"/>
      <c r="BNX1" s="136"/>
      <c r="BNY1" s="136"/>
      <c r="BNZ1" s="136"/>
      <c r="BOA1" s="136"/>
      <c r="BOB1" s="136"/>
      <c r="BOC1" s="136"/>
      <c r="BOD1" s="136"/>
      <c r="BOE1" s="136"/>
      <c r="BOF1" s="136"/>
      <c r="BOG1" s="136"/>
      <c r="BOH1" s="136"/>
      <c r="BOI1" s="136"/>
      <c r="BOJ1" s="136"/>
      <c r="BOK1" s="136"/>
      <c r="BOL1" s="136"/>
      <c r="BOM1" s="136"/>
      <c r="BON1" s="136"/>
      <c r="BOO1" s="136"/>
      <c r="BOP1" s="136"/>
      <c r="BOQ1" s="136"/>
      <c r="BOR1" s="136"/>
      <c r="BOS1" s="136"/>
      <c r="BOT1" s="136"/>
      <c r="BOU1" s="136"/>
      <c r="BOV1" s="136"/>
      <c r="BOW1" s="136"/>
      <c r="BOX1" s="136"/>
      <c r="BOY1" s="136"/>
      <c r="BOZ1" s="136"/>
      <c r="BPA1" s="136"/>
      <c r="BPB1" s="136"/>
      <c r="BPC1" s="136"/>
      <c r="BPD1" s="136"/>
      <c r="BPE1" s="136"/>
      <c r="BPF1" s="136"/>
      <c r="BPG1" s="136"/>
      <c r="BPH1" s="136"/>
      <c r="BPI1" s="136"/>
      <c r="BPJ1" s="136"/>
      <c r="BPK1" s="136"/>
      <c r="BPL1" s="136"/>
      <c r="BPM1" s="136"/>
      <c r="BPN1" s="136"/>
      <c r="BPO1" s="136"/>
      <c r="BPP1" s="136"/>
      <c r="BPQ1" s="136"/>
      <c r="BPR1" s="136"/>
      <c r="BPS1" s="136"/>
      <c r="BPT1" s="136"/>
      <c r="BPU1" s="136"/>
      <c r="BPV1" s="136"/>
      <c r="BPW1" s="136"/>
      <c r="BPX1" s="136"/>
      <c r="BPY1" s="136"/>
      <c r="BPZ1" s="136"/>
      <c r="BQA1" s="136"/>
      <c r="BQB1" s="136"/>
      <c r="BQC1" s="136"/>
      <c r="BQD1" s="136"/>
      <c r="BQE1" s="136"/>
      <c r="BQF1" s="136"/>
      <c r="BQG1" s="136"/>
      <c r="BQH1" s="136"/>
      <c r="BQI1" s="136"/>
      <c r="BQJ1" s="136"/>
      <c r="BQK1" s="136"/>
      <c r="BQL1" s="136"/>
      <c r="BQM1" s="136"/>
      <c r="BQN1" s="136"/>
      <c r="BQO1" s="136"/>
      <c r="BQP1" s="136"/>
      <c r="BQQ1" s="136"/>
      <c r="BQR1" s="136"/>
      <c r="BQS1" s="136"/>
      <c r="BQT1" s="136"/>
      <c r="BQU1" s="136"/>
      <c r="BQV1" s="136"/>
      <c r="BQW1" s="136"/>
      <c r="BQX1" s="136"/>
      <c r="BQY1" s="136"/>
      <c r="BQZ1" s="136"/>
      <c r="BRA1" s="136"/>
      <c r="BRB1" s="136"/>
      <c r="BRC1" s="136"/>
      <c r="BRD1" s="136"/>
      <c r="BRE1" s="136"/>
      <c r="BRF1" s="136"/>
      <c r="BRG1" s="136"/>
      <c r="BRH1" s="136"/>
      <c r="BRI1" s="136"/>
      <c r="BRJ1" s="136"/>
      <c r="BRK1" s="136"/>
      <c r="BRL1" s="136"/>
      <c r="BRM1" s="136"/>
      <c r="BRN1" s="136"/>
      <c r="BRO1" s="136"/>
      <c r="BRP1" s="136"/>
      <c r="BRQ1" s="136"/>
      <c r="BRR1" s="136"/>
      <c r="BRS1" s="136"/>
      <c r="BRT1" s="136"/>
      <c r="BRU1" s="136"/>
      <c r="BRV1" s="136"/>
      <c r="BRW1" s="136"/>
      <c r="BRX1" s="136"/>
      <c r="BRY1" s="136"/>
      <c r="BRZ1" s="136"/>
      <c r="BSA1" s="136"/>
      <c r="BSB1" s="136"/>
      <c r="BSC1" s="136"/>
      <c r="BSD1" s="136"/>
      <c r="BSE1" s="136"/>
      <c r="BSF1" s="136"/>
      <c r="BSG1" s="136"/>
      <c r="BSH1" s="136"/>
      <c r="BSI1" s="136"/>
      <c r="BSJ1" s="136"/>
      <c r="BSK1" s="136"/>
      <c r="BSL1" s="136"/>
      <c r="BSM1" s="136"/>
      <c r="BSN1" s="136"/>
      <c r="BSO1" s="136"/>
      <c r="BSP1" s="136"/>
      <c r="BSQ1" s="136"/>
      <c r="BSR1" s="136"/>
      <c r="BSS1" s="136"/>
      <c r="BST1" s="136"/>
      <c r="BSU1" s="136"/>
      <c r="BSV1" s="136"/>
      <c r="BSW1" s="136"/>
      <c r="BSX1" s="136"/>
      <c r="BSY1" s="136"/>
      <c r="BSZ1" s="136"/>
      <c r="BTA1" s="136"/>
      <c r="BTB1" s="136"/>
      <c r="BTC1" s="136"/>
      <c r="BTD1" s="136"/>
      <c r="BTE1" s="136"/>
      <c r="BTF1" s="136"/>
      <c r="BTG1" s="136"/>
      <c r="BTH1" s="136"/>
      <c r="BTI1" s="136"/>
      <c r="BTJ1" s="136"/>
      <c r="BTK1" s="136"/>
      <c r="BTL1" s="136"/>
      <c r="BTM1" s="136"/>
      <c r="BTN1" s="136"/>
      <c r="BTO1" s="136"/>
      <c r="BTP1" s="136"/>
      <c r="BTQ1" s="136"/>
      <c r="BTR1" s="136"/>
      <c r="BTS1" s="136"/>
      <c r="BTT1" s="136"/>
      <c r="BTU1" s="136"/>
      <c r="BTV1" s="136"/>
      <c r="BTW1" s="136"/>
      <c r="BTX1" s="136"/>
      <c r="BTY1" s="136"/>
      <c r="BTZ1" s="136"/>
      <c r="BUA1" s="136"/>
      <c r="BUB1" s="136"/>
      <c r="BUC1" s="136"/>
      <c r="BUD1" s="136"/>
      <c r="BUE1" s="136"/>
      <c r="BUF1" s="136"/>
      <c r="BUG1" s="136"/>
      <c r="BUH1" s="136"/>
      <c r="BUI1" s="136"/>
      <c r="BUJ1" s="136"/>
      <c r="BUK1" s="136"/>
      <c r="BUL1" s="136"/>
      <c r="BUM1" s="136"/>
      <c r="BUN1" s="136"/>
      <c r="BUO1" s="136"/>
      <c r="BUP1" s="136"/>
      <c r="BUQ1" s="136"/>
      <c r="BUR1" s="136"/>
      <c r="BUS1" s="136"/>
      <c r="BUT1" s="136"/>
      <c r="BUU1" s="136"/>
      <c r="BUV1" s="136"/>
      <c r="BUW1" s="136"/>
      <c r="BUX1" s="136"/>
      <c r="BUY1" s="136"/>
      <c r="BUZ1" s="136"/>
      <c r="BVA1" s="136"/>
      <c r="BVB1" s="136"/>
      <c r="BVC1" s="136"/>
      <c r="BVD1" s="136"/>
      <c r="BVE1" s="136"/>
      <c r="BVF1" s="136"/>
      <c r="BVG1" s="136"/>
      <c r="BVH1" s="136"/>
      <c r="BVI1" s="136"/>
      <c r="BVJ1" s="136"/>
      <c r="BVK1" s="136"/>
      <c r="BVL1" s="136"/>
      <c r="BVM1" s="136"/>
      <c r="BVN1" s="136"/>
      <c r="BVO1" s="136"/>
      <c r="BVP1" s="136"/>
      <c r="BVQ1" s="136"/>
      <c r="BVR1" s="136"/>
      <c r="BVS1" s="136"/>
      <c r="BVT1" s="136"/>
      <c r="BVU1" s="136"/>
      <c r="BVV1" s="136"/>
      <c r="BVW1" s="136"/>
      <c r="BVX1" s="136"/>
      <c r="BVY1" s="136"/>
      <c r="BVZ1" s="136"/>
      <c r="BWA1" s="136"/>
      <c r="BWB1" s="136"/>
      <c r="BWC1" s="136"/>
      <c r="BWD1" s="136"/>
      <c r="BWE1" s="136"/>
      <c r="BWF1" s="136"/>
      <c r="BWG1" s="136"/>
      <c r="BWH1" s="136"/>
      <c r="BWI1" s="136"/>
      <c r="BWJ1" s="136"/>
      <c r="BWK1" s="136"/>
      <c r="BWL1" s="136"/>
      <c r="BWM1" s="136"/>
      <c r="BWN1" s="136"/>
      <c r="BWO1" s="136"/>
      <c r="BWP1" s="136"/>
      <c r="BWQ1" s="136"/>
      <c r="BWR1" s="136"/>
      <c r="BWS1" s="136"/>
      <c r="BWT1" s="136"/>
      <c r="BWU1" s="136"/>
      <c r="BWV1" s="136"/>
      <c r="BWW1" s="136"/>
      <c r="BWX1" s="136"/>
      <c r="BWY1" s="136"/>
      <c r="BWZ1" s="136"/>
      <c r="BXA1" s="136"/>
      <c r="BXB1" s="136"/>
      <c r="BXC1" s="136"/>
      <c r="BXD1" s="136"/>
      <c r="BXE1" s="136"/>
      <c r="BXF1" s="136"/>
      <c r="BXG1" s="136"/>
      <c r="BXH1" s="136"/>
      <c r="BXI1" s="136"/>
      <c r="BXJ1" s="136"/>
      <c r="BXK1" s="136"/>
      <c r="BXL1" s="136"/>
      <c r="BXM1" s="136"/>
      <c r="BXN1" s="136"/>
      <c r="BXO1" s="136"/>
      <c r="BXP1" s="136"/>
      <c r="BXQ1" s="136"/>
      <c r="BXR1" s="136"/>
      <c r="BXS1" s="136"/>
      <c r="BXT1" s="136"/>
      <c r="BXU1" s="136"/>
      <c r="BXV1" s="136"/>
      <c r="BXW1" s="136"/>
      <c r="BXX1" s="136"/>
      <c r="BXY1" s="136"/>
      <c r="BXZ1" s="136"/>
      <c r="BYA1" s="136"/>
      <c r="BYB1" s="136"/>
      <c r="BYC1" s="136"/>
      <c r="BYD1" s="136"/>
      <c r="BYE1" s="136"/>
      <c r="BYF1" s="136"/>
      <c r="BYG1" s="136"/>
      <c r="BYH1" s="136"/>
      <c r="BYI1" s="136"/>
      <c r="BYJ1" s="136"/>
      <c r="BYK1" s="136"/>
      <c r="BYL1" s="136"/>
      <c r="BYM1" s="136"/>
      <c r="BYN1" s="136"/>
      <c r="BYO1" s="136"/>
      <c r="BYP1" s="136"/>
      <c r="BYQ1" s="136"/>
      <c r="BYR1" s="136"/>
      <c r="BYS1" s="136"/>
      <c r="BYT1" s="136"/>
      <c r="BYU1" s="136"/>
      <c r="BYV1" s="136"/>
      <c r="BYW1" s="136"/>
      <c r="BYX1" s="136"/>
      <c r="BYY1" s="136"/>
      <c r="BYZ1" s="136"/>
      <c r="BZA1" s="136"/>
      <c r="BZB1" s="136"/>
      <c r="BZC1" s="136"/>
      <c r="BZD1" s="136"/>
      <c r="BZE1" s="136"/>
      <c r="BZF1" s="136"/>
      <c r="BZG1" s="136"/>
      <c r="BZH1" s="136"/>
      <c r="BZI1" s="136"/>
      <c r="BZJ1" s="136"/>
      <c r="BZK1" s="136"/>
      <c r="BZL1" s="136"/>
      <c r="BZM1" s="136"/>
      <c r="BZN1" s="136"/>
      <c r="BZO1" s="136"/>
      <c r="BZP1" s="136"/>
      <c r="BZQ1" s="136"/>
      <c r="BZR1" s="136"/>
      <c r="BZS1" s="136"/>
      <c r="BZT1" s="136"/>
      <c r="BZU1" s="136"/>
      <c r="BZV1" s="136"/>
      <c r="BZW1" s="136"/>
      <c r="BZX1" s="136"/>
      <c r="BZY1" s="136"/>
      <c r="BZZ1" s="136"/>
      <c r="CAA1" s="136"/>
      <c r="CAB1" s="136"/>
      <c r="CAC1" s="136"/>
      <c r="CAD1" s="136"/>
      <c r="CAE1" s="136"/>
      <c r="CAF1" s="136"/>
      <c r="CAG1" s="136"/>
      <c r="CAH1" s="136"/>
      <c r="CAI1" s="136"/>
      <c r="CAJ1" s="136"/>
      <c r="CAK1" s="136"/>
      <c r="CAL1" s="136"/>
      <c r="CAM1" s="136"/>
      <c r="CAN1" s="136"/>
      <c r="CAO1" s="136"/>
      <c r="CAP1" s="136"/>
      <c r="CAQ1" s="136"/>
      <c r="CAR1" s="136"/>
      <c r="CAS1" s="136"/>
      <c r="CAT1" s="136"/>
      <c r="CAU1" s="136"/>
      <c r="CAV1" s="136"/>
      <c r="CAW1" s="136"/>
      <c r="CAX1" s="136"/>
      <c r="CAY1" s="136"/>
      <c r="CAZ1" s="136"/>
      <c r="CBA1" s="136"/>
      <c r="CBB1" s="136"/>
      <c r="CBC1" s="136"/>
      <c r="CBD1" s="136"/>
      <c r="CBE1" s="136"/>
      <c r="CBF1" s="136"/>
      <c r="CBG1" s="136"/>
      <c r="CBH1" s="136"/>
      <c r="CBI1" s="136"/>
      <c r="CBJ1" s="136"/>
      <c r="CBK1" s="136"/>
      <c r="CBL1" s="136"/>
      <c r="CBM1" s="136"/>
      <c r="CBN1" s="136"/>
      <c r="CBO1" s="136"/>
      <c r="CBP1" s="136"/>
      <c r="CBQ1" s="136"/>
      <c r="CBR1" s="136"/>
      <c r="CBS1" s="136"/>
      <c r="CBT1" s="136"/>
      <c r="CBU1" s="136"/>
      <c r="CBV1" s="136"/>
      <c r="CBW1" s="136"/>
      <c r="CBX1" s="136"/>
      <c r="CBY1" s="136"/>
      <c r="CBZ1" s="136"/>
      <c r="CCA1" s="136"/>
      <c r="CCB1" s="136"/>
      <c r="CCC1" s="136"/>
      <c r="CCD1" s="136"/>
      <c r="CCE1" s="136"/>
      <c r="CCF1" s="136"/>
      <c r="CCG1" s="136"/>
      <c r="CCH1" s="136"/>
      <c r="CCI1" s="136"/>
      <c r="CCJ1" s="136"/>
      <c r="CCK1" s="136"/>
      <c r="CCL1" s="136"/>
      <c r="CCM1" s="136"/>
      <c r="CCN1" s="136"/>
      <c r="CCO1" s="136"/>
      <c r="CCP1" s="136"/>
      <c r="CCQ1" s="136"/>
      <c r="CCR1" s="136"/>
      <c r="CCS1" s="136"/>
      <c r="CCT1" s="136"/>
      <c r="CCU1" s="136"/>
      <c r="CCV1" s="136"/>
      <c r="CCW1" s="136"/>
      <c r="CCX1" s="136"/>
      <c r="CCY1" s="136"/>
      <c r="CCZ1" s="136"/>
      <c r="CDA1" s="136"/>
      <c r="CDB1" s="136"/>
      <c r="CDC1" s="136"/>
      <c r="CDD1" s="136"/>
      <c r="CDE1" s="136"/>
      <c r="CDF1" s="136"/>
      <c r="CDG1" s="136"/>
      <c r="CDH1" s="136"/>
      <c r="CDI1" s="136"/>
      <c r="CDJ1" s="136"/>
      <c r="CDK1" s="136"/>
      <c r="CDL1" s="136"/>
      <c r="CDM1" s="136"/>
      <c r="CDN1" s="136"/>
      <c r="CDO1" s="136"/>
      <c r="CDP1" s="136"/>
      <c r="CDQ1" s="136"/>
      <c r="CDR1" s="136"/>
      <c r="CDS1" s="136"/>
      <c r="CDT1" s="136"/>
      <c r="CDU1" s="136"/>
      <c r="CDV1" s="136"/>
      <c r="CDW1" s="136"/>
      <c r="CDX1" s="136"/>
      <c r="CDY1" s="136"/>
      <c r="CDZ1" s="136"/>
      <c r="CEA1" s="136"/>
      <c r="CEB1" s="136"/>
      <c r="CEC1" s="136"/>
      <c r="CED1" s="136"/>
      <c r="CEE1" s="136"/>
      <c r="CEF1" s="136"/>
      <c r="CEG1" s="136"/>
      <c r="CEH1" s="136"/>
      <c r="CEI1" s="136"/>
      <c r="CEJ1" s="136"/>
      <c r="CEK1" s="136"/>
      <c r="CEL1" s="136"/>
      <c r="CEM1" s="136"/>
      <c r="CEN1" s="136"/>
      <c r="CEO1" s="136"/>
      <c r="CEP1" s="136"/>
      <c r="CEQ1" s="136"/>
      <c r="CER1" s="136"/>
      <c r="CES1" s="136"/>
      <c r="CET1" s="136"/>
      <c r="CEU1" s="136"/>
      <c r="CEV1" s="136"/>
      <c r="CEW1" s="136"/>
      <c r="CEX1" s="136"/>
      <c r="CEY1" s="136"/>
      <c r="CEZ1" s="136"/>
      <c r="CFA1" s="136"/>
      <c r="CFB1" s="136"/>
      <c r="CFC1" s="136"/>
      <c r="CFD1" s="136"/>
      <c r="CFE1" s="136"/>
      <c r="CFF1" s="136"/>
      <c r="CFG1" s="136"/>
      <c r="CFH1" s="136"/>
      <c r="CFI1" s="136"/>
      <c r="CFJ1" s="136"/>
      <c r="CFK1" s="136"/>
      <c r="CFL1" s="136"/>
      <c r="CFM1" s="136"/>
      <c r="CFN1" s="136"/>
      <c r="CFO1" s="136"/>
      <c r="CFP1" s="136"/>
      <c r="CFQ1" s="136"/>
      <c r="CFR1" s="136"/>
      <c r="CFS1" s="136"/>
      <c r="CFT1" s="136"/>
      <c r="CFU1" s="136"/>
      <c r="CFV1" s="136"/>
      <c r="CFW1" s="136"/>
      <c r="CFX1" s="136"/>
      <c r="CFY1" s="136"/>
      <c r="CFZ1" s="136"/>
      <c r="CGA1" s="136"/>
      <c r="CGB1" s="136"/>
      <c r="CGC1" s="136"/>
      <c r="CGD1" s="136"/>
      <c r="CGE1" s="136"/>
      <c r="CGF1" s="136"/>
      <c r="CGG1" s="136"/>
      <c r="CGH1" s="136"/>
      <c r="CGI1" s="136"/>
      <c r="CGJ1" s="136"/>
      <c r="CGK1" s="136"/>
      <c r="CGL1" s="136"/>
      <c r="CGM1" s="136"/>
      <c r="CGN1" s="136"/>
      <c r="CGO1" s="136"/>
      <c r="CGP1" s="136"/>
      <c r="CGQ1" s="136"/>
      <c r="CGR1" s="136"/>
      <c r="CGS1" s="136"/>
      <c r="CGT1" s="136"/>
      <c r="CGU1" s="136"/>
      <c r="CGV1" s="136"/>
      <c r="CGW1" s="136"/>
      <c r="CGX1" s="136"/>
      <c r="CGY1" s="136"/>
      <c r="CGZ1" s="136"/>
      <c r="CHA1" s="136"/>
      <c r="CHB1" s="136"/>
      <c r="CHC1" s="136"/>
      <c r="CHD1" s="136"/>
      <c r="CHE1" s="136"/>
      <c r="CHF1" s="136"/>
      <c r="CHG1" s="136"/>
      <c r="CHH1" s="136"/>
      <c r="CHI1" s="136"/>
      <c r="CHJ1" s="136"/>
      <c r="CHK1" s="136"/>
      <c r="CHL1" s="136"/>
      <c r="CHM1" s="136"/>
      <c r="CHN1" s="136"/>
      <c r="CHO1" s="136"/>
      <c r="CHP1" s="136"/>
      <c r="CHQ1" s="136"/>
      <c r="CHR1" s="136"/>
      <c r="CHS1" s="136"/>
      <c r="CHT1" s="136"/>
      <c r="CHU1" s="136"/>
      <c r="CHV1" s="136"/>
      <c r="CHW1" s="136"/>
      <c r="CHX1" s="136"/>
      <c r="CHY1" s="136"/>
      <c r="CHZ1" s="136"/>
      <c r="CIA1" s="136"/>
      <c r="CIB1" s="136"/>
      <c r="CIC1" s="136"/>
      <c r="CID1" s="136"/>
      <c r="CIE1" s="136"/>
      <c r="CIF1" s="136"/>
      <c r="CIG1" s="136"/>
      <c r="CIH1" s="136"/>
      <c r="CII1" s="136"/>
      <c r="CIJ1" s="136"/>
      <c r="CIK1" s="136"/>
      <c r="CIL1" s="136"/>
      <c r="CIM1" s="136"/>
      <c r="CIN1" s="136"/>
      <c r="CIO1" s="136"/>
      <c r="CIP1" s="136"/>
      <c r="CIQ1" s="136"/>
      <c r="CIR1" s="136"/>
      <c r="CIS1" s="136"/>
      <c r="CIT1" s="136"/>
      <c r="CIU1" s="136"/>
      <c r="CIV1" s="136"/>
      <c r="CIW1" s="136"/>
      <c r="CIX1" s="136"/>
      <c r="CIY1" s="136"/>
      <c r="CIZ1" s="136"/>
      <c r="CJA1" s="136"/>
      <c r="CJB1" s="136"/>
      <c r="CJC1" s="136"/>
      <c r="CJD1" s="136"/>
      <c r="CJE1" s="136"/>
      <c r="CJF1" s="136"/>
      <c r="CJG1" s="136"/>
      <c r="CJH1" s="136"/>
      <c r="CJI1" s="136"/>
      <c r="CJJ1" s="136"/>
      <c r="CJK1" s="136"/>
      <c r="CJL1" s="136"/>
      <c r="CJM1" s="136"/>
      <c r="CJN1" s="136"/>
      <c r="CJO1" s="136"/>
      <c r="CJP1" s="136"/>
      <c r="CJQ1" s="136"/>
      <c r="CJR1" s="136"/>
      <c r="CJS1" s="136"/>
      <c r="CJT1" s="136"/>
      <c r="CJU1" s="136"/>
      <c r="CJV1" s="136"/>
      <c r="CJW1" s="136"/>
      <c r="CJX1" s="136"/>
      <c r="CJY1" s="136"/>
      <c r="CJZ1" s="136"/>
      <c r="CKA1" s="136"/>
      <c r="CKB1" s="136"/>
      <c r="CKC1" s="136"/>
      <c r="CKD1" s="136"/>
      <c r="CKE1" s="136"/>
      <c r="CKF1" s="136"/>
      <c r="CKG1" s="136"/>
      <c r="CKH1" s="136"/>
      <c r="CKI1" s="136"/>
      <c r="CKJ1" s="136"/>
      <c r="CKK1" s="136"/>
      <c r="CKL1" s="136"/>
      <c r="CKM1" s="136"/>
      <c r="CKN1" s="136"/>
      <c r="CKO1" s="136"/>
      <c r="CKP1" s="136"/>
      <c r="CKQ1" s="136"/>
      <c r="CKR1" s="136"/>
      <c r="CKS1" s="136"/>
      <c r="CKT1" s="136"/>
      <c r="CKU1" s="136"/>
      <c r="CKV1" s="136"/>
      <c r="CKW1" s="136"/>
      <c r="CKX1" s="136"/>
      <c r="CKY1" s="136"/>
      <c r="CKZ1" s="136"/>
      <c r="CLA1" s="136"/>
      <c r="CLB1" s="136"/>
      <c r="CLC1" s="136"/>
      <c r="CLD1" s="136"/>
      <c r="CLE1" s="136"/>
      <c r="CLF1" s="136"/>
      <c r="CLG1" s="136"/>
      <c r="CLH1" s="136"/>
      <c r="CLI1" s="136"/>
      <c r="CLJ1" s="136"/>
      <c r="CLK1" s="136"/>
      <c r="CLL1" s="136"/>
      <c r="CLM1" s="136"/>
      <c r="CLN1" s="136"/>
      <c r="CLO1" s="136"/>
      <c r="CLP1" s="136"/>
      <c r="CLQ1" s="136"/>
      <c r="CLR1" s="136"/>
      <c r="CLS1" s="136"/>
      <c r="CLT1" s="136"/>
      <c r="CLU1" s="136"/>
      <c r="CLV1" s="136"/>
      <c r="CLW1" s="136"/>
      <c r="CLX1" s="136"/>
      <c r="CLY1" s="136"/>
      <c r="CLZ1" s="136"/>
      <c r="CMA1" s="136"/>
      <c r="CMB1" s="136"/>
      <c r="CMC1" s="136"/>
      <c r="CMD1" s="136"/>
      <c r="CME1" s="136"/>
      <c r="CMF1" s="136"/>
      <c r="CMG1" s="136"/>
      <c r="CMH1" s="136"/>
      <c r="CMI1" s="136"/>
      <c r="CMJ1" s="136"/>
      <c r="CMK1" s="136"/>
      <c r="CML1" s="136"/>
      <c r="CMM1" s="136"/>
      <c r="CMN1" s="136"/>
      <c r="CMO1" s="136"/>
      <c r="CMP1" s="136"/>
      <c r="CMQ1" s="136"/>
      <c r="CMR1" s="136"/>
      <c r="CMS1" s="136"/>
      <c r="CMT1" s="136"/>
      <c r="CMU1" s="136"/>
      <c r="CMV1" s="136"/>
      <c r="CMW1" s="136"/>
      <c r="CMX1" s="136"/>
      <c r="CMY1" s="136"/>
      <c r="CMZ1" s="136"/>
      <c r="CNA1" s="136"/>
      <c r="CNB1" s="136"/>
      <c r="CNC1" s="136"/>
      <c r="CND1" s="136"/>
      <c r="CNE1" s="136"/>
      <c r="CNF1" s="136"/>
      <c r="CNG1" s="136"/>
      <c r="CNH1" s="136"/>
      <c r="CNI1" s="136"/>
      <c r="CNJ1" s="136"/>
      <c r="CNK1" s="136"/>
      <c r="CNL1" s="136"/>
      <c r="CNM1" s="136"/>
      <c r="CNN1" s="136"/>
      <c r="CNO1" s="136"/>
      <c r="CNP1" s="136"/>
      <c r="CNQ1" s="136"/>
      <c r="CNR1" s="136"/>
      <c r="CNS1" s="136"/>
      <c r="CNT1" s="136"/>
      <c r="CNU1" s="136"/>
      <c r="CNV1" s="136"/>
      <c r="CNW1" s="136"/>
      <c r="CNX1" s="136"/>
      <c r="CNY1" s="136"/>
      <c r="CNZ1" s="136"/>
      <c r="COA1" s="136"/>
      <c r="COB1" s="136"/>
      <c r="COC1" s="136"/>
      <c r="COD1" s="136"/>
      <c r="COE1" s="136"/>
      <c r="COF1" s="136"/>
      <c r="COG1" s="136"/>
      <c r="COH1" s="136"/>
      <c r="COI1" s="136"/>
      <c r="COJ1" s="136"/>
      <c r="COK1" s="136"/>
      <c r="COL1" s="136"/>
      <c r="COM1" s="136"/>
      <c r="CON1" s="136"/>
      <c r="COO1" s="136"/>
      <c r="COP1" s="136"/>
      <c r="COQ1" s="136"/>
      <c r="COR1" s="136"/>
      <c r="COS1" s="136"/>
      <c r="COT1" s="136"/>
      <c r="COU1" s="136"/>
      <c r="COV1" s="136"/>
      <c r="COW1" s="136"/>
      <c r="COX1" s="136"/>
      <c r="COY1" s="136"/>
      <c r="COZ1" s="136"/>
      <c r="CPA1" s="136"/>
      <c r="CPB1" s="136"/>
      <c r="CPC1" s="136"/>
      <c r="CPD1" s="136"/>
      <c r="CPE1" s="136"/>
      <c r="CPF1" s="136"/>
      <c r="CPG1" s="136"/>
      <c r="CPH1" s="136"/>
      <c r="CPI1" s="136"/>
      <c r="CPJ1" s="136"/>
      <c r="CPK1" s="136"/>
      <c r="CPL1" s="136"/>
      <c r="CPM1" s="136"/>
      <c r="CPN1" s="136"/>
      <c r="CPO1" s="136"/>
      <c r="CPP1" s="136"/>
      <c r="CPQ1" s="136"/>
      <c r="CPR1" s="136"/>
      <c r="CPS1" s="136"/>
      <c r="CPT1" s="136"/>
      <c r="CPU1" s="136"/>
      <c r="CPV1" s="136"/>
      <c r="CPW1" s="136"/>
      <c r="CPX1" s="136"/>
      <c r="CPY1" s="136"/>
      <c r="CPZ1" s="136"/>
      <c r="CQA1" s="136"/>
      <c r="CQB1" s="136"/>
      <c r="CQC1" s="136"/>
      <c r="CQD1" s="136"/>
      <c r="CQE1" s="136"/>
      <c r="CQF1" s="136"/>
      <c r="CQG1" s="136"/>
      <c r="CQH1" s="136"/>
      <c r="CQI1" s="136"/>
      <c r="CQJ1" s="136"/>
      <c r="CQK1" s="136"/>
      <c r="CQL1" s="136"/>
      <c r="CQM1" s="136"/>
      <c r="CQN1" s="136"/>
      <c r="CQO1" s="136"/>
      <c r="CQP1" s="136"/>
      <c r="CQQ1" s="136"/>
      <c r="CQR1" s="136"/>
      <c r="CQS1" s="136"/>
      <c r="CQT1" s="136"/>
      <c r="CQU1" s="136"/>
      <c r="CQV1" s="136"/>
      <c r="CQW1" s="136"/>
      <c r="CQX1" s="136"/>
      <c r="CQY1" s="136"/>
      <c r="CQZ1" s="136"/>
      <c r="CRA1" s="136"/>
      <c r="CRB1" s="136"/>
      <c r="CRC1" s="136"/>
      <c r="CRD1" s="136"/>
      <c r="CRE1" s="136"/>
      <c r="CRF1" s="136"/>
      <c r="CRG1" s="136"/>
      <c r="CRH1" s="136"/>
      <c r="CRI1" s="136"/>
      <c r="CRJ1" s="136"/>
      <c r="CRK1" s="136"/>
      <c r="CRL1" s="136"/>
      <c r="CRM1" s="136"/>
      <c r="CRN1" s="136"/>
      <c r="CRO1" s="136"/>
      <c r="CRP1" s="136"/>
      <c r="CRQ1" s="136"/>
      <c r="CRR1" s="136"/>
      <c r="CRS1" s="136"/>
      <c r="CRT1" s="136"/>
      <c r="CRU1" s="136"/>
      <c r="CRV1" s="136"/>
      <c r="CRW1" s="136"/>
      <c r="CRX1" s="136"/>
      <c r="CRY1" s="136"/>
      <c r="CRZ1" s="136"/>
      <c r="CSA1" s="136"/>
      <c r="CSB1" s="136"/>
      <c r="CSC1" s="136"/>
      <c r="CSD1" s="136"/>
      <c r="CSE1" s="136"/>
      <c r="CSF1" s="136"/>
      <c r="CSG1" s="136"/>
      <c r="CSH1" s="136"/>
      <c r="CSI1" s="136"/>
      <c r="CSJ1" s="136"/>
      <c r="CSK1" s="136"/>
      <c r="CSL1" s="136"/>
      <c r="CSM1" s="136"/>
      <c r="CSN1" s="136"/>
      <c r="CSO1" s="136"/>
      <c r="CSP1" s="136"/>
      <c r="CSQ1" s="136"/>
      <c r="CSR1" s="136"/>
      <c r="CSS1" s="136"/>
      <c r="CST1" s="136"/>
      <c r="CSU1" s="136"/>
      <c r="CSV1" s="136"/>
      <c r="CSW1" s="136"/>
      <c r="CSX1" s="136"/>
      <c r="CSY1" s="136"/>
      <c r="CSZ1" s="136"/>
      <c r="CTA1" s="136"/>
      <c r="CTB1" s="136"/>
      <c r="CTC1" s="136"/>
      <c r="CTD1" s="136"/>
      <c r="CTE1" s="136"/>
      <c r="CTF1" s="136"/>
      <c r="CTG1" s="136"/>
      <c r="CTH1" s="136"/>
      <c r="CTI1" s="136"/>
      <c r="CTJ1" s="136"/>
      <c r="CTK1" s="136"/>
      <c r="CTL1" s="136"/>
      <c r="CTM1" s="136"/>
      <c r="CTN1" s="136"/>
      <c r="CTO1" s="136"/>
      <c r="CTP1" s="136"/>
      <c r="CTQ1" s="136"/>
      <c r="CTR1" s="136"/>
      <c r="CTS1" s="136"/>
      <c r="CTT1" s="136"/>
      <c r="CTU1" s="136"/>
      <c r="CTV1" s="136"/>
      <c r="CTW1" s="136"/>
      <c r="CTX1" s="136"/>
      <c r="CTY1" s="136"/>
      <c r="CTZ1" s="136"/>
      <c r="CUA1" s="136"/>
      <c r="CUB1" s="136"/>
      <c r="CUC1" s="136"/>
      <c r="CUD1" s="136"/>
      <c r="CUE1" s="136"/>
      <c r="CUF1" s="136"/>
      <c r="CUG1" s="136"/>
      <c r="CUH1" s="136"/>
      <c r="CUI1" s="136"/>
      <c r="CUJ1" s="136"/>
      <c r="CUK1" s="136"/>
      <c r="CUL1" s="136"/>
      <c r="CUM1" s="136"/>
      <c r="CUN1" s="136"/>
      <c r="CUO1" s="136"/>
      <c r="CUP1" s="136"/>
      <c r="CUQ1" s="136"/>
      <c r="CUR1" s="136"/>
      <c r="CUS1" s="136"/>
      <c r="CUT1" s="136"/>
      <c r="CUU1" s="136"/>
      <c r="CUV1" s="136"/>
      <c r="CUW1" s="136"/>
      <c r="CUX1" s="136"/>
      <c r="CUY1" s="136"/>
      <c r="CUZ1" s="136"/>
      <c r="CVA1" s="136"/>
      <c r="CVB1" s="136"/>
      <c r="CVC1" s="136"/>
      <c r="CVD1" s="136"/>
      <c r="CVE1" s="136"/>
      <c r="CVF1" s="136"/>
      <c r="CVG1" s="136"/>
      <c r="CVH1" s="136"/>
      <c r="CVI1" s="136"/>
      <c r="CVJ1" s="136"/>
      <c r="CVK1" s="136"/>
      <c r="CVL1" s="136"/>
      <c r="CVM1" s="136"/>
      <c r="CVN1" s="136"/>
      <c r="CVO1" s="136"/>
      <c r="CVP1" s="136"/>
      <c r="CVQ1" s="136"/>
      <c r="CVR1" s="136"/>
      <c r="CVS1" s="136"/>
      <c r="CVT1" s="136"/>
      <c r="CVU1" s="136"/>
      <c r="CVV1" s="136"/>
      <c r="CVW1" s="136"/>
      <c r="CVX1" s="136"/>
      <c r="CVY1" s="136"/>
      <c r="CVZ1" s="136"/>
      <c r="CWA1" s="136"/>
      <c r="CWB1" s="136"/>
      <c r="CWC1" s="136"/>
      <c r="CWD1" s="136"/>
      <c r="CWE1" s="136"/>
      <c r="CWF1" s="136"/>
      <c r="CWG1" s="136"/>
      <c r="CWH1" s="136"/>
      <c r="CWI1" s="136"/>
      <c r="CWJ1" s="136"/>
      <c r="CWK1" s="136"/>
      <c r="CWL1" s="136"/>
      <c r="CWM1" s="136"/>
      <c r="CWN1" s="136"/>
      <c r="CWO1" s="136"/>
      <c r="CWP1" s="136"/>
      <c r="CWQ1" s="136"/>
      <c r="CWR1" s="136"/>
      <c r="CWS1" s="136"/>
      <c r="CWT1" s="136"/>
      <c r="CWU1" s="136"/>
      <c r="CWV1" s="136"/>
      <c r="CWW1" s="136"/>
      <c r="CWX1" s="136"/>
      <c r="CWY1" s="136"/>
      <c r="CWZ1" s="136"/>
      <c r="CXA1" s="136"/>
      <c r="CXB1" s="136"/>
      <c r="CXC1" s="136"/>
      <c r="CXD1" s="136"/>
      <c r="CXE1" s="136"/>
      <c r="CXF1" s="136"/>
      <c r="CXG1" s="136"/>
      <c r="CXH1" s="136"/>
      <c r="CXI1" s="136"/>
      <c r="CXJ1" s="136"/>
      <c r="CXK1" s="136"/>
      <c r="CXL1" s="136"/>
      <c r="CXM1" s="136"/>
      <c r="CXN1" s="136"/>
      <c r="CXO1" s="136"/>
      <c r="CXP1" s="136"/>
      <c r="CXQ1" s="136"/>
      <c r="CXR1" s="136"/>
      <c r="CXS1" s="136"/>
      <c r="CXT1" s="136"/>
      <c r="CXU1" s="136"/>
      <c r="CXV1" s="136"/>
      <c r="CXW1" s="136"/>
      <c r="CXX1" s="136"/>
      <c r="CXY1" s="136"/>
      <c r="CXZ1" s="136"/>
      <c r="CYA1" s="136"/>
      <c r="CYB1" s="136"/>
      <c r="CYC1" s="136"/>
      <c r="CYD1" s="136"/>
      <c r="CYE1" s="136"/>
      <c r="CYF1" s="136"/>
      <c r="CYG1" s="136"/>
      <c r="CYH1" s="136"/>
      <c r="CYI1" s="136"/>
      <c r="CYJ1" s="136"/>
      <c r="CYK1" s="136"/>
      <c r="CYL1" s="136"/>
      <c r="CYM1" s="136"/>
      <c r="CYN1" s="136"/>
      <c r="CYO1" s="136"/>
      <c r="CYP1" s="136"/>
      <c r="CYQ1" s="136"/>
      <c r="CYR1" s="136"/>
      <c r="CYS1" s="136"/>
      <c r="CYT1" s="136"/>
      <c r="CYU1" s="136"/>
      <c r="CYV1" s="136"/>
      <c r="CYW1" s="136"/>
      <c r="CYX1" s="136"/>
      <c r="CYY1" s="136"/>
      <c r="CYZ1" s="136"/>
      <c r="CZA1" s="136"/>
      <c r="CZB1" s="136"/>
      <c r="CZC1" s="136"/>
      <c r="CZD1" s="136"/>
      <c r="CZE1" s="136"/>
      <c r="CZF1" s="136"/>
      <c r="CZG1" s="136"/>
      <c r="CZH1" s="136"/>
      <c r="CZI1" s="136"/>
      <c r="CZJ1" s="136"/>
      <c r="CZK1" s="136"/>
      <c r="CZL1" s="136"/>
      <c r="CZM1" s="136"/>
      <c r="CZN1" s="136"/>
      <c r="CZO1" s="136"/>
      <c r="CZP1" s="136"/>
      <c r="CZQ1" s="136"/>
      <c r="CZR1" s="136"/>
      <c r="CZS1" s="136"/>
      <c r="CZT1" s="136"/>
      <c r="CZU1" s="136"/>
      <c r="CZV1" s="136"/>
      <c r="CZW1" s="136"/>
      <c r="CZX1" s="136"/>
      <c r="CZY1" s="136"/>
      <c r="CZZ1" s="136"/>
      <c r="DAA1" s="136"/>
      <c r="DAB1" s="136"/>
      <c r="DAC1" s="136"/>
      <c r="DAD1" s="136"/>
      <c r="DAE1" s="136"/>
      <c r="DAF1" s="136"/>
      <c r="DAG1" s="136"/>
      <c r="DAH1" s="136"/>
      <c r="DAI1" s="136"/>
      <c r="DAJ1" s="136"/>
      <c r="DAK1" s="136"/>
      <c r="DAL1" s="136"/>
      <c r="DAM1" s="136"/>
      <c r="DAN1" s="136"/>
      <c r="DAO1" s="136"/>
      <c r="DAP1" s="136"/>
      <c r="DAQ1" s="136"/>
      <c r="DAR1" s="136"/>
      <c r="DAS1" s="136"/>
      <c r="DAT1" s="136"/>
      <c r="DAU1" s="136"/>
      <c r="DAV1" s="136"/>
      <c r="DAW1" s="136"/>
      <c r="DAX1" s="136"/>
      <c r="DAY1" s="136"/>
      <c r="DAZ1" s="136"/>
      <c r="DBA1" s="136"/>
      <c r="DBB1" s="136"/>
      <c r="DBC1" s="136"/>
      <c r="DBD1" s="136"/>
      <c r="DBE1" s="136"/>
      <c r="DBF1" s="136"/>
      <c r="DBG1" s="136"/>
      <c r="DBH1" s="136"/>
      <c r="DBI1" s="136"/>
      <c r="DBJ1" s="136"/>
      <c r="DBK1" s="136"/>
      <c r="DBL1" s="136"/>
      <c r="DBM1" s="136"/>
      <c r="DBN1" s="136"/>
      <c r="DBO1" s="136"/>
      <c r="DBP1" s="136"/>
      <c r="DBQ1" s="136"/>
      <c r="DBR1" s="136"/>
      <c r="DBS1" s="136"/>
      <c r="DBT1" s="136"/>
      <c r="DBU1" s="136"/>
      <c r="DBV1" s="136"/>
      <c r="DBW1" s="136"/>
      <c r="DBX1" s="136"/>
      <c r="DBY1" s="136"/>
      <c r="DBZ1" s="136"/>
      <c r="DCA1" s="136"/>
      <c r="DCB1" s="136"/>
      <c r="DCC1" s="136"/>
      <c r="DCD1" s="136"/>
      <c r="DCE1" s="136"/>
      <c r="DCF1" s="136"/>
      <c r="DCG1" s="136"/>
      <c r="DCH1" s="136"/>
      <c r="DCI1" s="136"/>
      <c r="DCJ1" s="136"/>
      <c r="DCK1" s="136"/>
      <c r="DCL1" s="136"/>
      <c r="DCM1" s="136"/>
      <c r="DCN1" s="136"/>
      <c r="DCO1" s="136"/>
      <c r="DCP1" s="136"/>
      <c r="DCQ1" s="136"/>
      <c r="DCR1" s="136"/>
      <c r="DCS1" s="136"/>
      <c r="DCT1" s="136"/>
      <c r="DCU1" s="136"/>
      <c r="DCV1" s="136"/>
      <c r="DCW1" s="136"/>
      <c r="DCX1" s="136"/>
      <c r="DCY1" s="136"/>
      <c r="DCZ1" s="136"/>
      <c r="DDA1" s="136"/>
      <c r="DDB1" s="136"/>
      <c r="DDC1" s="136"/>
      <c r="DDD1" s="136"/>
      <c r="DDE1" s="136"/>
      <c r="DDF1" s="136"/>
      <c r="DDG1" s="136"/>
      <c r="DDH1" s="136"/>
      <c r="DDI1" s="136"/>
      <c r="DDJ1" s="136"/>
      <c r="DDK1" s="136"/>
      <c r="DDL1" s="136"/>
      <c r="DDM1" s="136"/>
      <c r="DDN1" s="136"/>
      <c r="DDO1" s="136"/>
      <c r="DDP1" s="136"/>
      <c r="DDQ1" s="136"/>
      <c r="DDR1" s="136"/>
      <c r="DDS1" s="136"/>
      <c r="DDT1" s="136"/>
      <c r="DDU1" s="136"/>
      <c r="DDV1" s="136"/>
      <c r="DDW1" s="136"/>
      <c r="DDX1" s="136"/>
      <c r="DDY1" s="136"/>
      <c r="DDZ1" s="136"/>
      <c r="DEA1" s="136"/>
      <c r="DEB1" s="136"/>
      <c r="DEC1" s="136"/>
      <c r="DED1" s="136"/>
      <c r="DEE1" s="136"/>
      <c r="DEF1" s="136"/>
      <c r="DEG1" s="136"/>
      <c r="DEH1" s="136"/>
      <c r="DEI1" s="136"/>
      <c r="DEJ1" s="136"/>
      <c r="DEK1" s="136"/>
      <c r="DEL1" s="136"/>
      <c r="DEM1" s="136"/>
      <c r="DEN1" s="136"/>
      <c r="DEO1" s="136"/>
      <c r="DEP1" s="136"/>
      <c r="DEQ1" s="136"/>
      <c r="DER1" s="136"/>
      <c r="DES1" s="136"/>
      <c r="DET1" s="136"/>
      <c r="DEU1" s="136"/>
      <c r="DEV1" s="136"/>
      <c r="DEW1" s="136"/>
      <c r="DEX1" s="136"/>
      <c r="DEY1" s="136"/>
      <c r="DEZ1" s="136"/>
      <c r="DFA1" s="136"/>
      <c r="DFB1" s="136"/>
      <c r="DFC1" s="136"/>
      <c r="DFD1" s="136"/>
      <c r="DFE1" s="136"/>
      <c r="DFF1" s="136"/>
      <c r="DFG1" s="136"/>
      <c r="DFH1" s="136"/>
      <c r="DFI1" s="136"/>
      <c r="DFJ1" s="136"/>
      <c r="DFK1" s="136"/>
      <c r="DFL1" s="136"/>
      <c r="DFM1" s="136"/>
      <c r="DFN1" s="136"/>
      <c r="DFO1" s="136"/>
      <c r="DFP1" s="136"/>
      <c r="DFQ1" s="136"/>
      <c r="DFR1" s="136"/>
      <c r="DFS1" s="136"/>
      <c r="DFT1" s="136"/>
      <c r="DFU1" s="136"/>
      <c r="DFV1" s="136"/>
      <c r="DFW1" s="136"/>
      <c r="DFX1" s="136"/>
      <c r="DFY1" s="136"/>
      <c r="DFZ1" s="136"/>
      <c r="DGA1" s="136"/>
      <c r="DGB1" s="136"/>
      <c r="DGC1" s="136"/>
      <c r="DGD1" s="136"/>
      <c r="DGE1" s="136"/>
      <c r="DGF1" s="136"/>
      <c r="DGG1" s="136"/>
      <c r="DGH1" s="136"/>
      <c r="DGI1" s="136"/>
      <c r="DGJ1" s="136"/>
      <c r="DGK1" s="136"/>
      <c r="DGL1" s="136"/>
      <c r="DGM1" s="136"/>
      <c r="DGN1" s="136"/>
      <c r="DGO1" s="136"/>
      <c r="DGP1" s="136"/>
      <c r="DGQ1" s="136"/>
      <c r="DGR1" s="136"/>
      <c r="DGS1" s="136"/>
      <c r="DGT1" s="136"/>
      <c r="DGU1" s="136"/>
      <c r="DGV1" s="136"/>
      <c r="DGW1" s="136"/>
      <c r="DGX1" s="136"/>
      <c r="DGY1" s="136"/>
      <c r="DGZ1" s="136"/>
      <c r="DHA1" s="136"/>
      <c r="DHB1" s="136"/>
      <c r="DHC1" s="136"/>
      <c r="DHD1" s="136"/>
      <c r="DHE1" s="136"/>
      <c r="DHF1" s="136"/>
      <c r="DHG1" s="136"/>
      <c r="DHH1" s="136"/>
      <c r="DHI1" s="136"/>
      <c r="DHJ1" s="136"/>
      <c r="DHK1" s="136"/>
      <c r="DHL1" s="136"/>
      <c r="DHM1" s="136"/>
      <c r="DHN1" s="136"/>
      <c r="DHO1" s="136"/>
      <c r="DHP1" s="136"/>
      <c r="DHQ1" s="136"/>
      <c r="DHR1" s="136"/>
      <c r="DHS1" s="136"/>
      <c r="DHT1" s="136"/>
      <c r="DHU1" s="136"/>
      <c r="DHV1" s="136"/>
      <c r="DHW1" s="136"/>
      <c r="DHX1" s="136"/>
      <c r="DHY1" s="136"/>
      <c r="DHZ1" s="136"/>
      <c r="DIA1" s="136"/>
      <c r="DIB1" s="136"/>
      <c r="DIC1" s="136"/>
      <c r="DID1" s="136"/>
      <c r="DIE1" s="136"/>
      <c r="DIF1" s="136"/>
      <c r="DIG1" s="136"/>
      <c r="DIH1" s="136"/>
      <c r="DII1" s="136"/>
      <c r="DIJ1" s="136"/>
      <c r="DIK1" s="136"/>
      <c r="DIL1" s="136"/>
      <c r="DIM1" s="136"/>
      <c r="DIN1" s="136"/>
      <c r="DIO1" s="136"/>
      <c r="DIP1" s="136"/>
      <c r="DIQ1" s="136"/>
      <c r="DIR1" s="136"/>
      <c r="DIS1" s="136"/>
      <c r="DIT1" s="136"/>
      <c r="DIU1" s="136"/>
      <c r="DIV1" s="136"/>
      <c r="DIW1" s="136"/>
      <c r="DIX1" s="136"/>
      <c r="DIY1" s="136"/>
      <c r="DIZ1" s="136"/>
      <c r="DJA1" s="136"/>
      <c r="DJB1" s="136"/>
      <c r="DJC1" s="136"/>
      <c r="DJD1" s="136"/>
      <c r="DJE1" s="136"/>
      <c r="DJF1" s="136"/>
      <c r="DJG1" s="136"/>
      <c r="DJH1" s="136"/>
      <c r="DJI1" s="136"/>
      <c r="DJJ1" s="136"/>
      <c r="DJK1" s="136"/>
      <c r="DJL1" s="136"/>
      <c r="DJM1" s="136"/>
      <c r="DJN1" s="136"/>
      <c r="DJO1" s="136"/>
      <c r="DJP1" s="136"/>
      <c r="DJQ1" s="136"/>
      <c r="DJR1" s="136"/>
      <c r="DJS1" s="136"/>
      <c r="DJT1" s="136"/>
      <c r="DJU1" s="136"/>
      <c r="DJV1" s="136"/>
      <c r="DJW1" s="136"/>
      <c r="DJX1" s="136"/>
      <c r="DJY1" s="136"/>
      <c r="DJZ1" s="136"/>
      <c r="DKA1" s="136"/>
      <c r="DKB1" s="136"/>
      <c r="DKC1" s="136"/>
      <c r="DKD1" s="136"/>
      <c r="DKE1" s="136"/>
      <c r="DKF1" s="136"/>
      <c r="DKG1" s="136"/>
      <c r="DKH1" s="136"/>
      <c r="DKI1" s="136"/>
      <c r="DKJ1" s="136"/>
      <c r="DKK1" s="136"/>
      <c r="DKL1" s="136"/>
      <c r="DKM1" s="136"/>
      <c r="DKN1" s="136"/>
      <c r="DKO1" s="136"/>
      <c r="DKP1" s="136"/>
      <c r="DKQ1" s="136"/>
      <c r="DKR1" s="136"/>
      <c r="DKS1" s="136"/>
      <c r="DKT1" s="136"/>
      <c r="DKU1" s="136"/>
      <c r="DKV1" s="136"/>
      <c r="DKW1" s="136"/>
      <c r="DKX1" s="136"/>
      <c r="DKY1" s="136"/>
      <c r="DKZ1" s="136"/>
      <c r="DLA1" s="136"/>
      <c r="DLB1" s="136"/>
      <c r="DLC1" s="136"/>
      <c r="DLD1" s="136"/>
      <c r="DLE1" s="136"/>
      <c r="DLF1" s="136"/>
      <c r="DLG1" s="136"/>
      <c r="DLH1" s="136"/>
      <c r="DLI1" s="136"/>
      <c r="DLJ1" s="136"/>
      <c r="DLK1" s="136"/>
      <c r="DLL1" s="136"/>
      <c r="DLM1" s="136"/>
      <c r="DLN1" s="136"/>
      <c r="DLO1" s="136"/>
      <c r="DLP1" s="136"/>
      <c r="DLQ1" s="136"/>
      <c r="DLR1" s="136"/>
      <c r="DLS1" s="136"/>
      <c r="DLT1" s="136"/>
      <c r="DLU1" s="136"/>
      <c r="DLV1" s="136"/>
      <c r="DLW1" s="136"/>
      <c r="DLX1" s="136"/>
      <c r="DLY1" s="136"/>
      <c r="DLZ1" s="136"/>
      <c r="DMA1" s="136"/>
      <c r="DMB1" s="136"/>
      <c r="DMC1" s="136"/>
      <c r="DMD1" s="136"/>
      <c r="DME1" s="136"/>
      <c r="DMF1" s="136"/>
      <c r="DMG1" s="136"/>
      <c r="DMH1" s="136"/>
      <c r="DMI1" s="136"/>
      <c r="DMJ1" s="136"/>
      <c r="DMK1" s="136"/>
      <c r="DML1" s="136"/>
      <c r="DMM1" s="136"/>
      <c r="DMN1" s="136"/>
      <c r="DMO1" s="136"/>
      <c r="DMP1" s="136"/>
      <c r="DMQ1" s="136"/>
      <c r="DMR1" s="136"/>
      <c r="DMS1" s="136"/>
      <c r="DMT1" s="136"/>
      <c r="DMU1" s="136"/>
      <c r="DMV1" s="136"/>
      <c r="DMW1" s="136"/>
      <c r="DMX1" s="136"/>
      <c r="DMY1" s="136"/>
      <c r="DMZ1" s="136"/>
      <c r="DNA1" s="136"/>
      <c r="DNB1" s="136"/>
      <c r="DNC1" s="136"/>
      <c r="DND1" s="136"/>
      <c r="DNE1" s="136"/>
      <c r="DNF1" s="136"/>
      <c r="DNG1" s="136"/>
      <c r="DNH1" s="136"/>
      <c r="DNI1" s="136"/>
      <c r="DNJ1" s="136"/>
      <c r="DNK1" s="136"/>
      <c r="DNL1" s="136"/>
      <c r="DNM1" s="136"/>
      <c r="DNN1" s="136"/>
      <c r="DNO1" s="136"/>
      <c r="DNP1" s="136"/>
      <c r="DNQ1" s="136"/>
      <c r="DNR1" s="136"/>
      <c r="DNS1" s="136"/>
      <c r="DNT1" s="136"/>
      <c r="DNU1" s="136"/>
      <c r="DNV1" s="136"/>
      <c r="DNW1" s="136"/>
      <c r="DNX1" s="136"/>
      <c r="DNY1" s="136"/>
      <c r="DNZ1" s="136"/>
      <c r="DOA1" s="136"/>
      <c r="DOB1" s="136"/>
      <c r="DOC1" s="136"/>
      <c r="DOD1" s="136"/>
      <c r="DOE1" s="136"/>
      <c r="DOF1" s="136"/>
      <c r="DOG1" s="136"/>
      <c r="DOH1" s="136"/>
      <c r="DOI1" s="136"/>
      <c r="DOJ1" s="136"/>
      <c r="DOK1" s="136"/>
      <c r="DOL1" s="136"/>
      <c r="DOM1" s="136"/>
      <c r="DON1" s="136"/>
      <c r="DOO1" s="136"/>
      <c r="DOP1" s="136"/>
      <c r="DOQ1" s="136"/>
      <c r="DOR1" s="136"/>
      <c r="DOS1" s="136"/>
      <c r="DOT1" s="136"/>
      <c r="DOU1" s="136"/>
      <c r="DOV1" s="136"/>
      <c r="DOW1" s="136"/>
      <c r="DOX1" s="136"/>
      <c r="DOY1" s="136"/>
      <c r="DOZ1" s="136"/>
      <c r="DPA1" s="136"/>
      <c r="DPB1" s="136"/>
      <c r="DPC1" s="136"/>
      <c r="DPD1" s="136"/>
      <c r="DPE1" s="136"/>
      <c r="DPF1" s="136"/>
      <c r="DPG1" s="136"/>
      <c r="DPH1" s="136"/>
      <c r="DPI1" s="136"/>
      <c r="DPJ1" s="136"/>
      <c r="DPK1" s="136"/>
      <c r="DPL1" s="136"/>
      <c r="DPM1" s="136"/>
      <c r="DPN1" s="136"/>
      <c r="DPO1" s="136"/>
      <c r="DPP1" s="136"/>
      <c r="DPQ1" s="136"/>
      <c r="DPR1" s="136"/>
      <c r="DPS1" s="136"/>
      <c r="DPT1" s="136"/>
      <c r="DPU1" s="136"/>
      <c r="DPV1" s="136"/>
      <c r="DPW1" s="136"/>
      <c r="DPX1" s="136"/>
      <c r="DPY1" s="136"/>
      <c r="DPZ1" s="136"/>
      <c r="DQA1" s="136"/>
      <c r="DQB1" s="136"/>
      <c r="DQC1" s="136"/>
      <c r="DQD1" s="136"/>
      <c r="DQE1" s="136"/>
      <c r="DQF1" s="136"/>
      <c r="DQG1" s="136"/>
      <c r="DQH1" s="136"/>
      <c r="DQI1" s="136"/>
      <c r="DQJ1" s="136"/>
      <c r="DQK1" s="136"/>
      <c r="DQL1" s="136"/>
      <c r="DQM1" s="136"/>
      <c r="DQN1" s="136"/>
      <c r="DQO1" s="136"/>
      <c r="DQP1" s="136"/>
      <c r="DQQ1" s="136"/>
      <c r="DQR1" s="136"/>
      <c r="DQS1" s="136"/>
      <c r="DQT1" s="136"/>
      <c r="DQU1" s="136"/>
      <c r="DQV1" s="136"/>
      <c r="DQW1" s="136"/>
      <c r="DQX1" s="136"/>
      <c r="DQY1" s="136"/>
      <c r="DQZ1" s="136"/>
      <c r="DRA1" s="136"/>
      <c r="DRB1" s="136"/>
      <c r="DRC1" s="136"/>
      <c r="DRD1" s="136"/>
      <c r="DRE1" s="136"/>
      <c r="DRF1" s="136"/>
      <c r="DRG1" s="136"/>
      <c r="DRH1" s="136"/>
      <c r="DRI1" s="136"/>
      <c r="DRJ1" s="136"/>
      <c r="DRK1" s="136"/>
      <c r="DRL1" s="136"/>
      <c r="DRM1" s="136"/>
      <c r="DRN1" s="136"/>
      <c r="DRO1" s="136"/>
      <c r="DRP1" s="136"/>
      <c r="DRQ1" s="136"/>
      <c r="DRR1" s="136"/>
      <c r="DRS1" s="136"/>
      <c r="DRT1" s="136"/>
      <c r="DRU1" s="136"/>
      <c r="DRV1" s="136"/>
      <c r="DRW1" s="136"/>
      <c r="DRX1" s="136"/>
      <c r="DRY1" s="136"/>
      <c r="DRZ1" s="136"/>
      <c r="DSA1" s="136"/>
      <c r="DSB1" s="136"/>
      <c r="DSC1" s="136"/>
      <c r="DSD1" s="136"/>
      <c r="DSE1" s="136"/>
      <c r="DSF1" s="136"/>
      <c r="DSG1" s="136"/>
      <c r="DSH1" s="136"/>
      <c r="DSI1" s="136"/>
      <c r="DSJ1" s="136"/>
      <c r="DSK1" s="136"/>
      <c r="DSL1" s="136"/>
      <c r="DSM1" s="136"/>
      <c r="DSN1" s="136"/>
      <c r="DSO1" s="136"/>
      <c r="DSP1" s="136"/>
      <c r="DSQ1" s="136"/>
      <c r="DSR1" s="136"/>
      <c r="DSS1" s="136"/>
      <c r="DST1" s="136"/>
      <c r="DSU1" s="136"/>
      <c r="DSV1" s="136"/>
      <c r="DSW1" s="136"/>
      <c r="DSX1" s="136"/>
      <c r="DSY1" s="136"/>
      <c r="DSZ1" s="136"/>
      <c r="DTA1" s="136"/>
      <c r="DTB1" s="136"/>
      <c r="DTC1" s="136"/>
      <c r="DTD1" s="136"/>
      <c r="DTE1" s="136"/>
      <c r="DTF1" s="136"/>
      <c r="DTG1" s="136"/>
      <c r="DTH1" s="136"/>
      <c r="DTI1" s="136"/>
      <c r="DTJ1" s="136"/>
      <c r="DTK1" s="136"/>
      <c r="DTL1" s="136"/>
      <c r="DTM1" s="136"/>
      <c r="DTN1" s="136"/>
      <c r="DTO1" s="136"/>
      <c r="DTP1" s="136"/>
      <c r="DTQ1" s="136"/>
      <c r="DTR1" s="136"/>
      <c r="DTS1" s="136"/>
      <c r="DTT1" s="136"/>
      <c r="DTU1" s="136"/>
      <c r="DTV1" s="136"/>
      <c r="DTW1" s="136"/>
      <c r="DTX1" s="136"/>
      <c r="DTY1" s="136"/>
      <c r="DTZ1" s="136"/>
      <c r="DUA1" s="136"/>
      <c r="DUB1" s="136"/>
      <c r="DUC1" s="136"/>
      <c r="DUD1" s="136"/>
      <c r="DUE1" s="136"/>
      <c r="DUF1" s="136"/>
      <c r="DUG1" s="136"/>
      <c r="DUH1" s="136"/>
      <c r="DUI1" s="136"/>
      <c r="DUJ1" s="136"/>
      <c r="DUK1" s="136"/>
      <c r="DUL1" s="136"/>
      <c r="DUM1" s="136"/>
      <c r="DUN1" s="136"/>
      <c r="DUO1" s="136"/>
      <c r="DUP1" s="136"/>
      <c r="DUQ1" s="136"/>
      <c r="DUR1" s="136"/>
      <c r="DUS1" s="136"/>
      <c r="DUT1" s="136"/>
      <c r="DUU1" s="136"/>
      <c r="DUV1" s="136"/>
      <c r="DUW1" s="136"/>
      <c r="DUX1" s="136"/>
      <c r="DUY1" s="136"/>
      <c r="DUZ1" s="136"/>
      <c r="DVA1" s="136"/>
      <c r="DVB1" s="136"/>
      <c r="DVC1" s="136"/>
      <c r="DVD1" s="136"/>
      <c r="DVE1" s="136"/>
      <c r="DVF1" s="136"/>
      <c r="DVG1" s="136"/>
      <c r="DVH1" s="136"/>
      <c r="DVI1" s="136"/>
      <c r="DVJ1" s="136"/>
      <c r="DVK1" s="136"/>
      <c r="DVL1" s="136"/>
      <c r="DVM1" s="136"/>
      <c r="DVN1" s="136"/>
      <c r="DVO1" s="136"/>
      <c r="DVP1" s="136"/>
      <c r="DVQ1" s="136"/>
      <c r="DVR1" s="136"/>
      <c r="DVS1" s="136"/>
      <c r="DVT1" s="136"/>
      <c r="DVU1" s="136"/>
      <c r="DVV1" s="136"/>
      <c r="DVW1" s="136"/>
      <c r="DVX1" s="136"/>
      <c r="DVY1" s="136"/>
      <c r="DVZ1" s="136"/>
      <c r="DWA1" s="136"/>
      <c r="DWB1" s="136"/>
      <c r="DWC1" s="136"/>
      <c r="DWD1" s="136"/>
      <c r="DWE1" s="136"/>
      <c r="DWF1" s="136"/>
      <c r="DWG1" s="136"/>
      <c r="DWH1" s="136"/>
      <c r="DWI1" s="136"/>
      <c r="DWJ1" s="136"/>
      <c r="DWK1" s="136"/>
      <c r="DWL1" s="136"/>
      <c r="DWM1" s="136"/>
      <c r="DWN1" s="136"/>
      <c r="DWO1" s="136"/>
      <c r="DWP1" s="136"/>
      <c r="DWQ1" s="136"/>
      <c r="DWR1" s="136"/>
      <c r="DWS1" s="136"/>
      <c r="DWT1" s="136"/>
      <c r="DWU1" s="136"/>
      <c r="DWV1" s="136"/>
      <c r="DWW1" s="136"/>
      <c r="DWX1" s="136"/>
      <c r="DWY1" s="136"/>
      <c r="DWZ1" s="136"/>
      <c r="DXA1" s="136"/>
      <c r="DXB1" s="136"/>
      <c r="DXC1" s="136"/>
      <c r="DXD1" s="136"/>
      <c r="DXE1" s="136"/>
      <c r="DXF1" s="136"/>
      <c r="DXG1" s="136"/>
      <c r="DXH1" s="136"/>
      <c r="DXI1" s="136"/>
      <c r="DXJ1" s="136"/>
      <c r="DXK1" s="136"/>
      <c r="DXL1" s="136"/>
      <c r="DXM1" s="136"/>
      <c r="DXN1" s="136"/>
      <c r="DXO1" s="136"/>
      <c r="DXP1" s="136"/>
      <c r="DXQ1" s="136"/>
      <c r="DXR1" s="136"/>
      <c r="DXS1" s="136"/>
      <c r="DXT1" s="136"/>
      <c r="DXU1" s="136"/>
      <c r="DXV1" s="136"/>
      <c r="DXW1" s="136"/>
      <c r="DXX1" s="136"/>
      <c r="DXY1" s="136"/>
      <c r="DXZ1" s="136"/>
      <c r="DYA1" s="136"/>
      <c r="DYB1" s="136"/>
      <c r="DYC1" s="136"/>
      <c r="DYD1" s="136"/>
      <c r="DYE1" s="136"/>
      <c r="DYF1" s="136"/>
      <c r="DYG1" s="136"/>
      <c r="DYH1" s="136"/>
      <c r="DYI1" s="136"/>
      <c r="DYJ1" s="136"/>
      <c r="DYK1" s="136"/>
      <c r="DYL1" s="136"/>
      <c r="DYM1" s="136"/>
      <c r="DYN1" s="136"/>
      <c r="DYO1" s="136"/>
      <c r="DYP1" s="136"/>
      <c r="DYQ1" s="136"/>
      <c r="DYR1" s="136"/>
      <c r="DYS1" s="136"/>
      <c r="DYT1" s="136"/>
      <c r="DYU1" s="136"/>
      <c r="DYV1" s="136"/>
      <c r="DYW1" s="136"/>
      <c r="DYX1" s="136"/>
      <c r="DYY1" s="136"/>
      <c r="DYZ1" s="136"/>
      <c r="DZA1" s="136"/>
      <c r="DZB1" s="136"/>
      <c r="DZC1" s="136"/>
      <c r="DZD1" s="136"/>
      <c r="DZE1" s="136"/>
      <c r="DZF1" s="136"/>
      <c r="DZG1" s="136"/>
      <c r="DZH1" s="136"/>
      <c r="DZI1" s="136"/>
      <c r="DZJ1" s="136"/>
      <c r="DZK1" s="136"/>
      <c r="DZL1" s="136"/>
      <c r="DZM1" s="136"/>
      <c r="DZN1" s="136"/>
      <c r="DZO1" s="136"/>
      <c r="DZP1" s="136"/>
      <c r="DZQ1" s="136"/>
      <c r="DZR1" s="136"/>
      <c r="DZS1" s="136"/>
      <c r="DZT1" s="136"/>
      <c r="DZU1" s="136"/>
      <c r="DZV1" s="136"/>
      <c r="DZW1" s="136"/>
      <c r="DZX1" s="136"/>
      <c r="DZY1" s="136"/>
      <c r="DZZ1" s="136"/>
      <c r="EAA1" s="136"/>
      <c r="EAB1" s="136"/>
      <c r="EAC1" s="136"/>
      <c r="EAD1" s="136"/>
      <c r="EAE1" s="136"/>
      <c r="EAF1" s="136"/>
      <c r="EAG1" s="136"/>
      <c r="EAH1" s="136"/>
      <c r="EAI1" s="136"/>
      <c r="EAJ1" s="136"/>
      <c r="EAK1" s="136"/>
      <c r="EAL1" s="136"/>
      <c r="EAM1" s="136"/>
      <c r="EAN1" s="136"/>
      <c r="EAO1" s="136"/>
      <c r="EAP1" s="136"/>
      <c r="EAQ1" s="136"/>
      <c r="EAR1" s="136"/>
      <c r="EAS1" s="136"/>
      <c r="EAT1" s="136"/>
      <c r="EAU1" s="136"/>
      <c r="EAV1" s="136"/>
      <c r="EAW1" s="136"/>
      <c r="EAX1" s="136"/>
      <c r="EAY1" s="136"/>
      <c r="EAZ1" s="136"/>
      <c r="EBA1" s="136"/>
      <c r="EBB1" s="136"/>
      <c r="EBC1" s="136"/>
      <c r="EBD1" s="136"/>
      <c r="EBE1" s="136"/>
      <c r="EBF1" s="136"/>
      <c r="EBG1" s="136"/>
      <c r="EBH1" s="136"/>
      <c r="EBI1" s="136"/>
      <c r="EBJ1" s="136"/>
      <c r="EBK1" s="136"/>
      <c r="EBL1" s="136"/>
      <c r="EBM1" s="136"/>
      <c r="EBN1" s="136"/>
      <c r="EBO1" s="136"/>
      <c r="EBP1" s="136"/>
      <c r="EBQ1" s="136"/>
      <c r="EBR1" s="136"/>
      <c r="EBS1" s="136"/>
      <c r="EBT1" s="136"/>
      <c r="EBU1" s="136"/>
      <c r="EBV1" s="136"/>
      <c r="EBW1" s="136"/>
      <c r="EBX1" s="136"/>
      <c r="EBY1" s="136"/>
      <c r="EBZ1" s="136"/>
      <c r="ECA1" s="136"/>
      <c r="ECB1" s="136"/>
      <c r="ECC1" s="136"/>
      <c r="ECD1" s="136"/>
      <c r="ECE1" s="136"/>
      <c r="ECF1" s="136"/>
      <c r="ECG1" s="136"/>
      <c r="ECH1" s="136"/>
      <c r="ECI1" s="136"/>
      <c r="ECJ1" s="136"/>
      <c r="ECK1" s="136"/>
      <c r="ECL1" s="136"/>
      <c r="ECM1" s="136"/>
      <c r="ECN1" s="136"/>
      <c r="ECO1" s="136"/>
      <c r="ECP1" s="136"/>
      <c r="ECQ1" s="136"/>
      <c r="ECR1" s="136"/>
      <c r="ECS1" s="136"/>
      <c r="ECT1" s="136"/>
      <c r="ECU1" s="136"/>
      <c r="ECV1" s="136"/>
      <c r="ECW1" s="136"/>
      <c r="ECX1" s="136"/>
      <c r="ECY1" s="136"/>
      <c r="ECZ1" s="136"/>
      <c r="EDA1" s="136"/>
      <c r="EDB1" s="136"/>
      <c r="EDC1" s="136"/>
      <c r="EDD1" s="136"/>
      <c r="EDE1" s="136"/>
      <c r="EDF1" s="136"/>
      <c r="EDG1" s="136"/>
      <c r="EDH1" s="136"/>
      <c r="EDI1" s="136"/>
      <c r="EDJ1" s="136"/>
      <c r="EDK1" s="136"/>
      <c r="EDL1" s="136"/>
      <c r="EDM1" s="136"/>
      <c r="EDN1" s="136"/>
      <c r="EDO1" s="136"/>
      <c r="EDP1" s="136"/>
      <c r="EDQ1" s="136"/>
      <c r="EDR1" s="136"/>
      <c r="EDS1" s="136"/>
      <c r="EDT1" s="136"/>
      <c r="EDU1" s="136"/>
      <c r="EDV1" s="136"/>
      <c r="EDW1" s="136"/>
      <c r="EDX1" s="136"/>
      <c r="EDY1" s="136"/>
      <c r="EDZ1" s="136"/>
      <c r="EEA1" s="136"/>
      <c r="EEB1" s="136"/>
      <c r="EEC1" s="136"/>
      <c r="EED1" s="136"/>
      <c r="EEE1" s="136"/>
      <c r="EEF1" s="136"/>
      <c r="EEG1" s="136"/>
      <c r="EEH1" s="136"/>
      <c r="EEI1" s="136"/>
      <c r="EEJ1" s="136"/>
      <c r="EEK1" s="136"/>
      <c r="EEL1" s="136"/>
      <c r="EEM1" s="136"/>
      <c r="EEN1" s="136"/>
      <c r="EEO1" s="136"/>
      <c r="EEP1" s="136"/>
      <c r="EEQ1" s="136"/>
      <c r="EER1" s="136"/>
      <c r="EES1" s="136"/>
      <c r="EET1" s="136"/>
      <c r="EEU1" s="136"/>
      <c r="EEV1" s="136"/>
      <c r="EEW1" s="136"/>
      <c r="EEX1" s="136"/>
      <c r="EEY1" s="136"/>
      <c r="EEZ1" s="136"/>
      <c r="EFA1" s="136"/>
      <c r="EFB1" s="136"/>
      <c r="EFC1" s="136"/>
      <c r="EFD1" s="136"/>
      <c r="EFE1" s="136"/>
      <c r="EFF1" s="136"/>
      <c r="EFG1" s="136"/>
      <c r="EFH1" s="136"/>
      <c r="EFI1" s="136"/>
      <c r="EFJ1" s="136"/>
      <c r="EFK1" s="136"/>
      <c r="EFL1" s="136"/>
      <c r="EFM1" s="136"/>
      <c r="EFN1" s="136"/>
      <c r="EFO1" s="136"/>
      <c r="EFP1" s="136"/>
      <c r="EFQ1" s="136"/>
      <c r="EFR1" s="136"/>
      <c r="EFS1" s="136"/>
      <c r="EFT1" s="136"/>
      <c r="EFU1" s="136"/>
      <c r="EFV1" s="136"/>
      <c r="EFW1" s="136"/>
      <c r="EFX1" s="136"/>
      <c r="EFY1" s="136"/>
      <c r="EFZ1" s="136"/>
      <c r="EGA1" s="136"/>
      <c r="EGB1" s="136"/>
      <c r="EGC1" s="136"/>
      <c r="EGD1" s="136"/>
      <c r="EGE1" s="136"/>
      <c r="EGF1" s="136"/>
      <c r="EGG1" s="136"/>
      <c r="EGH1" s="136"/>
      <c r="EGI1" s="136"/>
      <c r="EGJ1" s="136"/>
      <c r="EGK1" s="136"/>
      <c r="EGL1" s="136"/>
      <c r="EGM1" s="136"/>
      <c r="EGN1" s="136"/>
      <c r="EGO1" s="136"/>
      <c r="EGP1" s="136"/>
      <c r="EGQ1" s="136"/>
      <c r="EGR1" s="136"/>
      <c r="EGS1" s="136"/>
      <c r="EGT1" s="136"/>
      <c r="EGU1" s="136"/>
      <c r="EGV1" s="136"/>
      <c r="EGW1" s="136"/>
      <c r="EGX1" s="136"/>
      <c r="EGY1" s="136"/>
      <c r="EGZ1" s="136"/>
      <c r="EHA1" s="136"/>
      <c r="EHB1" s="136"/>
      <c r="EHC1" s="136"/>
      <c r="EHD1" s="136"/>
      <c r="EHE1" s="136"/>
      <c r="EHF1" s="136"/>
      <c r="EHG1" s="136"/>
      <c r="EHH1" s="136"/>
      <c r="EHI1" s="136"/>
      <c r="EHJ1" s="136"/>
      <c r="EHK1" s="136"/>
      <c r="EHL1" s="136"/>
      <c r="EHM1" s="136"/>
      <c r="EHN1" s="136"/>
      <c r="EHO1" s="136"/>
      <c r="EHP1" s="136"/>
      <c r="EHQ1" s="136"/>
      <c r="EHR1" s="136"/>
      <c r="EHS1" s="136"/>
      <c r="EHT1" s="136"/>
      <c r="EHU1" s="136"/>
      <c r="EHV1" s="136"/>
      <c r="EHW1" s="136"/>
      <c r="EHX1" s="136"/>
      <c r="EHY1" s="136"/>
      <c r="EHZ1" s="136"/>
      <c r="EIA1" s="136"/>
      <c r="EIB1" s="136"/>
      <c r="EIC1" s="136"/>
      <c r="EID1" s="136"/>
      <c r="EIE1" s="136"/>
      <c r="EIF1" s="136"/>
      <c r="EIG1" s="136"/>
      <c r="EIH1" s="136"/>
      <c r="EII1" s="136"/>
      <c r="EIJ1" s="136"/>
      <c r="EIK1" s="136"/>
      <c r="EIL1" s="136"/>
      <c r="EIM1" s="136"/>
      <c r="EIN1" s="136"/>
      <c r="EIO1" s="136"/>
      <c r="EIP1" s="136"/>
      <c r="EIQ1" s="136"/>
      <c r="EIR1" s="136"/>
      <c r="EIS1" s="136"/>
      <c r="EIT1" s="136"/>
      <c r="EIU1" s="136"/>
      <c r="EIV1" s="136"/>
      <c r="EIW1" s="136"/>
      <c r="EIX1" s="136"/>
      <c r="EIY1" s="136"/>
      <c r="EIZ1" s="136"/>
      <c r="EJA1" s="136"/>
      <c r="EJB1" s="136"/>
      <c r="EJC1" s="136"/>
      <c r="EJD1" s="136"/>
      <c r="EJE1" s="136"/>
      <c r="EJF1" s="136"/>
      <c r="EJG1" s="136"/>
      <c r="EJH1" s="136"/>
      <c r="EJI1" s="136"/>
      <c r="EJJ1" s="136"/>
      <c r="EJK1" s="136"/>
      <c r="EJL1" s="136"/>
      <c r="EJM1" s="136"/>
      <c r="EJN1" s="136"/>
      <c r="EJO1" s="136"/>
      <c r="EJP1" s="136"/>
      <c r="EJQ1" s="136"/>
      <c r="EJR1" s="136"/>
      <c r="EJS1" s="136"/>
      <c r="EJT1" s="136"/>
      <c r="EJU1" s="136"/>
      <c r="EJV1" s="136"/>
      <c r="EJW1" s="136"/>
      <c r="EJX1" s="136"/>
      <c r="EJY1" s="136"/>
      <c r="EJZ1" s="136"/>
      <c r="EKA1" s="136"/>
      <c r="EKB1" s="136"/>
      <c r="EKC1" s="136"/>
      <c r="EKD1" s="136"/>
      <c r="EKE1" s="136"/>
      <c r="EKF1" s="136"/>
      <c r="EKG1" s="136"/>
      <c r="EKH1" s="136"/>
      <c r="EKI1" s="136"/>
      <c r="EKJ1" s="136"/>
      <c r="EKK1" s="136"/>
      <c r="EKL1" s="136"/>
      <c r="EKM1" s="136"/>
      <c r="EKN1" s="136"/>
      <c r="EKO1" s="136"/>
      <c r="EKP1" s="136"/>
      <c r="EKQ1" s="136"/>
      <c r="EKR1" s="136"/>
      <c r="EKS1" s="136"/>
      <c r="EKT1" s="136"/>
      <c r="EKU1" s="136"/>
      <c r="EKV1" s="136"/>
      <c r="EKW1" s="136"/>
      <c r="EKX1" s="136"/>
      <c r="EKY1" s="136"/>
      <c r="EKZ1" s="136"/>
      <c r="ELA1" s="136"/>
      <c r="ELB1" s="136"/>
      <c r="ELC1" s="136"/>
      <c r="ELD1" s="136"/>
      <c r="ELE1" s="136"/>
      <c r="ELF1" s="136"/>
      <c r="ELG1" s="136"/>
      <c r="ELH1" s="136"/>
      <c r="ELI1" s="136"/>
      <c r="ELJ1" s="136"/>
      <c r="ELK1" s="136"/>
      <c r="ELL1" s="136"/>
      <c r="ELM1" s="136"/>
      <c r="ELN1" s="136"/>
      <c r="ELO1" s="136"/>
      <c r="ELP1" s="136"/>
      <c r="ELQ1" s="136"/>
      <c r="ELR1" s="136"/>
      <c r="ELS1" s="136"/>
      <c r="ELT1" s="136"/>
      <c r="ELU1" s="136"/>
      <c r="ELV1" s="136"/>
      <c r="ELW1" s="136"/>
      <c r="ELX1" s="136"/>
      <c r="ELY1" s="136"/>
      <c r="ELZ1" s="136"/>
      <c r="EMA1" s="136"/>
      <c r="EMB1" s="136"/>
      <c r="EMC1" s="136"/>
      <c r="EMD1" s="136"/>
      <c r="EME1" s="136"/>
      <c r="EMF1" s="136"/>
      <c r="EMG1" s="136"/>
      <c r="EMH1" s="136"/>
      <c r="EMI1" s="136"/>
      <c r="EMJ1" s="136"/>
      <c r="EMK1" s="136"/>
      <c r="EML1" s="136"/>
      <c r="EMM1" s="136"/>
      <c r="EMN1" s="136"/>
      <c r="EMO1" s="136"/>
      <c r="EMP1" s="136"/>
      <c r="EMQ1" s="136"/>
      <c r="EMR1" s="136"/>
      <c r="EMS1" s="136"/>
      <c r="EMT1" s="136"/>
      <c r="EMU1" s="136"/>
      <c r="EMV1" s="136"/>
      <c r="EMW1" s="136"/>
      <c r="EMX1" s="136"/>
      <c r="EMY1" s="136"/>
      <c r="EMZ1" s="136"/>
      <c r="ENA1" s="136"/>
      <c r="ENB1" s="136"/>
      <c r="ENC1" s="136"/>
      <c r="END1" s="136"/>
      <c r="ENE1" s="136"/>
      <c r="ENF1" s="136"/>
      <c r="ENG1" s="136"/>
      <c r="ENH1" s="136"/>
      <c r="ENI1" s="136"/>
      <c r="ENJ1" s="136"/>
      <c r="ENK1" s="136"/>
      <c r="ENL1" s="136"/>
      <c r="ENM1" s="136"/>
      <c r="ENN1" s="136"/>
      <c r="ENO1" s="136"/>
      <c r="ENP1" s="136"/>
      <c r="ENQ1" s="136"/>
      <c r="ENR1" s="136"/>
      <c r="ENS1" s="136"/>
      <c r="ENT1" s="136"/>
      <c r="ENU1" s="136"/>
      <c r="ENV1" s="136"/>
      <c r="ENW1" s="136"/>
      <c r="ENX1" s="136"/>
      <c r="ENY1" s="136"/>
      <c r="ENZ1" s="136"/>
      <c r="EOA1" s="136"/>
      <c r="EOB1" s="136"/>
      <c r="EOC1" s="136"/>
      <c r="EOD1" s="136"/>
      <c r="EOE1" s="136"/>
      <c r="EOF1" s="136"/>
      <c r="EOG1" s="136"/>
      <c r="EOH1" s="136"/>
      <c r="EOI1" s="136"/>
      <c r="EOJ1" s="136"/>
      <c r="EOK1" s="136"/>
      <c r="EOL1" s="136"/>
      <c r="EOM1" s="136"/>
      <c r="EON1" s="136"/>
      <c r="EOO1" s="136"/>
      <c r="EOP1" s="136"/>
      <c r="EOQ1" s="136"/>
      <c r="EOR1" s="136"/>
      <c r="EOS1" s="136"/>
      <c r="EOT1" s="136"/>
      <c r="EOU1" s="136"/>
      <c r="EOV1" s="136"/>
      <c r="EOW1" s="136"/>
      <c r="EOX1" s="136"/>
      <c r="EOY1" s="136"/>
      <c r="EOZ1" s="136"/>
      <c r="EPA1" s="136"/>
      <c r="EPB1" s="136"/>
      <c r="EPC1" s="136"/>
      <c r="EPD1" s="136"/>
      <c r="EPE1" s="136"/>
      <c r="EPF1" s="136"/>
      <c r="EPG1" s="136"/>
      <c r="EPH1" s="136"/>
      <c r="EPI1" s="136"/>
      <c r="EPJ1" s="136"/>
      <c r="EPK1" s="136"/>
      <c r="EPL1" s="136"/>
      <c r="EPM1" s="136"/>
      <c r="EPN1" s="136"/>
      <c r="EPO1" s="136"/>
      <c r="EPP1" s="136"/>
      <c r="EPQ1" s="136"/>
      <c r="EPR1" s="136"/>
      <c r="EPS1" s="136"/>
      <c r="EPT1" s="136"/>
      <c r="EPU1" s="136"/>
      <c r="EPV1" s="136"/>
      <c r="EPW1" s="136"/>
      <c r="EPX1" s="136"/>
      <c r="EPY1" s="136"/>
      <c r="EPZ1" s="136"/>
      <c r="EQA1" s="136"/>
      <c r="EQB1" s="136"/>
      <c r="EQC1" s="136"/>
      <c r="EQD1" s="136"/>
      <c r="EQE1" s="136"/>
      <c r="EQF1" s="136"/>
      <c r="EQG1" s="136"/>
      <c r="EQH1" s="136"/>
      <c r="EQI1" s="136"/>
      <c r="EQJ1" s="136"/>
      <c r="EQK1" s="136"/>
      <c r="EQL1" s="136"/>
      <c r="EQM1" s="136"/>
      <c r="EQN1" s="136"/>
      <c r="EQO1" s="136"/>
      <c r="EQP1" s="136"/>
      <c r="EQQ1" s="136"/>
      <c r="EQR1" s="136"/>
      <c r="EQS1" s="136"/>
      <c r="EQT1" s="136"/>
      <c r="EQU1" s="136"/>
      <c r="EQV1" s="136"/>
      <c r="EQW1" s="136"/>
      <c r="EQX1" s="136"/>
      <c r="EQY1" s="136"/>
      <c r="EQZ1" s="136"/>
      <c r="ERA1" s="136"/>
      <c r="ERB1" s="136"/>
      <c r="ERC1" s="136"/>
      <c r="ERD1" s="136"/>
      <c r="ERE1" s="136"/>
      <c r="ERF1" s="136"/>
      <c r="ERG1" s="136"/>
      <c r="ERH1" s="136"/>
      <c r="ERI1" s="136"/>
      <c r="ERJ1" s="136"/>
      <c r="ERK1" s="136"/>
      <c r="ERL1" s="136"/>
      <c r="ERM1" s="136"/>
      <c r="ERN1" s="136"/>
      <c r="ERO1" s="136"/>
      <c r="ERP1" s="136"/>
      <c r="ERQ1" s="136"/>
      <c r="ERR1" s="136"/>
      <c r="ERS1" s="136"/>
      <c r="ERT1" s="136"/>
      <c r="ERU1" s="136"/>
      <c r="ERV1" s="136"/>
      <c r="ERW1" s="136"/>
      <c r="ERX1" s="136"/>
      <c r="ERY1" s="136"/>
      <c r="ERZ1" s="136"/>
      <c r="ESA1" s="136"/>
      <c r="ESB1" s="136"/>
      <c r="ESC1" s="136"/>
      <c r="ESD1" s="136"/>
      <c r="ESE1" s="136"/>
      <c r="ESF1" s="136"/>
      <c r="ESG1" s="136"/>
      <c r="ESH1" s="136"/>
      <c r="ESI1" s="136"/>
      <c r="ESJ1" s="136"/>
      <c r="ESK1" s="136"/>
      <c r="ESL1" s="136"/>
      <c r="ESM1" s="136"/>
      <c r="ESN1" s="136"/>
      <c r="ESO1" s="136"/>
      <c r="ESP1" s="136"/>
      <c r="ESQ1" s="136"/>
      <c r="ESR1" s="136"/>
      <c r="ESS1" s="136"/>
      <c r="EST1" s="136"/>
      <c r="ESU1" s="136"/>
      <c r="ESV1" s="136"/>
      <c r="ESW1" s="136"/>
      <c r="ESX1" s="136"/>
      <c r="ESY1" s="136"/>
      <c r="ESZ1" s="136"/>
      <c r="ETA1" s="136"/>
      <c r="ETB1" s="136"/>
      <c r="ETC1" s="136"/>
      <c r="ETD1" s="136"/>
      <c r="ETE1" s="136"/>
      <c r="ETF1" s="136"/>
      <c r="ETG1" s="136"/>
      <c r="ETH1" s="136"/>
      <c r="ETI1" s="136"/>
      <c r="ETJ1" s="136"/>
      <c r="ETK1" s="136"/>
      <c r="ETL1" s="136"/>
      <c r="ETM1" s="136"/>
      <c r="ETN1" s="136"/>
      <c r="ETO1" s="136"/>
      <c r="ETP1" s="136"/>
      <c r="ETQ1" s="136"/>
      <c r="ETR1" s="136"/>
      <c r="ETS1" s="136"/>
      <c r="ETT1" s="136"/>
      <c r="ETU1" s="136"/>
      <c r="ETV1" s="136"/>
      <c r="ETW1" s="136"/>
      <c r="ETX1" s="136"/>
      <c r="ETY1" s="136"/>
      <c r="ETZ1" s="136"/>
      <c r="EUA1" s="136"/>
      <c r="EUB1" s="136"/>
      <c r="EUC1" s="136"/>
      <c r="EUD1" s="136"/>
      <c r="EUE1" s="136"/>
      <c r="EUF1" s="136"/>
      <c r="EUG1" s="136"/>
      <c r="EUH1" s="136"/>
      <c r="EUI1" s="136"/>
      <c r="EUJ1" s="136"/>
      <c r="EUK1" s="136"/>
      <c r="EUL1" s="136"/>
      <c r="EUM1" s="136"/>
      <c r="EUN1" s="136"/>
      <c r="EUO1" s="136"/>
      <c r="EUP1" s="136"/>
      <c r="EUQ1" s="136"/>
      <c r="EUR1" s="136"/>
      <c r="EUS1" s="136"/>
      <c r="EUT1" s="136"/>
      <c r="EUU1" s="136"/>
      <c r="EUV1" s="136"/>
      <c r="EUW1" s="136"/>
      <c r="EUX1" s="136"/>
      <c r="EUY1" s="136"/>
      <c r="EUZ1" s="136"/>
      <c r="EVA1" s="136"/>
      <c r="EVB1" s="136"/>
      <c r="EVC1" s="136"/>
      <c r="EVD1" s="136"/>
      <c r="EVE1" s="136"/>
      <c r="EVF1" s="136"/>
      <c r="EVG1" s="136"/>
      <c r="EVH1" s="136"/>
      <c r="EVI1" s="136"/>
      <c r="EVJ1" s="136"/>
      <c r="EVK1" s="136"/>
      <c r="EVL1" s="136"/>
      <c r="EVM1" s="136"/>
      <c r="EVN1" s="136"/>
      <c r="EVO1" s="136"/>
      <c r="EVP1" s="136"/>
      <c r="EVQ1" s="136"/>
      <c r="EVR1" s="136"/>
      <c r="EVS1" s="136"/>
      <c r="EVT1" s="136"/>
      <c r="EVU1" s="136"/>
      <c r="EVV1" s="136"/>
      <c r="EVW1" s="136"/>
      <c r="EVX1" s="136"/>
      <c r="EVY1" s="136"/>
      <c r="EVZ1" s="136"/>
      <c r="EWA1" s="136"/>
      <c r="EWB1" s="136"/>
      <c r="EWC1" s="136"/>
      <c r="EWD1" s="136"/>
      <c r="EWE1" s="136"/>
      <c r="EWF1" s="136"/>
      <c r="EWG1" s="136"/>
      <c r="EWH1" s="136"/>
      <c r="EWI1" s="136"/>
      <c r="EWJ1" s="136"/>
      <c r="EWK1" s="136"/>
      <c r="EWL1" s="136"/>
      <c r="EWM1" s="136"/>
      <c r="EWN1" s="136"/>
      <c r="EWO1" s="136"/>
      <c r="EWP1" s="136"/>
      <c r="EWQ1" s="136"/>
      <c r="EWR1" s="136"/>
      <c r="EWS1" s="136"/>
      <c r="EWT1" s="136"/>
      <c r="EWU1" s="136"/>
      <c r="EWV1" s="136"/>
      <c r="EWW1" s="136"/>
      <c r="EWX1" s="136"/>
      <c r="EWY1" s="136"/>
      <c r="EWZ1" s="136"/>
      <c r="EXA1" s="136"/>
      <c r="EXB1" s="136"/>
      <c r="EXC1" s="136"/>
      <c r="EXD1" s="136"/>
      <c r="EXE1" s="136"/>
      <c r="EXF1" s="136"/>
      <c r="EXG1" s="136"/>
      <c r="EXH1" s="136"/>
      <c r="EXI1" s="136"/>
      <c r="EXJ1" s="136"/>
      <c r="EXK1" s="136"/>
      <c r="EXL1" s="136"/>
      <c r="EXM1" s="136"/>
      <c r="EXN1" s="136"/>
      <c r="EXO1" s="136"/>
      <c r="EXP1" s="136"/>
      <c r="EXQ1" s="136"/>
      <c r="EXR1" s="136"/>
      <c r="EXS1" s="136"/>
      <c r="EXT1" s="136"/>
      <c r="EXU1" s="136"/>
      <c r="EXV1" s="136"/>
      <c r="EXW1" s="136"/>
      <c r="EXX1" s="136"/>
      <c r="EXY1" s="136"/>
      <c r="EXZ1" s="136"/>
      <c r="EYA1" s="136"/>
      <c r="EYB1" s="136"/>
      <c r="EYC1" s="136"/>
      <c r="EYD1" s="136"/>
      <c r="EYE1" s="136"/>
      <c r="EYF1" s="136"/>
      <c r="EYG1" s="136"/>
      <c r="EYH1" s="136"/>
      <c r="EYI1" s="136"/>
      <c r="EYJ1" s="136"/>
      <c r="EYK1" s="136"/>
      <c r="EYL1" s="136"/>
      <c r="EYM1" s="136"/>
      <c r="EYN1" s="136"/>
      <c r="EYO1" s="136"/>
      <c r="EYP1" s="136"/>
      <c r="EYQ1" s="136"/>
      <c r="EYR1" s="136"/>
      <c r="EYS1" s="136"/>
      <c r="EYT1" s="136"/>
      <c r="EYU1" s="136"/>
      <c r="EYV1" s="136"/>
      <c r="EYW1" s="136"/>
      <c r="EYX1" s="136"/>
      <c r="EYY1" s="136"/>
      <c r="EYZ1" s="136"/>
      <c r="EZA1" s="136"/>
      <c r="EZB1" s="136"/>
      <c r="EZC1" s="136"/>
      <c r="EZD1" s="136"/>
      <c r="EZE1" s="136"/>
      <c r="EZF1" s="136"/>
      <c r="EZG1" s="136"/>
      <c r="EZH1" s="136"/>
      <c r="EZI1" s="136"/>
      <c r="EZJ1" s="136"/>
      <c r="EZK1" s="136"/>
      <c r="EZL1" s="136"/>
      <c r="EZM1" s="136"/>
      <c r="EZN1" s="136"/>
      <c r="EZO1" s="136"/>
      <c r="EZP1" s="136"/>
      <c r="EZQ1" s="136"/>
      <c r="EZR1" s="136"/>
      <c r="EZS1" s="136"/>
      <c r="EZT1" s="136"/>
      <c r="EZU1" s="136"/>
      <c r="EZV1" s="136"/>
      <c r="EZW1" s="136"/>
      <c r="EZX1" s="136"/>
      <c r="EZY1" s="136"/>
      <c r="EZZ1" s="136"/>
      <c r="FAA1" s="136"/>
      <c r="FAB1" s="136"/>
      <c r="FAC1" s="136"/>
      <c r="FAD1" s="136"/>
      <c r="FAE1" s="136"/>
      <c r="FAF1" s="136"/>
      <c r="FAG1" s="136"/>
      <c r="FAH1" s="136"/>
      <c r="FAI1" s="136"/>
      <c r="FAJ1" s="136"/>
      <c r="FAK1" s="136"/>
      <c r="FAL1" s="136"/>
      <c r="FAM1" s="136"/>
      <c r="FAN1" s="136"/>
      <c r="FAO1" s="136"/>
      <c r="FAP1" s="136"/>
      <c r="FAQ1" s="136"/>
      <c r="FAR1" s="136"/>
      <c r="FAS1" s="136"/>
      <c r="FAT1" s="136"/>
      <c r="FAU1" s="136"/>
      <c r="FAV1" s="136"/>
      <c r="FAW1" s="136"/>
      <c r="FAX1" s="136"/>
      <c r="FAY1" s="136"/>
      <c r="FAZ1" s="136"/>
      <c r="FBA1" s="136"/>
      <c r="FBB1" s="136"/>
      <c r="FBC1" s="136"/>
      <c r="FBD1" s="136"/>
      <c r="FBE1" s="136"/>
      <c r="FBF1" s="136"/>
      <c r="FBG1" s="136"/>
      <c r="FBH1" s="136"/>
      <c r="FBI1" s="136"/>
      <c r="FBJ1" s="136"/>
      <c r="FBK1" s="136"/>
      <c r="FBL1" s="136"/>
      <c r="FBM1" s="136"/>
      <c r="FBN1" s="136"/>
      <c r="FBO1" s="136"/>
      <c r="FBP1" s="136"/>
      <c r="FBQ1" s="136"/>
      <c r="FBR1" s="136"/>
      <c r="FBS1" s="136"/>
      <c r="FBT1" s="136"/>
      <c r="FBU1" s="136"/>
      <c r="FBV1" s="136"/>
      <c r="FBW1" s="136"/>
      <c r="FBX1" s="136"/>
      <c r="FBY1" s="136"/>
      <c r="FBZ1" s="136"/>
      <c r="FCA1" s="136"/>
      <c r="FCB1" s="136"/>
      <c r="FCC1" s="136"/>
      <c r="FCD1" s="136"/>
      <c r="FCE1" s="136"/>
      <c r="FCF1" s="136"/>
      <c r="FCG1" s="136"/>
      <c r="FCH1" s="136"/>
      <c r="FCI1" s="136"/>
      <c r="FCJ1" s="136"/>
      <c r="FCK1" s="136"/>
      <c r="FCL1" s="136"/>
      <c r="FCM1" s="136"/>
      <c r="FCN1" s="136"/>
      <c r="FCO1" s="136"/>
      <c r="FCP1" s="136"/>
      <c r="FCQ1" s="136"/>
      <c r="FCR1" s="136"/>
      <c r="FCS1" s="136"/>
      <c r="FCT1" s="136"/>
      <c r="FCU1" s="136"/>
      <c r="FCV1" s="136"/>
      <c r="FCW1" s="136"/>
      <c r="FCX1" s="136"/>
      <c r="FCY1" s="136"/>
      <c r="FCZ1" s="136"/>
      <c r="FDA1" s="136"/>
      <c r="FDB1" s="136"/>
      <c r="FDC1" s="136"/>
      <c r="FDD1" s="136"/>
      <c r="FDE1" s="136"/>
      <c r="FDF1" s="136"/>
      <c r="FDG1" s="136"/>
      <c r="FDH1" s="136"/>
      <c r="FDI1" s="136"/>
      <c r="FDJ1" s="136"/>
      <c r="FDK1" s="136"/>
      <c r="FDL1" s="136"/>
      <c r="FDM1" s="136"/>
      <c r="FDN1" s="136"/>
      <c r="FDO1" s="136"/>
      <c r="FDP1" s="136"/>
      <c r="FDQ1" s="136"/>
      <c r="FDR1" s="136"/>
      <c r="FDS1" s="136"/>
      <c r="FDT1" s="136"/>
      <c r="FDU1" s="136"/>
      <c r="FDV1" s="136"/>
      <c r="FDW1" s="136"/>
      <c r="FDX1" s="136"/>
      <c r="FDY1" s="136"/>
      <c r="FDZ1" s="136"/>
      <c r="FEA1" s="136"/>
      <c r="FEB1" s="136"/>
      <c r="FEC1" s="136"/>
      <c r="FED1" s="136"/>
      <c r="FEE1" s="136"/>
      <c r="FEF1" s="136"/>
      <c r="FEG1" s="136"/>
      <c r="FEH1" s="136"/>
      <c r="FEI1" s="136"/>
      <c r="FEJ1" s="136"/>
      <c r="FEK1" s="136"/>
      <c r="FEL1" s="136"/>
      <c r="FEM1" s="136"/>
      <c r="FEN1" s="136"/>
      <c r="FEO1" s="136"/>
      <c r="FEP1" s="136"/>
      <c r="FEQ1" s="136"/>
      <c r="FER1" s="136"/>
      <c r="FES1" s="136"/>
      <c r="FET1" s="136"/>
      <c r="FEU1" s="136"/>
      <c r="FEV1" s="136"/>
      <c r="FEW1" s="136"/>
      <c r="FEX1" s="136"/>
      <c r="FEY1" s="136"/>
      <c r="FEZ1" s="136"/>
      <c r="FFA1" s="136"/>
      <c r="FFB1" s="136"/>
      <c r="FFC1" s="136"/>
      <c r="FFD1" s="136"/>
      <c r="FFE1" s="136"/>
      <c r="FFF1" s="136"/>
      <c r="FFG1" s="136"/>
      <c r="FFH1" s="136"/>
      <c r="FFI1" s="136"/>
      <c r="FFJ1" s="136"/>
      <c r="FFK1" s="136"/>
      <c r="FFL1" s="136"/>
      <c r="FFM1" s="136"/>
      <c r="FFN1" s="136"/>
      <c r="FFO1" s="136"/>
      <c r="FFP1" s="136"/>
      <c r="FFQ1" s="136"/>
      <c r="FFR1" s="136"/>
      <c r="FFS1" s="136"/>
      <c r="FFT1" s="136"/>
      <c r="FFU1" s="136"/>
      <c r="FFV1" s="136"/>
      <c r="FFW1" s="136"/>
      <c r="FFX1" s="136"/>
      <c r="FFY1" s="136"/>
      <c r="FFZ1" s="136"/>
      <c r="FGA1" s="136"/>
      <c r="FGB1" s="136"/>
      <c r="FGC1" s="136"/>
      <c r="FGD1" s="136"/>
      <c r="FGE1" s="136"/>
      <c r="FGF1" s="136"/>
      <c r="FGG1" s="136"/>
      <c r="FGH1" s="136"/>
      <c r="FGI1" s="136"/>
      <c r="FGJ1" s="136"/>
      <c r="FGK1" s="136"/>
      <c r="FGL1" s="136"/>
      <c r="FGM1" s="136"/>
      <c r="FGN1" s="136"/>
      <c r="FGO1" s="136"/>
      <c r="FGP1" s="136"/>
      <c r="FGQ1" s="136"/>
      <c r="FGR1" s="136"/>
      <c r="FGS1" s="136"/>
      <c r="FGT1" s="136"/>
      <c r="FGU1" s="136"/>
      <c r="FGV1" s="136"/>
      <c r="FGW1" s="136"/>
      <c r="FGX1" s="136"/>
      <c r="FGY1" s="136"/>
      <c r="FGZ1" s="136"/>
      <c r="FHA1" s="136"/>
      <c r="FHB1" s="136"/>
      <c r="FHC1" s="136"/>
      <c r="FHD1" s="136"/>
      <c r="FHE1" s="136"/>
      <c r="FHF1" s="136"/>
      <c r="FHG1" s="136"/>
      <c r="FHH1" s="136"/>
      <c r="FHI1" s="136"/>
      <c r="FHJ1" s="136"/>
      <c r="FHK1" s="136"/>
      <c r="FHL1" s="136"/>
      <c r="FHM1" s="136"/>
      <c r="FHN1" s="136"/>
      <c r="FHO1" s="136"/>
      <c r="FHP1" s="136"/>
      <c r="FHQ1" s="136"/>
      <c r="FHR1" s="136"/>
      <c r="FHS1" s="136"/>
      <c r="FHT1" s="136"/>
      <c r="FHU1" s="136"/>
      <c r="FHV1" s="136"/>
      <c r="FHW1" s="136"/>
      <c r="FHX1" s="136"/>
      <c r="FHY1" s="136"/>
      <c r="FHZ1" s="136"/>
      <c r="FIA1" s="136"/>
      <c r="FIB1" s="136"/>
      <c r="FIC1" s="136"/>
      <c r="FID1" s="136"/>
      <c r="FIE1" s="136"/>
      <c r="FIF1" s="136"/>
      <c r="FIG1" s="136"/>
      <c r="FIH1" s="136"/>
      <c r="FII1" s="136"/>
      <c r="FIJ1" s="136"/>
      <c r="FIK1" s="136"/>
      <c r="FIL1" s="136"/>
      <c r="FIM1" s="136"/>
      <c r="FIN1" s="136"/>
      <c r="FIO1" s="136"/>
      <c r="FIP1" s="136"/>
      <c r="FIQ1" s="136"/>
      <c r="FIR1" s="136"/>
      <c r="FIS1" s="136"/>
      <c r="FIT1" s="136"/>
      <c r="FIU1" s="136"/>
      <c r="FIV1" s="136"/>
      <c r="FIW1" s="136"/>
      <c r="FIX1" s="136"/>
      <c r="FIY1" s="136"/>
      <c r="FIZ1" s="136"/>
      <c r="FJA1" s="136"/>
      <c r="FJB1" s="136"/>
      <c r="FJC1" s="136"/>
      <c r="FJD1" s="136"/>
      <c r="FJE1" s="136"/>
      <c r="FJF1" s="136"/>
      <c r="FJG1" s="136"/>
      <c r="FJH1" s="136"/>
      <c r="FJI1" s="136"/>
      <c r="FJJ1" s="136"/>
      <c r="FJK1" s="136"/>
      <c r="FJL1" s="136"/>
      <c r="FJM1" s="136"/>
      <c r="FJN1" s="136"/>
      <c r="FJO1" s="136"/>
      <c r="FJP1" s="136"/>
      <c r="FJQ1" s="136"/>
      <c r="FJR1" s="136"/>
      <c r="FJS1" s="136"/>
      <c r="FJT1" s="136"/>
      <c r="FJU1" s="136"/>
      <c r="FJV1" s="136"/>
      <c r="FJW1" s="136"/>
      <c r="FJX1" s="136"/>
      <c r="FJY1" s="136"/>
      <c r="FJZ1" s="136"/>
      <c r="FKA1" s="136"/>
      <c r="FKB1" s="136"/>
      <c r="FKC1" s="136"/>
      <c r="FKD1" s="136"/>
      <c r="FKE1" s="136"/>
      <c r="FKF1" s="136"/>
      <c r="FKG1" s="136"/>
      <c r="FKH1" s="136"/>
      <c r="FKI1" s="136"/>
      <c r="FKJ1" s="136"/>
      <c r="FKK1" s="136"/>
      <c r="FKL1" s="136"/>
      <c r="FKM1" s="136"/>
      <c r="FKN1" s="136"/>
      <c r="FKO1" s="136"/>
      <c r="FKP1" s="136"/>
      <c r="FKQ1" s="136"/>
      <c r="FKR1" s="136"/>
      <c r="FKS1" s="136"/>
      <c r="FKT1" s="136"/>
      <c r="FKU1" s="136"/>
      <c r="FKV1" s="136"/>
      <c r="FKW1" s="136"/>
      <c r="FKX1" s="136"/>
      <c r="FKY1" s="136"/>
      <c r="FKZ1" s="136"/>
      <c r="FLA1" s="136"/>
      <c r="FLB1" s="136"/>
      <c r="FLC1" s="136"/>
      <c r="FLD1" s="136"/>
      <c r="FLE1" s="136"/>
      <c r="FLF1" s="136"/>
      <c r="FLG1" s="136"/>
      <c r="FLH1" s="136"/>
      <c r="FLI1" s="136"/>
      <c r="FLJ1" s="136"/>
      <c r="FLK1" s="136"/>
      <c r="FLL1" s="136"/>
      <c r="FLM1" s="136"/>
      <c r="FLN1" s="136"/>
      <c r="FLO1" s="136"/>
      <c r="FLP1" s="136"/>
      <c r="FLQ1" s="136"/>
      <c r="FLR1" s="136"/>
      <c r="FLS1" s="136"/>
      <c r="FLT1" s="136"/>
      <c r="FLU1" s="136"/>
      <c r="FLV1" s="136"/>
      <c r="FLW1" s="136"/>
      <c r="FLX1" s="136"/>
      <c r="FLY1" s="136"/>
      <c r="FLZ1" s="136"/>
      <c r="FMA1" s="136"/>
      <c r="FMB1" s="136"/>
      <c r="FMC1" s="136"/>
      <c r="FMD1" s="136"/>
      <c r="FME1" s="136"/>
      <c r="FMF1" s="136"/>
      <c r="FMG1" s="136"/>
      <c r="FMH1" s="136"/>
      <c r="FMI1" s="136"/>
      <c r="FMJ1" s="136"/>
      <c r="FMK1" s="136"/>
      <c r="FML1" s="136"/>
      <c r="FMM1" s="136"/>
      <c r="FMN1" s="136"/>
      <c r="FMO1" s="136"/>
      <c r="FMP1" s="136"/>
      <c r="FMQ1" s="136"/>
      <c r="FMR1" s="136"/>
      <c r="FMS1" s="136"/>
      <c r="FMT1" s="136"/>
      <c r="FMU1" s="136"/>
      <c r="FMV1" s="136"/>
      <c r="FMW1" s="136"/>
      <c r="FMX1" s="136"/>
      <c r="FMY1" s="136"/>
      <c r="FMZ1" s="136"/>
      <c r="FNA1" s="136"/>
      <c r="FNB1" s="136"/>
      <c r="FNC1" s="136"/>
      <c r="FND1" s="136"/>
      <c r="FNE1" s="136"/>
      <c r="FNF1" s="136"/>
      <c r="FNG1" s="136"/>
      <c r="FNH1" s="136"/>
      <c r="FNI1" s="136"/>
      <c r="FNJ1" s="136"/>
      <c r="FNK1" s="136"/>
      <c r="FNL1" s="136"/>
      <c r="FNM1" s="136"/>
      <c r="FNN1" s="136"/>
      <c r="FNO1" s="136"/>
      <c r="FNP1" s="136"/>
      <c r="FNQ1" s="136"/>
      <c r="FNR1" s="136"/>
      <c r="FNS1" s="136"/>
      <c r="FNT1" s="136"/>
      <c r="FNU1" s="136"/>
      <c r="FNV1" s="136"/>
      <c r="FNW1" s="136"/>
      <c r="FNX1" s="136"/>
      <c r="FNY1" s="136"/>
      <c r="FNZ1" s="136"/>
      <c r="FOA1" s="136"/>
      <c r="FOB1" s="136"/>
      <c r="FOC1" s="136"/>
      <c r="FOD1" s="136"/>
      <c r="FOE1" s="136"/>
      <c r="FOF1" s="136"/>
      <c r="FOG1" s="136"/>
      <c r="FOH1" s="136"/>
      <c r="FOI1" s="136"/>
      <c r="FOJ1" s="136"/>
      <c r="FOK1" s="136"/>
      <c r="FOL1" s="136"/>
      <c r="FOM1" s="136"/>
      <c r="FON1" s="136"/>
      <c r="FOO1" s="136"/>
      <c r="FOP1" s="136"/>
      <c r="FOQ1" s="136"/>
      <c r="FOR1" s="136"/>
      <c r="FOS1" s="136"/>
      <c r="FOT1" s="136"/>
      <c r="FOU1" s="136"/>
      <c r="FOV1" s="136"/>
      <c r="FOW1" s="136"/>
      <c r="FOX1" s="136"/>
      <c r="FOY1" s="136"/>
      <c r="FOZ1" s="136"/>
      <c r="FPA1" s="136"/>
      <c r="FPB1" s="136"/>
      <c r="FPC1" s="136"/>
      <c r="FPD1" s="136"/>
      <c r="FPE1" s="136"/>
      <c r="FPF1" s="136"/>
      <c r="FPG1" s="136"/>
      <c r="FPH1" s="136"/>
      <c r="FPI1" s="136"/>
      <c r="FPJ1" s="136"/>
      <c r="FPK1" s="136"/>
      <c r="FPL1" s="136"/>
      <c r="FPM1" s="136"/>
      <c r="FPN1" s="136"/>
      <c r="FPO1" s="136"/>
      <c r="FPP1" s="136"/>
      <c r="FPQ1" s="136"/>
      <c r="FPR1" s="136"/>
      <c r="FPS1" s="136"/>
      <c r="FPT1" s="136"/>
      <c r="FPU1" s="136"/>
      <c r="FPV1" s="136"/>
      <c r="FPW1" s="136"/>
      <c r="FPX1" s="136"/>
      <c r="FPY1" s="136"/>
      <c r="FPZ1" s="136"/>
      <c r="FQA1" s="136"/>
      <c r="FQB1" s="136"/>
      <c r="FQC1" s="136"/>
      <c r="FQD1" s="136"/>
      <c r="FQE1" s="136"/>
      <c r="FQF1" s="136"/>
      <c r="FQG1" s="136"/>
      <c r="FQH1" s="136"/>
      <c r="FQI1" s="136"/>
      <c r="FQJ1" s="136"/>
      <c r="FQK1" s="136"/>
      <c r="FQL1" s="136"/>
      <c r="FQM1" s="136"/>
      <c r="FQN1" s="136"/>
      <c r="FQO1" s="136"/>
      <c r="FQP1" s="136"/>
      <c r="FQQ1" s="136"/>
      <c r="FQR1" s="136"/>
      <c r="FQS1" s="136"/>
      <c r="FQT1" s="136"/>
      <c r="FQU1" s="136"/>
      <c r="FQV1" s="136"/>
      <c r="FQW1" s="136"/>
      <c r="FQX1" s="136"/>
      <c r="FQY1" s="136"/>
      <c r="FQZ1" s="136"/>
      <c r="FRA1" s="136"/>
      <c r="FRB1" s="136"/>
      <c r="FRC1" s="136"/>
      <c r="FRD1" s="136"/>
      <c r="FRE1" s="136"/>
      <c r="FRF1" s="136"/>
      <c r="FRG1" s="136"/>
      <c r="FRH1" s="136"/>
      <c r="FRI1" s="136"/>
      <c r="FRJ1" s="136"/>
      <c r="FRK1" s="136"/>
      <c r="FRL1" s="136"/>
      <c r="FRM1" s="136"/>
      <c r="FRN1" s="136"/>
      <c r="FRO1" s="136"/>
      <c r="FRP1" s="136"/>
      <c r="FRQ1" s="136"/>
      <c r="FRR1" s="136"/>
      <c r="FRS1" s="136"/>
      <c r="FRT1" s="136"/>
      <c r="FRU1" s="136"/>
      <c r="FRV1" s="136"/>
      <c r="FRW1" s="136"/>
      <c r="FRX1" s="136"/>
      <c r="FRY1" s="136"/>
      <c r="FRZ1" s="136"/>
      <c r="FSA1" s="136"/>
      <c r="FSB1" s="136"/>
      <c r="FSC1" s="136"/>
      <c r="FSD1" s="136"/>
      <c r="FSE1" s="136"/>
      <c r="FSF1" s="136"/>
      <c r="FSG1" s="136"/>
      <c r="FSH1" s="136"/>
      <c r="FSI1" s="136"/>
      <c r="FSJ1" s="136"/>
      <c r="FSK1" s="136"/>
      <c r="FSL1" s="136"/>
      <c r="FSM1" s="136"/>
      <c r="FSN1" s="136"/>
      <c r="FSO1" s="136"/>
      <c r="FSP1" s="136"/>
      <c r="FSQ1" s="136"/>
      <c r="FSR1" s="136"/>
      <c r="FSS1" s="136"/>
      <c r="FST1" s="136"/>
      <c r="FSU1" s="136"/>
      <c r="FSV1" s="136"/>
      <c r="FSW1" s="136"/>
      <c r="FSX1" s="136"/>
      <c r="FSY1" s="136"/>
      <c r="FSZ1" s="136"/>
      <c r="FTA1" s="136"/>
      <c r="FTB1" s="136"/>
      <c r="FTC1" s="136"/>
      <c r="FTD1" s="136"/>
      <c r="FTE1" s="136"/>
      <c r="FTF1" s="136"/>
      <c r="FTG1" s="136"/>
      <c r="FTH1" s="136"/>
      <c r="FTI1" s="136"/>
      <c r="FTJ1" s="136"/>
      <c r="FTK1" s="136"/>
      <c r="FTL1" s="136"/>
      <c r="FTM1" s="136"/>
      <c r="FTN1" s="136"/>
      <c r="FTO1" s="136"/>
      <c r="FTP1" s="136"/>
      <c r="FTQ1" s="136"/>
      <c r="FTR1" s="136"/>
      <c r="FTS1" s="136"/>
      <c r="FTT1" s="136"/>
      <c r="FTU1" s="136"/>
      <c r="FTV1" s="136"/>
      <c r="FTW1" s="136"/>
      <c r="FTX1" s="136"/>
      <c r="FTY1" s="136"/>
      <c r="FTZ1" s="136"/>
      <c r="FUA1" s="136"/>
      <c r="FUB1" s="136"/>
      <c r="FUC1" s="136"/>
      <c r="FUD1" s="136"/>
      <c r="FUE1" s="136"/>
      <c r="FUF1" s="136"/>
      <c r="FUG1" s="136"/>
      <c r="FUH1" s="136"/>
      <c r="FUI1" s="136"/>
      <c r="FUJ1" s="136"/>
      <c r="FUK1" s="136"/>
      <c r="FUL1" s="136"/>
      <c r="FUM1" s="136"/>
      <c r="FUN1" s="136"/>
      <c r="FUO1" s="136"/>
      <c r="FUP1" s="136"/>
      <c r="FUQ1" s="136"/>
      <c r="FUR1" s="136"/>
      <c r="FUS1" s="136"/>
      <c r="FUT1" s="136"/>
      <c r="FUU1" s="136"/>
      <c r="FUV1" s="136"/>
      <c r="FUW1" s="136"/>
      <c r="FUX1" s="136"/>
      <c r="FUY1" s="136"/>
      <c r="FUZ1" s="136"/>
      <c r="FVA1" s="136"/>
      <c r="FVB1" s="136"/>
      <c r="FVC1" s="136"/>
      <c r="FVD1" s="136"/>
      <c r="FVE1" s="136"/>
      <c r="FVF1" s="136"/>
      <c r="FVG1" s="136"/>
      <c r="FVH1" s="136"/>
      <c r="FVI1" s="136"/>
      <c r="FVJ1" s="136"/>
      <c r="FVK1" s="136"/>
      <c r="FVL1" s="136"/>
      <c r="FVM1" s="136"/>
      <c r="FVN1" s="136"/>
      <c r="FVO1" s="136"/>
      <c r="FVP1" s="136"/>
      <c r="FVQ1" s="136"/>
      <c r="FVR1" s="136"/>
      <c r="FVS1" s="136"/>
      <c r="FVT1" s="136"/>
      <c r="FVU1" s="136"/>
      <c r="FVV1" s="136"/>
      <c r="FVW1" s="136"/>
      <c r="FVX1" s="136"/>
      <c r="FVY1" s="136"/>
      <c r="FVZ1" s="136"/>
      <c r="FWA1" s="136"/>
      <c r="FWB1" s="136"/>
      <c r="FWC1" s="136"/>
      <c r="FWD1" s="136"/>
      <c r="FWE1" s="136"/>
      <c r="FWF1" s="136"/>
      <c r="FWG1" s="136"/>
      <c r="FWH1" s="136"/>
      <c r="FWI1" s="136"/>
      <c r="FWJ1" s="136"/>
      <c r="FWK1" s="136"/>
      <c r="FWL1" s="136"/>
      <c r="FWM1" s="136"/>
      <c r="FWN1" s="136"/>
      <c r="FWO1" s="136"/>
      <c r="FWP1" s="136"/>
      <c r="FWQ1" s="136"/>
      <c r="FWR1" s="136"/>
      <c r="FWS1" s="136"/>
      <c r="FWT1" s="136"/>
      <c r="FWU1" s="136"/>
      <c r="FWV1" s="136"/>
      <c r="FWW1" s="136"/>
      <c r="FWX1" s="136"/>
      <c r="FWY1" s="136"/>
      <c r="FWZ1" s="136"/>
      <c r="FXA1" s="136"/>
      <c r="FXB1" s="136"/>
      <c r="FXC1" s="136"/>
      <c r="FXD1" s="136"/>
      <c r="FXE1" s="136"/>
      <c r="FXF1" s="136"/>
      <c r="FXG1" s="136"/>
      <c r="FXH1" s="136"/>
      <c r="FXI1" s="136"/>
      <c r="FXJ1" s="136"/>
      <c r="FXK1" s="136"/>
      <c r="FXL1" s="136"/>
      <c r="FXM1" s="136"/>
      <c r="FXN1" s="136"/>
      <c r="FXO1" s="136"/>
      <c r="FXP1" s="136"/>
      <c r="FXQ1" s="136"/>
      <c r="FXR1" s="136"/>
      <c r="FXS1" s="136"/>
      <c r="FXT1" s="136"/>
      <c r="FXU1" s="136"/>
      <c r="FXV1" s="136"/>
      <c r="FXW1" s="136"/>
      <c r="FXX1" s="136"/>
      <c r="FXY1" s="136"/>
      <c r="FXZ1" s="136"/>
      <c r="FYA1" s="136"/>
      <c r="FYB1" s="136"/>
      <c r="FYC1" s="136"/>
      <c r="FYD1" s="136"/>
      <c r="FYE1" s="136"/>
      <c r="FYF1" s="136"/>
      <c r="FYG1" s="136"/>
      <c r="FYH1" s="136"/>
      <c r="FYI1" s="136"/>
      <c r="FYJ1" s="136"/>
      <c r="FYK1" s="136"/>
      <c r="FYL1" s="136"/>
      <c r="FYM1" s="136"/>
      <c r="FYN1" s="136"/>
      <c r="FYO1" s="136"/>
      <c r="FYP1" s="136"/>
      <c r="FYQ1" s="136"/>
      <c r="FYR1" s="136"/>
      <c r="FYS1" s="136"/>
      <c r="FYT1" s="136"/>
      <c r="FYU1" s="136"/>
      <c r="FYV1" s="136"/>
      <c r="FYW1" s="136"/>
      <c r="FYX1" s="136"/>
      <c r="FYY1" s="136"/>
      <c r="FYZ1" s="136"/>
      <c r="FZA1" s="136"/>
      <c r="FZB1" s="136"/>
      <c r="FZC1" s="136"/>
      <c r="FZD1" s="136"/>
      <c r="FZE1" s="136"/>
      <c r="FZF1" s="136"/>
      <c r="FZG1" s="136"/>
      <c r="FZH1" s="136"/>
      <c r="FZI1" s="136"/>
      <c r="FZJ1" s="136"/>
      <c r="FZK1" s="136"/>
      <c r="FZL1" s="136"/>
      <c r="FZM1" s="136"/>
      <c r="FZN1" s="136"/>
      <c r="FZO1" s="136"/>
      <c r="FZP1" s="136"/>
      <c r="FZQ1" s="136"/>
      <c r="FZR1" s="136"/>
      <c r="FZS1" s="136"/>
      <c r="FZT1" s="136"/>
      <c r="FZU1" s="136"/>
      <c r="FZV1" s="136"/>
      <c r="FZW1" s="136"/>
      <c r="FZX1" s="136"/>
      <c r="FZY1" s="136"/>
      <c r="FZZ1" s="136"/>
      <c r="GAA1" s="136"/>
      <c r="GAB1" s="136"/>
      <c r="GAC1" s="136"/>
      <c r="GAD1" s="136"/>
      <c r="GAE1" s="136"/>
      <c r="GAF1" s="136"/>
      <c r="GAG1" s="136"/>
      <c r="GAH1" s="136"/>
      <c r="GAI1" s="136"/>
      <c r="GAJ1" s="136"/>
      <c r="GAK1" s="136"/>
      <c r="GAL1" s="136"/>
      <c r="GAM1" s="136"/>
      <c r="GAN1" s="136"/>
      <c r="GAO1" s="136"/>
      <c r="GAP1" s="136"/>
      <c r="GAQ1" s="136"/>
      <c r="GAR1" s="136"/>
      <c r="GAS1" s="136"/>
      <c r="GAT1" s="136"/>
      <c r="GAU1" s="136"/>
      <c r="GAV1" s="136"/>
      <c r="GAW1" s="136"/>
      <c r="GAX1" s="136"/>
      <c r="GAY1" s="136"/>
      <c r="GAZ1" s="136"/>
      <c r="GBA1" s="136"/>
      <c r="GBB1" s="136"/>
      <c r="GBC1" s="136"/>
      <c r="GBD1" s="136"/>
      <c r="GBE1" s="136"/>
      <c r="GBF1" s="136"/>
      <c r="GBG1" s="136"/>
      <c r="GBH1" s="136"/>
      <c r="GBI1" s="136"/>
      <c r="GBJ1" s="136"/>
      <c r="GBK1" s="136"/>
      <c r="GBL1" s="136"/>
      <c r="GBM1" s="136"/>
      <c r="GBN1" s="136"/>
      <c r="GBO1" s="136"/>
      <c r="GBP1" s="136"/>
      <c r="GBQ1" s="136"/>
      <c r="GBR1" s="136"/>
      <c r="GBS1" s="136"/>
      <c r="GBT1" s="136"/>
      <c r="GBU1" s="136"/>
      <c r="GBV1" s="136"/>
      <c r="GBW1" s="136"/>
      <c r="GBX1" s="136"/>
      <c r="GBY1" s="136"/>
      <c r="GBZ1" s="136"/>
      <c r="GCA1" s="136"/>
      <c r="GCB1" s="136"/>
      <c r="GCC1" s="136"/>
      <c r="GCD1" s="136"/>
      <c r="GCE1" s="136"/>
      <c r="GCF1" s="136"/>
      <c r="GCG1" s="136"/>
      <c r="GCH1" s="136"/>
      <c r="GCI1" s="136"/>
      <c r="GCJ1" s="136"/>
      <c r="GCK1" s="136"/>
      <c r="GCL1" s="136"/>
      <c r="GCM1" s="136"/>
      <c r="GCN1" s="136"/>
      <c r="GCO1" s="136"/>
      <c r="GCP1" s="136"/>
      <c r="GCQ1" s="136"/>
      <c r="GCR1" s="136"/>
      <c r="GCS1" s="136"/>
      <c r="GCT1" s="136"/>
      <c r="GCU1" s="136"/>
      <c r="GCV1" s="136"/>
      <c r="GCW1" s="136"/>
      <c r="GCX1" s="136"/>
      <c r="GCY1" s="136"/>
      <c r="GCZ1" s="136"/>
      <c r="GDA1" s="136"/>
      <c r="GDB1" s="136"/>
      <c r="GDC1" s="136"/>
      <c r="GDD1" s="136"/>
      <c r="GDE1" s="136"/>
      <c r="GDF1" s="136"/>
      <c r="GDG1" s="136"/>
      <c r="GDH1" s="136"/>
      <c r="GDI1" s="136"/>
      <c r="GDJ1" s="136"/>
      <c r="GDK1" s="136"/>
      <c r="GDL1" s="136"/>
      <c r="GDM1" s="136"/>
      <c r="GDN1" s="136"/>
      <c r="GDO1" s="136"/>
      <c r="GDP1" s="136"/>
      <c r="GDQ1" s="136"/>
      <c r="GDR1" s="136"/>
      <c r="GDS1" s="136"/>
      <c r="GDT1" s="136"/>
      <c r="GDU1" s="136"/>
      <c r="GDV1" s="136"/>
      <c r="GDW1" s="136"/>
      <c r="GDX1" s="136"/>
      <c r="GDY1" s="136"/>
      <c r="GDZ1" s="136"/>
      <c r="GEA1" s="136"/>
      <c r="GEB1" s="136"/>
      <c r="GEC1" s="136"/>
      <c r="GED1" s="136"/>
      <c r="GEE1" s="136"/>
      <c r="GEF1" s="136"/>
      <c r="GEG1" s="136"/>
      <c r="GEH1" s="136"/>
      <c r="GEI1" s="136"/>
      <c r="GEJ1" s="136"/>
      <c r="GEK1" s="136"/>
      <c r="GEL1" s="136"/>
      <c r="GEM1" s="136"/>
      <c r="GEN1" s="136"/>
      <c r="GEO1" s="136"/>
      <c r="GEP1" s="136"/>
      <c r="GEQ1" s="136"/>
      <c r="GER1" s="136"/>
      <c r="GES1" s="136"/>
      <c r="GET1" s="136"/>
      <c r="GEU1" s="136"/>
      <c r="GEV1" s="136"/>
      <c r="GEW1" s="136"/>
      <c r="GEX1" s="136"/>
      <c r="GEY1" s="136"/>
      <c r="GEZ1" s="136"/>
      <c r="GFA1" s="136"/>
      <c r="GFB1" s="136"/>
      <c r="GFC1" s="136"/>
      <c r="GFD1" s="136"/>
      <c r="GFE1" s="136"/>
      <c r="GFF1" s="136"/>
      <c r="GFG1" s="136"/>
      <c r="GFH1" s="136"/>
      <c r="GFI1" s="136"/>
      <c r="GFJ1" s="136"/>
      <c r="GFK1" s="136"/>
      <c r="GFL1" s="136"/>
      <c r="GFM1" s="136"/>
      <c r="GFN1" s="136"/>
      <c r="GFO1" s="136"/>
      <c r="GFP1" s="136"/>
      <c r="GFQ1" s="136"/>
      <c r="GFR1" s="136"/>
      <c r="GFS1" s="136"/>
      <c r="GFT1" s="136"/>
      <c r="GFU1" s="136"/>
      <c r="GFV1" s="136"/>
      <c r="GFW1" s="136"/>
      <c r="GFX1" s="136"/>
      <c r="GFY1" s="136"/>
      <c r="GFZ1" s="136"/>
      <c r="GGA1" s="136"/>
      <c r="GGB1" s="136"/>
      <c r="GGC1" s="136"/>
      <c r="GGD1" s="136"/>
      <c r="GGE1" s="136"/>
      <c r="GGF1" s="136"/>
      <c r="GGG1" s="136"/>
      <c r="GGH1" s="136"/>
      <c r="GGI1" s="136"/>
      <c r="GGJ1" s="136"/>
      <c r="GGK1" s="136"/>
      <c r="GGL1" s="136"/>
      <c r="GGM1" s="136"/>
      <c r="GGN1" s="136"/>
      <c r="GGO1" s="136"/>
      <c r="GGP1" s="136"/>
      <c r="GGQ1" s="136"/>
      <c r="GGR1" s="136"/>
      <c r="GGS1" s="136"/>
      <c r="GGT1" s="136"/>
      <c r="GGU1" s="136"/>
      <c r="GGV1" s="136"/>
      <c r="GGW1" s="136"/>
      <c r="GGX1" s="136"/>
      <c r="GGY1" s="136"/>
      <c r="GGZ1" s="136"/>
      <c r="GHA1" s="136"/>
      <c r="GHB1" s="136"/>
      <c r="GHC1" s="136"/>
      <c r="GHD1" s="136"/>
      <c r="GHE1" s="136"/>
      <c r="GHF1" s="136"/>
      <c r="GHG1" s="136"/>
      <c r="GHH1" s="136"/>
      <c r="GHI1" s="136"/>
      <c r="GHJ1" s="136"/>
      <c r="GHK1" s="136"/>
      <c r="GHL1" s="136"/>
      <c r="GHM1" s="136"/>
      <c r="GHN1" s="136"/>
      <c r="GHO1" s="136"/>
      <c r="GHP1" s="136"/>
      <c r="GHQ1" s="136"/>
      <c r="GHR1" s="136"/>
      <c r="GHS1" s="136"/>
      <c r="GHT1" s="136"/>
      <c r="GHU1" s="136"/>
      <c r="GHV1" s="136"/>
      <c r="GHW1" s="136"/>
      <c r="GHX1" s="136"/>
      <c r="GHY1" s="136"/>
      <c r="GHZ1" s="136"/>
      <c r="GIA1" s="136"/>
      <c r="GIB1" s="136"/>
      <c r="GIC1" s="136"/>
      <c r="GID1" s="136"/>
      <c r="GIE1" s="136"/>
      <c r="GIF1" s="136"/>
      <c r="GIG1" s="136"/>
      <c r="GIH1" s="136"/>
      <c r="GII1" s="136"/>
      <c r="GIJ1" s="136"/>
      <c r="GIK1" s="136"/>
      <c r="GIL1" s="136"/>
      <c r="GIM1" s="136"/>
      <c r="GIN1" s="136"/>
      <c r="GIO1" s="136"/>
      <c r="GIP1" s="136"/>
      <c r="GIQ1" s="136"/>
      <c r="GIR1" s="136"/>
      <c r="GIS1" s="136"/>
      <c r="GIT1" s="136"/>
      <c r="GIU1" s="136"/>
      <c r="GIV1" s="136"/>
      <c r="GIW1" s="136"/>
      <c r="GIX1" s="136"/>
      <c r="GIY1" s="136"/>
      <c r="GIZ1" s="136"/>
      <c r="GJA1" s="136"/>
      <c r="GJB1" s="136"/>
      <c r="GJC1" s="136"/>
      <c r="GJD1" s="136"/>
      <c r="GJE1" s="136"/>
      <c r="GJF1" s="136"/>
      <c r="GJG1" s="136"/>
      <c r="GJH1" s="136"/>
      <c r="GJI1" s="136"/>
      <c r="GJJ1" s="136"/>
      <c r="GJK1" s="136"/>
      <c r="GJL1" s="136"/>
      <c r="GJM1" s="136"/>
      <c r="GJN1" s="136"/>
      <c r="GJO1" s="136"/>
      <c r="GJP1" s="136"/>
      <c r="GJQ1" s="136"/>
      <c r="GJR1" s="136"/>
      <c r="GJS1" s="136"/>
      <c r="GJT1" s="136"/>
      <c r="GJU1" s="136"/>
      <c r="GJV1" s="136"/>
      <c r="GJW1" s="136"/>
      <c r="GJX1" s="136"/>
      <c r="GJY1" s="136"/>
      <c r="GJZ1" s="136"/>
      <c r="GKA1" s="136"/>
      <c r="GKB1" s="136"/>
      <c r="GKC1" s="136"/>
      <c r="GKD1" s="136"/>
      <c r="GKE1" s="136"/>
      <c r="GKF1" s="136"/>
      <c r="GKG1" s="136"/>
      <c r="GKH1" s="136"/>
      <c r="GKI1" s="136"/>
      <c r="GKJ1" s="136"/>
      <c r="GKK1" s="136"/>
      <c r="GKL1" s="136"/>
      <c r="GKM1" s="136"/>
      <c r="GKN1" s="136"/>
      <c r="GKO1" s="136"/>
      <c r="GKP1" s="136"/>
      <c r="GKQ1" s="136"/>
      <c r="GKR1" s="136"/>
      <c r="GKS1" s="136"/>
      <c r="GKT1" s="136"/>
      <c r="GKU1" s="136"/>
      <c r="GKV1" s="136"/>
      <c r="GKW1" s="136"/>
      <c r="GKX1" s="136"/>
      <c r="GKY1" s="136"/>
      <c r="GKZ1" s="136"/>
      <c r="GLA1" s="136"/>
      <c r="GLB1" s="136"/>
      <c r="GLC1" s="136"/>
      <c r="GLD1" s="136"/>
      <c r="GLE1" s="136"/>
      <c r="GLF1" s="136"/>
      <c r="GLG1" s="136"/>
      <c r="GLH1" s="136"/>
      <c r="GLI1" s="136"/>
      <c r="GLJ1" s="136"/>
      <c r="GLK1" s="136"/>
      <c r="GLL1" s="136"/>
      <c r="GLM1" s="136"/>
      <c r="GLN1" s="136"/>
      <c r="GLO1" s="136"/>
      <c r="GLP1" s="136"/>
      <c r="GLQ1" s="136"/>
      <c r="GLR1" s="136"/>
      <c r="GLS1" s="136"/>
      <c r="GLT1" s="136"/>
      <c r="GLU1" s="136"/>
      <c r="GLV1" s="136"/>
      <c r="GLW1" s="136"/>
      <c r="GLX1" s="136"/>
      <c r="GLY1" s="136"/>
      <c r="GLZ1" s="136"/>
      <c r="GMA1" s="136"/>
      <c r="GMB1" s="136"/>
      <c r="GMC1" s="136"/>
      <c r="GMD1" s="136"/>
      <c r="GME1" s="136"/>
      <c r="GMF1" s="136"/>
      <c r="GMG1" s="136"/>
      <c r="GMH1" s="136"/>
      <c r="GMI1" s="136"/>
      <c r="GMJ1" s="136"/>
      <c r="GMK1" s="136"/>
      <c r="GML1" s="136"/>
      <c r="GMM1" s="136"/>
      <c r="GMN1" s="136"/>
      <c r="GMO1" s="136"/>
      <c r="GMP1" s="136"/>
      <c r="GMQ1" s="136"/>
      <c r="GMR1" s="136"/>
      <c r="GMS1" s="136"/>
      <c r="GMT1" s="136"/>
      <c r="GMU1" s="136"/>
      <c r="GMV1" s="136"/>
      <c r="GMW1" s="136"/>
      <c r="GMX1" s="136"/>
      <c r="GMY1" s="136"/>
      <c r="GMZ1" s="136"/>
      <c r="GNA1" s="136"/>
      <c r="GNB1" s="136"/>
      <c r="GNC1" s="136"/>
      <c r="GND1" s="136"/>
      <c r="GNE1" s="136"/>
      <c r="GNF1" s="136"/>
      <c r="GNG1" s="136"/>
      <c r="GNH1" s="136"/>
      <c r="GNI1" s="136"/>
      <c r="GNJ1" s="136"/>
      <c r="GNK1" s="136"/>
      <c r="GNL1" s="136"/>
      <c r="GNM1" s="136"/>
      <c r="GNN1" s="136"/>
      <c r="GNO1" s="136"/>
      <c r="GNP1" s="136"/>
      <c r="GNQ1" s="136"/>
      <c r="GNR1" s="136"/>
      <c r="GNS1" s="136"/>
      <c r="GNT1" s="136"/>
      <c r="GNU1" s="136"/>
      <c r="GNV1" s="136"/>
      <c r="GNW1" s="136"/>
      <c r="GNX1" s="136"/>
      <c r="GNY1" s="136"/>
      <c r="GNZ1" s="136"/>
      <c r="GOA1" s="136"/>
      <c r="GOB1" s="136"/>
      <c r="GOC1" s="136"/>
      <c r="GOD1" s="136"/>
      <c r="GOE1" s="136"/>
      <c r="GOF1" s="136"/>
      <c r="GOG1" s="136"/>
      <c r="GOH1" s="136"/>
      <c r="GOI1" s="136"/>
      <c r="GOJ1" s="136"/>
      <c r="GOK1" s="136"/>
      <c r="GOL1" s="136"/>
      <c r="GOM1" s="136"/>
      <c r="GON1" s="136"/>
      <c r="GOO1" s="136"/>
      <c r="GOP1" s="136"/>
      <c r="GOQ1" s="136"/>
      <c r="GOR1" s="136"/>
      <c r="GOS1" s="136"/>
      <c r="GOT1" s="136"/>
      <c r="GOU1" s="136"/>
      <c r="GOV1" s="136"/>
      <c r="GOW1" s="136"/>
      <c r="GOX1" s="136"/>
      <c r="GOY1" s="136"/>
      <c r="GOZ1" s="136"/>
      <c r="GPA1" s="136"/>
      <c r="GPB1" s="136"/>
      <c r="GPC1" s="136"/>
      <c r="GPD1" s="136"/>
      <c r="GPE1" s="136"/>
      <c r="GPF1" s="136"/>
      <c r="GPG1" s="136"/>
      <c r="GPH1" s="136"/>
      <c r="GPI1" s="136"/>
      <c r="GPJ1" s="136"/>
      <c r="GPK1" s="136"/>
      <c r="GPL1" s="136"/>
      <c r="GPM1" s="136"/>
      <c r="GPN1" s="136"/>
      <c r="GPO1" s="136"/>
      <c r="GPP1" s="136"/>
      <c r="GPQ1" s="136"/>
      <c r="GPR1" s="136"/>
      <c r="GPS1" s="136"/>
      <c r="GPT1" s="136"/>
      <c r="GPU1" s="136"/>
      <c r="GPV1" s="136"/>
      <c r="GPW1" s="136"/>
      <c r="GPX1" s="136"/>
      <c r="GPY1" s="136"/>
      <c r="GPZ1" s="136"/>
      <c r="GQA1" s="136"/>
      <c r="GQB1" s="136"/>
      <c r="GQC1" s="136"/>
      <c r="GQD1" s="136"/>
      <c r="GQE1" s="136"/>
      <c r="GQF1" s="136"/>
      <c r="GQG1" s="136"/>
      <c r="GQH1" s="136"/>
      <c r="GQI1" s="136"/>
      <c r="GQJ1" s="136"/>
      <c r="GQK1" s="136"/>
      <c r="GQL1" s="136"/>
      <c r="GQM1" s="136"/>
      <c r="GQN1" s="136"/>
      <c r="GQO1" s="136"/>
      <c r="GQP1" s="136"/>
      <c r="GQQ1" s="136"/>
      <c r="GQR1" s="136"/>
      <c r="GQS1" s="136"/>
      <c r="GQT1" s="136"/>
      <c r="GQU1" s="136"/>
      <c r="GQV1" s="136"/>
      <c r="GQW1" s="136"/>
      <c r="GQX1" s="136"/>
      <c r="GQY1" s="136"/>
      <c r="GQZ1" s="136"/>
      <c r="GRA1" s="136"/>
      <c r="GRB1" s="136"/>
      <c r="GRC1" s="136"/>
      <c r="GRD1" s="136"/>
      <c r="GRE1" s="136"/>
      <c r="GRF1" s="136"/>
      <c r="GRG1" s="136"/>
      <c r="GRH1" s="136"/>
      <c r="GRI1" s="136"/>
      <c r="GRJ1" s="136"/>
      <c r="GRK1" s="136"/>
      <c r="GRL1" s="136"/>
      <c r="GRM1" s="136"/>
      <c r="GRN1" s="136"/>
      <c r="GRO1" s="136"/>
      <c r="GRP1" s="136"/>
      <c r="GRQ1" s="136"/>
      <c r="GRR1" s="136"/>
      <c r="GRS1" s="136"/>
      <c r="GRT1" s="136"/>
      <c r="GRU1" s="136"/>
      <c r="GRV1" s="136"/>
      <c r="GRW1" s="136"/>
      <c r="GRX1" s="136"/>
      <c r="GRY1" s="136"/>
      <c r="GRZ1" s="136"/>
      <c r="GSA1" s="136"/>
      <c r="GSB1" s="136"/>
      <c r="GSC1" s="136"/>
      <c r="GSD1" s="136"/>
      <c r="GSE1" s="136"/>
      <c r="GSF1" s="136"/>
      <c r="GSG1" s="136"/>
      <c r="GSH1" s="136"/>
      <c r="GSI1" s="136"/>
      <c r="GSJ1" s="136"/>
      <c r="GSK1" s="136"/>
      <c r="GSL1" s="136"/>
      <c r="GSM1" s="136"/>
      <c r="GSN1" s="136"/>
      <c r="GSO1" s="136"/>
      <c r="GSP1" s="136"/>
      <c r="GSQ1" s="136"/>
      <c r="GSR1" s="136"/>
      <c r="GSS1" s="136"/>
      <c r="GST1" s="136"/>
      <c r="GSU1" s="136"/>
      <c r="GSV1" s="136"/>
      <c r="GSW1" s="136"/>
      <c r="GSX1" s="136"/>
      <c r="GSY1" s="136"/>
      <c r="GSZ1" s="136"/>
      <c r="GTA1" s="136"/>
      <c r="GTB1" s="136"/>
      <c r="GTC1" s="136"/>
      <c r="GTD1" s="136"/>
      <c r="GTE1" s="136"/>
      <c r="GTF1" s="136"/>
      <c r="GTG1" s="136"/>
      <c r="GTH1" s="136"/>
      <c r="GTI1" s="136"/>
      <c r="GTJ1" s="136"/>
      <c r="GTK1" s="136"/>
      <c r="GTL1" s="136"/>
      <c r="GTM1" s="136"/>
      <c r="GTN1" s="136"/>
      <c r="GTO1" s="136"/>
      <c r="GTP1" s="136"/>
      <c r="GTQ1" s="136"/>
      <c r="GTR1" s="136"/>
      <c r="GTS1" s="136"/>
      <c r="GTT1" s="136"/>
      <c r="GTU1" s="136"/>
      <c r="GTV1" s="136"/>
      <c r="GTW1" s="136"/>
      <c r="GTX1" s="136"/>
      <c r="GTY1" s="136"/>
      <c r="GTZ1" s="136"/>
      <c r="GUA1" s="136"/>
      <c r="GUB1" s="136"/>
      <c r="GUC1" s="136"/>
      <c r="GUD1" s="136"/>
      <c r="GUE1" s="136"/>
      <c r="GUF1" s="136"/>
      <c r="GUG1" s="136"/>
      <c r="GUH1" s="136"/>
      <c r="GUI1" s="136"/>
      <c r="GUJ1" s="136"/>
      <c r="GUK1" s="136"/>
      <c r="GUL1" s="136"/>
      <c r="GUM1" s="136"/>
      <c r="GUN1" s="136"/>
      <c r="GUO1" s="136"/>
      <c r="GUP1" s="136"/>
      <c r="GUQ1" s="136"/>
      <c r="GUR1" s="136"/>
      <c r="GUS1" s="136"/>
      <c r="GUT1" s="136"/>
      <c r="GUU1" s="136"/>
      <c r="GUV1" s="136"/>
      <c r="GUW1" s="136"/>
      <c r="GUX1" s="136"/>
      <c r="GUY1" s="136"/>
      <c r="GUZ1" s="136"/>
      <c r="GVA1" s="136"/>
      <c r="GVB1" s="136"/>
      <c r="GVC1" s="136"/>
      <c r="GVD1" s="136"/>
      <c r="GVE1" s="136"/>
      <c r="GVF1" s="136"/>
      <c r="GVG1" s="136"/>
      <c r="GVH1" s="136"/>
      <c r="GVI1" s="136"/>
      <c r="GVJ1" s="136"/>
      <c r="GVK1" s="136"/>
      <c r="GVL1" s="136"/>
      <c r="GVM1" s="136"/>
      <c r="GVN1" s="136"/>
      <c r="GVO1" s="136"/>
      <c r="GVP1" s="136"/>
      <c r="GVQ1" s="136"/>
      <c r="GVR1" s="136"/>
      <c r="GVS1" s="136"/>
      <c r="GVT1" s="136"/>
      <c r="GVU1" s="136"/>
      <c r="GVV1" s="136"/>
      <c r="GVW1" s="136"/>
      <c r="GVX1" s="136"/>
      <c r="GVY1" s="136"/>
      <c r="GVZ1" s="136"/>
      <c r="GWA1" s="136"/>
      <c r="GWB1" s="136"/>
      <c r="GWC1" s="136"/>
      <c r="GWD1" s="136"/>
      <c r="GWE1" s="136"/>
      <c r="GWF1" s="136"/>
      <c r="GWG1" s="136"/>
      <c r="GWH1" s="136"/>
      <c r="GWI1" s="136"/>
      <c r="GWJ1" s="136"/>
      <c r="GWK1" s="136"/>
      <c r="GWL1" s="136"/>
      <c r="GWM1" s="136"/>
      <c r="GWN1" s="136"/>
      <c r="GWO1" s="136"/>
      <c r="GWP1" s="136"/>
      <c r="GWQ1" s="136"/>
      <c r="GWR1" s="136"/>
      <c r="GWS1" s="136"/>
      <c r="GWT1" s="136"/>
      <c r="GWU1" s="136"/>
      <c r="GWV1" s="136"/>
      <c r="GWW1" s="136"/>
      <c r="GWX1" s="136"/>
      <c r="GWY1" s="136"/>
      <c r="GWZ1" s="136"/>
      <c r="GXA1" s="136"/>
      <c r="GXB1" s="136"/>
      <c r="GXC1" s="136"/>
      <c r="GXD1" s="136"/>
      <c r="GXE1" s="136"/>
      <c r="GXF1" s="136"/>
      <c r="GXG1" s="136"/>
      <c r="GXH1" s="136"/>
      <c r="GXI1" s="136"/>
      <c r="GXJ1" s="136"/>
      <c r="GXK1" s="136"/>
      <c r="GXL1" s="136"/>
      <c r="GXM1" s="136"/>
      <c r="GXN1" s="136"/>
      <c r="GXO1" s="136"/>
      <c r="GXP1" s="136"/>
      <c r="GXQ1" s="136"/>
      <c r="GXR1" s="136"/>
      <c r="GXS1" s="136"/>
      <c r="GXT1" s="136"/>
      <c r="GXU1" s="136"/>
      <c r="GXV1" s="136"/>
      <c r="GXW1" s="136"/>
      <c r="GXX1" s="136"/>
      <c r="GXY1" s="136"/>
      <c r="GXZ1" s="136"/>
      <c r="GYA1" s="136"/>
      <c r="GYB1" s="136"/>
      <c r="GYC1" s="136"/>
      <c r="GYD1" s="136"/>
      <c r="GYE1" s="136"/>
      <c r="GYF1" s="136"/>
      <c r="GYG1" s="136"/>
      <c r="GYH1" s="136"/>
      <c r="GYI1" s="136"/>
      <c r="GYJ1" s="136"/>
      <c r="GYK1" s="136"/>
      <c r="GYL1" s="136"/>
      <c r="GYM1" s="136"/>
      <c r="GYN1" s="136"/>
      <c r="GYO1" s="136"/>
      <c r="GYP1" s="136"/>
      <c r="GYQ1" s="136"/>
      <c r="GYR1" s="136"/>
      <c r="GYS1" s="136"/>
      <c r="GYT1" s="136"/>
      <c r="GYU1" s="136"/>
      <c r="GYV1" s="136"/>
      <c r="GYW1" s="136"/>
      <c r="GYX1" s="136"/>
      <c r="GYY1" s="136"/>
      <c r="GYZ1" s="136"/>
      <c r="GZA1" s="136"/>
      <c r="GZB1" s="136"/>
      <c r="GZC1" s="136"/>
      <c r="GZD1" s="136"/>
      <c r="GZE1" s="136"/>
      <c r="GZF1" s="136"/>
      <c r="GZG1" s="136"/>
      <c r="GZH1" s="136"/>
      <c r="GZI1" s="136"/>
      <c r="GZJ1" s="136"/>
      <c r="GZK1" s="136"/>
      <c r="GZL1" s="136"/>
      <c r="GZM1" s="136"/>
      <c r="GZN1" s="136"/>
      <c r="GZO1" s="136"/>
      <c r="GZP1" s="136"/>
      <c r="GZQ1" s="136"/>
      <c r="GZR1" s="136"/>
      <c r="GZS1" s="136"/>
      <c r="GZT1" s="136"/>
      <c r="GZU1" s="136"/>
      <c r="GZV1" s="136"/>
      <c r="GZW1" s="136"/>
      <c r="GZX1" s="136"/>
      <c r="GZY1" s="136"/>
      <c r="GZZ1" s="136"/>
      <c r="HAA1" s="136"/>
      <c r="HAB1" s="136"/>
      <c r="HAC1" s="136"/>
      <c r="HAD1" s="136"/>
      <c r="HAE1" s="136"/>
      <c r="HAF1" s="136"/>
      <c r="HAG1" s="136"/>
      <c r="HAH1" s="136"/>
      <c r="HAI1" s="136"/>
      <c r="HAJ1" s="136"/>
      <c r="HAK1" s="136"/>
      <c r="HAL1" s="136"/>
      <c r="HAM1" s="136"/>
      <c r="HAN1" s="136"/>
      <c r="HAO1" s="136"/>
      <c r="HAP1" s="136"/>
      <c r="HAQ1" s="136"/>
      <c r="HAR1" s="136"/>
      <c r="HAS1" s="136"/>
      <c r="HAT1" s="136"/>
      <c r="HAU1" s="136"/>
      <c r="HAV1" s="136"/>
      <c r="HAW1" s="136"/>
      <c r="HAX1" s="136"/>
      <c r="HAY1" s="136"/>
      <c r="HAZ1" s="136"/>
      <c r="HBA1" s="136"/>
      <c r="HBB1" s="136"/>
      <c r="HBC1" s="136"/>
      <c r="HBD1" s="136"/>
      <c r="HBE1" s="136"/>
      <c r="HBF1" s="136"/>
      <c r="HBG1" s="136"/>
      <c r="HBH1" s="136"/>
      <c r="HBI1" s="136"/>
      <c r="HBJ1" s="136"/>
      <c r="HBK1" s="136"/>
      <c r="HBL1" s="136"/>
      <c r="HBM1" s="136"/>
      <c r="HBN1" s="136"/>
      <c r="HBO1" s="136"/>
      <c r="HBP1" s="136"/>
      <c r="HBQ1" s="136"/>
      <c r="HBR1" s="136"/>
      <c r="HBS1" s="136"/>
      <c r="HBT1" s="136"/>
      <c r="HBU1" s="136"/>
      <c r="HBV1" s="136"/>
      <c r="HBW1" s="136"/>
      <c r="HBX1" s="136"/>
      <c r="HBY1" s="136"/>
      <c r="HBZ1" s="136"/>
      <c r="HCA1" s="136"/>
      <c r="HCB1" s="136"/>
      <c r="HCC1" s="136"/>
      <c r="HCD1" s="136"/>
      <c r="HCE1" s="136"/>
      <c r="HCF1" s="136"/>
      <c r="HCG1" s="136"/>
      <c r="HCH1" s="136"/>
      <c r="HCI1" s="136"/>
      <c r="HCJ1" s="136"/>
      <c r="HCK1" s="136"/>
      <c r="HCL1" s="136"/>
      <c r="HCM1" s="136"/>
      <c r="HCN1" s="136"/>
      <c r="HCO1" s="136"/>
      <c r="HCP1" s="136"/>
      <c r="HCQ1" s="136"/>
      <c r="HCR1" s="136"/>
      <c r="HCS1" s="136"/>
      <c r="HCT1" s="136"/>
      <c r="HCU1" s="136"/>
      <c r="HCV1" s="136"/>
      <c r="HCW1" s="136"/>
      <c r="HCX1" s="136"/>
      <c r="HCY1" s="136"/>
      <c r="HCZ1" s="136"/>
      <c r="HDA1" s="136"/>
      <c r="HDB1" s="136"/>
      <c r="HDC1" s="136"/>
      <c r="HDD1" s="136"/>
      <c r="HDE1" s="136"/>
      <c r="HDF1" s="136"/>
      <c r="HDG1" s="136"/>
      <c r="HDH1" s="136"/>
      <c r="HDI1" s="136"/>
      <c r="HDJ1" s="136"/>
      <c r="HDK1" s="136"/>
      <c r="HDL1" s="136"/>
      <c r="HDM1" s="136"/>
      <c r="HDN1" s="136"/>
      <c r="HDO1" s="136"/>
      <c r="HDP1" s="136"/>
      <c r="HDQ1" s="136"/>
      <c r="HDR1" s="136"/>
      <c r="HDS1" s="136"/>
      <c r="HDT1" s="136"/>
      <c r="HDU1" s="136"/>
      <c r="HDV1" s="136"/>
      <c r="HDW1" s="136"/>
      <c r="HDX1" s="136"/>
      <c r="HDY1" s="136"/>
      <c r="HDZ1" s="136"/>
      <c r="HEA1" s="136"/>
      <c r="HEB1" s="136"/>
      <c r="HEC1" s="136"/>
      <c r="HED1" s="136"/>
      <c r="HEE1" s="136"/>
      <c r="HEF1" s="136"/>
      <c r="HEG1" s="136"/>
      <c r="HEH1" s="136"/>
      <c r="HEI1" s="136"/>
      <c r="HEJ1" s="136"/>
      <c r="HEK1" s="136"/>
      <c r="HEL1" s="136"/>
      <c r="HEM1" s="136"/>
      <c r="HEN1" s="136"/>
      <c r="HEO1" s="136"/>
      <c r="HEP1" s="136"/>
      <c r="HEQ1" s="136"/>
      <c r="HER1" s="136"/>
      <c r="HES1" s="136"/>
      <c r="HET1" s="136"/>
      <c r="HEU1" s="136"/>
      <c r="HEV1" s="136"/>
      <c r="HEW1" s="136"/>
      <c r="HEX1" s="136"/>
      <c r="HEY1" s="136"/>
      <c r="HEZ1" s="136"/>
      <c r="HFA1" s="136"/>
      <c r="HFB1" s="136"/>
      <c r="HFC1" s="136"/>
      <c r="HFD1" s="136"/>
      <c r="HFE1" s="136"/>
      <c r="HFF1" s="136"/>
      <c r="HFG1" s="136"/>
      <c r="HFH1" s="136"/>
      <c r="HFI1" s="136"/>
      <c r="HFJ1" s="136"/>
      <c r="HFK1" s="136"/>
      <c r="HFL1" s="136"/>
      <c r="HFM1" s="136"/>
      <c r="HFN1" s="136"/>
      <c r="HFO1" s="136"/>
      <c r="HFP1" s="136"/>
      <c r="HFQ1" s="136"/>
      <c r="HFR1" s="136"/>
      <c r="HFS1" s="136"/>
      <c r="HFT1" s="136"/>
      <c r="HFU1" s="136"/>
      <c r="HFV1" s="136"/>
      <c r="HFW1" s="136"/>
      <c r="HFX1" s="136"/>
      <c r="HFY1" s="136"/>
      <c r="HFZ1" s="136"/>
      <c r="HGA1" s="136"/>
      <c r="HGB1" s="136"/>
      <c r="HGC1" s="136"/>
      <c r="HGD1" s="136"/>
      <c r="HGE1" s="136"/>
      <c r="HGF1" s="136"/>
      <c r="HGG1" s="136"/>
      <c r="HGH1" s="136"/>
      <c r="HGI1" s="136"/>
      <c r="HGJ1" s="136"/>
      <c r="HGK1" s="136"/>
      <c r="HGL1" s="136"/>
      <c r="HGM1" s="136"/>
      <c r="HGN1" s="136"/>
      <c r="HGO1" s="136"/>
      <c r="HGP1" s="136"/>
      <c r="HGQ1" s="136"/>
      <c r="HGR1" s="136"/>
      <c r="HGS1" s="136"/>
      <c r="HGT1" s="136"/>
      <c r="HGU1" s="136"/>
      <c r="HGV1" s="136"/>
      <c r="HGW1" s="136"/>
      <c r="HGX1" s="136"/>
      <c r="HGY1" s="136"/>
      <c r="HGZ1" s="136"/>
      <c r="HHA1" s="136"/>
      <c r="HHB1" s="136"/>
      <c r="HHC1" s="136"/>
      <c r="HHD1" s="136"/>
      <c r="HHE1" s="136"/>
      <c r="HHF1" s="136"/>
      <c r="HHG1" s="136"/>
      <c r="HHH1" s="136"/>
      <c r="HHI1" s="136"/>
      <c r="HHJ1" s="136"/>
      <c r="HHK1" s="136"/>
      <c r="HHL1" s="136"/>
      <c r="HHM1" s="136"/>
      <c r="HHN1" s="136"/>
      <c r="HHO1" s="136"/>
      <c r="HHP1" s="136"/>
      <c r="HHQ1" s="136"/>
      <c r="HHR1" s="136"/>
      <c r="HHS1" s="136"/>
      <c r="HHT1" s="136"/>
      <c r="HHU1" s="136"/>
      <c r="HHV1" s="136"/>
      <c r="HHW1" s="136"/>
      <c r="HHX1" s="136"/>
      <c r="HHY1" s="136"/>
      <c r="HHZ1" s="136"/>
      <c r="HIA1" s="136"/>
      <c r="HIB1" s="136"/>
      <c r="HIC1" s="136"/>
      <c r="HID1" s="136"/>
      <c r="HIE1" s="136"/>
      <c r="HIF1" s="136"/>
      <c r="HIG1" s="136"/>
      <c r="HIH1" s="136"/>
      <c r="HII1" s="136"/>
      <c r="HIJ1" s="136"/>
      <c r="HIK1" s="136"/>
      <c r="HIL1" s="136"/>
      <c r="HIM1" s="136"/>
      <c r="HIN1" s="136"/>
      <c r="HIO1" s="136"/>
      <c r="HIP1" s="136"/>
      <c r="HIQ1" s="136"/>
      <c r="HIR1" s="136"/>
      <c r="HIS1" s="136"/>
      <c r="HIT1" s="136"/>
      <c r="HIU1" s="136"/>
      <c r="HIV1" s="136"/>
      <c r="HIW1" s="136"/>
      <c r="HIX1" s="136"/>
      <c r="HIY1" s="136"/>
      <c r="HIZ1" s="136"/>
      <c r="HJA1" s="136"/>
      <c r="HJB1" s="136"/>
      <c r="HJC1" s="136"/>
      <c r="HJD1" s="136"/>
      <c r="HJE1" s="136"/>
      <c r="HJF1" s="136"/>
      <c r="HJG1" s="136"/>
      <c r="HJH1" s="136"/>
      <c r="HJI1" s="136"/>
      <c r="HJJ1" s="136"/>
      <c r="HJK1" s="136"/>
      <c r="HJL1" s="136"/>
      <c r="HJM1" s="136"/>
      <c r="HJN1" s="136"/>
      <c r="HJO1" s="136"/>
      <c r="HJP1" s="136"/>
      <c r="HJQ1" s="136"/>
      <c r="HJR1" s="136"/>
      <c r="HJS1" s="136"/>
      <c r="HJT1" s="136"/>
      <c r="HJU1" s="136"/>
      <c r="HJV1" s="136"/>
      <c r="HJW1" s="136"/>
      <c r="HJX1" s="136"/>
      <c r="HJY1" s="136"/>
      <c r="HJZ1" s="136"/>
      <c r="HKA1" s="136"/>
      <c r="HKB1" s="136"/>
      <c r="HKC1" s="136"/>
      <c r="HKD1" s="136"/>
      <c r="HKE1" s="136"/>
      <c r="HKF1" s="136"/>
      <c r="HKG1" s="136"/>
      <c r="HKH1" s="136"/>
      <c r="HKI1" s="136"/>
      <c r="HKJ1" s="136"/>
      <c r="HKK1" s="136"/>
      <c r="HKL1" s="136"/>
      <c r="HKM1" s="136"/>
      <c r="HKN1" s="136"/>
      <c r="HKO1" s="136"/>
      <c r="HKP1" s="136"/>
      <c r="HKQ1" s="136"/>
      <c r="HKR1" s="136"/>
      <c r="HKS1" s="136"/>
      <c r="HKT1" s="136"/>
      <c r="HKU1" s="136"/>
      <c r="HKV1" s="136"/>
      <c r="HKW1" s="136"/>
      <c r="HKX1" s="136"/>
      <c r="HKY1" s="136"/>
      <c r="HKZ1" s="136"/>
      <c r="HLA1" s="136"/>
      <c r="HLB1" s="136"/>
      <c r="HLC1" s="136"/>
      <c r="HLD1" s="136"/>
      <c r="HLE1" s="136"/>
      <c r="HLF1" s="136"/>
      <c r="HLG1" s="136"/>
      <c r="HLH1" s="136"/>
      <c r="HLI1" s="136"/>
      <c r="HLJ1" s="136"/>
      <c r="HLK1" s="136"/>
      <c r="HLL1" s="136"/>
      <c r="HLM1" s="136"/>
      <c r="HLN1" s="136"/>
      <c r="HLO1" s="136"/>
      <c r="HLP1" s="136"/>
      <c r="HLQ1" s="136"/>
      <c r="HLR1" s="136"/>
      <c r="HLS1" s="136"/>
      <c r="HLT1" s="136"/>
      <c r="HLU1" s="136"/>
      <c r="HLV1" s="136"/>
      <c r="HLW1" s="136"/>
      <c r="HLX1" s="136"/>
      <c r="HLY1" s="136"/>
      <c r="HLZ1" s="136"/>
      <c r="HMA1" s="136"/>
      <c r="HMB1" s="136"/>
      <c r="HMC1" s="136"/>
      <c r="HMD1" s="136"/>
      <c r="HME1" s="136"/>
      <c r="HMF1" s="136"/>
      <c r="HMG1" s="136"/>
      <c r="HMH1" s="136"/>
      <c r="HMI1" s="136"/>
      <c r="HMJ1" s="136"/>
      <c r="HMK1" s="136"/>
      <c r="HML1" s="136"/>
      <c r="HMM1" s="136"/>
      <c r="HMN1" s="136"/>
      <c r="HMO1" s="136"/>
      <c r="HMP1" s="136"/>
      <c r="HMQ1" s="136"/>
      <c r="HMR1" s="136"/>
      <c r="HMS1" s="136"/>
      <c r="HMT1" s="136"/>
      <c r="HMU1" s="136"/>
      <c r="HMV1" s="136"/>
      <c r="HMW1" s="136"/>
      <c r="HMX1" s="136"/>
      <c r="HMY1" s="136"/>
      <c r="HMZ1" s="136"/>
      <c r="HNA1" s="136"/>
      <c r="HNB1" s="136"/>
      <c r="HNC1" s="136"/>
      <c r="HND1" s="136"/>
      <c r="HNE1" s="136"/>
      <c r="HNF1" s="136"/>
      <c r="HNG1" s="136"/>
      <c r="HNH1" s="136"/>
      <c r="HNI1" s="136"/>
      <c r="HNJ1" s="136"/>
      <c r="HNK1" s="136"/>
      <c r="HNL1" s="136"/>
      <c r="HNM1" s="136"/>
      <c r="HNN1" s="136"/>
      <c r="HNO1" s="136"/>
      <c r="HNP1" s="136"/>
      <c r="HNQ1" s="136"/>
      <c r="HNR1" s="136"/>
      <c r="HNS1" s="136"/>
      <c r="HNT1" s="136"/>
      <c r="HNU1" s="136"/>
      <c r="HNV1" s="136"/>
      <c r="HNW1" s="136"/>
      <c r="HNX1" s="136"/>
      <c r="HNY1" s="136"/>
      <c r="HNZ1" s="136"/>
      <c r="HOA1" s="136"/>
      <c r="HOB1" s="136"/>
      <c r="HOC1" s="136"/>
      <c r="HOD1" s="136"/>
      <c r="HOE1" s="136"/>
      <c r="HOF1" s="136"/>
      <c r="HOG1" s="136"/>
      <c r="HOH1" s="136"/>
      <c r="HOI1" s="136"/>
      <c r="HOJ1" s="136"/>
      <c r="HOK1" s="136"/>
      <c r="HOL1" s="136"/>
      <c r="HOM1" s="136"/>
      <c r="HON1" s="136"/>
      <c r="HOO1" s="136"/>
      <c r="HOP1" s="136"/>
      <c r="HOQ1" s="136"/>
      <c r="HOR1" s="136"/>
      <c r="HOS1" s="136"/>
      <c r="HOT1" s="136"/>
      <c r="HOU1" s="136"/>
      <c r="HOV1" s="136"/>
      <c r="HOW1" s="136"/>
      <c r="HOX1" s="136"/>
      <c r="HOY1" s="136"/>
      <c r="HOZ1" s="136"/>
      <c r="HPA1" s="136"/>
      <c r="HPB1" s="136"/>
      <c r="HPC1" s="136"/>
      <c r="HPD1" s="136"/>
      <c r="HPE1" s="136"/>
      <c r="HPF1" s="136"/>
      <c r="HPG1" s="136"/>
      <c r="HPH1" s="136"/>
      <c r="HPI1" s="136"/>
      <c r="HPJ1" s="136"/>
      <c r="HPK1" s="136"/>
      <c r="HPL1" s="136"/>
      <c r="HPM1" s="136"/>
      <c r="HPN1" s="136"/>
      <c r="HPO1" s="136"/>
      <c r="HPP1" s="136"/>
      <c r="HPQ1" s="136"/>
      <c r="HPR1" s="136"/>
      <c r="HPS1" s="136"/>
      <c r="HPT1" s="136"/>
      <c r="HPU1" s="136"/>
      <c r="HPV1" s="136"/>
      <c r="HPW1" s="136"/>
      <c r="HPX1" s="136"/>
      <c r="HPY1" s="136"/>
      <c r="HPZ1" s="136"/>
      <c r="HQA1" s="136"/>
      <c r="HQB1" s="136"/>
      <c r="HQC1" s="136"/>
      <c r="HQD1" s="136"/>
      <c r="HQE1" s="136"/>
      <c r="HQF1" s="136"/>
      <c r="HQG1" s="136"/>
      <c r="HQH1" s="136"/>
      <c r="HQI1" s="136"/>
      <c r="HQJ1" s="136"/>
      <c r="HQK1" s="136"/>
      <c r="HQL1" s="136"/>
      <c r="HQM1" s="136"/>
      <c r="HQN1" s="136"/>
      <c r="HQO1" s="136"/>
      <c r="HQP1" s="136"/>
      <c r="HQQ1" s="136"/>
      <c r="HQR1" s="136"/>
      <c r="HQS1" s="136"/>
      <c r="HQT1" s="136"/>
      <c r="HQU1" s="136"/>
      <c r="HQV1" s="136"/>
      <c r="HQW1" s="136"/>
      <c r="HQX1" s="136"/>
      <c r="HQY1" s="136"/>
      <c r="HQZ1" s="136"/>
      <c r="HRA1" s="136"/>
      <c r="HRB1" s="136"/>
      <c r="HRC1" s="136"/>
      <c r="HRD1" s="136"/>
      <c r="HRE1" s="136"/>
      <c r="HRF1" s="136"/>
      <c r="HRG1" s="136"/>
      <c r="HRH1" s="136"/>
      <c r="HRI1" s="136"/>
      <c r="HRJ1" s="136"/>
      <c r="HRK1" s="136"/>
      <c r="HRL1" s="136"/>
      <c r="HRM1" s="136"/>
      <c r="HRN1" s="136"/>
      <c r="HRO1" s="136"/>
      <c r="HRP1" s="136"/>
      <c r="HRQ1" s="136"/>
      <c r="HRR1" s="136"/>
      <c r="HRS1" s="136"/>
      <c r="HRT1" s="136"/>
      <c r="HRU1" s="136"/>
      <c r="HRV1" s="136"/>
      <c r="HRW1" s="136"/>
      <c r="HRX1" s="136"/>
      <c r="HRY1" s="136"/>
      <c r="HRZ1" s="136"/>
      <c r="HSA1" s="136"/>
      <c r="HSB1" s="136"/>
      <c r="HSC1" s="136"/>
      <c r="HSD1" s="136"/>
      <c r="HSE1" s="136"/>
      <c r="HSF1" s="136"/>
      <c r="HSG1" s="136"/>
      <c r="HSH1" s="136"/>
      <c r="HSI1" s="136"/>
      <c r="HSJ1" s="136"/>
      <c r="HSK1" s="136"/>
      <c r="HSL1" s="136"/>
      <c r="HSM1" s="136"/>
      <c r="HSN1" s="136"/>
      <c r="HSO1" s="136"/>
      <c r="HSP1" s="136"/>
      <c r="HSQ1" s="136"/>
      <c r="HSR1" s="136"/>
      <c r="HSS1" s="136"/>
      <c r="HST1" s="136"/>
      <c r="HSU1" s="136"/>
      <c r="HSV1" s="136"/>
      <c r="HSW1" s="136"/>
      <c r="HSX1" s="136"/>
      <c r="HSY1" s="136"/>
      <c r="HSZ1" s="136"/>
      <c r="HTA1" s="136"/>
      <c r="HTB1" s="136"/>
      <c r="HTC1" s="136"/>
      <c r="HTD1" s="136"/>
      <c r="HTE1" s="136"/>
      <c r="HTF1" s="136"/>
      <c r="HTG1" s="136"/>
      <c r="HTH1" s="136"/>
      <c r="HTI1" s="136"/>
      <c r="HTJ1" s="136"/>
      <c r="HTK1" s="136"/>
      <c r="HTL1" s="136"/>
      <c r="HTM1" s="136"/>
      <c r="HTN1" s="136"/>
      <c r="HTO1" s="136"/>
      <c r="HTP1" s="136"/>
      <c r="HTQ1" s="136"/>
      <c r="HTR1" s="136"/>
      <c r="HTS1" s="136"/>
      <c r="HTT1" s="136"/>
      <c r="HTU1" s="136"/>
      <c r="HTV1" s="136"/>
      <c r="HTW1" s="136"/>
      <c r="HTX1" s="136"/>
      <c r="HTY1" s="136"/>
      <c r="HTZ1" s="136"/>
      <c r="HUA1" s="136"/>
      <c r="HUB1" s="136"/>
      <c r="HUC1" s="136"/>
      <c r="HUD1" s="136"/>
      <c r="HUE1" s="136"/>
      <c r="HUF1" s="136"/>
      <c r="HUG1" s="136"/>
      <c r="HUH1" s="136"/>
      <c r="HUI1" s="136"/>
      <c r="HUJ1" s="136"/>
      <c r="HUK1" s="136"/>
      <c r="HUL1" s="136"/>
      <c r="HUM1" s="136"/>
      <c r="HUN1" s="136"/>
      <c r="HUO1" s="136"/>
      <c r="HUP1" s="136"/>
      <c r="HUQ1" s="136"/>
      <c r="HUR1" s="136"/>
      <c r="HUS1" s="136"/>
      <c r="HUT1" s="136"/>
      <c r="HUU1" s="136"/>
      <c r="HUV1" s="136"/>
      <c r="HUW1" s="136"/>
      <c r="HUX1" s="136"/>
      <c r="HUY1" s="136"/>
      <c r="HUZ1" s="136"/>
      <c r="HVA1" s="136"/>
      <c r="HVB1" s="136"/>
      <c r="HVC1" s="136"/>
      <c r="HVD1" s="136"/>
      <c r="HVE1" s="136"/>
      <c r="HVF1" s="136"/>
      <c r="HVG1" s="136"/>
      <c r="HVH1" s="136"/>
      <c r="HVI1" s="136"/>
      <c r="HVJ1" s="136"/>
      <c r="HVK1" s="136"/>
      <c r="HVL1" s="136"/>
      <c r="HVM1" s="136"/>
      <c r="HVN1" s="136"/>
      <c r="HVO1" s="136"/>
      <c r="HVP1" s="136"/>
      <c r="HVQ1" s="136"/>
      <c r="HVR1" s="136"/>
      <c r="HVS1" s="136"/>
      <c r="HVT1" s="136"/>
      <c r="HVU1" s="136"/>
      <c r="HVV1" s="136"/>
      <c r="HVW1" s="136"/>
      <c r="HVX1" s="136"/>
      <c r="HVY1" s="136"/>
      <c r="HVZ1" s="136"/>
      <c r="HWA1" s="136"/>
      <c r="HWB1" s="136"/>
      <c r="HWC1" s="136"/>
      <c r="HWD1" s="136"/>
      <c r="HWE1" s="136"/>
      <c r="HWF1" s="136"/>
      <c r="HWG1" s="136"/>
      <c r="HWH1" s="136"/>
      <c r="HWI1" s="136"/>
      <c r="HWJ1" s="136"/>
      <c r="HWK1" s="136"/>
      <c r="HWL1" s="136"/>
      <c r="HWM1" s="136"/>
      <c r="HWN1" s="136"/>
      <c r="HWO1" s="136"/>
      <c r="HWP1" s="136"/>
      <c r="HWQ1" s="136"/>
      <c r="HWR1" s="136"/>
      <c r="HWS1" s="136"/>
      <c r="HWT1" s="136"/>
      <c r="HWU1" s="136"/>
      <c r="HWV1" s="136"/>
      <c r="HWW1" s="136"/>
      <c r="HWX1" s="136"/>
      <c r="HWY1" s="136"/>
      <c r="HWZ1" s="136"/>
      <c r="HXA1" s="136"/>
      <c r="HXB1" s="136"/>
      <c r="HXC1" s="136"/>
      <c r="HXD1" s="136"/>
      <c r="HXE1" s="136"/>
      <c r="HXF1" s="136"/>
      <c r="HXG1" s="136"/>
      <c r="HXH1" s="136"/>
      <c r="HXI1" s="136"/>
      <c r="HXJ1" s="136"/>
      <c r="HXK1" s="136"/>
      <c r="HXL1" s="136"/>
      <c r="HXM1" s="136"/>
      <c r="HXN1" s="136"/>
      <c r="HXO1" s="136"/>
      <c r="HXP1" s="136"/>
      <c r="HXQ1" s="136"/>
      <c r="HXR1" s="136"/>
      <c r="HXS1" s="136"/>
      <c r="HXT1" s="136"/>
      <c r="HXU1" s="136"/>
      <c r="HXV1" s="136"/>
      <c r="HXW1" s="136"/>
      <c r="HXX1" s="136"/>
      <c r="HXY1" s="136"/>
      <c r="HXZ1" s="136"/>
      <c r="HYA1" s="136"/>
      <c r="HYB1" s="136"/>
      <c r="HYC1" s="136"/>
      <c r="HYD1" s="136"/>
      <c r="HYE1" s="136"/>
      <c r="HYF1" s="136"/>
      <c r="HYG1" s="136"/>
      <c r="HYH1" s="136"/>
      <c r="HYI1" s="136"/>
      <c r="HYJ1" s="136"/>
      <c r="HYK1" s="136"/>
      <c r="HYL1" s="136"/>
      <c r="HYM1" s="136"/>
      <c r="HYN1" s="136"/>
      <c r="HYO1" s="136"/>
      <c r="HYP1" s="136"/>
      <c r="HYQ1" s="136"/>
      <c r="HYR1" s="136"/>
      <c r="HYS1" s="136"/>
      <c r="HYT1" s="136"/>
      <c r="HYU1" s="136"/>
      <c r="HYV1" s="136"/>
      <c r="HYW1" s="136"/>
      <c r="HYX1" s="136"/>
      <c r="HYY1" s="136"/>
      <c r="HYZ1" s="136"/>
      <c r="HZA1" s="136"/>
      <c r="HZB1" s="136"/>
      <c r="HZC1" s="136"/>
      <c r="HZD1" s="136"/>
      <c r="HZE1" s="136"/>
      <c r="HZF1" s="136"/>
      <c r="HZG1" s="136"/>
      <c r="HZH1" s="136"/>
      <c r="HZI1" s="136"/>
      <c r="HZJ1" s="136"/>
      <c r="HZK1" s="136"/>
      <c r="HZL1" s="136"/>
      <c r="HZM1" s="136"/>
      <c r="HZN1" s="136"/>
      <c r="HZO1" s="136"/>
      <c r="HZP1" s="136"/>
      <c r="HZQ1" s="136"/>
      <c r="HZR1" s="136"/>
      <c r="HZS1" s="136"/>
      <c r="HZT1" s="136"/>
      <c r="HZU1" s="136"/>
      <c r="HZV1" s="136"/>
      <c r="HZW1" s="136"/>
      <c r="HZX1" s="136"/>
      <c r="HZY1" s="136"/>
      <c r="HZZ1" s="136"/>
      <c r="IAA1" s="136"/>
      <c r="IAB1" s="136"/>
      <c r="IAC1" s="136"/>
      <c r="IAD1" s="136"/>
      <c r="IAE1" s="136"/>
      <c r="IAF1" s="136"/>
      <c r="IAG1" s="136"/>
      <c r="IAH1" s="136"/>
      <c r="IAI1" s="136"/>
      <c r="IAJ1" s="136"/>
      <c r="IAK1" s="136"/>
      <c r="IAL1" s="136"/>
      <c r="IAM1" s="136"/>
      <c r="IAN1" s="136"/>
      <c r="IAO1" s="136"/>
      <c r="IAP1" s="136"/>
      <c r="IAQ1" s="136"/>
      <c r="IAR1" s="136"/>
      <c r="IAS1" s="136"/>
      <c r="IAT1" s="136"/>
      <c r="IAU1" s="136"/>
      <c r="IAV1" s="136"/>
      <c r="IAW1" s="136"/>
      <c r="IAX1" s="136"/>
      <c r="IAY1" s="136"/>
      <c r="IAZ1" s="136"/>
      <c r="IBA1" s="136"/>
      <c r="IBB1" s="136"/>
      <c r="IBC1" s="136"/>
      <c r="IBD1" s="136"/>
      <c r="IBE1" s="136"/>
      <c r="IBF1" s="136"/>
      <c r="IBG1" s="136"/>
      <c r="IBH1" s="136"/>
      <c r="IBI1" s="136"/>
      <c r="IBJ1" s="136"/>
      <c r="IBK1" s="136"/>
      <c r="IBL1" s="136"/>
      <c r="IBM1" s="136"/>
      <c r="IBN1" s="136"/>
      <c r="IBO1" s="136"/>
      <c r="IBP1" s="136"/>
      <c r="IBQ1" s="136"/>
      <c r="IBR1" s="136"/>
      <c r="IBS1" s="136"/>
      <c r="IBT1" s="136"/>
      <c r="IBU1" s="136"/>
      <c r="IBV1" s="136"/>
      <c r="IBW1" s="136"/>
      <c r="IBX1" s="136"/>
      <c r="IBY1" s="136"/>
      <c r="IBZ1" s="136"/>
      <c r="ICA1" s="136"/>
      <c r="ICB1" s="136"/>
      <c r="ICC1" s="136"/>
      <c r="ICD1" s="136"/>
      <c r="ICE1" s="136"/>
      <c r="ICF1" s="136"/>
      <c r="ICG1" s="136"/>
      <c r="ICH1" s="136"/>
      <c r="ICI1" s="136"/>
      <c r="ICJ1" s="136"/>
      <c r="ICK1" s="136"/>
      <c r="ICL1" s="136"/>
      <c r="ICM1" s="136"/>
      <c r="ICN1" s="136"/>
      <c r="ICO1" s="136"/>
      <c r="ICP1" s="136"/>
      <c r="ICQ1" s="136"/>
      <c r="ICR1" s="136"/>
      <c r="ICS1" s="136"/>
      <c r="ICT1" s="136"/>
      <c r="ICU1" s="136"/>
      <c r="ICV1" s="136"/>
      <c r="ICW1" s="136"/>
      <c r="ICX1" s="136"/>
      <c r="ICY1" s="136"/>
      <c r="ICZ1" s="136"/>
      <c r="IDA1" s="136"/>
      <c r="IDB1" s="136"/>
      <c r="IDC1" s="136"/>
      <c r="IDD1" s="136"/>
      <c r="IDE1" s="136"/>
      <c r="IDF1" s="136"/>
      <c r="IDG1" s="136"/>
      <c r="IDH1" s="136"/>
      <c r="IDI1" s="136"/>
      <c r="IDJ1" s="136"/>
      <c r="IDK1" s="136"/>
      <c r="IDL1" s="136"/>
      <c r="IDM1" s="136"/>
      <c r="IDN1" s="136"/>
      <c r="IDO1" s="136"/>
      <c r="IDP1" s="136"/>
      <c r="IDQ1" s="136"/>
      <c r="IDR1" s="136"/>
      <c r="IDS1" s="136"/>
      <c r="IDT1" s="136"/>
      <c r="IDU1" s="136"/>
      <c r="IDV1" s="136"/>
      <c r="IDW1" s="136"/>
      <c r="IDX1" s="136"/>
      <c r="IDY1" s="136"/>
      <c r="IDZ1" s="136"/>
      <c r="IEA1" s="136"/>
      <c r="IEB1" s="136"/>
      <c r="IEC1" s="136"/>
      <c r="IED1" s="136"/>
      <c r="IEE1" s="136"/>
      <c r="IEF1" s="136"/>
      <c r="IEG1" s="136"/>
      <c r="IEH1" s="136"/>
      <c r="IEI1" s="136"/>
      <c r="IEJ1" s="136"/>
      <c r="IEK1" s="136"/>
      <c r="IEL1" s="136"/>
      <c r="IEM1" s="136"/>
      <c r="IEN1" s="136"/>
      <c r="IEO1" s="136"/>
      <c r="IEP1" s="136"/>
      <c r="IEQ1" s="136"/>
      <c r="IER1" s="136"/>
      <c r="IES1" s="136"/>
      <c r="IET1" s="136"/>
      <c r="IEU1" s="136"/>
      <c r="IEV1" s="136"/>
      <c r="IEW1" s="136"/>
      <c r="IEX1" s="136"/>
      <c r="IEY1" s="136"/>
      <c r="IEZ1" s="136"/>
      <c r="IFA1" s="136"/>
      <c r="IFB1" s="136"/>
      <c r="IFC1" s="136"/>
      <c r="IFD1" s="136"/>
      <c r="IFE1" s="136"/>
      <c r="IFF1" s="136"/>
      <c r="IFG1" s="136"/>
      <c r="IFH1" s="136"/>
      <c r="IFI1" s="136"/>
      <c r="IFJ1" s="136"/>
      <c r="IFK1" s="136"/>
      <c r="IFL1" s="136"/>
      <c r="IFM1" s="136"/>
      <c r="IFN1" s="136"/>
      <c r="IFO1" s="136"/>
      <c r="IFP1" s="136"/>
      <c r="IFQ1" s="136"/>
      <c r="IFR1" s="136"/>
      <c r="IFS1" s="136"/>
      <c r="IFT1" s="136"/>
      <c r="IFU1" s="136"/>
      <c r="IFV1" s="136"/>
      <c r="IFW1" s="136"/>
      <c r="IFX1" s="136"/>
      <c r="IFY1" s="136"/>
      <c r="IFZ1" s="136"/>
      <c r="IGA1" s="136"/>
      <c r="IGB1" s="136"/>
      <c r="IGC1" s="136"/>
      <c r="IGD1" s="136"/>
      <c r="IGE1" s="136"/>
      <c r="IGF1" s="136"/>
      <c r="IGG1" s="136"/>
      <c r="IGH1" s="136"/>
      <c r="IGI1" s="136"/>
      <c r="IGJ1" s="136"/>
      <c r="IGK1" s="136"/>
      <c r="IGL1" s="136"/>
      <c r="IGM1" s="136"/>
      <c r="IGN1" s="136"/>
      <c r="IGO1" s="136"/>
      <c r="IGP1" s="136"/>
      <c r="IGQ1" s="136"/>
      <c r="IGR1" s="136"/>
      <c r="IGS1" s="136"/>
      <c r="IGT1" s="136"/>
      <c r="IGU1" s="136"/>
      <c r="IGV1" s="136"/>
      <c r="IGW1" s="136"/>
      <c r="IGX1" s="136"/>
      <c r="IGY1" s="136"/>
      <c r="IGZ1" s="136"/>
      <c r="IHA1" s="136"/>
      <c r="IHB1" s="136"/>
      <c r="IHC1" s="136"/>
      <c r="IHD1" s="136"/>
      <c r="IHE1" s="136"/>
      <c r="IHF1" s="136"/>
      <c r="IHG1" s="136"/>
      <c r="IHH1" s="136"/>
      <c r="IHI1" s="136"/>
      <c r="IHJ1" s="136"/>
      <c r="IHK1" s="136"/>
      <c r="IHL1" s="136"/>
      <c r="IHM1" s="136"/>
      <c r="IHN1" s="136"/>
      <c r="IHO1" s="136"/>
      <c r="IHP1" s="136"/>
      <c r="IHQ1" s="136"/>
      <c r="IHR1" s="136"/>
      <c r="IHS1" s="136"/>
      <c r="IHT1" s="136"/>
      <c r="IHU1" s="136"/>
      <c r="IHV1" s="136"/>
      <c r="IHW1" s="136"/>
      <c r="IHX1" s="136"/>
      <c r="IHY1" s="136"/>
      <c r="IHZ1" s="136"/>
      <c r="IIA1" s="136"/>
      <c r="IIB1" s="136"/>
      <c r="IIC1" s="136"/>
      <c r="IID1" s="136"/>
      <c r="IIE1" s="136"/>
      <c r="IIF1" s="136"/>
      <c r="IIG1" s="136"/>
      <c r="IIH1" s="136"/>
      <c r="III1" s="136"/>
      <c r="IIJ1" s="136"/>
      <c r="IIK1" s="136"/>
      <c r="IIL1" s="136"/>
      <c r="IIM1" s="136"/>
      <c r="IIN1" s="136"/>
      <c r="IIO1" s="136"/>
      <c r="IIP1" s="136"/>
      <c r="IIQ1" s="136"/>
      <c r="IIR1" s="136"/>
      <c r="IIS1" s="136"/>
      <c r="IIT1" s="136"/>
      <c r="IIU1" s="136"/>
      <c r="IIV1" s="136"/>
      <c r="IIW1" s="136"/>
      <c r="IIX1" s="136"/>
      <c r="IIY1" s="136"/>
      <c r="IIZ1" s="136"/>
      <c r="IJA1" s="136"/>
      <c r="IJB1" s="136"/>
      <c r="IJC1" s="136"/>
      <c r="IJD1" s="136"/>
      <c r="IJE1" s="136"/>
      <c r="IJF1" s="136"/>
      <c r="IJG1" s="136"/>
      <c r="IJH1" s="136"/>
      <c r="IJI1" s="136"/>
      <c r="IJJ1" s="136"/>
      <c r="IJK1" s="136"/>
      <c r="IJL1" s="136"/>
      <c r="IJM1" s="136"/>
      <c r="IJN1" s="136"/>
      <c r="IJO1" s="136"/>
      <c r="IJP1" s="136"/>
      <c r="IJQ1" s="136"/>
      <c r="IJR1" s="136"/>
      <c r="IJS1" s="136"/>
      <c r="IJT1" s="136"/>
      <c r="IJU1" s="136"/>
      <c r="IJV1" s="136"/>
      <c r="IJW1" s="136"/>
      <c r="IJX1" s="136"/>
      <c r="IJY1" s="136"/>
      <c r="IJZ1" s="136"/>
      <c r="IKA1" s="136"/>
      <c r="IKB1" s="136"/>
      <c r="IKC1" s="136"/>
      <c r="IKD1" s="136"/>
      <c r="IKE1" s="136"/>
      <c r="IKF1" s="136"/>
      <c r="IKG1" s="136"/>
      <c r="IKH1" s="136"/>
      <c r="IKI1" s="136"/>
      <c r="IKJ1" s="136"/>
      <c r="IKK1" s="136"/>
      <c r="IKL1" s="136"/>
      <c r="IKM1" s="136"/>
      <c r="IKN1" s="136"/>
      <c r="IKO1" s="136"/>
      <c r="IKP1" s="136"/>
      <c r="IKQ1" s="136"/>
      <c r="IKR1" s="136"/>
      <c r="IKS1" s="136"/>
      <c r="IKT1" s="136"/>
      <c r="IKU1" s="136"/>
      <c r="IKV1" s="136"/>
      <c r="IKW1" s="136"/>
      <c r="IKX1" s="136"/>
      <c r="IKY1" s="136"/>
      <c r="IKZ1" s="136"/>
      <c r="ILA1" s="136"/>
      <c r="ILB1" s="136"/>
      <c r="ILC1" s="136"/>
      <c r="ILD1" s="136"/>
      <c r="ILE1" s="136"/>
      <c r="ILF1" s="136"/>
      <c r="ILG1" s="136"/>
      <c r="ILH1" s="136"/>
      <c r="ILI1" s="136"/>
      <c r="ILJ1" s="136"/>
      <c r="ILK1" s="136"/>
      <c r="ILL1" s="136"/>
      <c r="ILM1" s="136"/>
      <c r="ILN1" s="136"/>
      <c r="ILO1" s="136"/>
      <c r="ILP1" s="136"/>
      <c r="ILQ1" s="136"/>
      <c r="ILR1" s="136"/>
      <c r="ILS1" s="136"/>
      <c r="ILT1" s="136"/>
      <c r="ILU1" s="136"/>
      <c r="ILV1" s="136"/>
      <c r="ILW1" s="136"/>
      <c r="ILX1" s="136"/>
      <c r="ILY1" s="136"/>
      <c r="ILZ1" s="136"/>
      <c r="IMA1" s="136"/>
      <c r="IMB1" s="136"/>
      <c r="IMC1" s="136"/>
      <c r="IMD1" s="136"/>
      <c r="IME1" s="136"/>
      <c r="IMF1" s="136"/>
      <c r="IMG1" s="136"/>
      <c r="IMH1" s="136"/>
      <c r="IMI1" s="136"/>
      <c r="IMJ1" s="136"/>
      <c r="IMK1" s="136"/>
      <c r="IML1" s="136"/>
      <c r="IMM1" s="136"/>
      <c r="IMN1" s="136"/>
      <c r="IMO1" s="136"/>
      <c r="IMP1" s="136"/>
      <c r="IMQ1" s="136"/>
      <c r="IMR1" s="136"/>
      <c r="IMS1" s="136"/>
      <c r="IMT1" s="136"/>
      <c r="IMU1" s="136"/>
      <c r="IMV1" s="136"/>
      <c r="IMW1" s="136"/>
      <c r="IMX1" s="136"/>
      <c r="IMY1" s="136"/>
      <c r="IMZ1" s="136"/>
      <c r="INA1" s="136"/>
      <c r="INB1" s="136"/>
      <c r="INC1" s="136"/>
      <c r="IND1" s="136"/>
      <c r="INE1" s="136"/>
      <c r="INF1" s="136"/>
      <c r="ING1" s="136"/>
      <c r="INH1" s="136"/>
      <c r="INI1" s="136"/>
      <c r="INJ1" s="136"/>
      <c r="INK1" s="136"/>
      <c r="INL1" s="136"/>
      <c r="INM1" s="136"/>
      <c r="INN1" s="136"/>
      <c r="INO1" s="136"/>
      <c r="INP1" s="136"/>
      <c r="INQ1" s="136"/>
      <c r="INR1" s="136"/>
      <c r="INS1" s="136"/>
      <c r="INT1" s="136"/>
      <c r="INU1" s="136"/>
      <c r="INV1" s="136"/>
      <c r="INW1" s="136"/>
      <c r="INX1" s="136"/>
      <c r="INY1" s="136"/>
      <c r="INZ1" s="136"/>
      <c r="IOA1" s="136"/>
      <c r="IOB1" s="136"/>
      <c r="IOC1" s="136"/>
      <c r="IOD1" s="136"/>
      <c r="IOE1" s="136"/>
      <c r="IOF1" s="136"/>
      <c r="IOG1" s="136"/>
      <c r="IOH1" s="136"/>
      <c r="IOI1" s="136"/>
      <c r="IOJ1" s="136"/>
      <c r="IOK1" s="136"/>
      <c r="IOL1" s="136"/>
      <c r="IOM1" s="136"/>
      <c r="ION1" s="136"/>
      <c r="IOO1" s="136"/>
      <c r="IOP1" s="136"/>
      <c r="IOQ1" s="136"/>
      <c r="IOR1" s="136"/>
      <c r="IOS1" s="136"/>
      <c r="IOT1" s="136"/>
      <c r="IOU1" s="136"/>
      <c r="IOV1" s="136"/>
      <c r="IOW1" s="136"/>
      <c r="IOX1" s="136"/>
      <c r="IOY1" s="136"/>
      <c r="IOZ1" s="136"/>
      <c r="IPA1" s="136"/>
      <c r="IPB1" s="136"/>
      <c r="IPC1" s="136"/>
      <c r="IPD1" s="136"/>
      <c r="IPE1" s="136"/>
      <c r="IPF1" s="136"/>
      <c r="IPG1" s="136"/>
      <c r="IPH1" s="136"/>
      <c r="IPI1" s="136"/>
      <c r="IPJ1" s="136"/>
      <c r="IPK1" s="136"/>
      <c r="IPL1" s="136"/>
      <c r="IPM1" s="136"/>
      <c r="IPN1" s="136"/>
      <c r="IPO1" s="136"/>
      <c r="IPP1" s="136"/>
      <c r="IPQ1" s="136"/>
      <c r="IPR1" s="136"/>
      <c r="IPS1" s="136"/>
      <c r="IPT1" s="136"/>
      <c r="IPU1" s="136"/>
      <c r="IPV1" s="136"/>
      <c r="IPW1" s="136"/>
      <c r="IPX1" s="136"/>
      <c r="IPY1" s="136"/>
      <c r="IPZ1" s="136"/>
      <c r="IQA1" s="136"/>
      <c r="IQB1" s="136"/>
      <c r="IQC1" s="136"/>
      <c r="IQD1" s="136"/>
      <c r="IQE1" s="136"/>
      <c r="IQF1" s="136"/>
      <c r="IQG1" s="136"/>
      <c r="IQH1" s="136"/>
      <c r="IQI1" s="136"/>
      <c r="IQJ1" s="136"/>
      <c r="IQK1" s="136"/>
      <c r="IQL1" s="136"/>
      <c r="IQM1" s="136"/>
      <c r="IQN1" s="136"/>
      <c r="IQO1" s="136"/>
      <c r="IQP1" s="136"/>
      <c r="IQQ1" s="136"/>
      <c r="IQR1" s="136"/>
      <c r="IQS1" s="136"/>
      <c r="IQT1" s="136"/>
      <c r="IQU1" s="136"/>
      <c r="IQV1" s="136"/>
      <c r="IQW1" s="136"/>
      <c r="IQX1" s="136"/>
      <c r="IQY1" s="136"/>
      <c r="IQZ1" s="136"/>
      <c r="IRA1" s="136"/>
      <c r="IRB1" s="136"/>
      <c r="IRC1" s="136"/>
      <c r="IRD1" s="136"/>
      <c r="IRE1" s="136"/>
      <c r="IRF1" s="136"/>
      <c r="IRG1" s="136"/>
      <c r="IRH1" s="136"/>
      <c r="IRI1" s="136"/>
      <c r="IRJ1" s="136"/>
      <c r="IRK1" s="136"/>
      <c r="IRL1" s="136"/>
      <c r="IRM1" s="136"/>
      <c r="IRN1" s="136"/>
      <c r="IRO1" s="136"/>
      <c r="IRP1" s="136"/>
      <c r="IRQ1" s="136"/>
      <c r="IRR1" s="136"/>
      <c r="IRS1" s="136"/>
      <c r="IRT1" s="136"/>
      <c r="IRU1" s="136"/>
      <c r="IRV1" s="136"/>
      <c r="IRW1" s="136"/>
      <c r="IRX1" s="136"/>
      <c r="IRY1" s="136"/>
      <c r="IRZ1" s="136"/>
      <c r="ISA1" s="136"/>
      <c r="ISB1" s="136"/>
      <c r="ISC1" s="136"/>
      <c r="ISD1" s="136"/>
      <c r="ISE1" s="136"/>
      <c r="ISF1" s="136"/>
      <c r="ISG1" s="136"/>
      <c r="ISH1" s="136"/>
      <c r="ISI1" s="136"/>
      <c r="ISJ1" s="136"/>
      <c r="ISK1" s="136"/>
      <c r="ISL1" s="136"/>
      <c r="ISM1" s="136"/>
      <c r="ISN1" s="136"/>
      <c r="ISO1" s="136"/>
      <c r="ISP1" s="136"/>
      <c r="ISQ1" s="136"/>
      <c r="ISR1" s="136"/>
      <c r="ISS1" s="136"/>
      <c r="IST1" s="136"/>
      <c r="ISU1" s="136"/>
      <c r="ISV1" s="136"/>
      <c r="ISW1" s="136"/>
      <c r="ISX1" s="136"/>
      <c r="ISY1" s="136"/>
      <c r="ISZ1" s="136"/>
      <c r="ITA1" s="136"/>
      <c r="ITB1" s="136"/>
      <c r="ITC1" s="136"/>
      <c r="ITD1" s="136"/>
      <c r="ITE1" s="136"/>
      <c r="ITF1" s="136"/>
      <c r="ITG1" s="136"/>
      <c r="ITH1" s="136"/>
      <c r="ITI1" s="136"/>
      <c r="ITJ1" s="136"/>
      <c r="ITK1" s="136"/>
      <c r="ITL1" s="136"/>
      <c r="ITM1" s="136"/>
      <c r="ITN1" s="136"/>
      <c r="ITO1" s="136"/>
      <c r="ITP1" s="136"/>
      <c r="ITQ1" s="136"/>
      <c r="ITR1" s="136"/>
      <c r="ITS1" s="136"/>
      <c r="ITT1" s="136"/>
      <c r="ITU1" s="136"/>
      <c r="ITV1" s="136"/>
      <c r="ITW1" s="136"/>
      <c r="ITX1" s="136"/>
      <c r="ITY1" s="136"/>
      <c r="ITZ1" s="136"/>
      <c r="IUA1" s="136"/>
      <c r="IUB1" s="136"/>
      <c r="IUC1" s="136"/>
      <c r="IUD1" s="136"/>
      <c r="IUE1" s="136"/>
      <c r="IUF1" s="136"/>
      <c r="IUG1" s="136"/>
      <c r="IUH1" s="136"/>
      <c r="IUI1" s="136"/>
      <c r="IUJ1" s="136"/>
      <c r="IUK1" s="136"/>
      <c r="IUL1" s="136"/>
      <c r="IUM1" s="136"/>
      <c r="IUN1" s="136"/>
      <c r="IUO1" s="136"/>
      <c r="IUP1" s="136"/>
      <c r="IUQ1" s="136"/>
      <c r="IUR1" s="136"/>
      <c r="IUS1" s="136"/>
      <c r="IUT1" s="136"/>
      <c r="IUU1" s="136"/>
      <c r="IUV1" s="136"/>
      <c r="IUW1" s="136"/>
      <c r="IUX1" s="136"/>
      <c r="IUY1" s="136"/>
      <c r="IUZ1" s="136"/>
      <c r="IVA1" s="136"/>
      <c r="IVB1" s="136"/>
      <c r="IVC1" s="136"/>
      <c r="IVD1" s="136"/>
      <c r="IVE1" s="136"/>
      <c r="IVF1" s="136"/>
      <c r="IVG1" s="136"/>
      <c r="IVH1" s="136"/>
      <c r="IVI1" s="136"/>
      <c r="IVJ1" s="136"/>
      <c r="IVK1" s="136"/>
      <c r="IVL1" s="136"/>
      <c r="IVM1" s="136"/>
      <c r="IVN1" s="136"/>
      <c r="IVO1" s="136"/>
      <c r="IVP1" s="136"/>
      <c r="IVQ1" s="136"/>
      <c r="IVR1" s="136"/>
      <c r="IVS1" s="136"/>
      <c r="IVT1" s="136"/>
      <c r="IVU1" s="136"/>
      <c r="IVV1" s="136"/>
      <c r="IVW1" s="136"/>
      <c r="IVX1" s="136"/>
      <c r="IVY1" s="136"/>
      <c r="IVZ1" s="136"/>
      <c r="IWA1" s="136"/>
      <c r="IWB1" s="136"/>
      <c r="IWC1" s="136"/>
      <c r="IWD1" s="136"/>
      <c r="IWE1" s="136"/>
      <c r="IWF1" s="136"/>
      <c r="IWG1" s="136"/>
      <c r="IWH1" s="136"/>
      <c r="IWI1" s="136"/>
      <c r="IWJ1" s="136"/>
      <c r="IWK1" s="136"/>
      <c r="IWL1" s="136"/>
      <c r="IWM1" s="136"/>
      <c r="IWN1" s="136"/>
      <c r="IWO1" s="136"/>
      <c r="IWP1" s="136"/>
      <c r="IWQ1" s="136"/>
      <c r="IWR1" s="136"/>
      <c r="IWS1" s="136"/>
      <c r="IWT1" s="136"/>
      <c r="IWU1" s="136"/>
      <c r="IWV1" s="136"/>
      <c r="IWW1" s="136"/>
      <c r="IWX1" s="136"/>
      <c r="IWY1" s="136"/>
      <c r="IWZ1" s="136"/>
      <c r="IXA1" s="136"/>
      <c r="IXB1" s="136"/>
      <c r="IXC1" s="136"/>
      <c r="IXD1" s="136"/>
      <c r="IXE1" s="136"/>
      <c r="IXF1" s="136"/>
      <c r="IXG1" s="136"/>
      <c r="IXH1" s="136"/>
      <c r="IXI1" s="136"/>
      <c r="IXJ1" s="136"/>
      <c r="IXK1" s="136"/>
      <c r="IXL1" s="136"/>
      <c r="IXM1" s="136"/>
      <c r="IXN1" s="136"/>
      <c r="IXO1" s="136"/>
      <c r="IXP1" s="136"/>
      <c r="IXQ1" s="136"/>
      <c r="IXR1" s="136"/>
      <c r="IXS1" s="136"/>
      <c r="IXT1" s="136"/>
      <c r="IXU1" s="136"/>
      <c r="IXV1" s="136"/>
      <c r="IXW1" s="136"/>
      <c r="IXX1" s="136"/>
      <c r="IXY1" s="136"/>
      <c r="IXZ1" s="136"/>
      <c r="IYA1" s="136"/>
      <c r="IYB1" s="136"/>
      <c r="IYC1" s="136"/>
      <c r="IYD1" s="136"/>
      <c r="IYE1" s="136"/>
      <c r="IYF1" s="136"/>
      <c r="IYG1" s="136"/>
      <c r="IYH1" s="136"/>
      <c r="IYI1" s="136"/>
      <c r="IYJ1" s="136"/>
      <c r="IYK1" s="136"/>
      <c r="IYL1" s="136"/>
      <c r="IYM1" s="136"/>
      <c r="IYN1" s="136"/>
      <c r="IYO1" s="136"/>
      <c r="IYP1" s="136"/>
      <c r="IYQ1" s="136"/>
      <c r="IYR1" s="136"/>
      <c r="IYS1" s="136"/>
      <c r="IYT1" s="136"/>
      <c r="IYU1" s="136"/>
      <c r="IYV1" s="136"/>
      <c r="IYW1" s="136"/>
      <c r="IYX1" s="136"/>
      <c r="IYY1" s="136"/>
      <c r="IYZ1" s="136"/>
      <c r="IZA1" s="136"/>
      <c r="IZB1" s="136"/>
      <c r="IZC1" s="136"/>
      <c r="IZD1" s="136"/>
      <c r="IZE1" s="136"/>
      <c r="IZF1" s="136"/>
      <c r="IZG1" s="136"/>
      <c r="IZH1" s="136"/>
      <c r="IZI1" s="136"/>
      <c r="IZJ1" s="136"/>
      <c r="IZK1" s="136"/>
      <c r="IZL1" s="136"/>
      <c r="IZM1" s="136"/>
      <c r="IZN1" s="136"/>
      <c r="IZO1" s="136"/>
      <c r="IZP1" s="136"/>
      <c r="IZQ1" s="136"/>
      <c r="IZR1" s="136"/>
      <c r="IZS1" s="136"/>
      <c r="IZT1" s="136"/>
      <c r="IZU1" s="136"/>
      <c r="IZV1" s="136"/>
      <c r="IZW1" s="136"/>
      <c r="IZX1" s="136"/>
      <c r="IZY1" s="136"/>
      <c r="IZZ1" s="136"/>
      <c r="JAA1" s="136"/>
      <c r="JAB1" s="136"/>
      <c r="JAC1" s="136"/>
      <c r="JAD1" s="136"/>
      <c r="JAE1" s="136"/>
      <c r="JAF1" s="136"/>
      <c r="JAG1" s="136"/>
      <c r="JAH1" s="136"/>
      <c r="JAI1" s="136"/>
      <c r="JAJ1" s="136"/>
      <c r="JAK1" s="136"/>
      <c r="JAL1" s="136"/>
      <c r="JAM1" s="136"/>
      <c r="JAN1" s="136"/>
      <c r="JAO1" s="136"/>
      <c r="JAP1" s="136"/>
      <c r="JAQ1" s="136"/>
      <c r="JAR1" s="136"/>
      <c r="JAS1" s="136"/>
      <c r="JAT1" s="136"/>
      <c r="JAU1" s="136"/>
      <c r="JAV1" s="136"/>
      <c r="JAW1" s="136"/>
      <c r="JAX1" s="136"/>
      <c r="JAY1" s="136"/>
      <c r="JAZ1" s="136"/>
      <c r="JBA1" s="136"/>
      <c r="JBB1" s="136"/>
      <c r="JBC1" s="136"/>
      <c r="JBD1" s="136"/>
      <c r="JBE1" s="136"/>
      <c r="JBF1" s="136"/>
      <c r="JBG1" s="136"/>
      <c r="JBH1" s="136"/>
      <c r="JBI1" s="136"/>
      <c r="JBJ1" s="136"/>
      <c r="JBK1" s="136"/>
      <c r="JBL1" s="136"/>
      <c r="JBM1" s="136"/>
      <c r="JBN1" s="136"/>
      <c r="JBO1" s="136"/>
      <c r="JBP1" s="136"/>
      <c r="JBQ1" s="136"/>
      <c r="JBR1" s="136"/>
      <c r="JBS1" s="136"/>
      <c r="JBT1" s="136"/>
      <c r="JBU1" s="136"/>
      <c r="JBV1" s="136"/>
      <c r="JBW1" s="136"/>
      <c r="JBX1" s="136"/>
      <c r="JBY1" s="136"/>
      <c r="JBZ1" s="136"/>
      <c r="JCA1" s="136"/>
      <c r="JCB1" s="136"/>
      <c r="JCC1" s="136"/>
      <c r="JCD1" s="136"/>
      <c r="JCE1" s="136"/>
      <c r="JCF1" s="136"/>
      <c r="JCG1" s="136"/>
      <c r="JCH1" s="136"/>
      <c r="JCI1" s="136"/>
      <c r="JCJ1" s="136"/>
      <c r="JCK1" s="136"/>
      <c r="JCL1" s="136"/>
      <c r="JCM1" s="136"/>
      <c r="JCN1" s="136"/>
      <c r="JCO1" s="136"/>
      <c r="JCP1" s="136"/>
      <c r="JCQ1" s="136"/>
      <c r="JCR1" s="136"/>
      <c r="JCS1" s="136"/>
      <c r="JCT1" s="136"/>
      <c r="JCU1" s="136"/>
      <c r="JCV1" s="136"/>
      <c r="JCW1" s="136"/>
      <c r="JCX1" s="136"/>
      <c r="JCY1" s="136"/>
      <c r="JCZ1" s="136"/>
      <c r="JDA1" s="136"/>
      <c r="JDB1" s="136"/>
      <c r="JDC1" s="136"/>
      <c r="JDD1" s="136"/>
      <c r="JDE1" s="136"/>
      <c r="JDF1" s="136"/>
      <c r="JDG1" s="136"/>
      <c r="JDH1" s="136"/>
      <c r="JDI1" s="136"/>
      <c r="JDJ1" s="136"/>
      <c r="JDK1" s="136"/>
      <c r="JDL1" s="136"/>
      <c r="JDM1" s="136"/>
      <c r="JDN1" s="136"/>
      <c r="JDO1" s="136"/>
      <c r="JDP1" s="136"/>
      <c r="JDQ1" s="136"/>
      <c r="JDR1" s="136"/>
      <c r="JDS1" s="136"/>
      <c r="JDT1" s="136"/>
      <c r="JDU1" s="136"/>
      <c r="JDV1" s="136"/>
      <c r="JDW1" s="136"/>
      <c r="JDX1" s="136"/>
      <c r="JDY1" s="136"/>
      <c r="JDZ1" s="136"/>
      <c r="JEA1" s="136"/>
      <c r="JEB1" s="136"/>
      <c r="JEC1" s="136"/>
      <c r="JED1" s="136"/>
      <c r="JEE1" s="136"/>
      <c r="JEF1" s="136"/>
      <c r="JEG1" s="136"/>
      <c r="JEH1" s="136"/>
      <c r="JEI1" s="136"/>
      <c r="JEJ1" s="136"/>
      <c r="JEK1" s="136"/>
      <c r="JEL1" s="136"/>
      <c r="JEM1" s="136"/>
      <c r="JEN1" s="136"/>
      <c r="JEO1" s="136"/>
      <c r="JEP1" s="136"/>
      <c r="JEQ1" s="136"/>
      <c r="JER1" s="136"/>
      <c r="JES1" s="136"/>
      <c r="JET1" s="136"/>
      <c r="JEU1" s="136"/>
      <c r="JEV1" s="136"/>
      <c r="JEW1" s="136"/>
      <c r="JEX1" s="136"/>
      <c r="JEY1" s="136"/>
      <c r="JEZ1" s="136"/>
      <c r="JFA1" s="136"/>
      <c r="JFB1" s="136"/>
      <c r="JFC1" s="136"/>
      <c r="JFD1" s="136"/>
      <c r="JFE1" s="136"/>
      <c r="JFF1" s="136"/>
      <c r="JFG1" s="136"/>
      <c r="JFH1" s="136"/>
      <c r="JFI1" s="136"/>
      <c r="JFJ1" s="136"/>
      <c r="JFK1" s="136"/>
      <c r="JFL1" s="136"/>
      <c r="JFM1" s="136"/>
      <c r="JFN1" s="136"/>
      <c r="JFO1" s="136"/>
      <c r="JFP1" s="136"/>
      <c r="JFQ1" s="136"/>
      <c r="JFR1" s="136"/>
      <c r="JFS1" s="136"/>
      <c r="JFT1" s="136"/>
      <c r="JFU1" s="136"/>
      <c r="JFV1" s="136"/>
      <c r="JFW1" s="136"/>
      <c r="JFX1" s="136"/>
      <c r="JFY1" s="136"/>
      <c r="JFZ1" s="136"/>
      <c r="JGA1" s="136"/>
      <c r="JGB1" s="136"/>
      <c r="JGC1" s="136"/>
      <c r="JGD1" s="136"/>
      <c r="JGE1" s="136"/>
      <c r="JGF1" s="136"/>
      <c r="JGG1" s="136"/>
      <c r="JGH1" s="136"/>
      <c r="JGI1" s="136"/>
      <c r="JGJ1" s="136"/>
      <c r="JGK1" s="136"/>
      <c r="JGL1" s="136"/>
      <c r="JGM1" s="136"/>
      <c r="JGN1" s="136"/>
      <c r="JGO1" s="136"/>
      <c r="JGP1" s="136"/>
      <c r="JGQ1" s="136"/>
      <c r="JGR1" s="136"/>
      <c r="JGS1" s="136"/>
      <c r="JGT1" s="136"/>
      <c r="JGU1" s="136"/>
      <c r="JGV1" s="136"/>
      <c r="JGW1" s="136"/>
      <c r="JGX1" s="136"/>
      <c r="JGY1" s="136"/>
      <c r="JGZ1" s="136"/>
      <c r="JHA1" s="136"/>
      <c r="JHB1" s="136"/>
      <c r="JHC1" s="136"/>
      <c r="JHD1" s="136"/>
      <c r="JHE1" s="136"/>
      <c r="JHF1" s="136"/>
      <c r="JHG1" s="136"/>
      <c r="JHH1" s="136"/>
      <c r="JHI1" s="136"/>
      <c r="JHJ1" s="136"/>
      <c r="JHK1" s="136"/>
      <c r="JHL1" s="136"/>
      <c r="JHM1" s="136"/>
      <c r="JHN1" s="136"/>
      <c r="JHO1" s="136"/>
      <c r="JHP1" s="136"/>
      <c r="JHQ1" s="136"/>
      <c r="JHR1" s="136"/>
      <c r="JHS1" s="136"/>
      <c r="JHT1" s="136"/>
      <c r="JHU1" s="136"/>
      <c r="JHV1" s="136"/>
      <c r="JHW1" s="136"/>
      <c r="JHX1" s="136"/>
      <c r="JHY1" s="136"/>
      <c r="JHZ1" s="136"/>
      <c r="JIA1" s="136"/>
      <c r="JIB1" s="136"/>
      <c r="JIC1" s="136"/>
      <c r="JID1" s="136"/>
      <c r="JIE1" s="136"/>
      <c r="JIF1" s="136"/>
      <c r="JIG1" s="136"/>
      <c r="JIH1" s="136"/>
      <c r="JII1" s="136"/>
      <c r="JIJ1" s="136"/>
      <c r="JIK1" s="136"/>
      <c r="JIL1" s="136"/>
      <c r="JIM1" s="136"/>
      <c r="JIN1" s="136"/>
      <c r="JIO1" s="136"/>
      <c r="JIP1" s="136"/>
      <c r="JIQ1" s="136"/>
      <c r="JIR1" s="136"/>
      <c r="JIS1" s="136"/>
      <c r="JIT1" s="136"/>
      <c r="JIU1" s="136"/>
      <c r="JIV1" s="136"/>
      <c r="JIW1" s="136"/>
      <c r="JIX1" s="136"/>
      <c r="JIY1" s="136"/>
      <c r="JIZ1" s="136"/>
      <c r="JJA1" s="136"/>
      <c r="JJB1" s="136"/>
      <c r="JJC1" s="136"/>
      <c r="JJD1" s="136"/>
      <c r="JJE1" s="136"/>
      <c r="JJF1" s="136"/>
      <c r="JJG1" s="136"/>
      <c r="JJH1" s="136"/>
      <c r="JJI1" s="136"/>
      <c r="JJJ1" s="136"/>
      <c r="JJK1" s="136"/>
      <c r="JJL1" s="136"/>
      <c r="JJM1" s="136"/>
      <c r="JJN1" s="136"/>
      <c r="JJO1" s="136"/>
      <c r="JJP1" s="136"/>
      <c r="JJQ1" s="136"/>
      <c r="JJR1" s="136"/>
      <c r="JJS1" s="136"/>
      <c r="JJT1" s="136"/>
      <c r="JJU1" s="136"/>
      <c r="JJV1" s="136"/>
      <c r="JJW1" s="136"/>
      <c r="JJX1" s="136"/>
      <c r="JJY1" s="136"/>
      <c r="JJZ1" s="136"/>
      <c r="JKA1" s="136"/>
      <c r="JKB1" s="136"/>
      <c r="JKC1" s="136"/>
      <c r="JKD1" s="136"/>
      <c r="JKE1" s="136"/>
      <c r="JKF1" s="136"/>
      <c r="JKG1" s="136"/>
      <c r="JKH1" s="136"/>
      <c r="JKI1" s="136"/>
      <c r="JKJ1" s="136"/>
      <c r="JKK1" s="136"/>
      <c r="JKL1" s="136"/>
      <c r="JKM1" s="136"/>
      <c r="JKN1" s="136"/>
      <c r="JKO1" s="136"/>
      <c r="JKP1" s="136"/>
      <c r="JKQ1" s="136"/>
      <c r="JKR1" s="136"/>
      <c r="JKS1" s="136"/>
      <c r="JKT1" s="136"/>
      <c r="JKU1" s="136"/>
      <c r="JKV1" s="136"/>
      <c r="JKW1" s="136"/>
      <c r="JKX1" s="136"/>
      <c r="JKY1" s="136"/>
      <c r="JKZ1" s="136"/>
      <c r="JLA1" s="136"/>
      <c r="JLB1" s="136"/>
      <c r="JLC1" s="136"/>
      <c r="JLD1" s="136"/>
      <c r="JLE1" s="136"/>
      <c r="JLF1" s="136"/>
      <c r="JLG1" s="136"/>
      <c r="JLH1" s="136"/>
      <c r="JLI1" s="136"/>
      <c r="JLJ1" s="136"/>
      <c r="JLK1" s="136"/>
      <c r="JLL1" s="136"/>
      <c r="JLM1" s="136"/>
      <c r="JLN1" s="136"/>
      <c r="JLO1" s="136"/>
      <c r="JLP1" s="136"/>
      <c r="JLQ1" s="136"/>
      <c r="JLR1" s="136"/>
      <c r="JLS1" s="136"/>
      <c r="JLT1" s="136"/>
      <c r="JLU1" s="136"/>
      <c r="JLV1" s="136"/>
      <c r="JLW1" s="136"/>
      <c r="JLX1" s="136"/>
      <c r="JLY1" s="136"/>
      <c r="JLZ1" s="136"/>
      <c r="JMA1" s="136"/>
      <c r="JMB1" s="136"/>
      <c r="JMC1" s="136"/>
      <c r="JMD1" s="136"/>
      <c r="JME1" s="136"/>
      <c r="JMF1" s="136"/>
      <c r="JMG1" s="136"/>
      <c r="JMH1" s="136"/>
      <c r="JMI1" s="136"/>
      <c r="JMJ1" s="136"/>
      <c r="JMK1" s="136"/>
      <c r="JML1" s="136"/>
      <c r="JMM1" s="136"/>
      <c r="JMN1" s="136"/>
      <c r="JMO1" s="136"/>
      <c r="JMP1" s="136"/>
      <c r="JMQ1" s="136"/>
      <c r="JMR1" s="136"/>
      <c r="JMS1" s="136"/>
      <c r="JMT1" s="136"/>
      <c r="JMU1" s="136"/>
      <c r="JMV1" s="136"/>
      <c r="JMW1" s="136"/>
      <c r="JMX1" s="136"/>
      <c r="JMY1" s="136"/>
      <c r="JMZ1" s="136"/>
      <c r="JNA1" s="136"/>
      <c r="JNB1" s="136"/>
      <c r="JNC1" s="136"/>
      <c r="JND1" s="136"/>
      <c r="JNE1" s="136"/>
      <c r="JNF1" s="136"/>
      <c r="JNG1" s="136"/>
      <c r="JNH1" s="136"/>
      <c r="JNI1" s="136"/>
      <c r="JNJ1" s="136"/>
      <c r="JNK1" s="136"/>
      <c r="JNL1" s="136"/>
      <c r="JNM1" s="136"/>
      <c r="JNN1" s="136"/>
      <c r="JNO1" s="136"/>
      <c r="JNP1" s="136"/>
      <c r="JNQ1" s="136"/>
      <c r="JNR1" s="136"/>
      <c r="JNS1" s="136"/>
      <c r="JNT1" s="136"/>
      <c r="JNU1" s="136"/>
      <c r="JNV1" s="136"/>
      <c r="JNW1" s="136"/>
      <c r="JNX1" s="136"/>
      <c r="JNY1" s="136"/>
      <c r="JNZ1" s="136"/>
      <c r="JOA1" s="136"/>
      <c r="JOB1" s="136"/>
      <c r="JOC1" s="136"/>
      <c r="JOD1" s="136"/>
      <c r="JOE1" s="136"/>
      <c r="JOF1" s="136"/>
      <c r="JOG1" s="136"/>
      <c r="JOH1" s="136"/>
      <c r="JOI1" s="136"/>
      <c r="JOJ1" s="136"/>
      <c r="JOK1" s="136"/>
      <c r="JOL1" s="136"/>
      <c r="JOM1" s="136"/>
      <c r="JON1" s="136"/>
      <c r="JOO1" s="136"/>
      <c r="JOP1" s="136"/>
      <c r="JOQ1" s="136"/>
      <c r="JOR1" s="136"/>
      <c r="JOS1" s="136"/>
      <c r="JOT1" s="136"/>
      <c r="JOU1" s="136"/>
      <c r="JOV1" s="136"/>
      <c r="JOW1" s="136"/>
      <c r="JOX1" s="136"/>
      <c r="JOY1" s="136"/>
      <c r="JOZ1" s="136"/>
      <c r="JPA1" s="136"/>
      <c r="JPB1" s="136"/>
      <c r="JPC1" s="136"/>
      <c r="JPD1" s="136"/>
      <c r="JPE1" s="136"/>
      <c r="JPF1" s="136"/>
      <c r="JPG1" s="136"/>
      <c r="JPH1" s="136"/>
      <c r="JPI1" s="136"/>
      <c r="JPJ1" s="136"/>
      <c r="JPK1" s="136"/>
      <c r="JPL1" s="136"/>
      <c r="JPM1" s="136"/>
      <c r="JPN1" s="136"/>
      <c r="JPO1" s="136"/>
      <c r="JPP1" s="136"/>
      <c r="JPQ1" s="136"/>
      <c r="JPR1" s="136"/>
      <c r="JPS1" s="136"/>
      <c r="JPT1" s="136"/>
      <c r="JPU1" s="136"/>
      <c r="JPV1" s="136"/>
      <c r="JPW1" s="136"/>
      <c r="JPX1" s="136"/>
      <c r="JPY1" s="136"/>
      <c r="JPZ1" s="136"/>
      <c r="JQA1" s="136"/>
      <c r="JQB1" s="136"/>
      <c r="JQC1" s="136"/>
      <c r="JQD1" s="136"/>
      <c r="JQE1" s="136"/>
      <c r="JQF1" s="136"/>
      <c r="JQG1" s="136"/>
      <c r="JQH1" s="136"/>
      <c r="JQI1" s="136"/>
      <c r="JQJ1" s="136"/>
      <c r="JQK1" s="136"/>
      <c r="JQL1" s="136"/>
      <c r="JQM1" s="136"/>
      <c r="JQN1" s="136"/>
      <c r="JQO1" s="136"/>
      <c r="JQP1" s="136"/>
      <c r="JQQ1" s="136"/>
      <c r="JQR1" s="136"/>
      <c r="JQS1" s="136"/>
      <c r="JQT1" s="136"/>
      <c r="JQU1" s="136"/>
      <c r="JQV1" s="136"/>
      <c r="JQW1" s="136"/>
      <c r="JQX1" s="136"/>
      <c r="JQY1" s="136"/>
      <c r="JQZ1" s="136"/>
      <c r="JRA1" s="136"/>
      <c r="JRB1" s="136"/>
      <c r="JRC1" s="136"/>
      <c r="JRD1" s="136"/>
      <c r="JRE1" s="136"/>
      <c r="JRF1" s="136"/>
      <c r="JRG1" s="136"/>
      <c r="JRH1" s="136"/>
      <c r="JRI1" s="136"/>
      <c r="JRJ1" s="136"/>
      <c r="JRK1" s="136"/>
      <c r="JRL1" s="136"/>
      <c r="JRM1" s="136"/>
      <c r="JRN1" s="136"/>
      <c r="JRO1" s="136"/>
      <c r="JRP1" s="136"/>
      <c r="JRQ1" s="136"/>
      <c r="JRR1" s="136"/>
      <c r="JRS1" s="136"/>
      <c r="JRT1" s="136"/>
      <c r="JRU1" s="136"/>
      <c r="JRV1" s="136"/>
      <c r="JRW1" s="136"/>
      <c r="JRX1" s="136"/>
      <c r="JRY1" s="136"/>
      <c r="JRZ1" s="136"/>
      <c r="JSA1" s="136"/>
      <c r="JSB1" s="136"/>
      <c r="JSC1" s="136"/>
      <c r="JSD1" s="136"/>
      <c r="JSE1" s="136"/>
      <c r="JSF1" s="136"/>
      <c r="JSG1" s="136"/>
      <c r="JSH1" s="136"/>
      <c r="JSI1" s="136"/>
      <c r="JSJ1" s="136"/>
      <c r="JSK1" s="136"/>
      <c r="JSL1" s="136"/>
      <c r="JSM1" s="136"/>
      <c r="JSN1" s="136"/>
      <c r="JSO1" s="136"/>
      <c r="JSP1" s="136"/>
      <c r="JSQ1" s="136"/>
      <c r="JSR1" s="136"/>
      <c r="JSS1" s="136"/>
      <c r="JST1" s="136"/>
      <c r="JSU1" s="136"/>
      <c r="JSV1" s="136"/>
      <c r="JSW1" s="136"/>
      <c r="JSX1" s="136"/>
      <c r="JSY1" s="136"/>
      <c r="JSZ1" s="136"/>
      <c r="JTA1" s="136"/>
      <c r="JTB1" s="136"/>
      <c r="JTC1" s="136"/>
      <c r="JTD1" s="136"/>
      <c r="JTE1" s="136"/>
      <c r="JTF1" s="136"/>
      <c r="JTG1" s="136"/>
      <c r="JTH1" s="136"/>
      <c r="JTI1" s="136"/>
      <c r="JTJ1" s="136"/>
      <c r="JTK1" s="136"/>
      <c r="JTL1" s="136"/>
      <c r="JTM1" s="136"/>
      <c r="JTN1" s="136"/>
      <c r="JTO1" s="136"/>
      <c r="JTP1" s="136"/>
      <c r="JTQ1" s="136"/>
      <c r="JTR1" s="136"/>
      <c r="JTS1" s="136"/>
      <c r="JTT1" s="136"/>
      <c r="JTU1" s="136"/>
      <c r="JTV1" s="136"/>
      <c r="JTW1" s="136"/>
      <c r="JTX1" s="136"/>
      <c r="JTY1" s="136"/>
      <c r="JTZ1" s="136"/>
      <c r="JUA1" s="136"/>
      <c r="JUB1" s="136"/>
      <c r="JUC1" s="136"/>
      <c r="JUD1" s="136"/>
      <c r="JUE1" s="136"/>
      <c r="JUF1" s="136"/>
      <c r="JUG1" s="136"/>
      <c r="JUH1" s="136"/>
      <c r="JUI1" s="136"/>
      <c r="JUJ1" s="136"/>
      <c r="JUK1" s="136"/>
      <c r="JUL1" s="136"/>
      <c r="JUM1" s="136"/>
      <c r="JUN1" s="136"/>
      <c r="JUO1" s="136"/>
      <c r="JUP1" s="136"/>
      <c r="JUQ1" s="136"/>
      <c r="JUR1" s="136"/>
      <c r="JUS1" s="136"/>
      <c r="JUT1" s="136"/>
      <c r="JUU1" s="136"/>
      <c r="JUV1" s="136"/>
      <c r="JUW1" s="136"/>
      <c r="JUX1" s="136"/>
      <c r="JUY1" s="136"/>
      <c r="JUZ1" s="136"/>
      <c r="JVA1" s="136"/>
      <c r="JVB1" s="136"/>
      <c r="JVC1" s="136"/>
      <c r="JVD1" s="136"/>
      <c r="JVE1" s="136"/>
      <c r="JVF1" s="136"/>
      <c r="JVG1" s="136"/>
      <c r="JVH1" s="136"/>
      <c r="JVI1" s="136"/>
      <c r="JVJ1" s="136"/>
      <c r="JVK1" s="136"/>
      <c r="JVL1" s="136"/>
      <c r="JVM1" s="136"/>
      <c r="JVN1" s="136"/>
      <c r="JVO1" s="136"/>
      <c r="JVP1" s="136"/>
      <c r="JVQ1" s="136"/>
      <c r="JVR1" s="136"/>
      <c r="JVS1" s="136"/>
      <c r="JVT1" s="136"/>
      <c r="JVU1" s="136"/>
      <c r="JVV1" s="136"/>
      <c r="JVW1" s="136"/>
      <c r="JVX1" s="136"/>
      <c r="JVY1" s="136"/>
      <c r="JVZ1" s="136"/>
      <c r="JWA1" s="136"/>
      <c r="JWB1" s="136"/>
      <c r="JWC1" s="136"/>
      <c r="JWD1" s="136"/>
      <c r="JWE1" s="136"/>
      <c r="JWF1" s="136"/>
      <c r="JWG1" s="136"/>
      <c r="JWH1" s="136"/>
      <c r="JWI1" s="136"/>
      <c r="JWJ1" s="136"/>
      <c r="JWK1" s="136"/>
      <c r="JWL1" s="136"/>
      <c r="JWM1" s="136"/>
      <c r="JWN1" s="136"/>
      <c r="JWO1" s="136"/>
      <c r="JWP1" s="136"/>
      <c r="JWQ1" s="136"/>
      <c r="JWR1" s="136"/>
      <c r="JWS1" s="136"/>
      <c r="JWT1" s="136"/>
      <c r="JWU1" s="136"/>
      <c r="JWV1" s="136"/>
      <c r="JWW1" s="136"/>
      <c r="JWX1" s="136"/>
      <c r="JWY1" s="136"/>
      <c r="JWZ1" s="136"/>
      <c r="JXA1" s="136"/>
      <c r="JXB1" s="136"/>
      <c r="JXC1" s="136"/>
      <c r="JXD1" s="136"/>
      <c r="JXE1" s="136"/>
      <c r="JXF1" s="136"/>
      <c r="JXG1" s="136"/>
      <c r="JXH1" s="136"/>
      <c r="JXI1" s="136"/>
      <c r="JXJ1" s="136"/>
      <c r="JXK1" s="136"/>
      <c r="JXL1" s="136"/>
      <c r="JXM1" s="136"/>
      <c r="JXN1" s="136"/>
      <c r="JXO1" s="136"/>
      <c r="JXP1" s="136"/>
      <c r="JXQ1" s="136"/>
      <c r="JXR1" s="136"/>
      <c r="JXS1" s="136"/>
      <c r="JXT1" s="136"/>
      <c r="JXU1" s="136"/>
      <c r="JXV1" s="136"/>
      <c r="JXW1" s="136"/>
      <c r="JXX1" s="136"/>
      <c r="JXY1" s="136"/>
      <c r="JXZ1" s="136"/>
      <c r="JYA1" s="136"/>
      <c r="JYB1" s="136"/>
      <c r="JYC1" s="136"/>
      <c r="JYD1" s="136"/>
      <c r="JYE1" s="136"/>
      <c r="JYF1" s="136"/>
      <c r="JYG1" s="136"/>
      <c r="JYH1" s="136"/>
      <c r="JYI1" s="136"/>
      <c r="JYJ1" s="136"/>
      <c r="JYK1" s="136"/>
      <c r="JYL1" s="136"/>
      <c r="JYM1" s="136"/>
      <c r="JYN1" s="136"/>
      <c r="JYO1" s="136"/>
      <c r="JYP1" s="136"/>
      <c r="JYQ1" s="136"/>
      <c r="JYR1" s="136"/>
      <c r="JYS1" s="136"/>
      <c r="JYT1" s="136"/>
      <c r="JYU1" s="136"/>
      <c r="JYV1" s="136"/>
      <c r="JYW1" s="136"/>
      <c r="JYX1" s="136"/>
      <c r="JYY1" s="136"/>
      <c r="JYZ1" s="136"/>
      <c r="JZA1" s="136"/>
      <c r="JZB1" s="136"/>
      <c r="JZC1" s="136"/>
      <c r="JZD1" s="136"/>
      <c r="JZE1" s="136"/>
      <c r="JZF1" s="136"/>
      <c r="JZG1" s="136"/>
      <c r="JZH1" s="136"/>
      <c r="JZI1" s="136"/>
      <c r="JZJ1" s="136"/>
      <c r="JZK1" s="136"/>
      <c r="JZL1" s="136"/>
      <c r="JZM1" s="136"/>
      <c r="JZN1" s="136"/>
      <c r="JZO1" s="136"/>
      <c r="JZP1" s="136"/>
      <c r="JZQ1" s="136"/>
      <c r="JZR1" s="136"/>
      <c r="JZS1" s="136"/>
      <c r="JZT1" s="136"/>
      <c r="JZU1" s="136"/>
      <c r="JZV1" s="136"/>
      <c r="JZW1" s="136"/>
      <c r="JZX1" s="136"/>
      <c r="JZY1" s="136"/>
      <c r="JZZ1" s="136"/>
      <c r="KAA1" s="136"/>
      <c r="KAB1" s="136"/>
      <c r="KAC1" s="136"/>
      <c r="KAD1" s="136"/>
      <c r="KAE1" s="136"/>
      <c r="KAF1" s="136"/>
      <c r="KAG1" s="136"/>
      <c r="KAH1" s="136"/>
      <c r="KAI1" s="136"/>
      <c r="KAJ1" s="136"/>
      <c r="KAK1" s="136"/>
      <c r="KAL1" s="136"/>
      <c r="KAM1" s="136"/>
      <c r="KAN1" s="136"/>
      <c r="KAO1" s="136"/>
      <c r="KAP1" s="136"/>
      <c r="KAQ1" s="136"/>
      <c r="KAR1" s="136"/>
      <c r="KAS1" s="136"/>
      <c r="KAT1" s="136"/>
      <c r="KAU1" s="136"/>
      <c r="KAV1" s="136"/>
      <c r="KAW1" s="136"/>
      <c r="KAX1" s="136"/>
      <c r="KAY1" s="136"/>
      <c r="KAZ1" s="136"/>
      <c r="KBA1" s="136"/>
      <c r="KBB1" s="136"/>
      <c r="KBC1" s="136"/>
      <c r="KBD1" s="136"/>
      <c r="KBE1" s="136"/>
      <c r="KBF1" s="136"/>
      <c r="KBG1" s="136"/>
      <c r="KBH1" s="136"/>
      <c r="KBI1" s="136"/>
      <c r="KBJ1" s="136"/>
      <c r="KBK1" s="136"/>
      <c r="KBL1" s="136"/>
      <c r="KBM1" s="136"/>
      <c r="KBN1" s="136"/>
      <c r="KBO1" s="136"/>
      <c r="KBP1" s="136"/>
      <c r="KBQ1" s="136"/>
      <c r="KBR1" s="136"/>
      <c r="KBS1" s="136"/>
      <c r="KBT1" s="136"/>
      <c r="KBU1" s="136"/>
      <c r="KBV1" s="136"/>
      <c r="KBW1" s="136"/>
      <c r="KBX1" s="136"/>
      <c r="KBY1" s="136"/>
      <c r="KBZ1" s="136"/>
      <c r="KCA1" s="136"/>
      <c r="KCB1" s="136"/>
      <c r="KCC1" s="136"/>
      <c r="KCD1" s="136"/>
      <c r="KCE1" s="136"/>
      <c r="KCF1" s="136"/>
      <c r="KCG1" s="136"/>
      <c r="KCH1" s="136"/>
      <c r="KCI1" s="136"/>
      <c r="KCJ1" s="136"/>
      <c r="KCK1" s="136"/>
      <c r="KCL1" s="136"/>
      <c r="KCM1" s="136"/>
      <c r="KCN1" s="136"/>
      <c r="KCO1" s="136"/>
      <c r="KCP1" s="136"/>
      <c r="KCQ1" s="136"/>
      <c r="KCR1" s="136"/>
      <c r="KCS1" s="136"/>
      <c r="KCT1" s="136"/>
      <c r="KCU1" s="136"/>
      <c r="KCV1" s="136"/>
      <c r="KCW1" s="136"/>
      <c r="KCX1" s="136"/>
      <c r="KCY1" s="136"/>
      <c r="KCZ1" s="136"/>
      <c r="KDA1" s="136"/>
      <c r="KDB1" s="136"/>
      <c r="KDC1" s="136"/>
      <c r="KDD1" s="136"/>
      <c r="KDE1" s="136"/>
      <c r="KDF1" s="136"/>
      <c r="KDG1" s="136"/>
      <c r="KDH1" s="136"/>
      <c r="KDI1" s="136"/>
      <c r="KDJ1" s="136"/>
      <c r="KDK1" s="136"/>
      <c r="KDL1" s="136"/>
      <c r="KDM1" s="136"/>
      <c r="KDN1" s="136"/>
      <c r="KDO1" s="136"/>
      <c r="KDP1" s="136"/>
      <c r="KDQ1" s="136"/>
      <c r="KDR1" s="136"/>
      <c r="KDS1" s="136"/>
      <c r="KDT1" s="136"/>
      <c r="KDU1" s="136"/>
      <c r="KDV1" s="136"/>
      <c r="KDW1" s="136"/>
      <c r="KDX1" s="136"/>
      <c r="KDY1" s="136"/>
      <c r="KDZ1" s="136"/>
      <c r="KEA1" s="136"/>
      <c r="KEB1" s="136"/>
      <c r="KEC1" s="136"/>
      <c r="KED1" s="136"/>
      <c r="KEE1" s="136"/>
      <c r="KEF1" s="136"/>
      <c r="KEG1" s="136"/>
      <c r="KEH1" s="136"/>
      <c r="KEI1" s="136"/>
      <c r="KEJ1" s="136"/>
      <c r="KEK1" s="136"/>
      <c r="KEL1" s="136"/>
      <c r="KEM1" s="136"/>
      <c r="KEN1" s="136"/>
      <c r="KEO1" s="136"/>
      <c r="KEP1" s="136"/>
      <c r="KEQ1" s="136"/>
      <c r="KER1" s="136"/>
      <c r="KES1" s="136"/>
      <c r="KET1" s="136"/>
      <c r="KEU1" s="136"/>
      <c r="KEV1" s="136"/>
      <c r="KEW1" s="136"/>
      <c r="KEX1" s="136"/>
      <c r="KEY1" s="136"/>
      <c r="KEZ1" s="136"/>
      <c r="KFA1" s="136"/>
      <c r="KFB1" s="136"/>
      <c r="KFC1" s="136"/>
      <c r="KFD1" s="136"/>
      <c r="KFE1" s="136"/>
      <c r="KFF1" s="136"/>
      <c r="KFG1" s="136"/>
      <c r="KFH1" s="136"/>
      <c r="KFI1" s="136"/>
      <c r="KFJ1" s="136"/>
      <c r="KFK1" s="136"/>
      <c r="KFL1" s="136"/>
      <c r="KFM1" s="136"/>
      <c r="KFN1" s="136"/>
      <c r="KFO1" s="136"/>
      <c r="KFP1" s="136"/>
      <c r="KFQ1" s="136"/>
      <c r="KFR1" s="136"/>
      <c r="KFS1" s="136"/>
      <c r="KFT1" s="136"/>
      <c r="KFU1" s="136"/>
      <c r="KFV1" s="136"/>
      <c r="KFW1" s="136"/>
      <c r="KFX1" s="136"/>
      <c r="KFY1" s="136"/>
      <c r="KFZ1" s="136"/>
      <c r="KGA1" s="136"/>
      <c r="KGB1" s="136"/>
      <c r="KGC1" s="136"/>
      <c r="KGD1" s="136"/>
      <c r="KGE1" s="136"/>
      <c r="KGF1" s="136"/>
      <c r="KGG1" s="136"/>
      <c r="KGH1" s="136"/>
      <c r="KGI1" s="136"/>
      <c r="KGJ1" s="136"/>
      <c r="KGK1" s="136"/>
      <c r="KGL1" s="136"/>
      <c r="KGM1" s="136"/>
      <c r="KGN1" s="136"/>
      <c r="KGO1" s="136"/>
      <c r="KGP1" s="136"/>
      <c r="KGQ1" s="136"/>
      <c r="KGR1" s="136"/>
      <c r="KGS1" s="136"/>
      <c r="KGT1" s="136"/>
      <c r="KGU1" s="136"/>
      <c r="KGV1" s="136"/>
      <c r="KGW1" s="136"/>
      <c r="KGX1" s="136"/>
      <c r="KGY1" s="136"/>
      <c r="KGZ1" s="136"/>
      <c r="KHA1" s="136"/>
      <c r="KHB1" s="136"/>
      <c r="KHC1" s="136"/>
      <c r="KHD1" s="136"/>
      <c r="KHE1" s="136"/>
      <c r="KHF1" s="136"/>
      <c r="KHG1" s="136"/>
      <c r="KHH1" s="136"/>
      <c r="KHI1" s="136"/>
      <c r="KHJ1" s="136"/>
      <c r="KHK1" s="136"/>
      <c r="KHL1" s="136"/>
      <c r="KHM1" s="136"/>
      <c r="KHN1" s="136"/>
      <c r="KHO1" s="136"/>
      <c r="KHP1" s="136"/>
      <c r="KHQ1" s="136"/>
      <c r="KHR1" s="136"/>
      <c r="KHS1" s="136"/>
      <c r="KHT1" s="136"/>
      <c r="KHU1" s="136"/>
      <c r="KHV1" s="136"/>
      <c r="KHW1" s="136"/>
      <c r="KHX1" s="136"/>
      <c r="KHY1" s="136"/>
      <c r="KHZ1" s="136"/>
      <c r="KIA1" s="136"/>
      <c r="KIB1" s="136"/>
      <c r="KIC1" s="136"/>
      <c r="KID1" s="136"/>
      <c r="KIE1" s="136"/>
      <c r="KIF1" s="136"/>
      <c r="KIG1" s="136"/>
      <c r="KIH1" s="136"/>
      <c r="KII1" s="136"/>
      <c r="KIJ1" s="136"/>
      <c r="KIK1" s="136"/>
      <c r="KIL1" s="136"/>
      <c r="KIM1" s="136"/>
      <c r="KIN1" s="136"/>
      <c r="KIO1" s="136"/>
      <c r="KIP1" s="136"/>
      <c r="KIQ1" s="136"/>
      <c r="KIR1" s="136"/>
      <c r="KIS1" s="136"/>
      <c r="KIT1" s="136"/>
      <c r="KIU1" s="136"/>
      <c r="KIV1" s="136"/>
      <c r="KIW1" s="136"/>
      <c r="KIX1" s="136"/>
      <c r="KIY1" s="136"/>
      <c r="KIZ1" s="136"/>
      <c r="KJA1" s="136"/>
      <c r="KJB1" s="136"/>
      <c r="KJC1" s="136"/>
      <c r="KJD1" s="136"/>
      <c r="KJE1" s="136"/>
      <c r="KJF1" s="136"/>
      <c r="KJG1" s="136"/>
      <c r="KJH1" s="136"/>
      <c r="KJI1" s="136"/>
      <c r="KJJ1" s="136"/>
      <c r="KJK1" s="136"/>
      <c r="KJL1" s="136"/>
      <c r="KJM1" s="136"/>
      <c r="KJN1" s="136"/>
      <c r="KJO1" s="136"/>
      <c r="KJP1" s="136"/>
      <c r="KJQ1" s="136"/>
      <c r="KJR1" s="136"/>
      <c r="KJS1" s="136"/>
      <c r="KJT1" s="136"/>
      <c r="KJU1" s="136"/>
      <c r="KJV1" s="136"/>
      <c r="KJW1" s="136"/>
      <c r="KJX1" s="136"/>
      <c r="KJY1" s="136"/>
      <c r="KJZ1" s="136"/>
      <c r="KKA1" s="136"/>
      <c r="KKB1" s="136"/>
      <c r="KKC1" s="136"/>
      <c r="KKD1" s="136"/>
      <c r="KKE1" s="136"/>
      <c r="KKF1" s="136"/>
      <c r="KKG1" s="136"/>
      <c r="KKH1" s="136"/>
      <c r="KKI1" s="136"/>
      <c r="KKJ1" s="136"/>
      <c r="KKK1" s="136"/>
      <c r="KKL1" s="136"/>
      <c r="KKM1" s="136"/>
      <c r="KKN1" s="136"/>
      <c r="KKO1" s="136"/>
      <c r="KKP1" s="136"/>
      <c r="KKQ1" s="136"/>
      <c r="KKR1" s="136"/>
      <c r="KKS1" s="136"/>
      <c r="KKT1" s="136"/>
      <c r="KKU1" s="136"/>
      <c r="KKV1" s="136"/>
      <c r="KKW1" s="136"/>
      <c r="KKX1" s="136"/>
      <c r="KKY1" s="136"/>
      <c r="KKZ1" s="136"/>
      <c r="KLA1" s="136"/>
      <c r="KLB1" s="136"/>
      <c r="KLC1" s="136"/>
      <c r="KLD1" s="136"/>
      <c r="KLE1" s="136"/>
      <c r="KLF1" s="136"/>
      <c r="KLG1" s="136"/>
      <c r="KLH1" s="136"/>
      <c r="KLI1" s="136"/>
      <c r="KLJ1" s="136"/>
      <c r="KLK1" s="136"/>
      <c r="KLL1" s="136"/>
      <c r="KLM1" s="136"/>
      <c r="KLN1" s="136"/>
      <c r="KLO1" s="136"/>
      <c r="KLP1" s="136"/>
      <c r="KLQ1" s="136"/>
      <c r="KLR1" s="136"/>
      <c r="KLS1" s="136"/>
      <c r="KLT1" s="136"/>
      <c r="KLU1" s="136"/>
      <c r="KLV1" s="136"/>
      <c r="KLW1" s="136"/>
      <c r="KLX1" s="136"/>
      <c r="KLY1" s="136"/>
      <c r="KLZ1" s="136"/>
      <c r="KMA1" s="136"/>
      <c r="KMB1" s="136"/>
      <c r="KMC1" s="136"/>
      <c r="KMD1" s="136"/>
      <c r="KME1" s="136"/>
      <c r="KMF1" s="136"/>
      <c r="KMG1" s="136"/>
      <c r="KMH1" s="136"/>
      <c r="KMI1" s="136"/>
      <c r="KMJ1" s="136"/>
      <c r="KMK1" s="136"/>
      <c r="KML1" s="136"/>
      <c r="KMM1" s="136"/>
      <c r="KMN1" s="136"/>
      <c r="KMO1" s="136"/>
      <c r="KMP1" s="136"/>
      <c r="KMQ1" s="136"/>
      <c r="KMR1" s="136"/>
      <c r="KMS1" s="136"/>
      <c r="KMT1" s="136"/>
      <c r="KMU1" s="136"/>
      <c r="KMV1" s="136"/>
      <c r="KMW1" s="136"/>
      <c r="KMX1" s="136"/>
      <c r="KMY1" s="136"/>
      <c r="KMZ1" s="136"/>
      <c r="KNA1" s="136"/>
      <c r="KNB1" s="136"/>
      <c r="KNC1" s="136"/>
      <c r="KND1" s="136"/>
      <c r="KNE1" s="136"/>
      <c r="KNF1" s="136"/>
      <c r="KNG1" s="136"/>
      <c r="KNH1" s="136"/>
      <c r="KNI1" s="136"/>
      <c r="KNJ1" s="136"/>
      <c r="KNK1" s="136"/>
      <c r="KNL1" s="136"/>
      <c r="KNM1" s="136"/>
      <c r="KNN1" s="136"/>
      <c r="KNO1" s="136"/>
      <c r="KNP1" s="136"/>
      <c r="KNQ1" s="136"/>
      <c r="KNR1" s="136"/>
      <c r="KNS1" s="136"/>
      <c r="KNT1" s="136"/>
      <c r="KNU1" s="136"/>
      <c r="KNV1" s="136"/>
      <c r="KNW1" s="136"/>
      <c r="KNX1" s="136"/>
      <c r="KNY1" s="136"/>
      <c r="KNZ1" s="136"/>
      <c r="KOA1" s="136"/>
      <c r="KOB1" s="136"/>
      <c r="KOC1" s="136"/>
      <c r="KOD1" s="136"/>
      <c r="KOE1" s="136"/>
      <c r="KOF1" s="136"/>
      <c r="KOG1" s="136"/>
      <c r="KOH1" s="136"/>
      <c r="KOI1" s="136"/>
      <c r="KOJ1" s="136"/>
      <c r="KOK1" s="136"/>
      <c r="KOL1" s="136"/>
      <c r="KOM1" s="136"/>
      <c r="KON1" s="136"/>
      <c r="KOO1" s="136"/>
      <c r="KOP1" s="136"/>
      <c r="KOQ1" s="136"/>
      <c r="KOR1" s="136"/>
      <c r="KOS1" s="136"/>
      <c r="KOT1" s="136"/>
      <c r="KOU1" s="136"/>
      <c r="KOV1" s="136"/>
      <c r="KOW1" s="136"/>
      <c r="KOX1" s="136"/>
      <c r="KOY1" s="136"/>
      <c r="KOZ1" s="136"/>
      <c r="KPA1" s="136"/>
      <c r="KPB1" s="136"/>
      <c r="KPC1" s="136"/>
      <c r="KPD1" s="136"/>
      <c r="KPE1" s="136"/>
      <c r="KPF1" s="136"/>
      <c r="KPG1" s="136"/>
      <c r="KPH1" s="136"/>
      <c r="KPI1" s="136"/>
      <c r="KPJ1" s="136"/>
      <c r="KPK1" s="136"/>
      <c r="KPL1" s="136"/>
      <c r="KPM1" s="136"/>
      <c r="KPN1" s="136"/>
      <c r="KPO1" s="136"/>
      <c r="KPP1" s="136"/>
      <c r="KPQ1" s="136"/>
      <c r="KPR1" s="136"/>
      <c r="KPS1" s="136"/>
      <c r="KPT1" s="136"/>
      <c r="KPU1" s="136"/>
      <c r="KPV1" s="136"/>
      <c r="KPW1" s="136"/>
      <c r="KPX1" s="136"/>
      <c r="KPY1" s="136"/>
      <c r="KPZ1" s="136"/>
      <c r="KQA1" s="136"/>
      <c r="KQB1" s="136"/>
      <c r="KQC1" s="136"/>
      <c r="KQD1" s="136"/>
      <c r="KQE1" s="136"/>
      <c r="KQF1" s="136"/>
      <c r="KQG1" s="136"/>
      <c r="KQH1" s="136"/>
      <c r="KQI1" s="136"/>
      <c r="KQJ1" s="136"/>
      <c r="KQK1" s="136"/>
      <c r="KQL1" s="136"/>
      <c r="KQM1" s="136"/>
      <c r="KQN1" s="136"/>
      <c r="KQO1" s="136"/>
      <c r="KQP1" s="136"/>
      <c r="KQQ1" s="136"/>
      <c r="KQR1" s="136"/>
      <c r="KQS1" s="136"/>
      <c r="KQT1" s="136"/>
      <c r="KQU1" s="136"/>
      <c r="KQV1" s="136"/>
      <c r="KQW1" s="136"/>
      <c r="KQX1" s="136"/>
      <c r="KQY1" s="136"/>
      <c r="KQZ1" s="136"/>
      <c r="KRA1" s="136"/>
      <c r="KRB1" s="136"/>
      <c r="KRC1" s="136"/>
      <c r="KRD1" s="136"/>
      <c r="KRE1" s="136"/>
      <c r="KRF1" s="136"/>
      <c r="KRG1" s="136"/>
      <c r="KRH1" s="136"/>
      <c r="KRI1" s="136"/>
      <c r="KRJ1" s="136"/>
      <c r="KRK1" s="136"/>
      <c r="KRL1" s="136"/>
      <c r="KRM1" s="136"/>
      <c r="KRN1" s="136"/>
      <c r="KRO1" s="136"/>
      <c r="KRP1" s="136"/>
      <c r="KRQ1" s="136"/>
      <c r="KRR1" s="136"/>
      <c r="KRS1" s="136"/>
      <c r="KRT1" s="136"/>
      <c r="KRU1" s="136"/>
      <c r="KRV1" s="136"/>
      <c r="KRW1" s="136"/>
      <c r="KRX1" s="136"/>
      <c r="KRY1" s="136"/>
      <c r="KRZ1" s="136"/>
      <c r="KSA1" s="136"/>
      <c r="KSB1" s="136"/>
      <c r="KSC1" s="136"/>
      <c r="KSD1" s="136"/>
      <c r="KSE1" s="136"/>
      <c r="KSF1" s="136"/>
      <c r="KSG1" s="136"/>
      <c r="KSH1" s="136"/>
      <c r="KSI1" s="136"/>
      <c r="KSJ1" s="136"/>
      <c r="KSK1" s="136"/>
      <c r="KSL1" s="136"/>
      <c r="KSM1" s="136"/>
      <c r="KSN1" s="136"/>
      <c r="KSO1" s="136"/>
      <c r="KSP1" s="136"/>
      <c r="KSQ1" s="136"/>
      <c r="KSR1" s="136"/>
      <c r="KSS1" s="136"/>
      <c r="KST1" s="136"/>
      <c r="KSU1" s="136"/>
      <c r="KSV1" s="136"/>
      <c r="KSW1" s="136"/>
      <c r="KSX1" s="136"/>
      <c r="KSY1" s="136"/>
      <c r="KSZ1" s="136"/>
      <c r="KTA1" s="136"/>
      <c r="KTB1" s="136"/>
      <c r="KTC1" s="136"/>
      <c r="KTD1" s="136"/>
      <c r="KTE1" s="136"/>
      <c r="KTF1" s="136"/>
      <c r="KTG1" s="136"/>
      <c r="KTH1" s="136"/>
      <c r="KTI1" s="136"/>
      <c r="KTJ1" s="136"/>
      <c r="KTK1" s="136"/>
      <c r="KTL1" s="136"/>
      <c r="KTM1" s="136"/>
      <c r="KTN1" s="136"/>
      <c r="KTO1" s="136"/>
      <c r="KTP1" s="136"/>
      <c r="KTQ1" s="136"/>
      <c r="KTR1" s="136"/>
      <c r="KTS1" s="136"/>
      <c r="KTT1" s="136"/>
      <c r="KTU1" s="136"/>
      <c r="KTV1" s="136"/>
      <c r="KTW1" s="136"/>
      <c r="KTX1" s="136"/>
      <c r="KTY1" s="136"/>
      <c r="KTZ1" s="136"/>
      <c r="KUA1" s="136"/>
      <c r="KUB1" s="136"/>
      <c r="KUC1" s="136"/>
      <c r="KUD1" s="136"/>
      <c r="KUE1" s="136"/>
      <c r="KUF1" s="136"/>
      <c r="KUG1" s="136"/>
      <c r="KUH1" s="136"/>
      <c r="KUI1" s="136"/>
      <c r="KUJ1" s="136"/>
      <c r="KUK1" s="136"/>
      <c r="KUL1" s="136"/>
      <c r="KUM1" s="136"/>
      <c r="KUN1" s="136"/>
      <c r="KUO1" s="136"/>
      <c r="KUP1" s="136"/>
      <c r="KUQ1" s="136"/>
      <c r="KUR1" s="136"/>
      <c r="KUS1" s="136"/>
      <c r="KUT1" s="136"/>
      <c r="KUU1" s="136"/>
      <c r="KUV1" s="136"/>
      <c r="KUW1" s="136"/>
      <c r="KUX1" s="136"/>
      <c r="KUY1" s="136"/>
      <c r="KUZ1" s="136"/>
      <c r="KVA1" s="136"/>
      <c r="KVB1" s="136"/>
      <c r="KVC1" s="136"/>
      <c r="KVD1" s="136"/>
      <c r="KVE1" s="136"/>
      <c r="KVF1" s="136"/>
      <c r="KVG1" s="136"/>
      <c r="KVH1" s="136"/>
      <c r="KVI1" s="136"/>
      <c r="KVJ1" s="136"/>
      <c r="KVK1" s="136"/>
      <c r="KVL1" s="136"/>
      <c r="KVM1" s="136"/>
      <c r="KVN1" s="136"/>
      <c r="KVO1" s="136"/>
      <c r="KVP1" s="136"/>
      <c r="KVQ1" s="136"/>
      <c r="KVR1" s="136"/>
      <c r="KVS1" s="136"/>
      <c r="KVT1" s="136"/>
      <c r="KVU1" s="136"/>
      <c r="KVV1" s="136"/>
      <c r="KVW1" s="136"/>
      <c r="KVX1" s="136"/>
      <c r="KVY1" s="136"/>
      <c r="KVZ1" s="136"/>
      <c r="KWA1" s="136"/>
      <c r="KWB1" s="136"/>
      <c r="KWC1" s="136"/>
      <c r="KWD1" s="136"/>
      <c r="KWE1" s="136"/>
      <c r="KWF1" s="136"/>
      <c r="KWG1" s="136"/>
      <c r="KWH1" s="136"/>
      <c r="KWI1" s="136"/>
      <c r="KWJ1" s="136"/>
      <c r="KWK1" s="136"/>
      <c r="KWL1" s="136"/>
      <c r="KWM1" s="136"/>
      <c r="KWN1" s="136"/>
      <c r="KWO1" s="136"/>
      <c r="KWP1" s="136"/>
      <c r="KWQ1" s="136"/>
      <c r="KWR1" s="136"/>
      <c r="KWS1" s="136"/>
      <c r="KWT1" s="136"/>
      <c r="KWU1" s="136"/>
      <c r="KWV1" s="136"/>
      <c r="KWW1" s="136"/>
      <c r="KWX1" s="136"/>
      <c r="KWY1" s="136"/>
      <c r="KWZ1" s="136"/>
      <c r="KXA1" s="136"/>
      <c r="KXB1" s="136"/>
      <c r="KXC1" s="136"/>
      <c r="KXD1" s="136"/>
      <c r="KXE1" s="136"/>
      <c r="KXF1" s="136"/>
      <c r="KXG1" s="136"/>
      <c r="KXH1" s="136"/>
      <c r="KXI1" s="136"/>
      <c r="KXJ1" s="136"/>
      <c r="KXK1" s="136"/>
      <c r="KXL1" s="136"/>
      <c r="KXM1" s="136"/>
      <c r="KXN1" s="136"/>
      <c r="KXO1" s="136"/>
      <c r="KXP1" s="136"/>
      <c r="KXQ1" s="136"/>
      <c r="KXR1" s="136"/>
      <c r="KXS1" s="136"/>
      <c r="KXT1" s="136"/>
      <c r="KXU1" s="136"/>
      <c r="KXV1" s="136"/>
      <c r="KXW1" s="136"/>
      <c r="KXX1" s="136"/>
      <c r="KXY1" s="136"/>
      <c r="KXZ1" s="136"/>
      <c r="KYA1" s="136"/>
      <c r="KYB1" s="136"/>
      <c r="KYC1" s="136"/>
      <c r="KYD1" s="136"/>
      <c r="KYE1" s="136"/>
      <c r="KYF1" s="136"/>
      <c r="KYG1" s="136"/>
      <c r="KYH1" s="136"/>
      <c r="KYI1" s="136"/>
      <c r="KYJ1" s="136"/>
      <c r="KYK1" s="136"/>
      <c r="KYL1" s="136"/>
      <c r="KYM1" s="136"/>
      <c r="KYN1" s="136"/>
      <c r="KYO1" s="136"/>
      <c r="KYP1" s="136"/>
      <c r="KYQ1" s="136"/>
      <c r="KYR1" s="136"/>
      <c r="KYS1" s="136"/>
      <c r="KYT1" s="136"/>
      <c r="KYU1" s="136"/>
      <c r="KYV1" s="136"/>
      <c r="KYW1" s="136"/>
      <c r="KYX1" s="136"/>
      <c r="KYY1" s="136"/>
      <c r="KYZ1" s="136"/>
      <c r="KZA1" s="136"/>
      <c r="KZB1" s="136"/>
      <c r="KZC1" s="136"/>
      <c r="KZD1" s="136"/>
      <c r="KZE1" s="136"/>
      <c r="KZF1" s="136"/>
      <c r="KZG1" s="136"/>
      <c r="KZH1" s="136"/>
      <c r="KZI1" s="136"/>
      <c r="KZJ1" s="136"/>
      <c r="KZK1" s="136"/>
      <c r="KZL1" s="136"/>
      <c r="KZM1" s="136"/>
      <c r="KZN1" s="136"/>
      <c r="KZO1" s="136"/>
      <c r="KZP1" s="136"/>
      <c r="KZQ1" s="136"/>
      <c r="KZR1" s="136"/>
      <c r="KZS1" s="136"/>
      <c r="KZT1" s="136"/>
      <c r="KZU1" s="136"/>
      <c r="KZV1" s="136"/>
      <c r="KZW1" s="136"/>
      <c r="KZX1" s="136"/>
      <c r="KZY1" s="136"/>
      <c r="KZZ1" s="136"/>
      <c r="LAA1" s="136"/>
      <c r="LAB1" s="136"/>
      <c r="LAC1" s="136"/>
      <c r="LAD1" s="136"/>
      <c r="LAE1" s="136"/>
      <c r="LAF1" s="136"/>
      <c r="LAG1" s="136"/>
      <c r="LAH1" s="136"/>
      <c r="LAI1" s="136"/>
      <c r="LAJ1" s="136"/>
      <c r="LAK1" s="136"/>
      <c r="LAL1" s="136"/>
      <c r="LAM1" s="136"/>
      <c r="LAN1" s="136"/>
      <c r="LAO1" s="136"/>
      <c r="LAP1" s="136"/>
      <c r="LAQ1" s="136"/>
      <c r="LAR1" s="136"/>
      <c r="LAS1" s="136"/>
      <c r="LAT1" s="136"/>
      <c r="LAU1" s="136"/>
      <c r="LAV1" s="136"/>
      <c r="LAW1" s="136"/>
      <c r="LAX1" s="136"/>
      <c r="LAY1" s="136"/>
      <c r="LAZ1" s="136"/>
      <c r="LBA1" s="136"/>
      <c r="LBB1" s="136"/>
      <c r="LBC1" s="136"/>
      <c r="LBD1" s="136"/>
      <c r="LBE1" s="136"/>
      <c r="LBF1" s="136"/>
      <c r="LBG1" s="136"/>
      <c r="LBH1" s="136"/>
      <c r="LBI1" s="136"/>
      <c r="LBJ1" s="136"/>
      <c r="LBK1" s="136"/>
      <c r="LBL1" s="136"/>
      <c r="LBM1" s="136"/>
      <c r="LBN1" s="136"/>
      <c r="LBO1" s="136"/>
      <c r="LBP1" s="136"/>
      <c r="LBQ1" s="136"/>
      <c r="LBR1" s="136"/>
      <c r="LBS1" s="136"/>
      <c r="LBT1" s="136"/>
      <c r="LBU1" s="136"/>
      <c r="LBV1" s="136"/>
      <c r="LBW1" s="136"/>
      <c r="LBX1" s="136"/>
      <c r="LBY1" s="136"/>
      <c r="LBZ1" s="136"/>
      <c r="LCA1" s="136"/>
      <c r="LCB1" s="136"/>
      <c r="LCC1" s="136"/>
      <c r="LCD1" s="136"/>
      <c r="LCE1" s="136"/>
      <c r="LCF1" s="136"/>
      <c r="LCG1" s="136"/>
      <c r="LCH1" s="136"/>
      <c r="LCI1" s="136"/>
      <c r="LCJ1" s="136"/>
      <c r="LCK1" s="136"/>
      <c r="LCL1" s="136"/>
      <c r="LCM1" s="136"/>
      <c r="LCN1" s="136"/>
      <c r="LCO1" s="136"/>
      <c r="LCP1" s="136"/>
      <c r="LCQ1" s="136"/>
      <c r="LCR1" s="136"/>
      <c r="LCS1" s="136"/>
      <c r="LCT1" s="136"/>
      <c r="LCU1" s="136"/>
      <c r="LCV1" s="136"/>
      <c r="LCW1" s="136"/>
      <c r="LCX1" s="136"/>
      <c r="LCY1" s="136"/>
      <c r="LCZ1" s="136"/>
      <c r="LDA1" s="136"/>
      <c r="LDB1" s="136"/>
      <c r="LDC1" s="136"/>
      <c r="LDD1" s="136"/>
      <c r="LDE1" s="136"/>
      <c r="LDF1" s="136"/>
      <c r="LDG1" s="136"/>
      <c r="LDH1" s="136"/>
      <c r="LDI1" s="136"/>
      <c r="LDJ1" s="136"/>
      <c r="LDK1" s="136"/>
      <c r="LDL1" s="136"/>
      <c r="LDM1" s="136"/>
      <c r="LDN1" s="136"/>
      <c r="LDO1" s="136"/>
      <c r="LDP1" s="136"/>
      <c r="LDQ1" s="136"/>
      <c r="LDR1" s="136"/>
      <c r="LDS1" s="136"/>
      <c r="LDT1" s="136"/>
      <c r="LDU1" s="136"/>
      <c r="LDV1" s="136"/>
      <c r="LDW1" s="136"/>
      <c r="LDX1" s="136"/>
      <c r="LDY1" s="136"/>
      <c r="LDZ1" s="136"/>
      <c r="LEA1" s="136"/>
      <c r="LEB1" s="136"/>
      <c r="LEC1" s="136"/>
      <c r="LED1" s="136"/>
      <c r="LEE1" s="136"/>
      <c r="LEF1" s="136"/>
      <c r="LEG1" s="136"/>
      <c r="LEH1" s="136"/>
      <c r="LEI1" s="136"/>
      <c r="LEJ1" s="136"/>
      <c r="LEK1" s="136"/>
      <c r="LEL1" s="136"/>
      <c r="LEM1" s="136"/>
      <c r="LEN1" s="136"/>
      <c r="LEO1" s="136"/>
      <c r="LEP1" s="136"/>
      <c r="LEQ1" s="136"/>
      <c r="LER1" s="136"/>
      <c r="LES1" s="136"/>
      <c r="LET1" s="136"/>
      <c r="LEU1" s="136"/>
      <c r="LEV1" s="136"/>
      <c r="LEW1" s="136"/>
      <c r="LEX1" s="136"/>
      <c r="LEY1" s="136"/>
      <c r="LEZ1" s="136"/>
      <c r="LFA1" s="136"/>
      <c r="LFB1" s="136"/>
      <c r="LFC1" s="136"/>
      <c r="LFD1" s="136"/>
      <c r="LFE1" s="136"/>
      <c r="LFF1" s="136"/>
      <c r="LFG1" s="136"/>
      <c r="LFH1" s="136"/>
      <c r="LFI1" s="136"/>
      <c r="LFJ1" s="136"/>
      <c r="LFK1" s="136"/>
      <c r="LFL1" s="136"/>
      <c r="LFM1" s="136"/>
      <c r="LFN1" s="136"/>
      <c r="LFO1" s="136"/>
      <c r="LFP1" s="136"/>
      <c r="LFQ1" s="136"/>
      <c r="LFR1" s="136"/>
      <c r="LFS1" s="136"/>
      <c r="LFT1" s="136"/>
      <c r="LFU1" s="136"/>
      <c r="LFV1" s="136"/>
      <c r="LFW1" s="136"/>
      <c r="LFX1" s="136"/>
      <c r="LFY1" s="136"/>
      <c r="LFZ1" s="136"/>
      <c r="LGA1" s="136"/>
      <c r="LGB1" s="136"/>
      <c r="LGC1" s="136"/>
      <c r="LGD1" s="136"/>
      <c r="LGE1" s="136"/>
      <c r="LGF1" s="136"/>
      <c r="LGG1" s="136"/>
      <c r="LGH1" s="136"/>
      <c r="LGI1" s="136"/>
      <c r="LGJ1" s="136"/>
      <c r="LGK1" s="136"/>
      <c r="LGL1" s="136"/>
      <c r="LGM1" s="136"/>
      <c r="LGN1" s="136"/>
      <c r="LGO1" s="136"/>
      <c r="LGP1" s="136"/>
      <c r="LGQ1" s="136"/>
      <c r="LGR1" s="136"/>
      <c r="LGS1" s="136"/>
      <c r="LGT1" s="136"/>
      <c r="LGU1" s="136"/>
      <c r="LGV1" s="136"/>
      <c r="LGW1" s="136"/>
      <c r="LGX1" s="136"/>
      <c r="LGY1" s="136"/>
      <c r="LGZ1" s="136"/>
      <c r="LHA1" s="136"/>
      <c r="LHB1" s="136"/>
      <c r="LHC1" s="136"/>
      <c r="LHD1" s="136"/>
      <c r="LHE1" s="136"/>
      <c r="LHF1" s="136"/>
      <c r="LHG1" s="136"/>
      <c r="LHH1" s="136"/>
      <c r="LHI1" s="136"/>
      <c r="LHJ1" s="136"/>
      <c r="LHK1" s="136"/>
      <c r="LHL1" s="136"/>
      <c r="LHM1" s="136"/>
      <c r="LHN1" s="136"/>
      <c r="LHO1" s="136"/>
      <c r="LHP1" s="136"/>
      <c r="LHQ1" s="136"/>
      <c r="LHR1" s="136"/>
      <c r="LHS1" s="136"/>
      <c r="LHT1" s="136"/>
      <c r="LHU1" s="136"/>
      <c r="LHV1" s="136"/>
      <c r="LHW1" s="136"/>
      <c r="LHX1" s="136"/>
      <c r="LHY1" s="136"/>
      <c r="LHZ1" s="136"/>
      <c r="LIA1" s="136"/>
      <c r="LIB1" s="136"/>
      <c r="LIC1" s="136"/>
      <c r="LID1" s="136"/>
      <c r="LIE1" s="136"/>
      <c r="LIF1" s="136"/>
      <c r="LIG1" s="136"/>
      <c r="LIH1" s="136"/>
      <c r="LII1" s="136"/>
      <c r="LIJ1" s="136"/>
      <c r="LIK1" s="136"/>
      <c r="LIL1" s="136"/>
      <c r="LIM1" s="136"/>
      <c r="LIN1" s="136"/>
      <c r="LIO1" s="136"/>
      <c r="LIP1" s="136"/>
      <c r="LIQ1" s="136"/>
      <c r="LIR1" s="136"/>
      <c r="LIS1" s="136"/>
      <c r="LIT1" s="136"/>
      <c r="LIU1" s="136"/>
      <c r="LIV1" s="136"/>
      <c r="LIW1" s="136"/>
      <c r="LIX1" s="136"/>
      <c r="LIY1" s="136"/>
      <c r="LIZ1" s="136"/>
      <c r="LJA1" s="136"/>
      <c r="LJB1" s="136"/>
      <c r="LJC1" s="136"/>
      <c r="LJD1" s="136"/>
      <c r="LJE1" s="136"/>
      <c r="LJF1" s="136"/>
      <c r="LJG1" s="136"/>
      <c r="LJH1" s="136"/>
      <c r="LJI1" s="136"/>
      <c r="LJJ1" s="136"/>
      <c r="LJK1" s="136"/>
      <c r="LJL1" s="136"/>
      <c r="LJM1" s="136"/>
      <c r="LJN1" s="136"/>
      <c r="LJO1" s="136"/>
      <c r="LJP1" s="136"/>
      <c r="LJQ1" s="136"/>
      <c r="LJR1" s="136"/>
      <c r="LJS1" s="136"/>
      <c r="LJT1" s="136"/>
      <c r="LJU1" s="136"/>
      <c r="LJV1" s="136"/>
      <c r="LJW1" s="136"/>
      <c r="LJX1" s="136"/>
      <c r="LJY1" s="136"/>
      <c r="LJZ1" s="136"/>
      <c r="LKA1" s="136"/>
      <c r="LKB1" s="136"/>
      <c r="LKC1" s="136"/>
      <c r="LKD1" s="136"/>
      <c r="LKE1" s="136"/>
      <c r="LKF1" s="136"/>
      <c r="LKG1" s="136"/>
      <c r="LKH1" s="136"/>
      <c r="LKI1" s="136"/>
      <c r="LKJ1" s="136"/>
      <c r="LKK1" s="136"/>
      <c r="LKL1" s="136"/>
      <c r="LKM1" s="136"/>
      <c r="LKN1" s="136"/>
      <c r="LKO1" s="136"/>
      <c r="LKP1" s="136"/>
      <c r="LKQ1" s="136"/>
      <c r="LKR1" s="136"/>
      <c r="LKS1" s="136"/>
      <c r="LKT1" s="136"/>
      <c r="LKU1" s="136"/>
      <c r="LKV1" s="136"/>
      <c r="LKW1" s="136"/>
      <c r="LKX1" s="136"/>
      <c r="LKY1" s="136"/>
      <c r="LKZ1" s="136"/>
      <c r="LLA1" s="136"/>
      <c r="LLB1" s="136"/>
      <c r="LLC1" s="136"/>
      <c r="LLD1" s="136"/>
      <c r="LLE1" s="136"/>
      <c r="LLF1" s="136"/>
      <c r="LLG1" s="136"/>
      <c r="LLH1" s="136"/>
      <c r="LLI1" s="136"/>
      <c r="LLJ1" s="136"/>
      <c r="LLK1" s="136"/>
      <c r="LLL1" s="136"/>
      <c r="LLM1" s="136"/>
      <c r="LLN1" s="136"/>
      <c r="LLO1" s="136"/>
      <c r="LLP1" s="136"/>
      <c r="LLQ1" s="136"/>
      <c r="LLR1" s="136"/>
      <c r="LLS1" s="136"/>
      <c r="LLT1" s="136"/>
      <c r="LLU1" s="136"/>
      <c r="LLV1" s="136"/>
      <c r="LLW1" s="136"/>
      <c r="LLX1" s="136"/>
      <c r="LLY1" s="136"/>
      <c r="LLZ1" s="136"/>
      <c r="LMA1" s="136"/>
      <c r="LMB1" s="136"/>
      <c r="LMC1" s="136"/>
      <c r="LMD1" s="136"/>
      <c r="LME1" s="136"/>
      <c r="LMF1" s="136"/>
      <c r="LMG1" s="136"/>
      <c r="LMH1" s="136"/>
      <c r="LMI1" s="136"/>
      <c r="LMJ1" s="136"/>
      <c r="LMK1" s="136"/>
      <c r="LML1" s="136"/>
      <c r="LMM1" s="136"/>
      <c r="LMN1" s="136"/>
      <c r="LMO1" s="136"/>
      <c r="LMP1" s="136"/>
      <c r="LMQ1" s="136"/>
      <c r="LMR1" s="136"/>
      <c r="LMS1" s="136"/>
      <c r="LMT1" s="136"/>
      <c r="LMU1" s="136"/>
      <c r="LMV1" s="136"/>
      <c r="LMW1" s="136"/>
      <c r="LMX1" s="136"/>
      <c r="LMY1" s="136"/>
      <c r="LMZ1" s="136"/>
      <c r="LNA1" s="136"/>
      <c r="LNB1" s="136"/>
      <c r="LNC1" s="136"/>
      <c r="LND1" s="136"/>
      <c r="LNE1" s="136"/>
      <c r="LNF1" s="136"/>
      <c r="LNG1" s="136"/>
      <c r="LNH1" s="136"/>
      <c r="LNI1" s="136"/>
      <c r="LNJ1" s="136"/>
      <c r="LNK1" s="136"/>
      <c r="LNL1" s="136"/>
      <c r="LNM1" s="136"/>
      <c r="LNN1" s="136"/>
      <c r="LNO1" s="136"/>
      <c r="LNP1" s="136"/>
      <c r="LNQ1" s="136"/>
      <c r="LNR1" s="136"/>
      <c r="LNS1" s="136"/>
      <c r="LNT1" s="136"/>
      <c r="LNU1" s="136"/>
      <c r="LNV1" s="136"/>
      <c r="LNW1" s="136"/>
      <c r="LNX1" s="136"/>
      <c r="LNY1" s="136"/>
      <c r="LNZ1" s="136"/>
      <c r="LOA1" s="136"/>
      <c r="LOB1" s="136"/>
      <c r="LOC1" s="136"/>
      <c r="LOD1" s="136"/>
      <c r="LOE1" s="136"/>
      <c r="LOF1" s="136"/>
      <c r="LOG1" s="136"/>
      <c r="LOH1" s="136"/>
      <c r="LOI1" s="136"/>
      <c r="LOJ1" s="136"/>
      <c r="LOK1" s="136"/>
      <c r="LOL1" s="136"/>
      <c r="LOM1" s="136"/>
      <c r="LON1" s="136"/>
      <c r="LOO1" s="136"/>
      <c r="LOP1" s="136"/>
      <c r="LOQ1" s="136"/>
      <c r="LOR1" s="136"/>
      <c r="LOS1" s="136"/>
      <c r="LOT1" s="136"/>
      <c r="LOU1" s="136"/>
      <c r="LOV1" s="136"/>
      <c r="LOW1" s="136"/>
      <c r="LOX1" s="136"/>
      <c r="LOY1" s="136"/>
      <c r="LOZ1" s="136"/>
      <c r="LPA1" s="136"/>
      <c r="LPB1" s="136"/>
      <c r="LPC1" s="136"/>
      <c r="LPD1" s="136"/>
      <c r="LPE1" s="136"/>
      <c r="LPF1" s="136"/>
      <c r="LPG1" s="136"/>
      <c r="LPH1" s="136"/>
      <c r="LPI1" s="136"/>
      <c r="LPJ1" s="136"/>
      <c r="LPK1" s="136"/>
      <c r="LPL1" s="136"/>
      <c r="LPM1" s="136"/>
      <c r="LPN1" s="136"/>
      <c r="LPO1" s="136"/>
      <c r="LPP1" s="136"/>
      <c r="LPQ1" s="136"/>
      <c r="LPR1" s="136"/>
      <c r="LPS1" s="136"/>
      <c r="LPT1" s="136"/>
      <c r="LPU1" s="136"/>
      <c r="LPV1" s="136"/>
      <c r="LPW1" s="136"/>
      <c r="LPX1" s="136"/>
      <c r="LPY1" s="136"/>
      <c r="LPZ1" s="136"/>
      <c r="LQA1" s="136"/>
      <c r="LQB1" s="136"/>
      <c r="LQC1" s="136"/>
      <c r="LQD1" s="136"/>
      <c r="LQE1" s="136"/>
      <c r="LQF1" s="136"/>
      <c r="LQG1" s="136"/>
      <c r="LQH1" s="136"/>
      <c r="LQI1" s="136"/>
      <c r="LQJ1" s="136"/>
      <c r="LQK1" s="136"/>
      <c r="LQL1" s="136"/>
      <c r="LQM1" s="136"/>
      <c r="LQN1" s="136"/>
      <c r="LQO1" s="136"/>
      <c r="LQP1" s="136"/>
      <c r="LQQ1" s="136"/>
      <c r="LQR1" s="136"/>
      <c r="LQS1" s="136"/>
      <c r="LQT1" s="136"/>
      <c r="LQU1" s="136"/>
      <c r="LQV1" s="136"/>
      <c r="LQW1" s="136"/>
      <c r="LQX1" s="136"/>
      <c r="LQY1" s="136"/>
      <c r="LQZ1" s="136"/>
      <c r="LRA1" s="136"/>
      <c r="LRB1" s="136"/>
      <c r="LRC1" s="136"/>
      <c r="LRD1" s="136"/>
      <c r="LRE1" s="136"/>
      <c r="LRF1" s="136"/>
      <c r="LRG1" s="136"/>
      <c r="LRH1" s="136"/>
      <c r="LRI1" s="136"/>
      <c r="LRJ1" s="136"/>
      <c r="LRK1" s="136"/>
      <c r="LRL1" s="136"/>
      <c r="LRM1" s="136"/>
      <c r="LRN1" s="136"/>
      <c r="LRO1" s="136"/>
      <c r="LRP1" s="136"/>
      <c r="LRQ1" s="136"/>
      <c r="LRR1" s="136"/>
      <c r="LRS1" s="136"/>
      <c r="LRT1" s="136"/>
      <c r="LRU1" s="136"/>
      <c r="LRV1" s="136"/>
      <c r="LRW1" s="136"/>
      <c r="LRX1" s="136"/>
      <c r="LRY1" s="136"/>
      <c r="LRZ1" s="136"/>
      <c r="LSA1" s="136"/>
      <c r="LSB1" s="136"/>
      <c r="LSC1" s="136"/>
      <c r="LSD1" s="136"/>
      <c r="LSE1" s="136"/>
      <c r="LSF1" s="136"/>
      <c r="LSG1" s="136"/>
      <c r="LSH1" s="136"/>
      <c r="LSI1" s="136"/>
      <c r="LSJ1" s="136"/>
      <c r="LSK1" s="136"/>
      <c r="LSL1" s="136"/>
      <c r="LSM1" s="136"/>
      <c r="LSN1" s="136"/>
      <c r="LSO1" s="136"/>
      <c r="LSP1" s="136"/>
      <c r="LSQ1" s="136"/>
      <c r="LSR1" s="136"/>
      <c r="LSS1" s="136"/>
      <c r="LST1" s="136"/>
      <c r="LSU1" s="136"/>
      <c r="LSV1" s="136"/>
      <c r="LSW1" s="136"/>
      <c r="LSX1" s="136"/>
      <c r="LSY1" s="136"/>
      <c r="LSZ1" s="136"/>
      <c r="LTA1" s="136"/>
      <c r="LTB1" s="136"/>
      <c r="LTC1" s="136"/>
      <c r="LTD1" s="136"/>
      <c r="LTE1" s="136"/>
      <c r="LTF1" s="136"/>
      <c r="LTG1" s="136"/>
      <c r="LTH1" s="136"/>
      <c r="LTI1" s="136"/>
      <c r="LTJ1" s="136"/>
      <c r="LTK1" s="136"/>
      <c r="LTL1" s="136"/>
      <c r="LTM1" s="136"/>
      <c r="LTN1" s="136"/>
      <c r="LTO1" s="136"/>
      <c r="LTP1" s="136"/>
      <c r="LTQ1" s="136"/>
      <c r="LTR1" s="136"/>
      <c r="LTS1" s="136"/>
      <c r="LTT1" s="136"/>
      <c r="LTU1" s="136"/>
      <c r="LTV1" s="136"/>
      <c r="LTW1" s="136"/>
      <c r="LTX1" s="136"/>
      <c r="LTY1" s="136"/>
      <c r="LTZ1" s="136"/>
      <c r="LUA1" s="136"/>
      <c r="LUB1" s="136"/>
      <c r="LUC1" s="136"/>
      <c r="LUD1" s="136"/>
      <c r="LUE1" s="136"/>
      <c r="LUF1" s="136"/>
      <c r="LUG1" s="136"/>
      <c r="LUH1" s="136"/>
      <c r="LUI1" s="136"/>
      <c r="LUJ1" s="136"/>
      <c r="LUK1" s="136"/>
      <c r="LUL1" s="136"/>
      <c r="LUM1" s="136"/>
      <c r="LUN1" s="136"/>
      <c r="LUO1" s="136"/>
      <c r="LUP1" s="136"/>
      <c r="LUQ1" s="136"/>
      <c r="LUR1" s="136"/>
      <c r="LUS1" s="136"/>
      <c r="LUT1" s="136"/>
      <c r="LUU1" s="136"/>
      <c r="LUV1" s="136"/>
      <c r="LUW1" s="136"/>
      <c r="LUX1" s="136"/>
      <c r="LUY1" s="136"/>
      <c r="LUZ1" s="136"/>
      <c r="LVA1" s="136"/>
      <c r="LVB1" s="136"/>
      <c r="LVC1" s="136"/>
      <c r="LVD1" s="136"/>
      <c r="LVE1" s="136"/>
      <c r="LVF1" s="136"/>
      <c r="LVG1" s="136"/>
      <c r="LVH1" s="136"/>
      <c r="LVI1" s="136"/>
      <c r="LVJ1" s="136"/>
      <c r="LVK1" s="136"/>
      <c r="LVL1" s="136"/>
      <c r="LVM1" s="136"/>
      <c r="LVN1" s="136"/>
      <c r="LVO1" s="136"/>
      <c r="LVP1" s="136"/>
      <c r="LVQ1" s="136"/>
      <c r="LVR1" s="136"/>
      <c r="LVS1" s="136"/>
      <c r="LVT1" s="136"/>
      <c r="LVU1" s="136"/>
      <c r="LVV1" s="136"/>
      <c r="LVW1" s="136"/>
      <c r="LVX1" s="136"/>
      <c r="LVY1" s="136"/>
      <c r="LVZ1" s="136"/>
      <c r="LWA1" s="136"/>
      <c r="LWB1" s="136"/>
      <c r="LWC1" s="136"/>
      <c r="LWD1" s="136"/>
      <c r="LWE1" s="136"/>
      <c r="LWF1" s="136"/>
      <c r="LWG1" s="136"/>
      <c r="LWH1" s="136"/>
      <c r="LWI1" s="136"/>
      <c r="LWJ1" s="136"/>
      <c r="LWK1" s="136"/>
      <c r="LWL1" s="136"/>
      <c r="LWM1" s="136"/>
      <c r="LWN1" s="136"/>
      <c r="LWO1" s="136"/>
      <c r="LWP1" s="136"/>
      <c r="LWQ1" s="136"/>
      <c r="LWR1" s="136"/>
      <c r="LWS1" s="136"/>
      <c r="LWT1" s="136"/>
      <c r="LWU1" s="136"/>
      <c r="LWV1" s="136"/>
      <c r="LWW1" s="136"/>
      <c r="LWX1" s="136"/>
      <c r="LWY1" s="136"/>
      <c r="LWZ1" s="136"/>
      <c r="LXA1" s="136"/>
      <c r="LXB1" s="136"/>
      <c r="LXC1" s="136"/>
      <c r="LXD1" s="136"/>
      <c r="LXE1" s="136"/>
      <c r="LXF1" s="136"/>
      <c r="LXG1" s="136"/>
      <c r="LXH1" s="136"/>
      <c r="LXI1" s="136"/>
      <c r="LXJ1" s="136"/>
      <c r="LXK1" s="136"/>
      <c r="LXL1" s="136"/>
      <c r="LXM1" s="136"/>
      <c r="LXN1" s="136"/>
      <c r="LXO1" s="136"/>
      <c r="LXP1" s="136"/>
      <c r="LXQ1" s="136"/>
      <c r="LXR1" s="136"/>
      <c r="LXS1" s="136"/>
      <c r="LXT1" s="136"/>
      <c r="LXU1" s="136"/>
      <c r="LXV1" s="136"/>
      <c r="LXW1" s="136"/>
      <c r="LXX1" s="136"/>
      <c r="LXY1" s="136"/>
      <c r="LXZ1" s="136"/>
      <c r="LYA1" s="136"/>
      <c r="LYB1" s="136"/>
      <c r="LYC1" s="136"/>
      <c r="LYD1" s="136"/>
      <c r="LYE1" s="136"/>
      <c r="LYF1" s="136"/>
      <c r="LYG1" s="136"/>
      <c r="LYH1" s="136"/>
      <c r="LYI1" s="136"/>
      <c r="LYJ1" s="136"/>
      <c r="LYK1" s="136"/>
      <c r="LYL1" s="136"/>
      <c r="LYM1" s="136"/>
      <c r="LYN1" s="136"/>
      <c r="LYO1" s="136"/>
      <c r="LYP1" s="136"/>
      <c r="LYQ1" s="136"/>
      <c r="LYR1" s="136"/>
      <c r="LYS1" s="136"/>
      <c r="LYT1" s="136"/>
      <c r="LYU1" s="136"/>
      <c r="LYV1" s="136"/>
      <c r="LYW1" s="136"/>
      <c r="LYX1" s="136"/>
      <c r="LYY1" s="136"/>
      <c r="LYZ1" s="136"/>
      <c r="LZA1" s="136"/>
      <c r="LZB1" s="136"/>
      <c r="LZC1" s="136"/>
      <c r="LZD1" s="136"/>
      <c r="LZE1" s="136"/>
      <c r="LZF1" s="136"/>
      <c r="LZG1" s="136"/>
      <c r="LZH1" s="136"/>
      <c r="LZI1" s="136"/>
      <c r="LZJ1" s="136"/>
      <c r="LZK1" s="136"/>
      <c r="LZL1" s="136"/>
      <c r="LZM1" s="136"/>
      <c r="LZN1" s="136"/>
      <c r="LZO1" s="136"/>
      <c r="LZP1" s="136"/>
      <c r="LZQ1" s="136"/>
      <c r="LZR1" s="136"/>
      <c r="LZS1" s="136"/>
      <c r="LZT1" s="136"/>
      <c r="LZU1" s="136"/>
      <c r="LZV1" s="136"/>
      <c r="LZW1" s="136"/>
      <c r="LZX1" s="136"/>
      <c r="LZY1" s="136"/>
      <c r="LZZ1" s="136"/>
      <c r="MAA1" s="136"/>
      <c r="MAB1" s="136"/>
      <c r="MAC1" s="136"/>
      <c r="MAD1" s="136"/>
      <c r="MAE1" s="136"/>
      <c r="MAF1" s="136"/>
      <c r="MAG1" s="136"/>
      <c r="MAH1" s="136"/>
      <c r="MAI1" s="136"/>
      <c r="MAJ1" s="136"/>
      <c r="MAK1" s="136"/>
      <c r="MAL1" s="136"/>
      <c r="MAM1" s="136"/>
      <c r="MAN1" s="136"/>
      <c r="MAO1" s="136"/>
      <c r="MAP1" s="136"/>
      <c r="MAQ1" s="136"/>
      <c r="MAR1" s="136"/>
      <c r="MAS1" s="136"/>
      <c r="MAT1" s="136"/>
      <c r="MAU1" s="136"/>
      <c r="MAV1" s="136"/>
      <c r="MAW1" s="136"/>
      <c r="MAX1" s="136"/>
      <c r="MAY1" s="136"/>
      <c r="MAZ1" s="136"/>
      <c r="MBA1" s="136"/>
      <c r="MBB1" s="136"/>
      <c r="MBC1" s="136"/>
      <c r="MBD1" s="136"/>
      <c r="MBE1" s="136"/>
      <c r="MBF1" s="136"/>
      <c r="MBG1" s="136"/>
      <c r="MBH1" s="136"/>
      <c r="MBI1" s="136"/>
      <c r="MBJ1" s="136"/>
      <c r="MBK1" s="136"/>
      <c r="MBL1" s="136"/>
      <c r="MBM1" s="136"/>
      <c r="MBN1" s="136"/>
      <c r="MBO1" s="136"/>
      <c r="MBP1" s="136"/>
      <c r="MBQ1" s="136"/>
      <c r="MBR1" s="136"/>
      <c r="MBS1" s="136"/>
      <c r="MBT1" s="136"/>
      <c r="MBU1" s="136"/>
      <c r="MBV1" s="136"/>
      <c r="MBW1" s="136"/>
      <c r="MBX1" s="136"/>
      <c r="MBY1" s="136"/>
      <c r="MBZ1" s="136"/>
      <c r="MCA1" s="136"/>
      <c r="MCB1" s="136"/>
      <c r="MCC1" s="136"/>
      <c r="MCD1" s="136"/>
      <c r="MCE1" s="136"/>
      <c r="MCF1" s="136"/>
      <c r="MCG1" s="136"/>
      <c r="MCH1" s="136"/>
      <c r="MCI1" s="136"/>
      <c r="MCJ1" s="136"/>
      <c r="MCK1" s="136"/>
      <c r="MCL1" s="136"/>
      <c r="MCM1" s="136"/>
      <c r="MCN1" s="136"/>
      <c r="MCO1" s="136"/>
      <c r="MCP1" s="136"/>
      <c r="MCQ1" s="136"/>
      <c r="MCR1" s="136"/>
      <c r="MCS1" s="136"/>
      <c r="MCT1" s="136"/>
      <c r="MCU1" s="136"/>
      <c r="MCV1" s="136"/>
      <c r="MCW1" s="136"/>
      <c r="MCX1" s="136"/>
      <c r="MCY1" s="136"/>
      <c r="MCZ1" s="136"/>
      <c r="MDA1" s="136"/>
      <c r="MDB1" s="136"/>
      <c r="MDC1" s="136"/>
      <c r="MDD1" s="136"/>
      <c r="MDE1" s="136"/>
      <c r="MDF1" s="136"/>
      <c r="MDG1" s="136"/>
      <c r="MDH1" s="136"/>
      <c r="MDI1" s="136"/>
      <c r="MDJ1" s="136"/>
      <c r="MDK1" s="136"/>
      <c r="MDL1" s="136"/>
      <c r="MDM1" s="136"/>
      <c r="MDN1" s="136"/>
      <c r="MDO1" s="136"/>
      <c r="MDP1" s="136"/>
      <c r="MDQ1" s="136"/>
      <c r="MDR1" s="136"/>
      <c r="MDS1" s="136"/>
      <c r="MDT1" s="136"/>
      <c r="MDU1" s="136"/>
      <c r="MDV1" s="136"/>
      <c r="MDW1" s="136"/>
      <c r="MDX1" s="136"/>
      <c r="MDY1" s="136"/>
      <c r="MDZ1" s="136"/>
      <c r="MEA1" s="136"/>
      <c r="MEB1" s="136"/>
      <c r="MEC1" s="136"/>
      <c r="MED1" s="136"/>
      <c r="MEE1" s="136"/>
      <c r="MEF1" s="136"/>
      <c r="MEG1" s="136"/>
      <c r="MEH1" s="136"/>
      <c r="MEI1" s="136"/>
      <c r="MEJ1" s="136"/>
      <c r="MEK1" s="136"/>
      <c r="MEL1" s="136"/>
      <c r="MEM1" s="136"/>
      <c r="MEN1" s="136"/>
      <c r="MEO1" s="136"/>
      <c r="MEP1" s="136"/>
      <c r="MEQ1" s="136"/>
      <c r="MER1" s="136"/>
      <c r="MES1" s="136"/>
      <c r="MET1" s="136"/>
      <c r="MEU1" s="136"/>
      <c r="MEV1" s="136"/>
      <c r="MEW1" s="136"/>
      <c r="MEX1" s="136"/>
      <c r="MEY1" s="136"/>
      <c r="MEZ1" s="136"/>
      <c r="MFA1" s="136"/>
      <c r="MFB1" s="136"/>
      <c r="MFC1" s="136"/>
      <c r="MFD1" s="136"/>
      <c r="MFE1" s="136"/>
      <c r="MFF1" s="136"/>
      <c r="MFG1" s="136"/>
      <c r="MFH1" s="136"/>
      <c r="MFI1" s="136"/>
      <c r="MFJ1" s="136"/>
      <c r="MFK1" s="136"/>
      <c r="MFL1" s="136"/>
      <c r="MFM1" s="136"/>
      <c r="MFN1" s="136"/>
      <c r="MFO1" s="136"/>
      <c r="MFP1" s="136"/>
      <c r="MFQ1" s="136"/>
      <c r="MFR1" s="136"/>
      <c r="MFS1" s="136"/>
      <c r="MFT1" s="136"/>
      <c r="MFU1" s="136"/>
      <c r="MFV1" s="136"/>
      <c r="MFW1" s="136"/>
      <c r="MFX1" s="136"/>
      <c r="MFY1" s="136"/>
      <c r="MFZ1" s="136"/>
      <c r="MGA1" s="136"/>
      <c r="MGB1" s="136"/>
      <c r="MGC1" s="136"/>
      <c r="MGD1" s="136"/>
      <c r="MGE1" s="136"/>
      <c r="MGF1" s="136"/>
      <c r="MGG1" s="136"/>
      <c r="MGH1" s="136"/>
      <c r="MGI1" s="136"/>
      <c r="MGJ1" s="136"/>
      <c r="MGK1" s="136"/>
      <c r="MGL1" s="136"/>
      <c r="MGM1" s="136"/>
      <c r="MGN1" s="136"/>
      <c r="MGO1" s="136"/>
      <c r="MGP1" s="136"/>
      <c r="MGQ1" s="136"/>
      <c r="MGR1" s="136"/>
      <c r="MGS1" s="136"/>
      <c r="MGT1" s="136"/>
      <c r="MGU1" s="136"/>
      <c r="MGV1" s="136"/>
      <c r="MGW1" s="136"/>
      <c r="MGX1" s="136"/>
      <c r="MGY1" s="136"/>
      <c r="MGZ1" s="136"/>
      <c r="MHA1" s="136"/>
      <c r="MHB1" s="136"/>
      <c r="MHC1" s="136"/>
      <c r="MHD1" s="136"/>
      <c r="MHE1" s="136"/>
      <c r="MHF1" s="136"/>
      <c r="MHG1" s="136"/>
      <c r="MHH1" s="136"/>
      <c r="MHI1" s="136"/>
      <c r="MHJ1" s="136"/>
      <c r="MHK1" s="136"/>
      <c r="MHL1" s="136"/>
      <c r="MHM1" s="136"/>
      <c r="MHN1" s="136"/>
      <c r="MHO1" s="136"/>
      <c r="MHP1" s="136"/>
      <c r="MHQ1" s="136"/>
      <c r="MHR1" s="136"/>
      <c r="MHS1" s="136"/>
      <c r="MHT1" s="136"/>
      <c r="MHU1" s="136"/>
      <c r="MHV1" s="136"/>
      <c r="MHW1" s="136"/>
      <c r="MHX1" s="136"/>
      <c r="MHY1" s="136"/>
      <c r="MHZ1" s="136"/>
      <c r="MIA1" s="136"/>
      <c r="MIB1" s="136"/>
      <c r="MIC1" s="136"/>
      <c r="MID1" s="136"/>
      <c r="MIE1" s="136"/>
      <c r="MIF1" s="136"/>
      <c r="MIG1" s="136"/>
      <c r="MIH1" s="136"/>
      <c r="MII1" s="136"/>
      <c r="MIJ1" s="136"/>
      <c r="MIK1" s="136"/>
      <c r="MIL1" s="136"/>
      <c r="MIM1" s="136"/>
      <c r="MIN1" s="136"/>
      <c r="MIO1" s="136"/>
      <c r="MIP1" s="136"/>
      <c r="MIQ1" s="136"/>
      <c r="MIR1" s="136"/>
      <c r="MIS1" s="136"/>
      <c r="MIT1" s="136"/>
      <c r="MIU1" s="136"/>
      <c r="MIV1" s="136"/>
      <c r="MIW1" s="136"/>
      <c r="MIX1" s="136"/>
      <c r="MIY1" s="136"/>
      <c r="MIZ1" s="136"/>
      <c r="MJA1" s="136"/>
      <c r="MJB1" s="136"/>
      <c r="MJC1" s="136"/>
      <c r="MJD1" s="136"/>
      <c r="MJE1" s="136"/>
      <c r="MJF1" s="136"/>
      <c r="MJG1" s="136"/>
      <c r="MJH1" s="136"/>
      <c r="MJI1" s="136"/>
      <c r="MJJ1" s="136"/>
      <c r="MJK1" s="136"/>
      <c r="MJL1" s="136"/>
      <c r="MJM1" s="136"/>
      <c r="MJN1" s="136"/>
      <c r="MJO1" s="136"/>
      <c r="MJP1" s="136"/>
      <c r="MJQ1" s="136"/>
      <c r="MJR1" s="136"/>
      <c r="MJS1" s="136"/>
      <c r="MJT1" s="136"/>
      <c r="MJU1" s="136"/>
      <c r="MJV1" s="136"/>
      <c r="MJW1" s="136"/>
      <c r="MJX1" s="136"/>
      <c r="MJY1" s="136"/>
      <c r="MJZ1" s="136"/>
      <c r="MKA1" s="136"/>
      <c r="MKB1" s="136"/>
      <c r="MKC1" s="136"/>
      <c r="MKD1" s="136"/>
      <c r="MKE1" s="136"/>
      <c r="MKF1" s="136"/>
      <c r="MKG1" s="136"/>
      <c r="MKH1" s="136"/>
      <c r="MKI1" s="136"/>
      <c r="MKJ1" s="136"/>
      <c r="MKK1" s="136"/>
      <c r="MKL1" s="136"/>
      <c r="MKM1" s="136"/>
      <c r="MKN1" s="136"/>
      <c r="MKO1" s="136"/>
      <c r="MKP1" s="136"/>
      <c r="MKQ1" s="136"/>
      <c r="MKR1" s="136"/>
      <c r="MKS1" s="136"/>
      <c r="MKT1" s="136"/>
      <c r="MKU1" s="136"/>
      <c r="MKV1" s="136"/>
      <c r="MKW1" s="136"/>
      <c r="MKX1" s="136"/>
      <c r="MKY1" s="136"/>
      <c r="MKZ1" s="136"/>
      <c r="MLA1" s="136"/>
      <c r="MLB1" s="136"/>
      <c r="MLC1" s="136"/>
      <c r="MLD1" s="136"/>
      <c r="MLE1" s="136"/>
      <c r="MLF1" s="136"/>
      <c r="MLG1" s="136"/>
      <c r="MLH1" s="136"/>
      <c r="MLI1" s="136"/>
      <c r="MLJ1" s="136"/>
      <c r="MLK1" s="136"/>
      <c r="MLL1" s="136"/>
      <c r="MLM1" s="136"/>
      <c r="MLN1" s="136"/>
      <c r="MLO1" s="136"/>
      <c r="MLP1" s="136"/>
      <c r="MLQ1" s="136"/>
      <c r="MLR1" s="136"/>
      <c r="MLS1" s="136"/>
      <c r="MLT1" s="136"/>
      <c r="MLU1" s="136"/>
      <c r="MLV1" s="136"/>
      <c r="MLW1" s="136"/>
      <c r="MLX1" s="136"/>
      <c r="MLY1" s="136"/>
      <c r="MLZ1" s="136"/>
      <c r="MMA1" s="136"/>
      <c r="MMB1" s="136"/>
      <c r="MMC1" s="136"/>
      <c r="MMD1" s="136"/>
      <c r="MME1" s="136"/>
      <c r="MMF1" s="136"/>
      <c r="MMG1" s="136"/>
      <c r="MMH1" s="136"/>
      <c r="MMI1" s="136"/>
      <c r="MMJ1" s="136"/>
      <c r="MMK1" s="136"/>
      <c r="MML1" s="136"/>
      <c r="MMM1" s="136"/>
      <c r="MMN1" s="136"/>
      <c r="MMO1" s="136"/>
      <c r="MMP1" s="136"/>
      <c r="MMQ1" s="136"/>
      <c r="MMR1" s="136"/>
      <c r="MMS1" s="136"/>
      <c r="MMT1" s="136"/>
      <c r="MMU1" s="136"/>
      <c r="MMV1" s="136"/>
      <c r="MMW1" s="136"/>
      <c r="MMX1" s="136"/>
      <c r="MMY1" s="136"/>
      <c r="MMZ1" s="136"/>
      <c r="MNA1" s="136"/>
      <c r="MNB1" s="136"/>
      <c r="MNC1" s="136"/>
      <c r="MND1" s="136"/>
      <c r="MNE1" s="136"/>
      <c r="MNF1" s="136"/>
      <c r="MNG1" s="136"/>
      <c r="MNH1" s="136"/>
      <c r="MNI1" s="136"/>
      <c r="MNJ1" s="136"/>
      <c r="MNK1" s="136"/>
      <c r="MNL1" s="136"/>
      <c r="MNM1" s="136"/>
      <c r="MNN1" s="136"/>
      <c r="MNO1" s="136"/>
      <c r="MNP1" s="136"/>
      <c r="MNQ1" s="136"/>
      <c r="MNR1" s="136"/>
      <c r="MNS1" s="136"/>
      <c r="MNT1" s="136"/>
      <c r="MNU1" s="136"/>
      <c r="MNV1" s="136"/>
      <c r="MNW1" s="136"/>
      <c r="MNX1" s="136"/>
      <c r="MNY1" s="136"/>
      <c r="MNZ1" s="136"/>
      <c r="MOA1" s="136"/>
      <c r="MOB1" s="136"/>
      <c r="MOC1" s="136"/>
      <c r="MOD1" s="136"/>
      <c r="MOE1" s="136"/>
      <c r="MOF1" s="136"/>
      <c r="MOG1" s="136"/>
      <c r="MOH1" s="136"/>
      <c r="MOI1" s="136"/>
      <c r="MOJ1" s="136"/>
      <c r="MOK1" s="136"/>
      <c r="MOL1" s="136"/>
      <c r="MOM1" s="136"/>
      <c r="MON1" s="136"/>
      <c r="MOO1" s="136"/>
      <c r="MOP1" s="136"/>
      <c r="MOQ1" s="136"/>
      <c r="MOR1" s="136"/>
      <c r="MOS1" s="136"/>
      <c r="MOT1" s="136"/>
      <c r="MOU1" s="136"/>
      <c r="MOV1" s="136"/>
      <c r="MOW1" s="136"/>
      <c r="MOX1" s="136"/>
      <c r="MOY1" s="136"/>
      <c r="MOZ1" s="136"/>
      <c r="MPA1" s="136"/>
      <c r="MPB1" s="136"/>
      <c r="MPC1" s="136"/>
      <c r="MPD1" s="136"/>
      <c r="MPE1" s="136"/>
      <c r="MPF1" s="136"/>
      <c r="MPG1" s="136"/>
      <c r="MPH1" s="136"/>
      <c r="MPI1" s="136"/>
      <c r="MPJ1" s="136"/>
      <c r="MPK1" s="136"/>
      <c r="MPL1" s="136"/>
      <c r="MPM1" s="136"/>
      <c r="MPN1" s="136"/>
      <c r="MPO1" s="136"/>
      <c r="MPP1" s="136"/>
      <c r="MPQ1" s="136"/>
      <c r="MPR1" s="136"/>
      <c r="MPS1" s="136"/>
      <c r="MPT1" s="136"/>
      <c r="MPU1" s="136"/>
      <c r="MPV1" s="136"/>
      <c r="MPW1" s="136"/>
      <c r="MPX1" s="136"/>
      <c r="MPY1" s="136"/>
      <c r="MPZ1" s="136"/>
      <c r="MQA1" s="136"/>
      <c r="MQB1" s="136"/>
      <c r="MQC1" s="136"/>
      <c r="MQD1" s="136"/>
      <c r="MQE1" s="136"/>
      <c r="MQF1" s="136"/>
      <c r="MQG1" s="136"/>
      <c r="MQH1" s="136"/>
      <c r="MQI1" s="136"/>
      <c r="MQJ1" s="136"/>
      <c r="MQK1" s="136"/>
      <c r="MQL1" s="136"/>
      <c r="MQM1" s="136"/>
      <c r="MQN1" s="136"/>
      <c r="MQO1" s="136"/>
      <c r="MQP1" s="136"/>
      <c r="MQQ1" s="136"/>
      <c r="MQR1" s="136"/>
      <c r="MQS1" s="136"/>
      <c r="MQT1" s="136"/>
      <c r="MQU1" s="136"/>
      <c r="MQV1" s="136"/>
      <c r="MQW1" s="136"/>
      <c r="MQX1" s="136"/>
      <c r="MQY1" s="136"/>
      <c r="MQZ1" s="136"/>
      <c r="MRA1" s="136"/>
      <c r="MRB1" s="136"/>
      <c r="MRC1" s="136"/>
      <c r="MRD1" s="136"/>
      <c r="MRE1" s="136"/>
      <c r="MRF1" s="136"/>
      <c r="MRG1" s="136"/>
      <c r="MRH1" s="136"/>
      <c r="MRI1" s="136"/>
      <c r="MRJ1" s="136"/>
      <c r="MRK1" s="136"/>
      <c r="MRL1" s="136"/>
      <c r="MRM1" s="136"/>
      <c r="MRN1" s="136"/>
      <c r="MRO1" s="136"/>
      <c r="MRP1" s="136"/>
      <c r="MRQ1" s="136"/>
      <c r="MRR1" s="136"/>
      <c r="MRS1" s="136"/>
      <c r="MRT1" s="136"/>
      <c r="MRU1" s="136"/>
      <c r="MRV1" s="136"/>
      <c r="MRW1" s="136"/>
      <c r="MRX1" s="136"/>
      <c r="MRY1" s="136"/>
      <c r="MRZ1" s="136"/>
      <c r="MSA1" s="136"/>
      <c r="MSB1" s="136"/>
      <c r="MSC1" s="136"/>
      <c r="MSD1" s="136"/>
      <c r="MSE1" s="136"/>
      <c r="MSF1" s="136"/>
      <c r="MSG1" s="136"/>
      <c r="MSH1" s="136"/>
      <c r="MSI1" s="136"/>
      <c r="MSJ1" s="136"/>
      <c r="MSK1" s="136"/>
      <c r="MSL1" s="136"/>
      <c r="MSM1" s="136"/>
      <c r="MSN1" s="136"/>
      <c r="MSO1" s="136"/>
      <c r="MSP1" s="136"/>
      <c r="MSQ1" s="136"/>
      <c r="MSR1" s="136"/>
      <c r="MSS1" s="136"/>
      <c r="MST1" s="136"/>
      <c r="MSU1" s="136"/>
      <c r="MSV1" s="136"/>
      <c r="MSW1" s="136"/>
      <c r="MSX1" s="136"/>
      <c r="MSY1" s="136"/>
      <c r="MSZ1" s="136"/>
      <c r="MTA1" s="136"/>
      <c r="MTB1" s="136"/>
      <c r="MTC1" s="136"/>
      <c r="MTD1" s="136"/>
      <c r="MTE1" s="136"/>
      <c r="MTF1" s="136"/>
      <c r="MTG1" s="136"/>
      <c r="MTH1" s="136"/>
      <c r="MTI1" s="136"/>
      <c r="MTJ1" s="136"/>
      <c r="MTK1" s="136"/>
      <c r="MTL1" s="136"/>
      <c r="MTM1" s="136"/>
      <c r="MTN1" s="136"/>
      <c r="MTO1" s="136"/>
      <c r="MTP1" s="136"/>
      <c r="MTQ1" s="136"/>
      <c r="MTR1" s="136"/>
      <c r="MTS1" s="136"/>
      <c r="MTT1" s="136"/>
      <c r="MTU1" s="136"/>
      <c r="MTV1" s="136"/>
      <c r="MTW1" s="136"/>
      <c r="MTX1" s="136"/>
      <c r="MTY1" s="136"/>
      <c r="MTZ1" s="136"/>
      <c r="MUA1" s="136"/>
      <c r="MUB1" s="136"/>
      <c r="MUC1" s="136"/>
      <c r="MUD1" s="136"/>
      <c r="MUE1" s="136"/>
      <c r="MUF1" s="136"/>
      <c r="MUG1" s="136"/>
      <c r="MUH1" s="136"/>
      <c r="MUI1" s="136"/>
      <c r="MUJ1" s="136"/>
      <c r="MUK1" s="136"/>
      <c r="MUL1" s="136"/>
      <c r="MUM1" s="136"/>
      <c r="MUN1" s="136"/>
      <c r="MUO1" s="136"/>
      <c r="MUP1" s="136"/>
      <c r="MUQ1" s="136"/>
      <c r="MUR1" s="136"/>
      <c r="MUS1" s="136"/>
      <c r="MUT1" s="136"/>
      <c r="MUU1" s="136"/>
      <c r="MUV1" s="136"/>
      <c r="MUW1" s="136"/>
      <c r="MUX1" s="136"/>
      <c r="MUY1" s="136"/>
      <c r="MUZ1" s="136"/>
      <c r="MVA1" s="136"/>
      <c r="MVB1" s="136"/>
      <c r="MVC1" s="136"/>
      <c r="MVD1" s="136"/>
      <c r="MVE1" s="136"/>
      <c r="MVF1" s="136"/>
      <c r="MVG1" s="136"/>
      <c r="MVH1" s="136"/>
      <c r="MVI1" s="136"/>
      <c r="MVJ1" s="136"/>
      <c r="MVK1" s="136"/>
      <c r="MVL1" s="136"/>
      <c r="MVM1" s="136"/>
      <c r="MVN1" s="136"/>
      <c r="MVO1" s="136"/>
      <c r="MVP1" s="136"/>
      <c r="MVQ1" s="136"/>
      <c r="MVR1" s="136"/>
      <c r="MVS1" s="136"/>
      <c r="MVT1" s="136"/>
      <c r="MVU1" s="136"/>
      <c r="MVV1" s="136"/>
      <c r="MVW1" s="136"/>
      <c r="MVX1" s="136"/>
      <c r="MVY1" s="136"/>
      <c r="MVZ1" s="136"/>
      <c r="MWA1" s="136"/>
      <c r="MWB1" s="136"/>
      <c r="MWC1" s="136"/>
      <c r="MWD1" s="136"/>
      <c r="MWE1" s="136"/>
      <c r="MWF1" s="136"/>
      <c r="MWG1" s="136"/>
      <c r="MWH1" s="136"/>
      <c r="MWI1" s="136"/>
      <c r="MWJ1" s="136"/>
      <c r="MWK1" s="136"/>
      <c r="MWL1" s="136"/>
      <c r="MWM1" s="136"/>
      <c r="MWN1" s="136"/>
      <c r="MWO1" s="136"/>
      <c r="MWP1" s="136"/>
      <c r="MWQ1" s="136"/>
      <c r="MWR1" s="136"/>
      <c r="MWS1" s="136"/>
      <c r="MWT1" s="136"/>
      <c r="MWU1" s="136"/>
      <c r="MWV1" s="136"/>
      <c r="MWW1" s="136"/>
      <c r="MWX1" s="136"/>
      <c r="MWY1" s="136"/>
      <c r="MWZ1" s="136"/>
      <c r="MXA1" s="136"/>
      <c r="MXB1" s="136"/>
      <c r="MXC1" s="136"/>
      <c r="MXD1" s="136"/>
      <c r="MXE1" s="136"/>
      <c r="MXF1" s="136"/>
      <c r="MXG1" s="136"/>
      <c r="MXH1" s="136"/>
      <c r="MXI1" s="136"/>
      <c r="MXJ1" s="136"/>
      <c r="MXK1" s="136"/>
      <c r="MXL1" s="136"/>
      <c r="MXM1" s="136"/>
      <c r="MXN1" s="136"/>
      <c r="MXO1" s="136"/>
      <c r="MXP1" s="136"/>
      <c r="MXQ1" s="136"/>
      <c r="MXR1" s="136"/>
      <c r="MXS1" s="136"/>
      <c r="MXT1" s="136"/>
      <c r="MXU1" s="136"/>
      <c r="MXV1" s="136"/>
      <c r="MXW1" s="136"/>
      <c r="MXX1" s="136"/>
      <c r="MXY1" s="136"/>
      <c r="MXZ1" s="136"/>
      <c r="MYA1" s="136"/>
      <c r="MYB1" s="136"/>
      <c r="MYC1" s="136"/>
      <c r="MYD1" s="136"/>
      <c r="MYE1" s="136"/>
      <c r="MYF1" s="136"/>
      <c r="MYG1" s="136"/>
      <c r="MYH1" s="136"/>
      <c r="MYI1" s="136"/>
      <c r="MYJ1" s="136"/>
      <c r="MYK1" s="136"/>
      <c r="MYL1" s="136"/>
      <c r="MYM1" s="136"/>
      <c r="MYN1" s="136"/>
      <c r="MYO1" s="136"/>
      <c r="MYP1" s="136"/>
      <c r="MYQ1" s="136"/>
      <c r="MYR1" s="136"/>
      <c r="MYS1" s="136"/>
      <c r="MYT1" s="136"/>
      <c r="MYU1" s="136"/>
      <c r="MYV1" s="136"/>
      <c r="MYW1" s="136"/>
      <c r="MYX1" s="136"/>
      <c r="MYY1" s="136"/>
      <c r="MYZ1" s="136"/>
      <c r="MZA1" s="136"/>
      <c r="MZB1" s="136"/>
      <c r="MZC1" s="136"/>
      <c r="MZD1" s="136"/>
      <c r="MZE1" s="136"/>
      <c r="MZF1" s="136"/>
      <c r="MZG1" s="136"/>
      <c r="MZH1" s="136"/>
      <c r="MZI1" s="136"/>
      <c r="MZJ1" s="136"/>
      <c r="MZK1" s="136"/>
      <c r="MZL1" s="136"/>
      <c r="MZM1" s="136"/>
      <c r="MZN1" s="136"/>
      <c r="MZO1" s="136"/>
      <c r="MZP1" s="136"/>
      <c r="MZQ1" s="136"/>
      <c r="MZR1" s="136"/>
      <c r="MZS1" s="136"/>
      <c r="MZT1" s="136"/>
      <c r="MZU1" s="136"/>
      <c r="MZV1" s="136"/>
      <c r="MZW1" s="136"/>
      <c r="MZX1" s="136"/>
      <c r="MZY1" s="136"/>
      <c r="MZZ1" s="136"/>
      <c r="NAA1" s="136"/>
      <c r="NAB1" s="136"/>
      <c r="NAC1" s="136"/>
      <c r="NAD1" s="136"/>
      <c r="NAE1" s="136"/>
      <c r="NAF1" s="136"/>
      <c r="NAG1" s="136"/>
      <c r="NAH1" s="136"/>
      <c r="NAI1" s="136"/>
      <c r="NAJ1" s="136"/>
      <c r="NAK1" s="136"/>
      <c r="NAL1" s="136"/>
      <c r="NAM1" s="136"/>
      <c r="NAN1" s="136"/>
      <c r="NAO1" s="136"/>
      <c r="NAP1" s="136"/>
      <c r="NAQ1" s="136"/>
      <c r="NAR1" s="136"/>
      <c r="NAS1" s="136"/>
      <c r="NAT1" s="136"/>
      <c r="NAU1" s="136"/>
      <c r="NAV1" s="136"/>
      <c r="NAW1" s="136"/>
      <c r="NAX1" s="136"/>
      <c r="NAY1" s="136"/>
      <c r="NAZ1" s="136"/>
      <c r="NBA1" s="136"/>
      <c r="NBB1" s="136"/>
      <c r="NBC1" s="136"/>
      <c r="NBD1" s="136"/>
      <c r="NBE1" s="136"/>
      <c r="NBF1" s="136"/>
      <c r="NBG1" s="136"/>
      <c r="NBH1" s="136"/>
      <c r="NBI1" s="136"/>
      <c r="NBJ1" s="136"/>
      <c r="NBK1" s="136"/>
      <c r="NBL1" s="136"/>
      <c r="NBM1" s="136"/>
      <c r="NBN1" s="136"/>
      <c r="NBO1" s="136"/>
      <c r="NBP1" s="136"/>
      <c r="NBQ1" s="136"/>
      <c r="NBR1" s="136"/>
      <c r="NBS1" s="136"/>
      <c r="NBT1" s="136"/>
      <c r="NBU1" s="136"/>
      <c r="NBV1" s="136"/>
      <c r="NBW1" s="136"/>
      <c r="NBX1" s="136"/>
      <c r="NBY1" s="136"/>
      <c r="NBZ1" s="136"/>
      <c r="NCA1" s="136"/>
      <c r="NCB1" s="136"/>
      <c r="NCC1" s="136"/>
      <c r="NCD1" s="136"/>
      <c r="NCE1" s="136"/>
      <c r="NCF1" s="136"/>
      <c r="NCG1" s="136"/>
      <c r="NCH1" s="136"/>
      <c r="NCI1" s="136"/>
      <c r="NCJ1" s="136"/>
      <c r="NCK1" s="136"/>
      <c r="NCL1" s="136"/>
      <c r="NCM1" s="136"/>
      <c r="NCN1" s="136"/>
      <c r="NCO1" s="136"/>
      <c r="NCP1" s="136"/>
      <c r="NCQ1" s="136"/>
      <c r="NCR1" s="136"/>
      <c r="NCS1" s="136"/>
      <c r="NCT1" s="136"/>
      <c r="NCU1" s="136"/>
      <c r="NCV1" s="136"/>
      <c r="NCW1" s="136"/>
      <c r="NCX1" s="136"/>
      <c r="NCY1" s="136"/>
      <c r="NCZ1" s="136"/>
      <c r="NDA1" s="136"/>
      <c r="NDB1" s="136"/>
      <c r="NDC1" s="136"/>
      <c r="NDD1" s="136"/>
      <c r="NDE1" s="136"/>
      <c r="NDF1" s="136"/>
      <c r="NDG1" s="136"/>
      <c r="NDH1" s="136"/>
      <c r="NDI1" s="136"/>
      <c r="NDJ1" s="136"/>
      <c r="NDK1" s="136"/>
      <c r="NDL1" s="136"/>
      <c r="NDM1" s="136"/>
      <c r="NDN1" s="136"/>
      <c r="NDO1" s="136"/>
      <c r="NDP1" s="136"/>
      <c r="NDQ1" s="136"/>
      <c r="NDR1" s="136"/>
      <c r="NDS1" s="136"/>
      <c r="NDT1" s="136"/>
      <c r="NDU1" s="136"/>
      <c r="NDV1" s="136"/>
      <c r="NDW1" s="136"/>
      <c r="NDX1" s="136"/>
      <c r="NDY1" s="136"/>
      <c r="NDZ1" s="136"/>
      <c r="NEA1" s="136"/>
      <c r="NEB1" s="136"/>
      <c r="NEC1" s="136"/>
      <c r="NED1" s="136"/>
      <c r="NEE1" s="136"/>
      <c r="NEF1" s="136"/>
      <c r="NEG1" s="136"/>
      <c r="NEH1" s="136"/>
      <c r="NEI1" s="136"/>
      <c r="NEJ1" s="136"/>
      <c r="NEK1" s="136"/>
      <c r="NEL1" s="136"/>
      <c r="NEM1" s="136"/>
      <c r="NEN1" s="136"/>
      <c r="NEO1" s="136"/>
      <c r="NEP1" s="136"/>
      <c r="NEQ1" s="136"/>
      <c r="NER1" s="136"/>
      <c r="NES1" s="136"/>
      <c r="NET1" s="136"/>
      <c r="NEU1" s="136"/>
      <c r="NEV1" s="136"/>
      <c r="NEW1" s="136"/>
      <c r="NEX1" s="136"/>
      <c r="NEY1" s="136"/>
      <c r="NEZ1" s="136"/>
      <c r="NFA1" s="136"/>
      <c r="NFB1" s="136"/>
      <c r="NFC1" s="136"/>
      <c r="NFD1" s="136"/>
      <c r="NFE1" s="136"/>
      <c r="NFF1" s="136"/>
      <c r="NFG1" s="136"/>
      <c r="NFH1" s="136"/>
      <c r="NFI1" s="136"/>
      <c r="NFJ1" s="136"/>
      <c r="NFK1" s="136"/>
      <c r="NFL1" s="136"/>
      <c r="NFM1" s="136"/>
      <c r="NFN1" s="136"/>
      <c r="NFO1" s="136"/>
      <c r="NFP1" s="136"/>
      <c r="NFQ1" s="136"/>
      <c r="NFR1" s="136"/>
      <c r="NFS1" s="136"/>
      <c r="NFT1" s="136"/>
      <c r="NFU1" s="136"/>
      <c r="NFV1" s="136"/>
      <c r="NFW1" s="136"/>
      <c r="NFX1" s="136"/>
      <c r="NFY1" s="136"/>
      <c r="NFZ1" s="136"/>
      <c r="NGA1" s="136"/>
      <c r="NGB1" s="136"/>
      <c r="NGC1" s="136"/>
      <c r="NGD1" s="136"/>
      <c r="NGE1" s="136"/>
      <c r="NGF1" s="136"/>
      <c r="NGG1" s="136"/>
      <c r="NGH1" s="136"/>
      <c r="NGI1" s="136"/>
      <c r="NGJ1" s="136"/>
      <c r="NGK1" s="136"/>
      <c r="NGL1" s="136"/>
      <c r="NGM1" s="136"/>
      <c r="NGN1" s="136"/>
      <c r="NGO1" s="136"/>
      <c r="NGP1" s="136"/>
      <c r="NGQ1" s="136"/>
      <c r="NGR1" s="136"/>
      <c r="NGS1" s="136"/>
      <c r="NGT1" s="136"/>
      <c r="NGU1" s="136"/>
      <c r="NGV1" s="136"/>
      <c r="NGW1" s="136"/>
      <c r="NGX1" s="136"/>
      <c r="NGY1" s="136"/>
      <c r="NGZ1" s="136"/>
      <c r="NHA1" s="136"/>
      <c r="NHB1" s="136"/>
      <c r="NHC1" s="136"/>
      <c r="NHD1" s="136"/>
      <c r="NHE1" s="136"/>
      <c r="NHF1" s="136"/>
      <c r="NHG1" s="136"/>
      <c r="NHH1" s="136"/>
      <c r="NHI1" s="136"/>
      <c r="NHJ1" s="136"/>
      <c r="NHK1" s="136"/>
      <c r="NHL1" s="136"/>
      <c r="NHM1" s="136"/>
      <c r="NHN1" s="136"/>
      <c r="NHO1" s="136"/>
      <c r="NHP1" s="136"/>
      <c r="NHQ1" s="136"/>
      <c r="NHR1" s="136"/>
      <c r="NHS1" s="136"/>
      <c r="NHT1" s="136"/>
      <c r="NHU1" s="136"/>
      <c r="NHV1" s="136"/>
      <c r="NHW1" s="136"/>
      <c r="NHX1" s="136"/>
      <c r="NHY1" s="136"/>
      <c r="NHZ1" s="136"/>
      <c r="NIA1" s="136"/>
      <c r="NIB1" s="136"/>
      <c r="NIC1" s="136"/>
      <c r="NID1" s="136"/>
      <c r="NIE1" s="136"/>
      <c r="NIF1" s="136"/>
      <c r="NIG1" s="136"/>
      <c r="NIH1" s="136"/>
      <c r="NII1" s="136"/>
      <c r="NIJ1" s="136"/>
      <c r="NIK1" s="136"/>
      <c r="NIL1" s="136"/>
      <c r="NIM1" s="136"/>
      <c r="NIN1" s="136"/>
      <c r="NIO1" s="136"/>
      <c r="NIP1" s="136"/>
      <c r="NIQ1" s="136"/>
      <c r="NIR1" s="136"/>
      <c r="NIS1" s="136"/>
      <c r="NIT1" s="136"/>
      <c r="NIU1" s="136"/>
      <c r="NIV1" s="136"/>
      <c r="NIW1" s="136"/>
      <c r="NIX1" s="136"/>
      <c r="NIY1" s="136"/>
      <c r="NIZ1" s="136"/>
      <c r="NJA1" s="136"/>
      <c r="NJB1" s="136"/>
      <c r="NJC1" s="136"/>
      <c r="NJD1" s="136"/>
      <c r="NJE1" s="136"/>
      <c r="NJF1" s="136"/>
      <c r="NJG1" s="136"/>
      <c r="NJH1" s="136"/>
      <c r="NJI1" s="136"/>
      <c r="NJJ1" s="136"/>
      <c r="NJK1" s="136"/>
      <c r="NJL1" s="136"/>
      <c r="NJM1" s="136"/>
      <c r="NJN1" s="136"/>
      <c r="NJO1" s="136"/>
      <c r="NJP1" s="136"/>
      <c r="NJQ1" s="136"/>
      <c r="NJR1" s="136"/>
      <c r="NJS1" s="136"/>
      <c r="NJT1" s="136"/>
      <c r="NJU1" s="136"/>
      <c r="NJV1" s="136"/>
      <c r="NJW1" s="136"/>
      <c r="NJX1" s="136"/>
      <c r="NJY1" s="136"/>
      <c r="NJZ1" s="136"/>
      <c r="NKA1" s="136"/>
      <c r="NKB1" s="136"/>
      <c r="NKC1" s="136"/>
      <c r="NKD1" s="136"/>
      <c r="NKE1" s="136"/>
      <c r="NKF1" s="136"/>
      <c r="NKG1" s="136"/>
      <c r="NKH1" s="136"/>
      <c r="NKI1" s="136"/>
      <c r="NKJ1" s="136"/>
      <c r="NKK1" s="136"/>
      <c r="NKL1" s="136"/>
      <c r="NKM1" s="136"/>
      <c r="NKN1" s="136"/>
      <c r="NKO1" s="136"/>
      <c r="NKP1" s="136"/>
      <c r="NKQ1" s="136"/>
      <c r="NKR1" s="136"/>
      <c r="NKS1" s="136"/>
      <c r="NKT1" s="136"/>
      <c r="NKU1" s="136"/>
      <c r="NKV1" s="136"/>
      <c r="NKW1" s="136"/>
      <c r="NKX1" s="136"/>
      <c r="NKY1" s="136"/>
      <c r="NKZ1" s="136"/>
      <c r="NLA1" s="136"/>
      <c r="NLB1" s="136"/>
      <c r="NLC1" s="136"/>
      <c r="NLD1" s="136"/>
      <c r="NLE1" s="136"/>
      <c r="NLF1" s="136"/>
      <c r="NLG1" s="136"/>
      <c r="NLH1" s="136"/>
      <c r="NLI1" s="136"/>
      <c r="NLJ1" s="136"/>
      <c r="NLK1" s="136"/>
      <c r="NLL1" s="136"/>
      <c r="NLM1" s="136"/>
      <c r="NLN1" s="136"/>
      <c r="NLO1" s="136"/>
      <c r="NLP1" s="136"/>
      <c r="NLQ1" s="136"/>
      <c r="NLR1" s="136"/>
      <c r="NLS1" s="136"/>
      <c r="NLT1" s="136"/>
      <c r="NLU1" s="136"/>
      <c r="NLV1" s="136"/>
      <c r="NLW1" s="136"/>
      <c r="NLX1" s="136"/>
      <c r="NLY1" s="136"/>
      <c r="NLZ1" s="136"/>
      <c r="NMA1" s="136"/>
      <c r="NMB1" s="136"/>
      <c r="NMC1" s="136"/>
      <c r="NMD1" s="136"/>
      <c r="NME1" s="136"/>
      <c r="NMF1" s="136"/>
      <c r="NMG1" s="136"/>
      <c r="NMH1" s="136"/>
      <c r="NMI1" s="136"/>
      <c r="NMJ1" s="136"/>
      <c r="NMK1" s="136"/>
      <c r="NML1" s="136"/>
      <c r="NMM1" s="136"/>
      <c r="NMN1" s="136"/>
      <c r="NMO1" s="136"/>
      <c r="NMP1" s="136"/>
      <c r="NMQ1" s="136"/>
      <c r="NMR1" s="136"/>
      <c r="NMS1" s="136"/>
      <c r="NMT1" s="136"/>
      <c r="NMU1" s="136"/>
      <c r="NMV1" s="136"/>
      <c r="NMW1" s="136"/>
      <c r="NMX1" s="136"/>
      <c r="NMY1" s="136"/>
      <c r="NMZ1" s="136"/>
      <c r="NNA1" s="136"/>
      <c r="NNB1" s="136"/>
      <c r="NNC1" s="136"/>
      <c r="NND1" s="136"/>
      <c r="NNE1" s="136"/>
      <c r="NNF1" s="136"/>
      <c r="NNG1" s="136"/>
      <c r="NNH1" s="136"/>
      <c r="NNI1" s="136"/>
      <c r="NNJ1" s="136"/>
      <c r="NNK1" s="136"/>
      <c r="NNL1" s="136"/>
      <c r="NNM1" s="136"/>
      <c r="NNN1" s="136"/>
      <c r="NNO1" s="136"/>
      <c r="NNP1" s="136"/>
      <c r="NNQ1" s="136"/>
      <c r="NNR1" s="136"/>
      <c r="NNS1" s="136"/>
      <c r="NNT1" s="136"/>
      <c r="NNU1" s="136"/>
      <c r="NNV1" s="136"/>
      <c r="NNW1" s="136"/>
      <c r="NNX1" s="136"/>
      <c r="NNY1" s="136"/>
      <c r="NNZ1" s="136"/>
      <c r="NOA1" s="136"/>
      <c r="NOB1" s="136"/>
      <c r="NOC1" s="136"/>
      <c r="NOD1" s="136"/>
      <c r="NOE1" s="136"/>
      <c r="NOF1" s="136"/>
      <c r="NOG1" s="136"/>
      <c r="NOH1" s="136"/>
      <c r="NOI1" s="136"/>
      <c r="NOJ1" s="136"/>
      <c r="NOK1" s="136"/>
      <c r="NOL1" s="136"/>
      <c r="NOM1" s="136"/>
      <c r="NON1" s="136"/>
      <c r="NOO1" s="136"/>
      <c r="NOP1" s="136"/>
      <c r="NOQ1" s="136"/>
      <c r="NOR1" s="136"/>
      <c r="NOS1" s="136"/>
      <c r="NOT1" s="136"/>
      <c r="NOU1" s="136"/>
      <c r="NOV1" s="136"/>
      <c r="NOW1" s="136"/>
      <c r="NOX1" s="136"/>
      <c r="NOY1" s="136"/>
      <c r="NOZ1" s="136"/>
      <c r="NPA1" s="136"/>
      <c r="NPB1" s="136"/>
      <c r="NPC1" s="136"/>
      <c r="NPD1" s="136"/>
      <c r="NPE1" s="136"/>
      <c r="NPF1" s="136"/>
      <c r="NPG1" s="136"/>
      <c r="NPH1" s="136"/>
      <c r="NPI1" s="136"/>
      <c r="NPJ1" s="136"/>
      <c r="NPK1" s="136"/>
      <c r="NPL1" s="136"/>
      <c r="NPM1" s="136"/>
      <c r="NPN1" s="136"/>
      <c r="NPO1" s="136"/>
      <c r="NPP1" s="136"/>
      <c r="NPQ1" s="136"/>
      <c r="NPR1" s="136"/>
      <c r="NPS1" s="136"/>
      <c r="NPT1" s="136"/>
      <c r="NPU1" s="136"/>
      <c r="NPV1" s="136"/>
      <c r="NPW1" s="136"/>
      <c r="NPX1" s="136"/>
      <c r="NPY1" s="136"/>
      <c r="NPZ1" s="136"/>
      <c r="NQA1" s="136"/>
      <c r="NQB1" s="136"/>
      <c r="NQC1" s="136"/>
      <c r="NQD1" s="136"/>
      <c r="NQE1" s="136"/>
      <c r="NQF1" s="136"/>
      <c r="NQG1" s="136"/>
      <c r="NQH1" s="136"/>
      <c r="NQI1" s="136"/>
      <c r="NQJ1" s="136"/>
      <c r="NQK1" s="136"/>
      <c r="NQL1" s="136"/>
      <c r="NQM1" s="136"/>
      <c r="NQN1" s="136"/>
      <c r="NQO1" s="136"/>
      <c r="NQP1" s="136"/>
      <c r="NQQ1" s="136"/>
      <c r="NQR1" s="136"/>
      <c r="NQS1" s="136"/>
      <c r="NQT1" s="136"/>
      <c r="NQU1" s="136"/>
      <c r="NQV1" s="136"/>
      <c r="NQW1" s="136"/>
      <c r="NQX1" s="136"/>
      <c r="NQY1" s="136"/>
      <c r="NQZ1" s="136"/>
      <c r="NRA1" s="136"/>
      <c r="NRB1" s="136"/>
      <c r="NRC1" s="136"/>
      <c r="NRD1" s="136"/>
      <c r="NRE1" s="136"/>
      <c r="NRF1" s="136"/>
      <c r="NRG1" s="136"/>
      <c r="NRH1" s="136"/>
      <c r="NRI1" s="136"/>
      <c r="NRJ1" s="136"/>
      <c r="NRK1" s="136"/>
      <c r="NRL1" s="136"/>
      <c r="NRM1" s="136"/>
      <c r="NRN1" s="136"/>
      <c r="NRO1" s="136"/>
      <c r="NRP1" s="136"/>
      <c r="NRQ1" s="136"/>
      <c r="NRR1" s="136"/>
      <c r="NRS1" s="136"/>
      <c r="NRT1" s="136"/>
      <c r="NRU1" s="136"/>
      <c r="NRV1" s="136"/>
      <c r="NRW1" s="136"/>
      <c r="NRX1" s="136"/>
      <c r="NRY1" s="136"/>
      <c r="NRZ1" s="136"/>
      <c r="NSA1" s="136"/>
      <c r="NSB1" s="136"/>
      <c r="NSC1" s="136"/>
      <c r="NSD1" s="136"/>
      <c r="NSE1" s="136"/>
      <c r="NSF1" s="136"/>
      <c r="NSG1" s="136"/>
      <c r="NSH1" s="136"/>
      <c r="NSI1" s="136"/>
      <c r="NSJ1" s="136"/>
      <c r="NSK1" s="136"/>
      <c r="NSL1" s="136"/>
      <c r="NSM1" s="136"/>
      <c r="NSN1" s="136"/>
      <c r="NSO1" s="136"/>
      <c r="NSP1" s="136"/>
      <c r="NSQ1" s="136"/>
      <c r="NSR1" s="136"/>
      <c r="NSS1" s="136"/>
      <c r="NST1" s="136"/>
      <c r="NSU1" s="136"/>
      <c r="NSV1" s="136"/>
      <c r="NSW1" s="136"/>
      <c r="NSX1" s="136"/>
      <c r="NSY1" s="136"/>
      <c r="NSZ1" s="136"/>
      <c r="NTA1" s="136"/>
      <c r="NTB1" s="136"/>
      <c r="NTC1" s="136"/>
      <c r="NTD1" s="136"/>
      <c r="NTE1" s="136"/>
      <c r="NTF1" s="136"/>
      <c r="NTG1" s="136"/>
      <c r="NTH1" s="136"/>
      <c r="NTI1" s="136"/>
      <c r="NTJ1" s="136"/>
      <c r="NTK1" s="136"/>
      <c r="NTL1" s="136"/>
      <c r="NTM1" s="136"/>
      <c r="NTN1" s="136"/>
      <c r="NTO1" s="136"/>
      <c r="NTP1" s="136"/>
      <c r="NTQ1" s="136"/>
      <c r="NTR1" s="136"/>
      <c r="NTS1" s="136"/>
      <c r="NTT1" s="136"/>
      <c r="NTU1" s="136"/>
      <c r="NTV1" s="136"/>
      <c r="NTW1" s="136"/>
      <c r="NTX1" s="136"/>
      <c r="NTY1" s="136"/>
      <c r="NTZ1" s="136"/>
      <c r="NUA1" s="136"/>
      <c r="NUB1" s="136"/>
      <c r="NUC1" s="136"/>
      <c r="NUD1" s="136"/>
      <c r="NUE1" s="136"/>
      <c r="NUF1" s="136"/>
      <c r="NUG1" s="136"/>
      <c r="NUH1" s="136"/>
      <c r="NUI1" s="136"/>
      <c r="NUJ1" s="136"/>
      <c r="NUK1" s="136"/>
      <c r="NUL1" s="136"/>
      <c r="NUM1" s="136"/>
      <c r="NUN1" s="136"/>
      <c r="NUO1" s="136"/>
      <c r="NUP1" s="136"/>
      <c r="NUQ1" s="136"/>
      <c r="NUR1" s="136"/>
      <c r="NUS1" s="136"/>
      <c r="NUT1" s="136"/>
      <c r="NUU1" s="136"/>
      <c r="NUV1" s="136"/>
      <c r="NUW1" s="136"/>
      <c r="NUX1" s="136"/>
      <c r="NUY1" s="136"/>
      <c r="NUZ1" s="136"/>
      <c r="NVA1" s="136"/>
      <c r="NVB1" s="136"/>
      <c r="NVC1" s="136"/>
      <c r="NVD1" s="136"/>
      <c r="NVE1" s="136"/>
      <c r="NVF1" s="136"/>
      <c r="NVG1" s="136"/>
      <c r="NVH1" s="136"/>
      <c r="NVI1" s="136"/>
      <c r="NVJ1" s="136"/>
      <c r="NVK1" s="136"/>
      <c r="NVL1" s="136"/>
      <c r="NVM1" s="136"/>
      <c r="NVN1" s="136"/>
      <c r="NVO1" s="136"/>
      <c r="NVP1" s="136"/>
      <c r="NVQ1" s="136"/>
      <c r="NVR1" s="136"/>
      <c r="NVS1" s="136"/>
      <c r="NVT1" s="136"/>
      <c r="NVU1" s="136"/>
      <c r="NVV1" s="136"/>
      <c r="NVW1" s="136"/>
      <c r="NVX1" s="136"/>
      <c r="NVY1" s="136"/>
      <c r="NVZ1" s="136"/>
      <c r="NWA1" s="136"/>
      <c r="NWB1" s="136"/>
      <c r="NWC1" s="136"/>
      <c r="NWD1" s="136"/>
      <c r="NWE1" s="136"/>
      <c r="NWF1" s="136"/>
      <c r="NWG1" s="136"/>
      <c r="NWH1" s="136"/>
      <c r="NWI1" s="136"/>
      <c r="NWJ1" s="136"/>
      <c r="NWK1" s="136"/>
      <c r="NWL1" s="136"/>
      <c r="NWM1" s="136"/>
      <c r="NWN1" s="136"/>
      <c r="NWO1" s="136"/>
      <c r="NWP1" s="136"/>
      <c r="NWQ1" s="136"/>
      <c r="NWR1" s="136"/>
      <c r="NWS1" s="136"/>
      <c r="NWT1" s="136"/>
      <c r="NWU1" s="136"/>
      <c r="NWV1" s="136"/>
      <c r="NWW1" s="136"/>
      <c r="NWX1" s="136"/>
      <c r="NWY1" s="136"/>
      <c r="NWZ1" s="136"/>
      <c r="NXA1" s="136"/>
      <c r="NXB1" s="136"/>
      <c r="NXC1" s="136"/>
      <c r="NXD1" s="136"/>
      <c r="NXE1" s="136"/>
      <c r="NXF1" s="136"/>
      <c r="NXG1" s="136"/>
      <c r="NXH1" s="136"/>
      <c r="NXI1" s="136"/>
      <c r="NXJ1" s="136"/>
      <c r="NXK1" s="136"/>
      <c r="NXL1" s="136"/>
      <c r="NXM1" s="136"/>
      <c r="NXN1" s="136"/>
      <c r="NXO1" s="136"/>
      <c r="NXP1" s="136"/>
      <c r="NXQ1" s="136"/>
      <c r="NXR1" s="136"/>
      <c r="NXS1" s="136"/>
      <c r="NXT1" s="136"/>
      <c r="NXU1" s="136"/>
      <c r="NXV1" s="136"/>
      <c r="NXW1" s="136"/>
      <c r="NXX1" s="136"/>
      <c r="NXY1" s="136"/>
      <c r="NXZ1" s="136"/>
      <c r="NYA1" s="136"/>
      <c r="NYB1" s="136"/>
      <c r="NYC1" s="136"/>
      <c r="NYD1" s="136"/>
      <c r="NYE1" s="136"/>
      <c r="NYF1" s="136"/>
      <c r="NYG1" s="136"/>
      <c r="NYH1" s="136"/>
      <c r="NYI1" s="136"/>
      <c r="NYJ1" s="136"/>
      <c r="NYK1" s="136"/>
      <c r="NYL1" s="136"/>
      <c r="NYM1" s="136"/>
      <c r="NYN1" s="136"/>
      <c r="NYO1" s="136"/>
      <c r="NYP1" s="136"/>
      <c r="NYQ1" s="136"/>
      <c r="NYR1" s="136"/>
      <c r="NYS1" s="136"/>
      <c r="NYT1" s="136"/>
      <c r="NYU1" s="136"/>
      <c r="NYV1" s="136"/>
      <c r="NYW1" s="136"/>
      <c r="NYX1" s="136"/>
      <c r="NYY1" s="136"/>
      <c r="NYZ1" s="136"/>
      <c r="NZA1" s="136"/>
      <c r="NZB1" s="136"/>
      <c r="NZC1" s="136"/>
      <c r="NZD1" s="136"/>
      <c r="NZE1" s="136"/>
      <c r="NZF1" s="136"/>
      <c r="NZG1" s="136"/>
      <c r="NZH1" s="136"/>
      <c r="NZI1" s="136"/>
      <c r="NZJ1" s="136"/>
      <c r="NZK1" s="136"/>
      <c r="NZL1" s="136"/>
      <c r="NZM1" s="136"/>
      <c r="NZN1" s="136"/>
      <c r="NZO1" s="136"/>
      <c r="NZP1" s="136"/>
      <c r="NZQ1" s="136"/>
      <c r="NZR1" s="136"/>
      <c r="NZS1" s="136"/>
      <c r="NZT1" s="136"/>
      <c r="NZU1" s="136"/>
      <c r="NZV1" s="136"/>
      <c r="NZW1" s="136"/>
      <c r="NZX1" s="136"/>
      <c r="NZY1" s="136"/>
      <c r="NZZ1" s="136"/>
      <c r="OAA1" s="136"/>
      <c r="OAB1" s="136"/>
      <c r="OAC1" s="136"/>
      <c r="OAD1" s="136"/>
      <c r="OAE1" s="136"/>
      <c r="OAF1" s="136"/>
      <c r="OAG1" s="136"/>
      <c r="OAH1" s="136"/>
      <c r="OAI1" s="136"/>
      <c r="OAJ1" s="136"/>
      <c r="OAK1" s="136"/>
      <c r="OAL1" s="136"/>
      <c r="OAM1" s="136"/>
      <c r="OAN1" s="136"/>
      <c r="OAO1" s="136"/>
      <c r="OAP1" s="136"/>
      <c r="OAQ1" s="136"/>
      <c r="OAR1" s="136"/>
      <c r="OAS1" s="136"/>
      <c r="OAT1" s="136"/>
      <c r="OAU1" s="136"/>
      <c r="OAV1" s="136"/>
      <c r="OAW1" s="136"/>
      <c r="OAX1" s="136"/>
      <c r="OAY1" s="136"/>
      <c r="OAZ1" s="136"/>
      <c r="OBA1" s="136"/>
      <c r="OBB1" s="136"/>
      <c r="OBC1" s="136"/>
      <c r="OBD1" s="136"/>
      <c r="OBE1" s="136"/>
      <c r="OBF1" s="136"/>
      <c r="OBG1" s="136"/>
      <c r="OBH1" s="136"/>
      <c r="OBI1" s="136"/>
      <c r="OBJ1" s="136"/>
      <c r="OBK1" s="136"/>
      <c r="OBL1" s="136"/>
      <c r="OBM1" s="136"/>
      <c r="OBN1" s="136"/>
      <c r="OBO1" s="136"/>
      <c r="OBP1" s="136"/>
      <c r="OBQ1" s="136"/>
      <c r="OBR1" s="136"/>
      <c r="OBS1" s="136"/>
      <c r="OBT1" s="136"/>
      <c r="OBU1" s="136"/>
      <c r="OBV1" s="136"/>
      <c r="OBW1" s="136"/>
      <c r="OBX1" s="136"/>
      <c r="OBY1" s="136"/>
      <c r="OBZ1" s="136"/>
      <c r="OCA1" s="136"/>
      <c r="OCB1" s="136"/>
      <c r="OCC1" s="136"/>
      <c r="OCD1" s="136"/>
      <c r="OCE1" s="136"/>
      <c r="OCF1" s="136"/>
      <c r="OCG1" s="136"/>
      <c r="OCH1" s="136"/>
      <c r="OCI1" s="136"/>
      <c r="OCJ1" s="136"/>
      <c r="OCK1" s="136"/>
      <c r="OCL1" s="136"/>
      <c r="OCM1" s="136"/>
      <c r="OCN1" s="136"/>
      <c r="OCO1" s="136"/>
      <c r="OCP1" s="136"/>
      <c r="OCQ1" s="136"/>
      <c r="OCR1" s="136"/>
      <c r="OCS1" s="136"/>
      <c r="OCT1" s="136"/>
      <c r="OCU1" s="136"/>
      <c r="OCV1" s="136"/>
      <c r="OCW1" s="136"/>
      <c r="OCX1" s="136"/>
      <c r="OCY1" s="136"/>
      <c r="OCZ1" s="136"/>
      <c r="ODA1" s="136"/>
      <c r="ODB1" s="136"/>
      <c r="ODC1" s="136"/>
      <c r="ODD1" s="136"/>
      <c r="ODE1" s="136"/>
      <c r="ODF1" s="136"/>
      <c r="ODG1" s="136"/>
      <c r="ODH1" s="136"/>
      <c r="ODI1" s="136"/>
      <c r="ODJ1" s="136"/>
      <c r="ODK1" s="136"/>
      <c r="ODL1" s="136"/>
      <c r="ODM1" s="136"/>
      <c r="ODN1" s="136"/>
      <c r="ODO1" s="136"/>
      <c r="ODP1" s="136"/>
      <c r="ODQ1" s="136"/>
      <c r="ODR1" s="136"/>
      <c r="ODS1" s="136"/>
      <c r="ODT1" s="136"/>
      <c r="ODU1" s="136"/>
      <c r="ODV1" s="136"/>
      <c r="ODW1" s="136"/>
      <c r="ODX1" s="136"/>
      <c r="ODY1" s="136"/>
      <c r="ODZ1" s="136"/>
      <c r="OEA1" s="136"/>
      <c r="OEB1" s="136"/>
      <c r="OEC1" s="136"/>
      <c r="OED1" s="136"/>
      <c r="OEE1" s="136"/>
      <c r="OEF1" s="136"/>
      <c r="OEG1" s="136"/>
      <c r="OEH1" s="136"/>
      <c r="OEI1" s="136"/>
      <c r="OEJ1" s="136"/>
      <c r="OEK1" s="136"/>
      <c r="OEL1" s="136"/>
      <c r="OEM1" s="136"/>
      <c r="OEN1" s="136"/>
      <c r="OEO1" s="136"/>
      <c r="OEP1" s="136"/>
      <c r="OEQ1" s="136"/>
      <c r="OER1" s="136"/>
      <c r="OES1" s="136"/>
      <c r="OET1" s="136"/>
      <c r="OEU1" s="136"/>
      <c r="OEV1" s="136"/>
      <c r="OEW1" s="136"/>
      <c r="OEX1" s="136"/>
      <c r="OEY1" s="136"/>
      <c r="OEZ1" s="136"/>
      <c r="OFA1" s="136"/>
      <c r="OFB1" s="136"/>
      <c r="OFC1" s="136"/>
      <c r="OFD1" s="136"/>
      <c r="OFE1" s="136"/>
      <c r="OFF1" s="136"/>
      <c r="OFG1" s="136"/>
      <c r="OFH1" s="136"/>
      <c r="OFI1" s="136"/>
      <c r="OFJ1" s="136"/>
      <c r="OFK1" s="136"/>
      <c r="OFL1" s="136"/>
      <c r="OFM1" s="136"/>
      <c r="OFN1" s="136"/>
      <c r="OFO1" s="136"/>
      <c r="OFP1" s="136"/>
      <c r="OFQ1" s="136"/>
      <c r="OFR1" s="136"/>
      <c r="OFS1" s="136"/>
      <c r="OFT1" s="136"/>
      <c r="OFU1" s="136"/>
      <c r="OFV1" s="136"/>
      <c r="OFW1" s="136"/>
      <c r="OFX1" s="136"/>
      <c r="OFY1" s="136"/>
      <c r="OFZ1" s="136"/>
      <c r="OGA1" s="136"/>
      <c r="OGB1" s="136"/>
      <c r="OGC1" s="136"/>
      <c r="OGD1" s="136"/>
      <c r="OGE1" s="136"/>
      <c r="OGF1" s="136"/>
      <c r="OGG1" s="136"/>
      <c r="OGH1" s="136"/>
      <c r="OGI1" s="136"/>
      <c r="OGJ1" s="136"/>
      <c r="OGK1" s="136"/>
      <c r="OGL1" s="136"/>
      <c r="OGM1" s="136"/>
      <c r="OGN1" s="136"/>
      <c r="OGO1" s="136"/>
      <c r="OGP1" s="136"/>
      <c r="OGQ1" s="136"/>
      <c r="OGR1" s="136"/>
      <c r="OGS1" s="136"/>
      <c r="OGT1" s="136"/>
      <c r="OGU1" s="136"/>
      <c r="OGV1" s="136"/>
      <c r="OGW1" s="136"/>
      <c r="OGX1" s="136"/>
      <c r="OGY1" s="136"/>
      <c r="OGZ1" s="136"/>
      <c r="OHA1" s="136"/>
      <c r="OHB1" s="136"/>
      <c r="OHC1" s="136"/>
      <c r="OHD1" s="136"/>
      <c r="OHE1" s="136"/>
      <c r="OHF1" s="136"/>
      <c r="OHG1" s="136"/>
      <c r="OHH1" s="136"/>
      <c r="OHI1" s="136"/>
      <c r="OHJ1" s="136"/>
      <c r="OHK1" s="136"/>
      <c r="OHL1" s="136"/>
      <c r="OHM1" s="136"/>
      <c r="OHN1" s="136"/>
      <c r="OHO1" s="136"/>
      <c r="OHP1" s="136"/>
      <c r="OHQ1" s="136"/>
      <c r="OHR1" s="136"/>
      <c r="OHS1" s="136"/>
      <c r="OHT1" s="136"/>
      <c r="OHU1" s="136"/>
      <c r="OHV1" s="136"/>
      <c r="OHW1" s="136"/>
      <c r="OHX1" s="136"/>
      <c r="OHY1" s="136"/>
      <c r="OHZ1" s="136"/>
      <c r="OIA1" s="136"/>
      <c r="OIB1" s="136"/>
      <c r="OIC1" s="136"/>
      <c r="OID1" s="136"/>
      <c r="OIE1" s="136"/>
      <c r="OIF1" s="136"/>
      <c r="OIG1" s="136"/>
      <c r="OIH1" s="136"/>
      <c r="OII1" s="136"/>
      <c r="OIJ1" s="136"/>
      <c r="OIK1" s="136"/>
      <c r="OIL1" s="136"/>
      <c r="OIM1" s="136"/>
      <c r="OIN1" s="136"/>
      <c r="OIO1" s="136"/>
      <c r="OIP1" s="136"/>
      <c r="OIQ1" s="136"/>
      <c r="OIR1" s="136"/>
      <c r="OIS1" s="136"/>
      <c r="OIT1" s="136"/>
      <c r="OIU1" s="136"/>
      <c r="OIV1" s="136"/>
      <c r="OIW1" s="136"/>
      <c r="OIX1" s="136"/>
      <c r="OIY1" s="136"/>
      <c r="OIZ1" s="136"/>
      <c r="OJA1" s="136"/>
      <c r="OJB1" s="136"/>
      <c r="OJC1" s="136"/>
      <c r="OJD1" s="136"/>
      <c r="OJE1" s="136"/>
      <c r="OJF1" s="136"/>
      <c r="OJG1" s="136"/>
      <c r="OJH1" s="136"/>
      <c r="OJI1" s="136"/>
      <c r="OJJ1" s="136"/>
      <c r="OJK1" s="136"/>
      <c r="OJL1" s="136"/>
      <c r="OJM1" s="136"/>
      <c r="OJN1" s="136"/>
      <c r="OJO1" s="136"/>
      <c r="OJP1" s="136"/>
      <c r="OJQ1" s="136"/>
      <c r="OJR1" s="136"/>
      <c r="OJS1" s="136"/>
      <c r="OJT1" s="136"/>
      <c r="OJU1" s="136"/>
      <c r="OJV1" s="136"/>
      <c r="OJW1" s="136"/>
      <c r="OJX1" s="136"/>
      <c r="OJY1" s="136"/>
      <c r="OJZ1" s="136"/>
      <c r="OKA1" s="136"/>
      <c r="OKB1" s="136"/>
      <c r="OKC1" s="136"/>
      <c r="OKD1" s="136"/>
      <c r="OKE1" s="136"/>
      <c r="OKF1" s="136"/>
      <c r="OKG1" s="136"/>
      <c r="OKH1" s="136"/>
      <c r="OKI1" s="136"/>
      <c r="OKJ1" s="136"/>
      <c r="OKK1" s="136"/>
      <c r="OKL1" s="136"/>
      <c r="OKM1" s="136"/>
      <c r="OKN1" s="136"/>
      <c r="OKO1" s="136"/>
      <c r="OKP1" s="136"/>
      <c r="OKQ1" s="136"/>
      <c r="OKR1" s="136"/>
      <c r="OKS1" s="136"/>
      <c r="OKT1" s="136"/>
      <c r="OKU1" s="136"/>
      <c r="OKV1" s="136"/>
      <c r="OKW1" s="136"/>
      <c r="OKX1" s="136"/>
      <c r="OKY1" s="136"/>
      <c r="OKZ1" s="136"/>
      <c r="OLA1" s="136"/>
      <c r="OLB1" s="136"/>
      <c r="OLC1" s="136"/>
      <c r="OLD1" s="136"/>
      <c r="OLE1" s="136"/>
      <c r="OLF1" s="136"/>
      <c r="OLG1" s="136"/>
      <c r="OLH1" s="136"/>
      <c r="OLI1" s="136"/>
      <c r="OLJ1" s="136"/>
      <c r="OLK1" s="136"/>
      <c r="OLL1" s="136"/>
      <c r="OLM1" s="136"/>
      <c r="OLN1" s="136"/>
      <c r="OLO1" s="136"/>
      <c r="OLP1" s="136"/>
      <c r="OLQ1" s="136"/>
      <c r="OLR1" s="136"/>
      <c r="OLS1" s="136"/>
      <c r="OLT1" s="136"/>
      <c r="OLU1" s="136"/>
      <c r="OLV1" s="136"/>
      <c r="OLW1" s="136"/>
      <c r="OLX1" s="136"/>
      <c r="OLY1" s="136"/>
      <c r="OLZ1" s="136"/>
      <c r="OMA1" s="136"/>
      <c r="OMB1" s="136"/>
      <c r="OMC1" s="136"/>
      <c r="OMD1" s="136"/>
      <c r="OME1" s="136"/>
      <c r="OMF1" s="136"/>
      <c r="OMG1" s="136"/>
      <c r="OMH1" s="136"/>
      <c r="OMI1" s="136"/>
      <c r="OMJ1" s="136"/>
      <c r="OMK1" s="136"/>
      <c r="OML1" s="136"/>
      <c r="OMM1" s="136"/>
      <c r="OMN1" s="136"/>
      <c r="OMO1" s="136"/>
      <c r="OMP1" s="136"/>
      <c r="OMQ1" s="136"/>
      <c r="OMR1" s="136"/>
      <c r="OMS1" s="136"/>
      <c r="OMT1" s="136"/>
      <c r="OMU1" s="136"/>
      <c r="OMV1" s="136"/>
      <c r="OMW1" s="136"/>
      <c r="OMX1" s="136"/>
      <c r="OMY1" s="136"/>
      <c r="OMZ1" s="136"/>
      <c r="ONA1" s="136"/>
      <c r="ONB1" s="136"/>
      <c r="ONC1" s="136"/>
      <c r="OND1" s="136"/>
      <c r="ONE1" s="136"/>
      <c r="ONF1" s="136"/>
      <c r="ONG1" s="136"/>
      <c r="ONH1" s="136"/>
      <c r="ONI1" s="136"/>
      <c r="ONJ1" s="136"/>
      <c r="ONK1" s="136"/>
      <c r="ONL1" s="136"/>
      <c r="ONM1" s="136"/>
      <c r="ONN1" s="136"/>
      <c r="ONO1" s="136"/>
      <c r="ONP1" s="136"/>
      <c r="ONQ1" s="136"/>
      <c r="ONR1" s="136"/>
      <c r="ONS1" s="136"/>
      <c r="ONT1" s="136"/>
      <c r="ONU1" s="136"/>
      <c r="ONV1" s="136"/>
      <c r="ONW1" s="136"/>
      <c r="ONX1" s="136"/>
      <c r="ONY1" s="136"/>
      <c r="ONZ1" s="136"/>
      <c r="OOA1" s="136"/>
      <c r="OOB1" s="136"/>
      <c r="OOC1" s="136"/>
      <c r="OOD1" s="136"/>
      <c r="OOE1" s="136"/>
      <c r="OOF1" s="136"/>
      <c r="OOG1" s="136"/>
      <c r="OOH1" s="136"/>
      <c r="OOI1" s="136"/>
      <c r="OOJ1" s="136"/>
      <c r="OOK1" s="136"/>
      <c r="OOL1" s="136"/>
      <c r="OOM1" s="136"/>
      <c r="OON1" s="136"/>
      <c r="OOO1" s="136"/>
      <c r="OOP1" s="136"/>
      <c r="OOQ1" s="136"/>
      <c r="OOR1" s="136"/>
      <c r="OOS1" s="136"/>
      <c r="OOT1" s="136"/>
      <c r="OOU1" s="136"/>
      <c r="OOV1" s="136"/>
      <c r="OOW1" s="136"/>
      <c r="OOX1" s="136"/>
      <c r="OOY1" s="136"/>
      <c r="OOZ1" s="136"/>
      <c r="OPA1" s="136"/>
      <c r="OPB1" s="136"/>
      <c r="OPC1" s="136"/>
      <c r="OPD1" s="136"/>
      <c r="OPE1" s="136"/>
      <c r="OPF1" s="136"/>
      <c r="OPG1" s="136"/>
      <c r="OPH1" s="136"/>
      <c r="OPI1" s="136"/>
      <c r="OPJ1" s="136"/>
      <c r="OPK1" s="136"/>
      <c r="OPL1" s="136"/>
      <c r="OPM1" s="136"/>
      <c r="OPN1" s="136"/>
      <c r="OPO1" s="136"/>
      <c r="OPP1" s="136"/>
      <c r="OPQ1" s="136"/>
      <c r="OPR1" s="136"/>
      <c r="OPS1" s="136"/>
      <c r="OPT1" s="136"/>
      <c r="OPU1" s="136"/>
      <c r="OPV1" s="136"/>
      <c r="OPW1" s="136"/>
      <c r="OPX1" s="136"/>
      <c r="OPY1" s="136"/>
      <c r="OPZ1" s="136"/>
      <c r="OQA1" s="136"/>
      <c r="OQB1" s="136"/>
      <c r="OQC1" s="136"/>
      <c r="OQD1" s="136"/>
      <c r="OQE1" s="136"/>
      <c r="OQF1" s="136"/>
      <c r="OQG1" s="136"/>
      <c r="OQH1" s="136"/>
      <c r="OQI1" s="136"/>
      <c r="OQJ1" s="136"/>
      <c r="OQK1" s="136"/>
      <c r="OQL1" s="136"/>
      <c r="OQM1" s="136"/>
      <c r="OQN1" s="136"/>
      <c r="OQO1" s="136"/>
      <c r="OQP1" s="136"/>
      <c r="OQQ1" s="136"/>
      <c r="OQR1" s="136"/>
      <c r="OQS1" s="136"/>
      <c r="OQT1" s="136"/>
      <c r="OQU1" s="136"/>
      <c r="OQV1" s="136"/>
      <c r="OQW1" s="136"/>
      <c r="OQX1" s="136"/>
      <c r="OQY1" s="136"/>
      <c r="OQZ1" s="136"/>
      <c r="ORA1" s="136"/>
      <c r="ORB1" s="136"/>
      <c r="ORC1" s="136"/>
      <c r="ORD1" s="136"/>
      <c r="ORE1" s="136"/>
      <c r="ORF1" s="136"/>
      <c r="ORG1" s="136"/>
      <c r="ORH1" s="136"/>
      <c r="ORI1" s="136"/>
      <c r="ORJ1" s="136"/>
      <c r="ORK1" s="136"/>
      <c r="ORL1" s="136"/>
      <c r="ORM1" s="136"/>
      <c r="ORN1" s="136"/>
      <c r="ORO1" s="136"/>
      <c r="ORP1" s="136"/>
      <c r="ORQ1" s="136"/>
      <c r="ORR1" s="136"/>
      <c r="ORS1" s="136"/>
      <c r="ORT1" s="136"/>
      <c r="ORU1" s="136"/>
      <c r="ORV1" s="136"/>
      <c r="ORW1" s="136"/>
      <c r="ORX1" s="136"/>
      <c r="ORY1" s="136"/>
      <c r="ORZ1" s="136"/>
      <c r="OSA1" s="136"/>
      <c r="OSB1" s="136"/>
      <c r="OSC1" s="136"/>
      <c r="OSD1" s="136"/>
      <c r="OSE1" s="136"/>
      <c r="OSF1" s="136"/>
      <c r="OSG1" s="136"/>
      <c r="OSH1" s="136"/>
      <c r="OSI1" s="136"/>
      <c r="OSJ1" s="136"/>
      <c r="OSK1" s="136"/>
      <c r="OSL1" s="136"/>
      <c r="OSM1" s="136"/>
      <c r="OSN1" s="136"/>
      <c r="OSO1" s="136"/>
      <c r="OSP1" s="136"/>
      <c r="OSQ1" s="136"/>
      <c r="OSR1" s="136"/>
      <c r="OSS1" s="136"/>
      <c r="OST1" s="136"/>
      <c r="OSU1" s="136"/>
      <c r="OSV1" s="136"/>
      <c r="OSW1" s="136"/>
      <c r="OSX1" s="136"/>
      <c r="OSY1" s="136"/>
      <c r="OSZ1" s="136"/>
      <c r="OTA1" s="136"/>
      <c r="OTB1" s="136"/>
      <c r="OTC1" s="136"/>
      <c r="OTD1" s="136"/>
      <c r="OTE1" s="136"/>
      <c r="OTF1" s="136"/>
      <c r="OTG1" s="136"/>
      <c r="OTH1" s="136"/>
      <c r="OTI1" s="136"/>
      <c r="OTJ1" s="136"/>
      <c r="OTK1" s="136"/>
      <c r="OTL1" s="136"/>
      <c r="OTM1" s="136"/>
      <c r="OTN1" s="136"/>
      <c r="OTO1" s="136"/>
      <c r="OTP1" s="136"/>
      <c r="OTQ1" s="136"/>
      <c r="OTR1" s="136"/>
      <c r="OTS1" s="136"/>
      <c r="OTT1" s="136"/>
      <c r="OTU1" s="136"/>
      <c r="OTV1" s="136"/>
      <c r="OTW1" s="136"/>
      <c r="OTX1" s="136"/>
      <c r="OTY1" s="136"/>
      <c r="OTZ1" s="136"/>
      <c r="OUA1" s="136"/>
      <c r="OUB1" s="136"/>
      <c r="OUC1" s="136"/>
      <c r="OUD1" s="136"/>
      <c r="OUE1" s="136"/>
      <c r="OUF1" s="136"/>
      <c r="OUG1" s="136"/>
      <c r="OUH1" s="136"/>
      <c r="OUI1" s="136"/>
      <c r="OUJ1" s="136"/>
      <c r="OUK1" s="136"/>
      <c r="OUL1" s="136"/>
      <c r="OUM1" s="136"/>
      <c r="OUN1" s="136"/>
      <c r="OUO1" s="136"/>
      <c r="OUP1" s="136"/>
      <c r="OUQ1" s="136"/>
      <c r="OUR1" s="136"/>
      <c r="OUS1" s="136"/>
      <c r="OUT1" s="136"/>
      <c r="OUU1" s="136"/>
      <c r="OUV1" s="136"/>
      <c r="OUW1" s="136"/>
      <c r="OUX1" s="136"/>
      <c r="OUY1" s="136"/>
      <c r="OUZ1" s="136"/>
      <c r="OVA1" s="136"/>
      <c r="OVB1" s="136"/>
      <c r="OVC1" s="136"/>
      <c r="OVD1" s="136"/>
      <c r="OVE1" s="136"/>
      <c r="OVF1" s="136"/>
      <c r="OVG1" s="136"/>
      <c r="OVH1" s="136"/>
      <c r="OVI1" s="136"/>
      <c r="OVJ1" s="136"/>
      <c r="OVK1" s="136"/>
      <c r="OVL1" s="136"/>
      <c r="OVM1" s="136"/>
      <c r="OVN1" s="136"/>
      <c r="OVO1" s="136"/>
      <c r="OVP1" s="136"/>
      <c r="OVQ1" s="136"/>
      <c r="OVR1" s="136"/>
      <c r="OVS1" s="136"/>
      <c r="OVT1" s="136"/>
      <c r="OVU1" s="136"/>
      <c r="OVV1" s="136"/>
      <c r="OVW1" s="136"/>
      <c r="OVX1" s="136"/>
      <c r="OVY1" s="136"/>
      <c r="OVZ1" s="136"/>
      <c r="OWA1" s="136"/>
      <c r="OWB1" s="136"/>
      <c r="OWC1" s="136"/>
      <c r="OWD1" s="136"/>
      <c r="OWE1" s="136"/>
      <c r="OWF1" s="136"/>
      <c r="OWG1" s="136"/>
      <c r="OWH1" s="136"/>
      <c r="OWI1" s="136"/>
      <c r="OWJ1" s="136"/>
      <c r="OWK1" s="136"/>
      <c r="OWL1" s="136"/>
      <c r="OWM1" s="136"/>
      <c r="OWN1" s="136"/>
      <c r="OWO1" s="136"/>
      <c r="OWP1" s="136"/>
      <c r="OWQ1" s="136"/>
      <c r="OWR1" s="136"/>
      <c r="OWS1" s="136"/>
      <c r="OWT1" s="136"/>
      <c r="OWU1" s="136"/>
      <c r="OWV1" s="136"/>
      <c r="OWW1" s="136"/>
      <c r="OWX1" s="136"/>
      <c r="OWY1" s="136"/>
      <c r="OWZ1" s="136"/>
      <c r="OXA1" s="136"/>
      <c r="OXB1" s="136"/>
      <c r="OXC1" s="136"/>
      <c r="OXD1" s="136"/>
      <c r="OXE1" s="136"/>
      <c r="OXF1" s="136"/>
      <c r="OXG1" s="136"/>
      <c r="OXH1" s="136"/>
      <c r="OXI1" s="136"/>
      <c r="OXJ1" s="136"/>
      <c r="OXK1" s="136"/>
      <c r="OXL1" s="136"/>
      <c r="OXM1" s="136"/>
      <c r="OXN1" s="136"/>
      <c r="OXO1" s="136"/>
      <c r="OXP1" s="136"/>
      <c r="OXQ1" s="136"/>
      <c r="OXR1" s="136"/>
      <c r="OXS1" s="136"/>
      <c r="OXT1" s="136"/>
      <c r="OXU1" s="136"/>
      <c r="OXV1" s="136"/>
      <c r="OXW1" s="136"/>
      <c r="OXX1" s="136"/>
      <c r="OXY1" s="136"/>
      <c r="OXZ1" s="136"/>
      <c r="OYA1" s="136"/>
      <c r="OYB1" s="136"/>
      <c r="OYC1" s="136"/>
      <c r="OYD1" s="136"/>
      <c r="OYE1" s="136"/>
      <c r="OYF1" s="136"/>
      <c r="OYG1" s="136"/>
      <c r="OYH1" s="136"/>
      <c r="OYI1" s="136"/>
      <c r="OYJ1" s="136"/>
      <c r="OYK1" s="136"/>
      <c r="OYL1" s="136"/>
      <c r="OYM1" s="136"/>
      <c r="OYN1" s="136"/>
      <c r="OYO1" s="136"/>
      <c r="OYP1" s="136"/>
      <c r="OYQ1" s="136"/>
      <c r="OYR1" s="136"/>
      <c r="OYS1" s="136"/>
      <c r="OYT1" s="136"/>
      <c r="OYU1" s="136"/>
      <c r="OYV1" s="136"/>
      <c r="OYW1" s="136"/>
      <c r="OYX1" s="136"/>
      <c r="OYY1" s="136"/>
      <c r="OYZ1" s="136"/>
      <c r="OZA1" s="136"/>
      <c r="OZB1" s="136"/>
      <c r="OZC1" s="136"/>
      <c r="OZD1" s="136"/>
      <c r="OZE1" s="136"/>
      <c r="OZF1" s="136"/>
      <c r="OZG1" s="136"/>
      <c r="OZH1" s="136"/>
      <c r="OZI1" s="136"/>
      <c r="OZJ1" s="136"/>
      <c r="OZK1" s="136"/>
      <c r="OZL1" s="136"/>
      <c r="OZM1" s="136"/>
      <c r="OZN1" s="136"/>
      <c r="OZO1" s="136"/>
      <c r="OZP1" s="136"/>
      <c r="OZQ1" s="136"/>
      <c r="OZR1" s="136"/>
      <c r="OZS1" s="136"/>
      <c r="OZT1" s="136"/>
      <c r="OZU1" s="136"/>
      <c r="OZV1" s="136"/>
      <c r="OZW1" s="136"/>
      <c r="OZX1" s="136"/>
      <c r="OZY1" s="136"/>
      <c r="OZZ1" s="136"/>
      <c r="PAA1" s="136"/>
      <c r="PAB1" s="136"/>
      <c r="PAC1" s="136"/>
      <c r="PAD1" s="136"/>
      <c r="PAE1" s="136"/>
      <c r="PAF1" s="136"/>
      <c r="PAG1" s="136"/>
      <c r="PAH1" s="136"/>
      <c r="PAI1" s="136"/>
      <c r="PAJ1" s="136"/>
      <c r="PAK1" s="136"/>
      <c r="PAL1" s="136"/>
      <c r="PAM1" s="136"/>
      <c r="PAN1" s="136"/>
      <c r="PAO1" s="136"/>
      <c r="PAP1" s="136"/>
      <c r="PAQ1" s="136"/>
      <c r="PAR1" s="136"/>
      <c r="PAS1" s="136"/>
      <c r="PAT1" s="136"/>
      <c r="PAU1" s="136"/>
      <c r="PAV1" s="136"/>
      <c r="PAW1" s="136"/>
      <c r="PAX1" s="136"/>
      <c r="PAY1" s="136"/>
      <c r="PAZ1" s="136"/>
      <c r="PBA1" s="136"/>
      <c r="PBB1" s="136"/>
      <c r="PBC1" s="136"/>
      <c r="PBD1" s="136"/>
      <c r="PBE1" s="136"/>
      <c r="PBF1" s="136"/>
      <c r="PBG1" s="136"/>
      <c r="PBH1" s="136"/>
      <c r="PBI1" s="136"/>
      <c r="PBJ1" s="136"/>
      <c r="PBK1" s="136"/>
      <c r="PBL1" s="136"/>
      <c r="PBM1" s="136"/>
      <c r="PBN1" s="136"/>
      <c r="PBO1" s="136"/>
      <c r="PBP1" s="136"/>
      <c r="PBQ1" s="136"/>
      <c r="PBR1" s="136"/>
      <c r="PBS1" s="136"/>
      <c r="PBT1" s="136"/>
      <c r="PBU1" s="136"/>
      <c r="PBV1" s="136"/>
      <c r="PBW1" s="136"/>
      <c r="PBX1" s="136"/>
      <c r="PBY1" s="136"/>
      <c r="PBZ1" s="136"/>
      <c r="PCA1" s="136"/>
      <c r="PCB1" s="136"/>
      <c r="PCC1" s="136"/>
      <c r="PCD1" s="136"/>
      <c r="PCE1" s="136"/>
      <c r="PCF1" s="136"/>
      <c r="PCG1" s="136"/>
      <c r="PCH1" s="136"/>
      <c r="PCI1" s="136"/>
      <c r="PCJ1" s="136"/>
      <c r="PCK1" s="136"/>
      <c r="PCL1" s="136"/>
      <c r="PCM1" s="136"/>
      <c r="PCN1" s="136"/>
      <c r="PCO1" s="136"/>
      <c r="PCP1" s="136"/>
      <c r="PCQ1" s="136"/>
      <c r="PCR1" s="136"/>
      <c r="PCS1" s="136"/>
      <c r="PCT1" s="136"/>
      <c r="PCU1" s="136"/>
      <c r="PCV1" s="136"/>
      <c r="PCW1" s="136"/>
      <c r="PCX1" s="136"/>
      <c r="PCY1" s="136"/>
      <c r="PCZ1" s="136"/>
      <c r="PDA1" s="136"/>
      <c r="PDB1" s="136"/>
      <c r="PDC1" s="136"/>
      <c r="PDD1" s="136"/>
      <c r="PDE1" s="136"/>
      <c r="PDF1" s="136"/>
      <c r="PDG1" s="136"/>
      <c r="PDH1" s="136"/>
      <c r="PDI1" s="136"/>
      <c r="PDJ1" s="136"/>
      <c r="PDK1" s="136"/>
      <c r="PDL1" s="136"/>
      <c r="PDM1" s="136"/>
      <c r="PDN1" s="136"/>
      <c r="PDO1" s="136"/>
      <c r="PDP1" s="136"/>
      <c r="PDQ1" s="136"/>
      <c r="PDR1" s="136"/>
      <c r="PDS1" s="136"/>
      <c r="PDT1" s="136"/>
      <c r="PDU1" s="136"/>
      <c r="PDV1" s="136"/>
      <c r="PDW1" s="136"/>
      <c r="PDX1" s="136"/>
      <c r="PDY1" s="136"/>
      <c r="PDZ1" s="136"/>
      <c r="PEA1" s="136"/>
      <c r="PEB1" s="136"/>
      <c r="PEC1" s="136"/>
      <c r="PED1" s="136"/>
      <c r="PEE1" s="136"/>
      <c r="PEF1" s="136"/>
      <c r="PEG1" s="136"/>
      <c r="PEH1" s="136"/>
      <c r="PEI1" s="136"/>
      <c r="PEJ1" s="136"/>
      <c r="PEK1" s="136"/>
      <c r="PEL1" s="136"/>
      <c r="PEM1" s="136"/>
      <c r="PEN1" s="136"/>
      <c r="PEO1" s="136"/>
      <c r="PEP1" s="136"/>
      <c r="PEQ1" s="136"/>
      <c r="PER1" s="136"/>
      <c r="PES1" s="136"/>
      <c r="PET1" s="136"/>
      <c r="PEU1" s="136"/>
      <c r="PEV1" s="136"/>
      <c r="PEW1" s="136"/>
      <c r="PEX1" s="136"/>
      <c r="PEY1" s="136"/>
      <c r="PEZ1" s="136"/>
      <c r="PFA1" s="136"/>
      <c r="PFB1" s="136"/>
      <c r="PFC1" s="136"/>
      <c r="PFD1" s="136"/>
      <c r="PFE1" s="136"/>
      <c r="PFF1" s="136"/>
      <c r="PFG1" s="136"/>
      <c r="PFH1" s="136"/>
      <c r="PFI1" s="136"/>
      <c r="PFJ1" s="136"/>
      <c r="PFK1" s="136"/>
      <c r="PFL1" s="136"/>
      <c r="PFM1" s="136"/>
      <c r="PFN1" s="136"/>
      <c r="PFO1" s="136"/>
      <c r="PFP1" s="136"/>
      <c r="PFQ1" s="136"/>
      <c r="PFR1" s="136"/>
      <c r="PFS1" s="136"/>
      <c r="PFT1" s="136"/>
      <c r="PFU1" s="136"/>
      <c r="PFV1" s="136"/>
      <c r="PFW1" s="136"/>
      <c r="PFX1" s="136"/>
      <c r="PFY1" s="136"/>
      <c r="PFZ1" s="136"/>
      <c r="PGA1" s="136"/>
      <c r="PGB1" s="136"/>
      <c r="PGC1" s="136"/>
      <c r="PGD1" s="136"/>
      <c r="PGE1" s="136"/>
      <c r="PGF1" s="136"/>
      <c r="PGG1" s="136"/>
      <c r="PGH1" s="136"/>
      <c r="PGI1" s="136"/>
      <c r="PGJ1" s="136"/>
      <c r="PGK1" s="136"/>
      <c r="PGL1" s="136"/>
      <c r="PGM1" s="136"/>
      <c r="PGN1" s="136"/>
      <c r="PGO1" s="136"/>
      <c r="PGP1" s="136"/>
      <c r="PGQ1" s="136"/>
      <c r="PGR1" s="136"/>
      <c r="PGS1" s="136"/>
      <c r="PGT1" s="136"/>
      <c r="PGU1" s="136"/>
      <c r="PGV1" s="136"/>
      <c r="PGW1" s="136"/>
      <c r="PGX1" s="136"/>
      <c r="PGY1" s="136"/>
      <c r="PGZ1" s="136"/>
      <c r="PHA1" s="136"/>
      <c r="PHB1" s="136"/>
      <c r="PHC1" s="136"/>
      <c r="PHD1" s="136"/>
      <c r="PHE1" s="136"/>
      <c r="PHF1" s="136"/>
      <c r="PHG1" s="136"/>
      <c r="PHH1" s="136"/>
      <c r="PHI1" s="136"/>
      <c r="PHJ1" s="136"/>
      <c r="PHK1" s="136"/>
      <c r="PHL1" s="136"/>
      <c r="PHM1" s="136"/>
      <c r="PHN1" s="136"/>
      <c r="PHO1" s="136"/>
      <c r="PHP1" s="136"/>
      <c r="PHQ1" s="136"/>
      <c r="PHR1" s="136"/>
      <c r="PHS1" s="136"/>
      <c r="PHT1" s="136"/>
      <c r="PHU1" s="136"/>
      <c r="PHV1" s="136"/>
      <c r="PHW1" s="136"/>
      <c r="PHX1" s="136"/>
      <c r="PHY1" s="136"/>
      <c r="PHZ1" s="136"/>
      <c r="PIA1" s="136"/>
      <c r="PIB1" s="136"/>
      <c r="PIC1" s="136"/>
      <c r="PID1" s="136"/>
      <c r="PIE1" s="136"/>
      <c r="PIF1" s="136"/>
      <c r="PIG1" s="136"/>
      <c r="PIH1" s="136"/>
      <c r="PII1" s="136"/>
      <c r="PIJ1" s="136"/>
      <c r="PIK1" s="136"/>
      <c r="PIL1" s="136"/>
      <c r="PIM1" s="136"/>
      <c r="PIN1" s="136"/>
      <c r="PIO1" s="136"/>
      <c r="PIP1" s="136"/>
      <c r="PIQ1" s="136"/>
      <c r="PIR1" s="136"/>
      <c r="PIS1" s="136"/>
      <c r="PIT1" s="136"/>
      <c r="PIU1" s="136"/>
      <c r="PIV1" s="136"/>
      <c r="PIW1" s="136"/>
      <c r="PIX1" s="136"/>
      <c r="PIY1" s="136"/>
      <c r="PIZ1" s="136"/>
      <c r="PJA1" s="136"/>
      <c r="PJB1" s="136"/>
      <c r="PJC1" s="136"/>
      <c r="PJD1" s="136"/>
      <c r="PJE1" s="136"/>
      <c r="PJF1" s="136"/>
      <c r="PJG1" s="136"/>
      <c r="PJH1" s="136"/>
      <c r="PJI1" s="136"/>
      <c r="PJJ1" s="136"/>
      <c r="PJK1" s="136"/>
      <c r="PJL1" s="136"/>
      <c r="PJM1" s="136"/>
      <c r="PJN1" s="136"/>
      <c r="PJO1" s="136"/>
      <c r="PJP1" s="136"/>
      <c r="PJQ1" s="136"/>
      <c r="PJR1" s="136"/>
      <c r="PJS1" s="136"/>
      <c r="PJT1" s="136"/>
      <c r="PJU1" s="136"/>
      <c r="PJV1" s="136"/>
      <c r="PJW1" s="136"/>
      <c r="PJX1" s="136"/>
      <c r="PJY1" s="136"/>
      <c r="PJZ1" s="136"/>
      <c r="PKA1" s="136"/>
      <c r="PKB1" s="136"/>
      <c r="PKC1" s="136"/>
      <c r="PKD1" s="136"/>
      <c r="PKE1" s="136"/>
      <c r="PKF1" s="136"/>
      <c r="PKG1" s="136"/>
      <c r="PKH1" s="136"/>
      <c r="PKI1" s="136"/>
      <c r="PKJ1" s="136"/>
      <c r="PKK1" s="136"/>
      <c r="PKL1" s="136"/>
      <c r="PKM1" s="136"/>
      <c r="PKN1" s="136"/>
      <c r="PKO1" s="136"/>
      <c r="PKP1" s="136"/>
      <c r="PKQ1" s="136"/>
      <c r="PKR1" s="136"/>
      <c r="PKS1" s="136"/>
      <c r="PKT1" s="136"/>
      <c r="PKU1" s="136"/>
      <c r="PKV1" s="136"/>
      <c r="PKW1" s="136"/>
      <c r="PKX1" s="136"/>
      <c r="PKY1" s="136"/>
      <c r="PKZ1" s="136"/>
      <c r="PLA1" s="136"/>
      <c r="PLB1" s="136"/>
      <c r="PLC1" s="136"/>
      <c r="PLD1" s="136"/>
      <c r="PLE1" s="136"/>
      <c r="PLF1" s="136"/>
      <c r="PLG1" s="136"/>
      <c r="PLH1" s="136"/>
      <c r="PLI1" s="136"/>
      <c r="PLJ1" s="136"/>
      <c r="PLK1" s="136"/>
      <c r="PLL1" s="136"/>
      <c r="PLM1" s="136"/>
      <c r="PLN1" s="136"/>
      <c r="PLO1" s="136"/>
      <c r="PLP1" s="136"/>
      <c r="PLQ1" s="136"/>
      <c r="PLR1" s="136"/>
      <c r="PLS1" s="136"/>
      <c r="PLT1" s="136"/>
      <c r="PLU1" s="136"/>
      <c r="PLV1" s="136"/>
      <c r="PLW1" s="136"/>
      <c r="PLX1" s="136"/>
      <c r="PLY1" s="136"/>
      <c r="PLZ1" s="136"/>
      <c r="PMA1" s="136"/>
      <c r="PMB1" s="136"/>
      <c r="PMC1" s="136"/>
      <c r="PMD1" s="136"/>
      <c r="PME1" s="136"/>
      <c r="PMF1" s="136"/>
      <c r="PMG1" s="136"/>
      <c r="PMH1" s="136"/>
      <c r="PMI1" s="136"/>
      <c r="PMJ1" s="136"/>
      <c r="PMK1" s="136"/>
      <c r="PML1" s="136"/>
      <c r="PMM1" s="136"/>
      <c r="PMN1" s="136"/>
      <c r="PMO1" s="136"/>
      <c r="PMP1" s="136"/>
      <c r="PMQ1" s="136"/>
      <c r="PMR1" s="136"/>
      <c r="PMS1" s="136"/>
      <c r="PMT1" s="136"/>
      <c r="PMU1" s="136"/>
      <c r="PMV1" s="136"/>
      <c r="PMW1" s="136"/>
      <c r="PMX1" s="136"/>
      <c r="PMY1" s="136"/>
      <c r="PMZ1" s="136"/>
      <c r="PNA1" s="136"/>
      <c r="PNB1" s="136"/>
      <c r="PNC1" s="136"/>
      <c r="PND1" s="136"/>
      <c r="PNE1" s="136"/>
      <c r="PNF1" s="136"/>
      <c r="PNG1" s="136"/>
      <c r="PNH1" s="136"/>
      <c r="PNI1" s="136"/>
      <c r="PNJ1" s="136"/>
      <c r="PNK1" s="136"/>
      <c r="PNL1" s="136"/>
      <c r="PNM1" s="136"/>
      <c r="PNN1" s="136"/>
      <c r="PNO1" s="136"/>
      <c r="PNP1" s="136"/>
      <c r="PNQ1" s="136"/>
      <c r="PNR1" s="136"/>
      <c r="PNS1" s="136"/>
      <c r="PNT1" s="136"/>
      <c r="PNU1" s="136"/>
      <c r="PNV1" s="136"/>
      <c r="PNW1" s="136"/>
      <c r="PNX1" s="136"/>
      <c r="PNY1" s="136"/>
      <c r="PNZ1" s="136"/>
      <c r="POA1" s="136"/>
      <c r="POB1" s="136"/>
      <c r="POC1" s="136"/>
      <c r="POD1" s="136"/>
      <c r="POE1" s="136"/>
      <c r="POF1" s="136"/>
      <c r="POG1" s="136"/>
      <c r="POH1" s="136"/>
      <c r="POI1" s="136"/>
      <c r="POJ1" s="136"/>
      <c r="POK1" s="136"/>
      <c r="POL1" s="136"/>
      <c r="POM1" s="136"/>
      <c r="PON1" s="136"/>
      <c r="POO1" s="136"/>
      <c r="POP1" s="136"/>
      <c r="POQ1" s="136"/>
      <c r="POR1" s="136"/>
      <c r="POS1" s="136"/>
      <c r="POT1" s="136"/>
      <c r="POU1" s="136"/>
      <c r="POV1" s="136"/>
      <c r="POW1" s="136"/>
      <c r="POX1" s="136"/>
      <c r="POY1" s="136"/>
      <c r="POZ1" s="136"/>
      <c r="PPA1" s="136"/>
      <c r="PPB1" s="136"/>
      <c r="PPC1" s="136"/>
      <c r="PPD1" s="136"/>
      <c r="PPE1" s="136"/>
      <c r="PPF1" s="136"/>
      <c r="PPG1" s="136"/>
      <c r="PPH1" s="136"/>
      <c r="PPI1" s="136"/>
      <c r="PPJ1" s="136"/>
      <c r="PPK1" s="136"/>
      <c r="PPL1" s="136"/>
      <c r="PPM1" s="136"/>
      <c r="PPN1" s="136"/>
      <c r="PPO1" s="136"/>
      <c r="PPP1" s="136"/>
      <c r="PPQ1" s="136"/>
      <c r="PPR1" s="136"/>
      <c r="PPS1" s="136"/>
      <c r="PPT1" s="136"/>
      <c r="PPU1" s="136"/>
      <c r="PPV1" s="136"/>
      <c r="PPW1" s="136"/>
      <c r="PPX1" s="136"/>
      <c r="PPY1" s="136"/>
      <c r="PPZ1" s="136"/>
      <c r="PQA1" s="136"/>
      <c r="PQB1" s="136"/>
      <c r="PQC1" s="136"/>
      <c r="PQD1" s="136"/>
      <c r="PQE1" s="136"/>
      <c r="PQF1" s="136"/>
      <c r="PQG1" s="136"/>
      <c r="PQH1" s="136"/>
      <c r="PQI1" s="136"/>
      <c r="PQJ1" s="136"/>
      <c r="PQK1" s="136"/>
      <c r="PQL1" s="136"/>
      <c r="PQM1" s="136"/>
      <c r="PQN1" s="136"/>
      <c r="PQO1" s="136"/>
      <c r="PQP1" s="136"/>
      <c r="PQQ1" s="136"/>
      <c r="PQR1" s="136"/>
      <c r="PQS1" s="136"/>
      <c r="PQT1" s="136"/>
      <c r="PQU1" s="136"/>
      <c r="PQV1" s="136"/>
      <c r="PQW1" s="136"/>
      <c r="PQX1" s="136"/>
      <c r="PQY1" s="136"/>
      <c r="PQZ1" s="136"/>
      <c r="PRA1" s="136"/>
      <c r="PRB1" s="136"/>
      <c r="PRC1" s="136"/>
      <c r="PRD1" s="136"/>
      <c r="PRE1" s="136"/>
      <c r="PRF1" s="136"/>
      <c r="PRG1" s="136"/>
      <c r="PRH1" s="136"/>
      <c r="PRI1" s="136"/>
      <c r="PRJ1" s="136"/>
      <c r="PRK1" s="136"/>
      <c r="PRL1" s="136"/>
      <c r="PRM1" s="136"/>
      <c r="PRN1" s="136"/>
      <c r="PRO1" s="136"/>
      <c r="PRP1" s="136"/>
      <c r="PRQ1" s="136"/>
      <c r="PRR1" s="136"/>
      <c r="PRS1" s="136"/>
      <c r="PRT1" s="136"/>
      <c r="PRU1" s="136"/>
      <c r="PRV1" s="136"/>
      <c r="PRW1" s="136"/>
      <c r="PRX1" s="136"/>
      <c r="PRY1" s="136"/>
      <c r="PRZ1" s="136"/>
      <c r="PSA1" s="136"/>
      <c r="PSB1" s="136"/>
      <c r="PSC1" s="136"/>
      <c r="PSD1" s="136"/>
      <c r="PSE1" s="136"/>
      <c r="PSF1" s="136"/>
      <c r="PSG1" s="136"/>
      <c r="PSH1" s="136"/>
      <c r="PSI1" s="136"/>
      <c r="PSJ1" s="136"/>
      <c r="PSK1" s="136"/>
      <c r="PSL1" s="136"/>
      <c r="PSM1" s="136"/>
      <c r="PSN1" s="136"/>
      <c r="PSO1" s="136"/>
      <c r="PSP1" s="136"/>
      <c r="PSQ1" s="136"/>
      <c r="PSR1" s="136"/>
      <c r="PSS1" s="136"/>
      <c r="PST1" s="136"/>
      <c r="PSU1" s="136"/>
      <c r="PSV1" s="136"/>
      <c r="PSW1" s="136"/>
      <c r="PSX1" s="136"/>
      <c r="PSY1" s="136"/>
      <c r="PSZ1" s="136"/>
      <c r="PTA1" s="136"/>
      <c r="PTB1" s="136"/>
      <c r="PTC1" s="136"/>
      <c r="PTD1" s="136"/>
      <c r="PTE1" s="136"/>
      <c r="PTF1" s="136"/>
      <c r="PTG1" s="136"/>
      <c r="PTH1" s="136"/>
      <c r="PTI1" s="136"/>
      <c r="PTJ1" s="136"/>
      <c r="PTK1" s="136"/>
      <c r="PTL1" s="136"/>
      <c r="PTM1" s="136"/>
      <c r="PTN1" s="136"/>
      <c r="PTO1" s="136"/>
      <c r="PTP1" s="136"/>
      <c r="PTQ1" s="136"/>
      <c r="PTR1" s="136"/>
      <c r="PTS1" s="136"/>
      <c r="PTT1" s="136"/>
      <c r="PTU1" s="136"/>
      <c r="PTV1" s="136"/>
      <c r="PTW1" s="136"/>
      <c r="PTX1" s="136"/>
      <c r="PTY1" s="136"/>
      <c r="PTZ1" s="136"/>
      <c r="PUA1" s="136"/>
      <c r="PUB1" s="136"/>
      <c r="PUC1" s="136"/>
      <c r="PUD1" s="136"/>
      <c r="PUE1" s="136"/>
      <c r="PUF1" s="136"/>
      <c r="PUG1" s="136"/>
      <c r="PUH1" s="136"/>
      <c r="PUI1" s="136"/>
      <c r="PUJ1" s="136"/>
      <c r="PUK1" s="136"/>
      <c r="PUL1" s="136"/>
      <c r="PUM1" s="136"/>
      <c r="PUN1" s="136"/>
      <c r="PUO1" s="136"/>
      <c r="PUP1" s="136"/>
      <c r="PUQ1" s="136"/>
      <c r="PUR1" s="136"/>
      <c r="PUS1" s="136"/>
      <c r="PUT1" s="136"/>
      <c r="PUU1" s="136"/>
      <c r="PUV1" s="136"/>
      <c r="PUW1" s="136"/>
      <c r="PUX1" s="136"/>
      <c r="PUY1" s="136"/>
      <c r="PUZ1" s="136"/>
      <c r="PVA1" s="136"/>
      <c r="PVB1" s="136"/>
      <c r="PVC1" s="136"/>
      <c r="PVD1" s="136"/>
      <c r="PVE1" s="136"/>
      <c r="PVF1" s="136"/>
      <c r="PVG1" s="136"/>
      <c r="PVH1" s="136"/>
      <c r="PVI1" s="136"/>
      <c r="PVJ1" s="136"/>
      <c r="PVK1" s="136"/>
      <c r="PVL1" s="136"/>
      <c r="PVM1" s="136"/>
      <c r="PVN1" s="136"/>
      <c r="PVO1" s="136"/>
      <c r="PVP1" s="136"/>
      <c r="PVQ1" s="136"/>
      <c r="PVR1" s="136"/>
      <c r="PVS1" s="136"/>
      <c r="PVT1" s="136"/>
      <c r="PVU1" s="136"/>
      <c r="PVV1" s="136"/>
      <c r="PVW1" s="136"/>
      <c r="PVX1" s="136"/>
      <c r="PVY1" s="136"/>
      <c r="PVZ1" s="136"/>
      <c r="PWA1" s="136"/>
      <c r="PWB1" s="136"/>
      <c r="PWC1" s="136"/>
      <c r="PWD1" s="136"/>
      <c r="PWE1" s="136"/>
      <c r="PWF1" s="136"/>
      <c r="PWG1" s="136"/>
      <c r="PWH1" s="136"/>
      <c r="PWI1" s="136"/>
      <c r="PWJ1" s="136"/>
      <c r="PWK1" s="136"/>
      <c r="PWL1" s="136"/>
      <c r="PWM1" s="136"/>
      <c r="PWN1" s="136"/>
      <c r="PWO1" s="136"/>
      <c r="PWP1" s="136"/>
      <c r="PWQ1" s="136"/>
      <c r="PWR1" s="136"/>
      <c r="PWS1" s="136"/>
      <c r="PWT1" s="136"/>
      <c r="PWU1" s="136"/>
      <c r="PWV1" s="136"/>
      <c r="PWW1" s="136"/>
      <c r="PWX1" s="136"/>
      <c r="PWY1" s="136"/>
      <c r="PWZ1" s="136"/>
      <c r="PXA1" s="136"/>
      <c r="PXB1" s="136"/>
      <c r="PXC1" s="136"/>
      <c r="PXD1" s="136"/>
      <c r="PXE1" s="136"/>
      <c r="PXF1" s="136"/>
      <c r="PXG1" s="136"/>
      <c r="PXH1" s="136"/>
      <c r="PXI1" s="136"/>
      <c r="PXJ1" s="136"/>
      <c r="PXK1" s="136"/>
      <c r="PXL1" s="136"/>
      <c r="PXM1" s="136"/>
      <c r="PXN1" s="136"/>
      <c r="PXO1" s="136"/>
      <c r="PXP1" s="136"/>
      <c r="PXQ1" s="136"/>
      <c r="PXR1" s="136"/>
      <c r="PXS1" s="136"/>
      <c r="PXT1" s="136"/>
      <c r="PXU1" s="136"/>
      <c r="PXV1" s="136"/>
      <c r="PXW1" s="136"/>
      <c r="PXX1" s="136"/>
      <c r="PXY1" s="136"/>
      <c r="PXZ1" s="136"/>
      <c r="PYA1" s="136"/>
      <c r="PYB1" s="136"/>
      <c r="PYC1" s="136"/>
      <c r="PYD1" s="136"/>
      <c r="PYE1" s="136"/>
      <c r="PYF1" s="136"/>
      <c r="PYG1" s="136"/>
      <c r="PYH1" s="136"/>
      <c r="PYI1" s="136"/>
      <c r="PYJ1" s="136"/>
      <c r="PYK1" s="136"/>
      <c r="PYL1" s="136"/>
      <c r="PYM1" s="136"/>
      <c r="PYN1" s="136"/>
      <c r="PYO1" s="136"/>
      <c r="PYP1" s="136"/>
      <c r="PYQ1" s="136"/>
      <c r="PYR1" s="136"/>
      <c r="PYS1" s="136"/>
      <c r="PYT1" s="136"/>
      <c r="PYU1" s="136"/>
      <c r="PYV1" s="136"/>
      <c r="PYW1" s="136"/>
      <c r="PYX1" s="136"/>
      <c r="PYY1" s="136"/>
      <c r="PYZ1" s="136"/>
      <c r="PZA1" s="136"/>
      <c r="PZB1" s="136"/>
      <c r="PZC1" s="136"/>
      <c r="PZD1" s="136"/>
      <c r="PZE1" s="136"/>
      <c r="PZF1" s="136"/>
      <c r="PZG1" s="136"/>
      <c r="PZH1" s="136"/>
      <c r="PZI1" s="136"/>
      <c r="PZJ1" s="136"/>
      <c r="PZK1" s="136"/>
      <c r="PZL1" s="136"/>
      <c r="PZM1" s="136"/>
      <c r="PZN1" s="136"/>
      <c r="PZO1" s="136"/>
      <c r="PZP1" s="136"/>
      <c r="PZQ1" s="136"/>
      <c r="PZR1" s="136"/>
      <c r="PZS1" s="136"/>
      <c r="PZT1" s="136"/>
      <c r="PZU1" s="136"/>
      <c r="PZV1" s="136"/>
      <c r="PZW1" s="136"/>
      <c r="PZX1" s="136"/>
      <c r="PZY1" s="136"/>
      <c r="PZZ1" s="136"/>
      <c r="QAA1" s="136"/>
      <c r="QAB1" s="136"/>
      <c r="QAC1" s="136"/>
      <c r="QAD1" s="136"/>
      <c r="QAE1" s="136"/>
      <c r="QAF1" s="136"/>
      <c r="QAG1" s="136"/>
      <c r="QAH1" s="136"/>
      <c r="QAI1" s="136"/>
      <c r="QAJ1" s="136"/>
      <c r="QAK1" s="136"/>
      <c r="QAL1" s="136"/>
      <c r="QAM1" s="136"/>
      <c r="QAN1" s="136"/>
      <c r="QAO1" s="136"/>
      <c r="QAP1" s="136"/>
      <c r="QAQ1" s="136"/>
      <c r="QAR1" s="136"/>
      <c r="QAS1" s="136"/>
      <c r="QAT1" s="136"/>
      <c r="QAU1" s="136"/>
      <c r="QAV1" s="136"/>
      <c r="QAW1" s="136"/>
      <c r="QAX1" s="136"/>
      <c r="QAY1" s="136"/>
      <c r="QAZ1" s="136"/>
      <c r="QBA1" s="136"/>
      <c r="QBB1" s="136"/>
      <c r="QBC1" s="136"/>
      <c r="QBD1" s="136"/>
      <c r="QBE1" s="136"/>
      <c r="QBF1" s="136"/>
      <c r="QBG1" s="136"/>
      <c r="QBH1" s="136"/>
      <c r="QBI1" s="136"/>
      <c r="QBJ1" s="136"/>
      <c r="QBK1" s="136"/>
      <c r="QBL1" s="136"/>
      <c r="QBM1" s="136"/>
      <c r="QBN1" s="136"/>
      <c r="QBO1" s="136"/>
      <c r="QBP1" s="136"/>
      <c r="QBQ1" s="136"/>
      <c r="QBR1" s="136"/>
      <c r="QBS1" s="136"/>
      <c r="QBT1" s="136"/>
      <c r="QBU1" s="136"/>
      <c r="QBV1" s="136"/>
      <c r="QBW1" s="136"/>
      <c r="QBX1" s="136"/>
      <c r="QBY1" s="136"/>
      <c r="QBZ1" s="136"/>
      <c r="QCA1" s="136"/>
      <c r="QCB1" s="136"/>
      <c r="QCC1" s="136"/>
      <c r="QCD1" s="136"/>
      <c r="QCE1" s="136"/>
      <c r="QCF1" s="136"/>
      <c r="QCG1" s="136"/>
      <c r="QCH1" s="136"/>
      <c r="QCI1" s="136"/>
      <c r="QCJ1" s="136"/>
      <c r="QCK1" s="136"/>
      <c r="QCL1" s="136"/>
      <c r="QCM1" s="136"/>
      <c r="QCN1" s="136"/>
      <c r="QCO1" s="136"/>
      <c r="QCP1" s="136"/>
      <c r="QCQ1" s="136"/>
      <c r="QCR1" s="136"/>
      <c r="QCS1" s="136"/>
      <c r="QCT1" s="136"/>
      <c r="QCU1" s="136"/>
      <c r="QCV1" s="136"/>
      <c r="QCW1" s="136"/>
      <c r="QCX1" s="136"/>
      <c r="QCY1" s="136"/>
      <c r="QCZ1" s="136"/>
      <c r="QDA1" s="136"/>
      <c r="QDB1" s="136"/>
      <c r="QDC1" s="136"/>
      <c r="QDD1" s="136"/>
      <c r="QDE1" s="136"/>
      <c r="QDF1" s="136"/>
      <c r="QDG1" s="136"/>
      <c r="QDH1" s="136"/>
      <c r="QDI1" s="136"/>
      <c r="QDJ1" s="136"/>
      <c r="QDK1" s="136"/>
      <c r="QDL1" s="136"/>
      <c r="QDM1" s="136"/>
      <c r="QDN1" s="136"/>
      <c r="QDO1" s="136"/>
      <c r="QDP1" s="136"/>
      <c r="QDQ1" s="136"/>
      <c r="QDR1" s="136"/>
      <c r="QDS1" s="136"/>
      <c r="QDT1" s="136"/>
      <c r="QDU1" s="136"/>
      <c r="QDV1" s="136"/>
      <c r="QDW1" s="136"/>
      <c r="QDX1" s="136"/>
      <c r="QDY1" s="136"/>
      <c r="QDZ1" s="136"/>
      <c r="QEA1" s="136"/>
      <c r="QEB1" s="136"/>
      <c r="QEC1" s="136"/>
      <c r="QED1" s="136"/>
      <c r="QEE1" s="136"/>
      <c r="QEF1" s="136"/>
      <c r="QEG1" s="136"/>
      <c r="QEH1" s="136"/>
      <c r="QEI1" s="136"/>
      <c r="QEJ1" s="136"/>
      <c r="QEK1" s="136"/>
      <c r="QEL1" s="136"/>
      <c r="QEM1" s="136"/>
      <c r="QEN1" s="136"/>
      <c r="QEO1" s="136"/>
      <c r="QEP1" s="136"/>
      <c r="QEQ1" s="136"/>
      <c r="QER1" s="136"/>
      <c r="QES1" s="136"/>
      <c r="QET1" s="136"/>
      <c r="QEU1" s="136"/>
      <c r="QEV1" s="136"/>
      <c r="QEW1" s="136"/>
      <c r="QEX1" s="136"/>
      <c r="QEY1" s="136"/>
      <c r="QEZ1" s="136"/>
      <c r="QFA1" s="136"/>
      <c r="QFB1" s="136"/>
      <c r="QFC1" s="136"/>
      <c r="QFD1" s="136"/>
      <c r="QFE1" s="136"/>
      <c r="QFF1" s="136"/>
      <c r="QFG1" s="136"/>
      <c r="QFH1" s="136"/>
      <c r="QFI1" s="136"/>
      <c r="QFJ1" s="136"/>
      <c r="QFK1" s="136"/>
      <c r="QFL1" s="136"/>
      <c r="QFM1" s="136"/>
      <c r="QFN1" s="136"/>
      <c r="QFO1" s="136"/>
      <c r="QFP1" s="136"/>
      <c r="QFQ1" s="136"/>
      <c r="QFR1" s="136"/>
      <c r="QFS1" s="136"/>
      <c r="QFT1" s="136"/>
      <c r="QFU1" s="136"/>
      <c r="QFV1" s="136"/>
      <c r="QFW1" s="136"/>
      <c r="QFX1" s="136"/>
      <c r="QFY1" s="136"/>
      <c r="QFZ1" s="136"/>
      <c r="QGA1" s="136"/>
      <c r="QGB1" s="136"/>
      <c r="QGC1" s="136"/>
      <c r="QGD1" s="136"/>
      <c r="QGE1" s="136"/>
      <c r="QGF1" s="136"/>
      <c r="QGG1" s="136"/>
      <c r="QGH1" s="136"/>
      <c r="QGI1" s="136"/>
      <c r="QGJ1" s="136"/>
      <c r="QGK1" s="136"/>
      <c r="QGL1" s="136"/>
      <c r="QGM1" s="136"/>
      <c r="QGN1" s="136"/>
      <c r="QGO1" s="136"/>
      <c r="QGP1" s="136"/>
      <c r="QGQ1" s="136"/>
      <c r="QGR1" s="136"/>
      <c r="QGS1" s="136"/>
      <c r="QGT1" s="136"/>
      <c r="QGU1" s="136"/>
      <c r="QGV1" s="136"/>
      <c r="QGW1" s="136"/>
      <c r="QGX1" s="136"/>
      <c r="QGY1" s="136"/>
      <c r="QGZ1" s="136"/>
      <c r="QHA1" s="136"/>
      <c r="QHB1" s="136"/>
      <c r="QHC1" s="136"/>
      <c r="QHD1" s="136"/>
      <c r="QHE1" s="136"/>
      <c r="QHF1" s="136"/>
      <c r="QHG1" s="136"/>
      <c r="QHH1" s="136"/>
      <c r="QHI1" s="136"/>
      <c r="QHJ1" s="136"/>
      <c r="QHK1" s="136"/>
      <c r="QHL1" s="136"/>
      <c r="QHM1" s="136"/>
      <c r="QHN1" s="136"/>
      <c r="QHO1" s="136"/>
      <c r="QHP1" s="136"/>
      <c r="QHQ1" s="136"/>
      <c r="QHR1" s="136"/>
      <c r="QHS1" s="136"/>
      <c r="QHT1" s="136"/>
      <c r="QHU1" s="136"/>
      <c r="QHV1" s="136"/>
      <c r="QHW1" s="136"/>
      <c r="QHX1" s="136"/>
      <c r="QHY1" s="136"/>
      <c r="QHZ1" s="136"/>
      <c r="QIA1" s="136"/>
      <c r="QIB1" s="136"/>
      <c r="QIC1" s="136"/>
      <c r="QID1" s="136"/>
      <c r="QIE1" s="136"/>
      <c r="QIF1" s="136"/>
      <c r="QIG1" s="136"/>
      <c r="QIH1" s="136"/>
      <c r="QII1" s="136"/>
      <c r="QIJ1" s="136"/>
      <c r="QIK1" s="136"/>
      <c r="QIL1" s="136"/>
      <c r="QIM1" s="136"/>
      <c r="QIN1" s="136"/>
      <c r="QIO1" s="136"/>
      <c r="QIP1" s="136"/>
      <c r="QIQ1" s="136"/>
      <c r="QIR1" s="136"/>
      <c r="QIS1" s="136"/>
      <c r="QIT1" s="136"/>
      <c r="QIU1" s="136"/>
      <c r="QIV1" s="136"/>
      <c r="QIW1" s="136"/>
      <c r="QIX1" s="136"/>
      <c r="QIY1" s="136"/>
      <c r="QIZ1" s="136"/>
      <c r="QJA1" s="136"/>
      <c r="QJB1" s="136"/>
      <c r="QJC1" s="136"/>
      <c r="QJD1" s="136"/>
      <c r="QJE1" s="136"/>
      <c r="QJF1" s="136"/>
      <c r="QJG1" s="136"/>
      <c r="QJH1" s="136"/>
      <c r="QJI1" s="136"/>
      <c r="QJJ1" s="136"/>
      <c r="QJK1" s="136"/>
      <c r="QJL1" s="136"/>
      <c r="QJM1" s="136"/>
      <c r="QJN1" s="136"/>
      <c r="QJO1" s="136"/>
      <c r="QJP1" s="136"/>
      <c r="QJQ1" s="136"/>
      <c r="QJR1" s="136"/>
      <c r="QJS1" s="136"/>
      <c r="QJT1" s="136"/>
      <c r="QJU1" s="136"/>
      <c r="QJV1" s="136"/>
      <c r="QJW1" s="136"/>
      <c r="QJX1" s="136"/>
      <c r="QJY1" s="136"/>
      <c r="QJZ1" s="136"/>
      <c r="QKA1" s="136"/>
      <c r="QKB1" s="136"/>
      <c r="QKC1" s="136"/>
      <c r="QKD1" s="136"/>
      <c r="QKE1" s="136"/>
      <c r="QKF1" s="136"/>
      <c r="QKG1" s="136"/>
      <c r="QKH1" s="136"/>
      <c r="QKI1" s="136"/>
      <c r="QKJ1" s="136"/>
      <c r="QKK1" s="136"/>
      <c r="QKL1" s="136"/>
      <c r="QKM1" s="136"/>
      <c r="QKN1" s="136"/>
      <c r="QKO1" s="136"/>
      <c r="QKP1" s="136"/>
      <c r="QKQ1" s="136"/>
      <c r="QKR1" s="136"/>
      <c r="QKS1" s="136"/>
      <c r="QKT1" s="136"/>
      <c r="QKU1" s="136"/>
      <c r="QKV1" s="136"/>
      <c r="QKW1" s="136"/>
      <c r="QKX1" s="136"/>
      <c r="QKY1" s="136"/>
      <c r="QKZ1" s="136"/>
      <c r="QLA1" s="136"/>
      <c r="QLB1" s="136"/>
      <c r="QLC1" s="136"/>
      <c r="QLD1" s="136"/>
      <c r="QLE1" s="136"/>
      <c r="QLF1" s="136"/>
      <c r="QLG1" s="136"/>
      <c r="QLH1" s="136"/>
      <c r="QLI1" s="136"/>
      <c r="QLJ1" s="136"/>
      <c r="QLK1" s="136"/>
      <c r="QLL1" s="136"/>
      <c r="QLM1" s="136"/>
      <c r="QLN1" s="136"/>
      <c r="QLO1" s="136"/>
      <c r="QLP1" s="136"/>
      <c r="QLQ1" s="136"/>
      <c r="QLR1" s="136"/>
      <c r="QLS1" s="136"/>
      <c r="QLT1" s="136"/>
      <c r="QLU1" s="136"/>
      <c r="QLV1" s="136"/>
      <c r="QLW1" s="136"/>
      <c r="QLX1" s="136"/>
      <c r="QLY1" s="136"/>
      <c r="QLZ1" s="136"/>
      <c r="QMA1" s="136"/>
      <c r="QMB1" s="136"/>
      <c r="QMC1" s="136"/>
      <c r="QMD1" s="136"/>
      <c r="QME1" s="136"/>
      <c r="QMF1" s="136"/>
      <c r="QMG1" s="136"/>
      <c r="QMH1" s="136"/>
      <c r="QMI1" s="136"/>
      <c r="QMJ1" s="136"/>
      <c r="QMK1" s="136"/>
      <c r="QML1" s="136"/>
      <c r="QMM1" s="136"/>
      <c r="QMN1" s="136"/>
      <c r="QMO1" s="136"/>
      <c r="QMP1" s="136"/>
      <c r="QMQ1" s="136"/>
      <c r="QMR1" s="136"/>
      <c r="QMS1" s="136"/>
      <c r="QMT1" s="136"/>
      <c r="QMU1" s="136"/>
      <c r="QMV1" s="136"/>
      <c r="QMW1" s="136"/>
      <c r="QMX1" s="136"/>
      <c r="QMY1" s="136"/>
      <c r="QMZ1" s="136"/>
      <c r="QNA1" s="136"/>
      <c r="QNB1" s="136"/>
      <c r="QNC1" s="136"/>
      <c r="QND1" s="136"/>
      <c r="QNE1" s="136"/>
      <c r="QNF1" s="136"/>
      <c r="QNG1" s="136"/>
      <c r="QNH1" s="136"/>
      <c r="QNI1" s="136"/>
      <c r="QNJ1" s="136"/>
      <c r="QNK1" s="136"/>
      <c r="QNL1" s="136"/>
      <c r="QNM1" s="136"/>
      <c r="QNN1" s="136"/>
      <c r="QNO1" s="136"/>
      <c r="QNP1" s="136"/>
      <c r="QNQ1" s="136"/>
      <c r="QNR1" s="136"/>
      <c r="QNS1" s="136"/>
      <c r="QNT1" s="136"/>
      <c r="QNU1" s="136"/>
      <c r="QNV1" s="136"/>
      <c r="QNW1" s="136"/>
      <c r="QNX1" s="136"/>
      <c r="QNY1" s="136"/>
      <c r="QNZ1" s="136"/>
      <c r="QOA1" s="136"/>
      <c r="QOB1" s="136"/>
      <c r="QOC1" s="136"/>
      <c r="QOD1" s="136"/>
      <c r="QOE1" s="136"/>
      <c r="QOF1" s="136"/>
      <c r="QOG1" s="136"/>
      <c r="QOH1" s="136"/>
      <c r="QOI1" s="136"/>
      <c r="QOJ1" s="136"/>
      <c r="QOK1" s="136"/>
      <c r="QOL1" s="136"/>
      <c r="QOM1" s="136"/>
      <c r="QON1" s="136"/>
      <c r="QOO1" s="136"/>
      <c r="QOP1" s="136"/>
      <c r="QOQ1" s="136"/>
      <c r="QOR1" s="136"/>
      <c r="QOS1" s="136"/>
      <c r="QOT1" s="136"/>
      <c r="QOU1" s="136"/>
      <c r="QOV1" s="136"/>
      <c r="QOW1" s="136"/>
      <c r="QOX1" s="136"/>
      <c r="QOY1" s="136"/>
      <c r="QOZ1" s="136"/>
      <c r="QPA1" s="136"/>
      <c r="QPB1" s="136"/>
      <c r="QPC1" s="136"/>
      <c r="QPD1" s="136"/>
      <c r="QPE1" s="136"/>
      <c r="QPF1" s="136"/>
      <c r="QPG1" s="136"/>
      <c r="QPH1" s="136"/>
      <c r="QPI1" s="136"/>
      <c r="QPJ1" s="136"/>
      <c r="QPK1" s="136"/>
      <c r="QPL1" s="136"/>
      <c r="QPM1" s="136"/>
      <c r="QPN1" s="136"/>
      <c r="QPO1" s="136"/>
      <c r="QPP1" s="136"/>
      <c r="QPQ1" s="136"/>
      <c r="QPR1" s="136"/>
      <c r="QPS1" s="136"/>
      <c r="QPT1" s="136"/>
      <c r="QPU1" s="136"/>
      <c r="QPV1" s="136"/>
      <c r="QPW1" s="136"/>
      <c r="QPX1" s="136"/>
      <c r="QPY1" s="136"/>
      <c r="QPZ1" s="136"/>
      <c r="QQA1" s="136"/>
      <c r="QQB1" s="136"/>
      <c r="QQC1" s="136"/>
      <c r="QQD1" s="136"/>
      <c r="QQE1" s="136"/>
      <c r="QQF1" s="136"/>
      <c r="QQG1" s="136"/>
      <c r="QQH1" s="136"/>
      <c r="QQI1" s="136"/>
      <c r="QQJ1" s="136"/>
      <c r="QQK1" s="136"/>
      <c r="QQL1" s="136"/>
      <c r="QQM1" s="136"/>
      <c r="QQN1" s="136"/>
      <c r="QQO1" s="136"/>
      <c r="QQP1" s="136"/>
      <c r="QQQ1" s="136"/>
      <c r="QQR1" s="136"/>
      <c r="QQS1" s="136"/>
      <c r="QQT1" s="136"/>
      <c r="QQU1" s="136"/>
      <c r="QQV1" s="136"/>
      <c r="QQW1" s="136"/>
      <c r="QQX1" s="136"/>
      <c r="QQY1" s="136"/>
      <c r="QQZ1" s="136"/>
      <c r="QRA1" s="136"/>
      <c r="QRB1" s="136"/>
      <c r="QRC1" s="136"/>
      <c r="QRD1" s="136"/>
      <c r="QRE1" s="136"/>
      <c r="QRF1" s="136"/>
      <c r="QRG1" s="136"/>
      <c r="QRH1" s="136"/>
      <c r="QRI1" s="136"/>
      <c r="QRJ1" s="136"/>
      <c r="QRK1" s="136"/>
      <c r="QRL1" s="136"/>
      <c r="QRM1" s="136"/>
      <c r="QRN1" s="136"/>
      <c r="QRO1" s="136"/>
      <c r="QRP1" s="136"/>
      <c r="QRQ1" s="136"/>
      <c r="QRR1" s="136"/>
      <c r="QRS1" s="136"/>
      <c r="QRT1" s="136"/>
      <c r="QRU1" s="136"/>
      <c r="QRV1" s="136"/>
      <c r="QRW1" s="136"/>
      <c r="QRX1" s="136"/>
      <c r="QRY1" s="136"/>
      <c r="QRZ1" s="136"/>
      <c r="QSA1" s="136"/>
      <c r="QSB1" s="136"/>
      <c r="QSC1" s="136"/>
      <c r="QSD1" s="136"/>
      <c r="QSE1" s="136"/>
      <c r="QSF1" s="136"/>
      <c r="QSG1" s="136"/>
      <c r="QSH1" s="136"/>
      <c r="QSI1" s="136"/>
      <c r="QSJ1" s="136"/>
      <c r="QSK1" s="136"/>
      <c r="QSL1" s="136"/>
      <c r="QSM1" s="136"/>
      <c r="QSN1" s="136"/>
      <c r="QSO1" s="136"/>
      <c r="QSP1" s="136"/>
      <c r="QSQ1" s="136"/>
      <c r="QSR1" s="136"/>
      <c r="QSS1" s="136"/>
      <c r="QST1" s="136"/>
      <c r="QSU1" s="136"/>
      <c r="QSV1" s="136"/>
      <c r="QSW1" s="136"/>
      <c r="QSX1" s="136"/>
      <c r="QSY1" s="136"/>
      <c r="QSZ1" s="136"/>
      <c r="QTA1" s="136"/>
      <c r="QTB1" s="136"/>
      <c r="QTC1" s="136"/>
      <c r="QTD1" s="136"/>
      <c r="QTE1" s="136"/>
      <c r="QTF1" s="136"/>
      <c r="QTG1" s="136"/>
      <c r="QTH1" s="136"/>
      <c r="QTI1" s="136"/>
      <c r="QTJ1" s="136"/>
      <c r="QTK1" s="136"/>
      <c r="QTL1" s="136"/>
      <c r="QTM1" s="136"/>
      <c r="QTN1" s="136"/>
      <c r="QTO1" s="136"/>
      <c r="QTP1" s="136"/>
      <c r="QTQ1" s="136"/>
      <c r="QTR1" s="136"/>
      <c r="QTS1" s="136"/>
      <c r="QTT1" s="136"/>
      <c r="QTU1" s="136"/>
      <c r="QTV1" s="136"/>
      <c r="QTW1" s="136"/>
      <c r="QTX1" s="136"/>
      <c r="QTY1" s="136"/>
      <c r="QTZ1" s="136"/>
      <c r="QUA1" s="136"/>
      <c r="QUB1" s="136"/>
      <c r="QUC1" s="136"/>
      <c r="QUD1" s="136"/>
      <c r="QUE1" s="136"/>
      <c r="QUF1" s="136"/>
      <c r="QUG1" s="136"/>
      <c r="QUH1" s="136"/>
      <c r="QUI1" s="136"/>
      <c r="QUJ1" s="136"/>
      <c r="QUK1" s="136"/>
      <c r="QUL1" s="136"/>
      <c r="QUM1" s="136"/>
      <c r="QUN1" s="136"/>
      <c r="QUO1" s="136"/>
      <c r="QUP1" s="136"/>
      <c r="QUQ1" s="136"/>
      <c r="QUR1" s="136"/>
      <c r="QUS1" s="136"/>
      <c r="QUT1" s="136"/>
      <c r="QUU1" s="136"/>
      <c r="QUV1" s="136"/>
      <c r="QUW1" s="136"/>
      <c r="QUX1" s="136"/>
      <c r="QUY1" s="136"/>
      <c r="QUZ1" s="136"/>
      <c r="QVA1" s="136"/>
      <c r="QVB1" s="136"/>
      <c r="QVC1" s="136"/>
      <c r="QVD1" s="136"/>
      <c r="QVE1" s="136"/>
      <c r="QVF1" s="136"/>
      <c r="QVG1" s="136"/>
      <c r="QVH1" s="136"/>
      <c r="QVI1" s="136"/>
      <c r="QVJ1" s="136"/>
      <c r="QVK1" s="136"/>
      <c r="QVL1" s="136"/>
      <c r="QVM1" s="136"/>
      <c r="QVN1" s="136"/>
      <c r="QVO1" s="136"/>
      <c r="QVP1" s="136"/>
      <c r="QVQ1" s="136"/>
      <c r="QVR1" s="136"/>
      <c r="QVS1" s="136"/>
      <c r="QVT1" s="136"/>
      <c r="QVU1" s="136"/>
      <c r="QVV1" s="136"/>
      <c r="QVW1" s="136"/>
      <c r="QVX1" s="136"/>
      <c r="QVY1" s="136"/>
      <c r="QVZ1" s="136"/>
      <c r="QWA1" s="136"/>
      <c r="QWB1" s="136"/>
      <c r="QWC1" s="136"/>
      <c r="QWD1" s="136"/>
      <c r="QWE1" s="136"/>
      <c r="QWF1" s="136"/>
      <c r="QWG1" s="136"/>
      <c r="QWH1" s="136"/>
      <c r="QWI1" s="136"/>
      <c r="QWJ1" s="136"/>
      <c r="QWK1" s="136"/>
      <c r="QWL1" s="136"/>
      <c r="QWM1" s="136"/>
      <c r="QWN1" s="136"/>
      <c r="QWO1" s="136"/>
      <c r="QWP1" s="136"/>
      <c r="QWQ1" s="136"/>
      <c r="QWR1" s="136"/>
      <c r="QWS1" s="136"/>
      <c r="QWT1" s="136"/>
      <c r="QWU1" s="136"/>
      <c r="QWV1" s="136"/>
      <c r="QWW1" s="136"/>
      <c r="QWX1" s="136"/>
      <c r="QWY1" s="136"/>
      <c r="QWZ1" s="136"/>
      <c r="QXA1" s="136"/>
      <c r="QXB1" s="136"/>
      <c r="QXC1" s="136"/>
      <c r="QXD1" s="136"/>
      <c r="QXE1" s="136"/>
      <c r="QXF1" s="136"/>
      <c r="QXG1" s="136"/>
      <c r="QXH1" s="136"/>
      <c r="QXI1" s="136"/>
      <c r="QXJ1" s="136"/>
      <c r="QXK1" s="136"/>
      <c r="QXL1" s="136"/>
      <c r="QXM1" s="136"/>
      <c r="QXN1" s="136"/>
      <c r="QXO1" s="136"/>
      <c r="QXP1" s="136"/>
      <c r="QXQ1" s="136"/>
      <c r="QXR1" s="136"/>
      <c r="QXS1" s="136"/>
      <c r="QXT1" s="136"/>
      <c r="QXU1" s="136"/>
      <c r="QXV1" s="136"/>
      <c r="QXW1" s="136"/>
      <c r="QXX1" s="136"/>
      <c r="QXY1" s="136"/>
      <c r="QXZ1" s="136"/>
      <c r="QYA1" s="136"/>
      <c r="QYB1" s="136"/>
      <c r="QYC1" s="136"/>
      <c r="QYD1" s="136"/>
      <c r="QYE1" s="136"/>
      <c r="QYF1" s="136"/>
      <c r="QYG1" s="136"/>
      <c r="QYH1" s="136"/>
      <c r="QYI1" s="136"/>
      <c r="QYJ1" s="136"/>
      <c r="QYK1" s="136"/>
      <c r="QYL1" s="136"/>
      <c r="QYM1" s="136"/>
      <c r="QYN1" s="136"/>
      <c r="QYO1" s="136"/>
      <c r="QYP1" s="136"/>
      <c r="QYQ1" s="136"/>
      <c r="QYR1" s="136"/>
      <c r="QYS1" s="136"/>
      <c r="QYT1" s="136"/>
      <c r="QYU1" s="136"/>
      <c r="QYV1" s="136"/>
      <c r="QYW1" s="136"/>
      <c r="QYX1" s="136"/>
      <c r="QYY1" s="136"/>
      <c r="QYZ1" s="136"/>
      <c r="QZA1" s="136"/>
      <c r="QZB1" s="136"/>
      <c r="QZC1" s="136"/>
      <c r="QZD1" s="136"/>
      <c r="QZE1" s="136"/>
      <c r="QZF1" s="136"/>
      <c r="QZG1" s="136"/>
      <c r="QZH1" s="136"/>
      <c r="QZI1" s="136"/>
      <c r="QZJ1" s="136"/>
      <c r="QZK1" s="136"/>
      <c r="QZL1" s="136"/>
      <c r="QZM1" s="136"/>
      <c r="QZN1" s="136"/>
      <c r="QZO1" s="136"/>
      <c r="QZP1" s="136"/>
      <c r="QZQ1" s="136"/>
      <c r="QZR1" s="136"/>
      <c r="QZS1" s="136"/>
      <c r="QZT1" s="136"/>
      <c r="QZU1" s="136"/>
      <c r="QZV1" s="136"/>
      <c r="QZW1" s="136"/>
      <c r="QZX1" s="136"/>
      <c r="QZY1" s="136"/>
      <c r="QZZ1" s="136"/>
      <c r="RAA1" s="136"/>
      <c r="RAB1" s="136"/>
      <c r="RAC1" s="136"/>
      <c r="RAD1" s="136"/>
      <c r="RAE1" s="136"/>
      <c r="RAF1" s="136"/>
      <c r="RAG1" s="136"/>
      <c r="RAH1" s="136"/>
      <c r="RAI1" s="136"/>
      <c r="RAJ1" s="136"/>
      <c r="RAK1" s="136"/>
      <c r="RAL1" s="136"/>
      <c r="RAM1" s="136"/>
      <c r="RAN1" s="136"/>
      <c r="RAO1" s="136"/>
      <c r="RAP1" s="136"/>
      <c r="RAQ1" s="136"/>
      <c r="RAR1" s="136"/>
      <c r="RAS1" s="136"/>
      <c r="RAT1" s="136"/>
      <c r="RAU1" s="136"/>
      <c r="RAV1" s="136"/>
      <c r="RAW1" s="136"/>
      <c r="RAX1" s="136"/>
      <c r="RAY1" s="136"/>
      <c r="RAZ1" s="136"/>
      <c r="RBA1" s="136"/>
      <c r="RBB1" s="136"/>
      <c r="RBC1" s="136"/>
      <c r="RBD1" s="136"/>
      <c r="RBE1" s="136"/>
      <c r="RBF1" s="136"/>
      <c r="RBG1" s="136"/>
      <c r="RBH1" s="136"/>
      <c r="RBI1" s="136"/>
      <c r="RBJ1" s="136"/>
      <c r="RBK1" s="136"/>
      <c r="RBL1" s="136"/>
      <c r="RBM1" s="136"/>
      <c r="RBN1" s="136"/>
      <c r="RBO1" s="136"/>
      <c r="RBP1" s="136"/>
      <c r="RBQ1" s="136"/>
      <c r="RBR1" s="136"/>
      <c r="RBS1" s="136"/>
      <c r="RBT1" s="136"/>
      <c r="RBU1" s="136"/>
      <c r="RBV1" s="136"/>
      <c r="RBW1" s="136"/>
      <c r="RBX1" s="136"/>
      <c r="RBY1" s="136"/>
      <c r="RBZ1" s="136"/>
      <c r="RCA1" s="136"/>
      <c r="RCB1" s="136"/>
      <c r="RCC1" s="136"/>
      <c r="RCD1" s="136"/>
      <c r="RCE1" s="136"/>
      <c r="RCF1" s="136"/>
      <c r="RCG1" s="136"/>
      <c r="RCH1" s="136"/>
      <c r="RCI1" s="136"/>
      <c r="RCJ1" s="136"/>
      <c r="RCK1" s="136"/>
      <c r="RCL1" s="136"/>
      <c r="RCM1" s="136"/>
      <c r="RCN1" s="136"/>
      <c r="RCO1" s="136"/>
      <c r="RCP1" s="136"/>
      <c r="RCQ1" s="136"/>
      <c r="RCR1" s="136"/>
      <c r="RCS1" s="136"/>
      <c r="RCT1" s="136"/>
      <c r="RCU1" s="136"/>
      <c r="RCV1" s="136"/>
      <c r="RCW1" s="136"/>
      <c r="RCX1" s="136"/>
      <c r="RCY1" s="136"/>
      <c r="RCZ1" s="136"/>
      <c r="RDA1" s="136"/>
      <c r="RDB1" s="136"/>
      <c r="RDC1" s="136"/>
      <c r="RDD1" s="136"/>
      <c r="RDE1" s="136"/>
      <c r="RDF1" s="136"/>
      <c r="RDG1" s="136"/>
      <c r="RDH1" s="136"/>
      <c r="RDI1" s="136"/>
      <c r="RDJ1" s="136"/>
      <c r="RDK1" s="136"/>
      <c r="RDL1" s="136"/>
      <c r="RDM1" s="136"/>
      <c r="RDN1" s="136"/>
      <c r="RDO1" s="136"/>
      <c r="RDP1" s="136"/>
      <c r="RDQ1" s="136"/>
      <c r="RDR1" s="136"/>
      <c r="RDS1" s="136"/>
      <c r="RDT1" s="136"/>
      <c r="RDU1" s="136"/>
      <c r="RDV1" s="136"/>
      <c r="RDW1" s="136"/>
      <c r="RDX1" s="136"/>
      <c r="RDY1" s="136"/>
      <c r="RDZ1" s="136"/>
      <c r="REA1" s="136"/>
      <c r="REB1" s="136"/>
      <c r="REC1" s="136"/>
      <c r="RED1" s="136"/>
      <c r="REE1" s="136"/>
      <c r="REF1" s="136"/>
      <c r="REG1" s="136"/>
      <c r="REH1" s="136"/>
      <c r="REI1" s="136"/>
      <c r="REJ1" s="136"/>
      <c r="REK1" s="136"/>
      <c r="REL1" s="136"/>
      <c r="REM1" s="136"/>
      <c r="REN1" s="136"/>
      <c r="REO1" s="136"/>
      <c r="REP1" s="136"/>
      <c r="REQ1" s="136"/>
      <c r="RER1" s="136"/>
      <c r="RES1" s="136"/>
      <c r="RET1" s="136"/>
      <c r="REU1" s="136"/>
      <c r="REV1" s="136"/>
      <c r="REW1" s="136"/>
      <c r="REX1" s="136"/>
      <c r="REY1" s="136"/>
      <c r="REZ1" s="136"/>
      <c r="RFA1" s="136"/>
      <c r="RFB1" s="136"/>
      <c r="RFC1" s="136"/>
      <c r="RFD1" s="136"/>
      <c r="RFE1" s="136"/>
      <c r="RFF1" s="136"/>
      <c r="RFG1" s="136"/>
      <c r="RFH1" s="136"/>
      <c r="RFI1" s="136"/>
      <c r="RFJ1" s="136"/>
      <c r="RFK1" s="136"/>
      <c r="RFL1" s="136"/>
      <c r="RFM1" s="136"/>
      <c r="RFN1" s="136"/>
      <c r="RFO1" s="136"/>
      <c r="RFP1" s="136"/>
      <c r="RFQ1" s="136"/>
      <c r="RFR1" s="136"/>
      <c r="RFS1" s="136"/>
      <c r="RFT1" s="136"/>
      <c r="RFU1" s="136"/>
      <c r="RFV1" s="136"/>
      <c r="RFW1" s="136"/>
      <c r="RFX1" s="136"/>
      <c r="RFY1" s="136"/>
      <c r="RFZ1" s="136"/>
      <c r="RGA1" s="136"/>
      <c r="RGB1" s="136"/>
      <c r="RGC1" s="136"/>
      <c r="RGD1" s="136"/>
      <c r="RGE1" s="136"/>
      <c r="RGF1" s="136"/>
      <c r="RGG1" s="136"/>
      <c r="RGH1" s="136"/>
      <c r="RGI1" s="136"/>
      <c r="RGJ1" s="136"/>
      <c r="RGK1" s="136"/>
      <c r="RGL1" s="136"/>
      <c r="RGM1" s="136"/>
      <c r="RGN1" s="136"/>
      <c r="RGO1" s="136"/>
      <c r="RGP1" s="136"/>
      <c r="RGQ1" s="136"/>
      <c r="RGR1" s="136"/>
      <c r="RGS1" s="136"/>
      <c r="RGT1" s="136"/>
      <c r="RGU1" s="136"/>
      <c r="RGV1" s="136"/>
      <c r="RGW1" s="136"/>
      <c r="RGX1" s="136"/>
      <c r="RGY1" s="136"/>
      <c r="RGZ1" s="136"/>
      <c r="RHA1" s="136"/>
      <c r="RHB1" s="136"/>
      <c r="RHC1" s="136"/>
      <c r="RHD1" s="136"/>
      <c r="RHE1" s="136"/>
      <c r="RHF1" s="136"/>
      <c r="RHG1" s="136"/>
      <c r="RHH1" s="136"/>
      <c r="RHI1" s="136"/>
      <c r="RHJ1" s="136"/>
      <c r="RHK1" s="136"/>
      <c r="RHL1" s="136"/>
      <c r="RHM1" s="136"/>
      <c r="RHN1" s="136"/>
      <c r="RHO1" s="136"/>
      <c r="RHP1" s="136"/>
      <c r="RHQ1" s="136"/>
      <c r="RHR1" s="136"/>
      <c r="RHS1" s="136"/>
      <c r="RHT1" s="136"/>
      <c r="RHU1" s="136"/>
      <c r="RHV1" s="136"/>
      <c r="RHW1" s="136"/>
      <c r="RHX1" s="136"/>
      <c r="RHY1" s="136"/>
      <c r="RHZ1" s="136"/>
      <c r="RIA1" s="136"/>
      <c r="RIB1" s="136"/>
      <c r="RIC1" s="136"/>
      <c r="RID1" s="136"/>
      <c r="RIE1" s="136"/>
      <c r="RIF1" s="136"/>
      <c r="RIG1" s="136"/>
      <c r="RIH1" s="136"/>
      <c r="RII1" s="136"/>
      <c r="RIJ1" s="136"/>
      <c r="RIK1" s="136"/>
      <c r="RIL1" s="136"/>
      <c r="RIM1" s="136"/>
      <c r="RIN1" s="136"/>
      <c r="RIO1" s="136"/>
      <c r="RIP1" s="136"/>
      <c r="RIQ1" s="136"/>
      <c r="RIR1" s="136"/>
      <c r="RIS1" s="136"/>
      <c r="RIT1" s="136"/>
      <c r="RIU1" s="136"/>
      <c r="RIV1" s="136"/>
      <c r="RIW1" s="136"/>
      <c r="RIX1" s="136"/>
      <c r="RIY1" s="136"/>
      <c r="RIZ1" s="136"/>
      <c r="RJA1" s="136"/>
      <c r="RJB1" s="136"/>
      <c r="RJC1" s="136"/>
      <c r="RJD1" s="136"/>
      <c r="RJE1" s="136"/>
      <c r="RJF1" s="136"/>
      <c r="RJG1" s="136"/>
      <c r="RJH1" s="136"/>
      <c r="RJI1" s="136"/>
      <c r="RJJ1" s="136"/>
      <c r="RJK1" s="136"/>
      <c r="RJL1" s="136"/>
      <c r="RJM1" s="136"/>
      <c r="RJN1" s="136"/>
      <c r="RJO1" s="136"/>
      <c r="RJP1" s="136"/>
      <c r="RJQ1" s="136"/>
      <c r="RJR1" s="136"/>
      <c r="RJS1" s="136"/>
      <c r="RJT1" s="136"/>
      <c r="RJU1" s="136"/>
      <c r="RJV1" s="136"/>
      <c r="RJW1" s="136"/>
      <c r="RJX1" s="136"/>
      <c r="RJY1" s="136"/>
      <c r="RJZ1" s="136"/>
      <c r="RKA1" s="136"/>
      <c r="RKB1" s="136"/>
      <c r="RKC1" s="136"/>
      <c r="RKD1" s="136"/>
      <c r="RKE1" s="136"/>
      <c r="RKF1" s="136"/>
      <c r="RKG1" s="136"/>
      <c r="RKH1" s="136"/>
      <c r="RKI1" s="136"/>
      <c r="RKJ1" s="136"/>
      <c r="RKK1" s="136"/>
      <c r="RKL1" s="136"/>
      <c r="RKM1" s="136"/>
      <c r="RKN1" s="136"/>
      <c r="RKO1" s="136"/>
      <c r="RKP1" s="136"/>
      <c r="RKQ1" s="136"/>
      <c r="RKR1" s="136"/>
      <c r="RKS1" s="136"/>
      <c r="RKT1" s="136"/>
      <c r="RKU1" s="136"/>
      <c r="RKV1" s="136"/>
      <c r="RKW1" s="136"/>
      <c r="RKX1" s="136"/>
      <c r="RKY1" s="136"/>
      <c r="RKZ1" s="136"/>
      <c r="RLA1" s="136"/>
      <c r="RLB1" s="136"/>
      <c r="RLC1" s="136"/>
      <c r="RLD1" s="136"/>
      <c r="RLE1" s="136"/>
      <c r="RLF1" s="136"/>
      <c r="RLG1" s="136"/>
      <c r="RLH1" s="136"/>
      <c r="RLI1" s="136"/>
      <c r="RLJ1" s="136"/>
      <c r="RLK1" s="136"/>
      <c r="RLL1" s="136"/>
      <c r="RLM1" s="136"/>
      <c r="RLN1" s="136"/>
      <c r="RLO1" s="136"/>
      <c r="RLP1" s="136"/>
      <c r="RLQ1" s="136"/>
      <c r="RLR1" s="136"/>
      <c r="RLS1" s="136"/>
      <c r="RLT1" s="136"/>
      <c r="RLU1" s="136"/>
      <c r="RLV1" s="136"/>
      <c r="RLW1" s="136"/>
      <c r="RLX1" s="136"/>
      <c r="RLY1" s="136"/>
      <c r="RLZ1" s="136"/>
      <c r="RMA1" s="136"/>
      <c r="RMB1" s="136"/>
      <c r="RMC1" s="136"/>
      <c r="RMD1" s="136"/>
      <c r="RME1" s="136"/>
      <c r="RMF1" s="136"/>
      <c r="RMG1" s="136"/>
      <c r="RMH1" s="136"/>
      <c r="RMI1" s="136"/>
      <c r="RMJ1" s="136"/>
      <c r="RMK1" s="136"/>
      <c r="RML1" s="136"/>
      <c r="RMM1" s="136"/>
      <c r="RMN1" s="136"/>
      <c r="RMO1" s="136"/>
      <c r="RMP1" s="136"/>
      <c r="RMQ1" s="136"/>
      <c r="RMR1" s="136"/>
      <c r="RMS1" s="136"/>
      <c r="RMT1" s="136"/>
      <c r="RMU1" s="136"/>
      <c r="RMV1" s="136"/>
      <c r="RMW1" s="136"/>
      <c r="RMX1" s="136"/>
      <c r="RMY1" s="136"/>
      <c r="RMZ1" s="136"/>
      <c r="RNA1" s="136"/>
      <c r="RNB1" s="136"/>
      <c r="RNC1" s="136"/>
      <c r="RND1" s="136"/>
      <c r="RNE1" s="136"/>
      <c r="RNF1" s="136"/>
      <c r="RNG1" s="136"/>
      <c r="RNH1" s="136"/>
      <c r="RNI1" s="136"/>
      <c r="RNJ1" s="136"/>
      <c r="RNK1" s="136"/>
      <c r="RNL1" s="136"/>
      <c r="RNM1" s="136"/>
      <c r="RNN1" s="136"/>
      <c r="RNO1" s="136"/>
      <c r="RNP1" s="136"/>
      <c r="RNQ1" s="136"/>
      <c r="RNR1" s="136"/>
      <c r="RNS1" s="136"/>
      <c r="RNT1" s="136"/>
      <c r="RNU1" s="136"/>
      <c r="RNV1" s="136"/>
      <c r="RNW1" s="136"/>
      <c r="RNX1" s="136"/>
      <c r="RNY1" s="136"/>
      <c r="RNZ1" s="136"/>
      <c r="ROA1" s="136"/>
      <c r="ROB1" s="136"/>
      <c r="ROC1" s="136"/>
      <c r="ROD1" s="136"/>
      <c r="ROE1" s="136"/>
      <c r="ROF1" s="136"/>
      <c r="ROG1" s="136"/>
      <c r="ROH1" s="136"/>
      <c r="ROI1" s="136"/>
      <c r="ROJ1" s="136"/>
      <c r="ROK1" s="136"/>
      <c r="ROL1" s="136"/>
      <c r="ROM1" s="136"/>
      <c r="RON1" s="136"/>
      <c r="ROO1" s="136"/>
      <c r="ROP1" s="136"/>
      <c r="ROQ1" s="136"/>
      <c r="ROR1" s="136"/>
      <c r="ROS1" s="136"/>
      <c r="ROT1" s="136"/>
      <c r="ROU1" s="136"/>
      <c r="ROV1" s="136"/>
      <c r="ROW1" s="136"/>
      <c r="ROX1" s="136"/>
      <c r="ROY1" s="136"/>
      <c r="ROZ1" s="136"/>
      <c r="RPA1" s="136"/>
      <c r="RPB1" s="136"/>
      <c r="RPC1" s="136"/>
      <c r="RPD1" s="136"/>
      <c r="RPE1" s="136"/>
      <c r="RPF1" s="136"/>
      <c r="RPG1" s="136"/>
      <c r="RPH1" s="136"/>
      <c r="RPI1" s="136"/>
      <c r="RPJ1" s="136"/>
      <c r="RPK1" s="136"/>
      <c r="RPL1" s="136"/>
      <c r="RPM1" s="136"/>
      <c r="RPN1" s="136"/>
      <c r="RPO1" s="136"/>
      <c r="RPP1" s="136"/>
      <c r="RPQ1" s="136"/>
      <c r="RPR1" s="136"/>
      <c r="RPS1" s="136"/>
      <c r="RPT1" s="136"/>
      <c r="RPU1" s="136"/>
      <c r="RPV1" s="136"/>
      <c r="RPW1" s="136"/>
      <c r="RPX1" s="136"/>
      <c r="RPY1" s="136"/>
      <c r="RPZ1" s="136"/>
      <c r="RQA1" s="136"/>
      <c r="RQB1" s="136"/>
      <c r="RQC1" s="136"/>
      <c r="RQD1" s="136"/>
      <c r="RQE1" s="136"/>
      <c r="RQF1" s="136"/>
      <c r="RQG1" s="136"/>
      <c r="RQH1" s="136"/>
      <c r="RQI1" s="136"/>
      <c r="RQJ1" s="136"/>
      <c r="RQK1" s="136"/>
      <c r="RQL1" s="136"/>
      <c r="RQM1" s="136"/>
      <c r="RQN1" s="136"/>
      <c r="RQO1" s="136"/>
      <c r="RQP1" s="136"/>
      <c r="RQQ1" s="136"/>
      <c r="RQR1" s="136"/>
      <c r="RQS1" s="136"/>
      <c r="RQT1" s="136"/>
      <c r="RQU1" s="136"/>
      <c r="RQV1" s="136"/>
      <c r="RQW1" s="136"/>
      <c r="RQX1" s="136"/>
      <c r="RQY1" s="136"/>
      <c r="RQZ1" s="136"/>
      <c r="RRA1" s="136"/>
      <c r="RRB1" s="136"/>
      <c r="RRC1" s="136"/>
      <c r="RRD1" s="136"/>
      <c r="RRE1" s="136"/>
      <c r="RRF1" s="136"/>
      <c r="RRG1" s="136"/>
      <c r="RRH1" s="136"/>
      <c r="RRI1" s="136"/>
      <c r="RRJ1" s="136"/>
      <c r="RRK1" s="136"/>
      <c r="RRL1" s="136"/>
      <c r="RRM1" s="136"/>
      <c r="RRN1" s="136"/>
      <c r="RRO1" s="136"/>
      <c r="RRP1" s="136"/>
      <c r="RRQ1" s="136"/>
      <c r="RRR1" s="136"/>
      <c r="RRS1" s="136"/>
      <c r="RRT1" s="136"/>
      <c r="RRU1" s="136"/>
      <c r="RRV1" s="136"/>
      <c r="RRW1" s="136"/>
      <c r="RRX1" s="136"/>
      <c r="RRY1" s="136"/>
      <c r="RRZ1" s="136"/>
      <c r="RSA1" s="136"/>
      <c r="RSB1" s="136"/>
      <c r="RSC1" s="136"/>
      <c r="RSD1" s="136"/>
      <c r="RSE1" s="136"/>
      <c r="RSF1" s="136"/>
      <c r="RSG1" s="136"/>
      <c r="RSH1" s="136"/>
      <c r="RSI1" s="136"/>
      <c r="RSJ1" s="136"/>
      <c r="RSK1" s="136"/>
      <c r="RSL1" s="136"/>
      <c r="RSM1" s="136"/>
      <c r="RSN1" s="136"/>
      <c r="RSO1" s="136"/>
      <c r="RSP1" s="136"/>
      <c r="RSQ1" s="136"/>
      <c r="RSR1" s="136"/>
      <c r="RSS1" s="136"/>
      <c r="RST1" s="136"/>
      <c r="RSU1" s="136"/>
      <c r="RSV1" s="136"/>
      <c r="RSW1" s="136"/>
      <c r="RSX1" s="136"/>
      <c r="RSY1" s="136"/>
      <c r="RSZ1" s="136"/>
      <c r="RTA1" s="136"/>
      <c r="RTB1" s="136"/>
      <c r="RTC1" s="136"/>
      <c r="RTD1" s="136"/>
      <c r="RTE1" s="136"/>
      <c r="RTF1" s="136"/>
      <c r="RTG1" s="136"/>
      <c r="RTH1" s="136"/>
      <c r="RTI1" s="136"/>
      <c r="RTJ1" s="136"/>
      <c r="RTK1" s="136"/>
      <c r="RTL1" s="136"/>
      <c r="RTM1" s="136"/>
      <c r="RTN1" s="136"/>
      <c r="RTO1" s="136"/>
      <c r="RTP1" s="136"/>
      <c r="RTQ1" s="136"/>
      <c r="RTR1" s="136"/>
      <c r="RTS1" s="136"/>
      <c r="RTT1" s="136"/>
      <c r="RTU1" s="136"/>
      <c r="RTV1" s="136"/>
      <c r="RTW1" s="136"/>
      <c r="RTX1" s="136"/>
      <c r="RTY1" s="136"/>
      <c r="RTZ1" s="136"/>
      <c r="RUA1" s="136"/>
      <c r="RUB1" s="136"/>
      <c r="RUC1" s="136"/>
      <c r="RUD1" s="136"/>
      <c r="RUE1" s="136"/>
      <c r="RUF1" s="136"/>
      <c r="RUG1" s="136"/>
      <c r="RUH1" s="136"/>
      <c r="RUI1" s="136"/>
      <c r="RUJ1" s="136"/>
      <c r="RUK1" s="136"/>
      <c r="RUL1" s="136"/>
      <c r="RUM1" s="136"/>
      <c r="RUN1" s="136"/>
      <c r="RUO1" s="136"/>
      <c r="RUP1" s="136"/>
      <c r="RUQ1" s="136"/>
      <c r="RUR1" s="136"/>
      <c r="RUS1" s="136"/>
      <c r="RUT1" s="136"/>
      <c r="RUU1" s="136"/>
      <c r="RUV1" s="136"/>
      <c r="RUW1" s="136"/>
      <c r="RUX1" s="136"/>
      <c r="RUY1" s="136"/>
      <c r="RUZ1" s="136"/>
      <c r="RVA1" s="136"/>
      <c r="RVB1" s="136"/>
      <c r="RVC1" s="136"/>
      <c r="RVD1" s="136"/>
      <c r="RVE1" s="136"/>
      <c r="RVF1" s="136"/>
      <c r="RVG1" s="136"/>
      <c r="RVH1" s="136"/>
      <c r="RVI1" s="136"/>
      <c r="RVJ1" s="136"/>
      <c r="RVK1" s="136"/>
      <c r="RVL1" s="136"/>
      <c r="RVM1" s="136"/>
      <c r="RVN1" s="136"/>
      <c r="RVO1" s="136"/>
      <c r="RVP1" s="136"/>
      <c r="RVQ1" s="136"/>
      <c r="RVR1" s="136"/>
      <c r="RVS1" s="136"/>
      <c r="RVT1" s="136"/>
      <c r="RVU1" s="136"/>
      <c r="RVV1" s="136"/>
      <c r="RVW1" s="136"/>
      <c r="RVX1" s="136"/>
      <c r="RVY1" s="136"/>
      <c r="RVZ1" s="136"/>
      <c r="RWA1" s="136"/>
      <c r="RWB1" s="136"/>
      <c r="RWC1" s="136"/>
      <c r="RWD1" s="136"/>
      <c r="RWE1" s="136"/>
      <c r="RWF1" s="136"/>
      <c r="RWG1" s="136"/>
      <c r="RWH1" s="136"/>
      <c r="RWI1" s="136"/>
      <c r="RWJ1" s="136"/>
      <c r="RWK1" s="136"/>
      <c r="RWL1" s="136"/>
      <c r="RWM1" s="136"/>
      <c r="RWN1" s="136"/>
      <c r="RWO1" s="136"/>
      <c r="RWP1" s="136"/>
      <c r="RWQ1" s="136"/>
      <c r="RWR1" s="136"/>
      <c r="RWS1" s="136"/>
      <c r="RWT1" s="136"/>
      <c r="RWU1" s="136"/>
      <c r="RWV1" s="136"/>
      <c r="RWW1" s="136"/>
      <c r="RWX1" s="136"/>
      <c r="RWY1" s="136"/>
      <c r="RWZ1" s="136"/>
      <c r="RXA1" s="136"/>
      <c r="RXB1" s="136"/>
      <c r="RXC1" s="136"/>
      <c r="RXD1" s="136"/>
      <c r="RXE1" s="136"/>
      <c r="RXF1" s="136"/>
      <c r="RXG1" s="136"/>
      <c r="RXH1" s="136"/>
      <c r="RXI1" s="136"/>
      <c r="RXJ1" s="136"/>
      <c r="RXK1" s="136"/>
      <c r="RXL1" s="136"/>
      <c r="RXM1" s="136"/>
      <c r="RXN1" s="136"/>
      <c r="RXO1" s="136"/>
      <c r="RXP1" s="136"/>
      <c r="RXQ1" s="136"/>
      <c r="RXR1" s="136"/>
      <c r="RXS1" s="136"/>
      <c r="RXT1" s="136"/>
      <c r="RXU1" s="136"/>
      <c r="RXV1" s="136"/>
      <c r="RXW1" s="136"/>
      <c r="RXX1" s="136"/>
      <c r="RXY1" s="136"/>
      <c r="RXZ1" s="136"/>
      <c r="RYA1" s="136"/>
      <c r="RYB1" s="136"/>
      <c r="RYC1" s="136"/>
      <c r="RYD1" s="136"/>
      <c r="RYE1" s="136"/>
      <c r="RYF1" s="136"/>
      <c r="RYG1" s="136"/>
      <c r="RYH1" s="136"/>
      <c r="RYI1" s="136"/>
      <c r="RYJ1" s="136"/>
      <c r="RYK1" s="136"/>
      <c r="RYL1" s="136"/>
      <c r="RYM1" s="136"/>
      <c r="RYN1" s="136"/>
      <c r="RYO1" s="136"/>
      <c r="RYP1" s="136"/>
      <c r="RYQ1" s="136"/>
      <c r="RYR1" s="136"/>
      <c r="RYS1" s="136"/>
      <c r="RYT1" s="136"/>
      <c r="RYU1" s="136"/>
      <c r="RYV1" s="136"/>
      <c r="RYW1" s="136"/>
      <c r="RYX1" s="136"/>
      <c r="RYY1" s="136"/>
      <c r="RYZ1" s="136"/>
      <c r="RZA1" s="136"/>
      <c r="RZB1" s="136"/>
      <c r="RZC1" s="136"/>
      <c r="RZD1" s="136"/>
      <c r="RZE1" s="136"/>
      <c r="RZF1" s="136"/>
      <c r="RZG1" s="136"/>
      <c r="RZH1" s="136"/>
      <c r="RZI1" s="136"/>
      <c r="RZJ1" s="136"/>
      <c r="RZK1" s="136"/>
      <c r="RZL1" s="136"/>
      <c r="RZM1" s="136"/>
      <c r="RZN1" s="136"/>
      <c r="RZO1" s="136"/>
      <c r="RZP1" s="136"/>
      <c r="RZQ1" s="136"/>
      <c r="RZR1" s="136"/>
      <c r="RZS1" s="136"/>
      <c r="RZT1" s="136"/>
      <c r="RZU1" s="136"/>
      <c r="RZV1" s="136"/>
      <c r="RZW1" s="136"/>
      <c r="RZX1" s="136"/>
      <c r="RZY1" s="136"/>
      <c r="RZZ1" s="136"/>
      <c r="SAA1" s="136"/>
      <c r="SAB1" s="136"/>
      <c r="SAC1" s="136"/>
      <c r="SAD1" s="136"/>
      <c r="SAE1" s="136"/>
      <c r="SAF1" s="136"/>
      <c r="SAG1" s="136"/>
      <c r="SAH1" s="136"/>
      <c r="SAI1" s="136"/>
      <c r="SAJ1" s="136"/>
      <c r="SAK1" s="136"/>
      <c r="SAL1" s="136"/>
      <c r="SAM1" s="136"/>
      <c r="SAN1" s="136"/>
      <c r="SAO1" s="136"/>
      <c r="SAP1" s="136"/>
      <c r="SAQ1" s="136"/>
      <c r="SAR1" s="136"/>
      <c r="SAS1" s="136"/>
      <c r="SAT1" s="136"/>
      <c r="SAU1" s="136"/>
      <c r="SAV1" s="136"/>
      <c r="SAW1" s="136"/>
      <c r="SAX1" s="136"/>
      <c r="SAY1" s="136"/>
      <c r="SAZ1" s="136"/>
      <c r="SBA1" s="136"/>
      <c r="SBB1" s="136"/>
      <c r="SBC1" s="136"/>
      <c r="SBD1" s="136"/>
      <c r="SBE1" s="136"/>
      <c r="SBF1" s="136"/>
      <c r="SBG1" s="136"/>
      <c r="SBH1" s="136"/>
      <c r="SBI1" s="136"/>
      <c r="SBJ1" s="136"/>
      <c r="SBK1" s="136"/>
      <c r="SBL1" s="136"/>
      <c r="SBM1" s="136"/>
      <c r="SBN1" s="136"/>
      <c r="SBO1" s="136"/>
      <c r="SBP1" s="136"/>
      <c r="SBQ1" s="136"/>
      <c r="SBR1" s="136"/>
      <c r="SBS1" s="136"/>
      <c r="SBT1" s="136"/>
      <c r="SBU1" s="136"/>
      <c r="SBV1" s="136"/>
      <c r="SBW1" s="136"/>
      <c r="SBX1" s="136"/>
      <c r="SBY1" s="136"/>
      <c r="SBZ1" s="136"/>
      <c r="SCA1" s="136"/>
      <c r="SCB1" s="136"/>
      <c r="SCC1" s="136"/>
      <c r="SCD1" s="136"/>
      <c r="SCE1" s="136"/>
      <c r="SCF1" s="136"/>
      <c r="SCG1" s="136"/>
      <c r="SCH1" s="136"/>
      <c r="SCI1" s="136"/>
      <c r="SCJ1" s="136"/>
      <c r="SCK1" s="136"/>
      <c r="SCL1" s="136"/>
      <c r="SCM1" s="136"/>
      <c r="SCN1" s="136"/>
      <c r="SCO1" s="136"/>
      <c r="SCP1" s="136"/>
      <c r="SCQ1" s="136"/>
      <c r="SCR1" s="136"/>
      <c r="SCS1" s="136"/>
      <c r="SCT1" s="136"/>
      <c r="SCU1" s="136"/>
      <c r="SCV1" s="136"/>
      <c r="SCW1" s="136"/>
      <c r="SCX1" s="136"/>
      <c r="SCY1" s="136"/>
      <c r="SCZ1" s="136"/>
      <c r="SDA1" s="136"/>
      <c r="SDB1" s="136"/>
      <c r="SDC1" s="136"/>
      <c r="SDD1" s="136"/>
      <c r="SDE1" s="136"/>
      <c r="SDF1" s="136"/>
      <c r="SDG1" s="136"/>
      <c r="SDH1" s="136"/>
      <c r="SDI1" s="136"/>
      <c r="SDJ1" s="136"/>
      <c r="SDK1" s="136"/>
      <c r="SDL1" s="136"/>
      <c r="SDM1" s="136"/>
      <c r="SDN1" s="136"/>
      <c r="SDO1" s="136"/>
      <c r="SDP1" s="136"/>
      <c r="SDQ1" s="136"/>
      <c r="SDR1" s="136"/>
      <c r="SDS1" s="136"/>
      <c r="SDT1" s="136"/>
      <c r="SDU1" s="136"/>
      <c r="SDV1" s="136"/>
      <c r="SDW1" s="136"/>
      <c r="SDX1" s="136"/>
      <c r="SDY1" s="136"/>
      <c r="SDZ1" s="136"/>
      <c r="SEA1" s="136"/>
      <c r="SEB1" s="136"/>
      <c r="SEC1" s="136"/>
      <c r="SED1" s="136"/>
      <c r="SEE1" s="136"/>
      <c r="SEF1" s="136"/>
      <c r="SEG1" s="136"/>
      <c r="SEH1" s="136"/>
      <c r="SEI1" s="136"/>
      <c r="SEJ1" s="136"/>
      <c r="SEK1" s="136"/>
      <c r="SEL1" s="136"/>
      <c r="SEM1" s="136"/>
      <c r="SEN1" s="136"/>
      <c r="SEO1" s="136"/>
      <c r="SEP1" s="136"/>
      <c r="SEQ1" s="136"/>
      <c r="SER1" s="136"/>
      <c r="SES1" s="136"/>
      <c r="SET1" s="136"/>
      <c r="SEU1" s="136"/>
      <c r="SEV1" s="136"/>
      <c r="SEW1" s="136"/>
      <c r="SEX1" s="136"/>
      <c r="SEY1" s="136"/>
      <c r="SEZ1" s="136"/>
      <c r="SFA1" s="136"/>
      <c r="SFB1" s="136"/>
      <c r="SFC1" s="136"/>
      <c r="SFD1" s="136"/>
      <c r="SFE1" s="136"/>
      <c r="SFF1" s="136"/>
      <c r="SFG1" s="136"/>
      <c r="SFH1" s="136"/>
      <c r="SFI1" s="136"/>
      <c r="SFJ1" s="136"/>
      <c r="SFK1" s="136"/>
      <c r="SFL1" s="136"/>
      <c r="SFM1" s="136"/>
      <c r="SFN1" s="136"/>
      <c r="SFO1" s="136"/>
      <c r="SFP1" s="136"/>
      <c r="SFQ1" s="136"/>
      <c r="SFR1" s="136"/>
      <c r="SFS1" s="136"/>
      <c r="SFT1" s="136"/>
      <c r="SFU1" s="136"/>
      <c r="SFV1" s="136"/>
      <c r="SFW1" s="136"/>
      <c r="SFX1" s="136"/>
      <c r="SFY1" s="136"/>
      <c r="SFZ1" s="136"/>
      <c r="SGA1" s="136"/>
      <c r="SGB1" s="136"/>
      <c r="SGC1" s="136"/>
      <c r="SGD1" s="136"/>
      <c r="SGE1" s="136"/>
      <c r="SGF1" s="136"/>
      <c r="SGG1" s="136"/>
      <c r="SGH1" s="136"/>
      <c r="SGI1" s="136"/>
      <c r="SGJ1" s="136"/>
      <c r="SGK1" s="136"/>
      <c r="SGL1" s="136"/>
      <c r="SGM1" s="136"/>
      <c r="SGN1" s="136"/>
      <c r="SGO1" s="136"/>
      <c r="SGP1" s="136"/>
      <c r="SGQ1" s="136"/>
      <c r="SGR1" s="136"/>
      <c r="SGS1" s="136"/>
      <c r="SGT1" s="136"/>
      <c r="SGU1" s="136"/>
      <c r="SGV1" s="136"/>
      <c r="SGW1" s="136"/>
      <c r="SGX1" s="136"/>
      <c r="SGY1" s="136"/>
      <c r="SGZ1" s="136"/>
      <c r="SHA1" s="136"/>
      <c r="SHB1" s="136"/>
      <c r="SHC1" s="136"/>
      <c r="SHD1" s="136"/>
      <c r="SHE1" s="136"/>
      <c r="SHF1" s="136"/>
      <c r="SHG1" s="136"/>
      <c r="SHH1" s="136"/>
      <c r="SHI1" s="136"/>
      <c r="SHJ1" s="136"/>
      <c r="SHK1" s="136"/>
      <c r="SHL1" s="136"/>
      <c r="SHM1" s="136"/>
      <c r="SHN1" s="136"/>
      <c r="SHO1" s="136"/>
      <c r="SHP1" s="136"/>
      <c r="SHQ1" s="136"/>
      <c r="SHR1" s="136"/>
      <c r="SHS1" s="136"/>
      <c r="SHT1" s="136"/>
      <c r="SHU1" s="136"/>
      <c r="SHV1" s="136"/>
      <c r="SHW1" s="136"/>
      <c r="SHX1" s="136"/>
      <c r="SHY1" s="136"/>
      <c r="SHZ1" s="136"/>
      <c r="SIA1" s="136"/>
      <c r="SIB1" s="136"/>
      <c r="SIC1" s="136"/>
      <c r="SID1" s="136"/>
      <c r="SIE1" s="136"/>
      <c r="SIF1" s="136"/>
      <c r="SIG1" s="136"/>
      <c r="SIH1" s="136"/>
      <c r="SII1" s="136"/>
      <c r="SIJ1" s="136"/>
      <c r="SIK1" s="136"/>
      <c r="SIL1" s="136"/>
      <c r="SIM1" s="136"/>
      <c r="SIN1" s="136"/>
      <c r="SIO1" s="136"/>
      <c r="SIP1" s="136"/>
      <c r="SIQ1" s="136"/>
      <c r="SIR1" s="136"/>
      <c r="SIS1" s="136"/>
      <c r="SIT1" s="136"/>
      <c r="SIU1" s="136"/>
      <c r="SIV1" s="136"/>
      <c r="SIW1" s="136"/>
      <c r="SIX1" s="136"/>
      <c r="SIY1" s="136"/>
      <c r="SIZ1" s="136"/>
      <c r="SJA1" s="136"/>
      <c r="SJB1" s="136"/>
      <c r="SJC1" s="136"/>
      <c r="SJD1" s="136"/>
      <c r="SJE1" s="136"/>
      <c r="SJF1" s="136"/>
      <c r="SJG1" s="136"/>
      <c r="SJH1" s="136"/>
      <c r="SJI1" s="136"/>
      <c r="SJJ1" s="136"/>
      <c r="SJK1" s="136"/>
      <c r="SJL1" s="136"/>
      <c r="SJM1" s="136"/>
      <c r="SJN1" s="136"/>
      <c r="SJO1" s="136"/>
      <c r="SJP1" s="136"/>
      <c r="SJQ1" s="136"/>
      <c r="SJR1" s="136"/>
      <c r="SJS1" s="136"/>
      <c r="SJT1" s="136"/>
      <c r="SJU1" s="136"/>
      <c r="SJV1" s="136"/>
      <c r="SJW1" s="136"/>
      <c r="SJX1" s="136"/>
      <c r="SJY1" s="136"/>
      <c r="SJZ1" s="136"/>
      <c r="SKA1" s="136"/>
      <c r="SKB1" s="136"/>
      <c r="SKC1" s="136"/>
      <c r="SKD1" s="136"/>
      <c r="SKE1" s="136"/>
      <c r="SKF1" s="136"/>
      <c r="SKG1" s="136"/>
      <c r="SKH1" s="136"/>
      <c r="SKI1" s="136"/>
      <c r="SKJ1" s="136"/>
      <c r="SKK1" s="136"/>
      <c r="SKL1" s="136"/>
      <c r="SKM1" s="136"/>
      <c r="SKN1" s="136"/>
      <c r="SKO1" s="136"/>
      <c r="SKP1" s="136"/>
      <c r="SKQ1" s="136"/>
      <c r="SKR1" s="136"/>
      <c r="SKS1" s="136"/>
      <c r="SKT1" s="136"/>
      <c r="SKU1" s="136"/>
      <c r="SKV1" s="136"/>
      <c r="SKW1" s="136"/>
      <c r="SKX1" s="136"/>
      <c r="SKY1" s="136"/>
      <c r="SKZ1" s="136"/>
      <c r="SLA1" s="136"/>
      <c r="SLB1" s="136"/>
      <c r="SLC1" s="136"/>
      <c r="SLD1" s="136"/>
      <c r="SLE1" s="136"/>
      <c r="SLF1" s="136"/>
      <c r="SLG1" s="136"/>
      <c r="SLH1" s="136"/>
      <c r="SLI1" s="136"/>
      <c r="SLJ1" s="136"/>
      <c r="SLK1" s="136"/>
      <c r="SLL1" s="136"/>
      <c r="SLM1" s="136"/>
      <c r="SLN1" s="136"/>
      <c r="SLO1" s="136"/>
      <c r="SLP1" s="136"/>
      <c r="SLQ1" s="136"/>
      <c r="SLR1" s="136"/>
      <c r="SLS1" s="136"/>
      <c r="SLT1" s="136"/>
      <c r="SLU1" s="136"/>
      <c r="SLV1" s="136"/>
      <c r="SLW1" s="136"/>
      <c r="SLX1" s="136"/>
      <c r="SLY1" s="136"/>
      <c r="SLZ1" s="136"/>
      <c r="SMA1" s="136"/>
      <c r="SMB1" s="136"/>
      <c r="SMC1" s="136"/>
      <c r="SMD1" s="136"/>
      <c r="SME1" s="136"/>
      <c r="SMF1" s="136"/>
      <c r="SMG1" s="136"/>
      <c r="SMH1" s="136"/>
      <c r="SMI1" s="136"/>
      <c r="SMJ1" s="136"/>
      <c r="SMK1" s="136"/>
      <c r="SML1" s="136"/>
      <c r="SMM1" s="136"/>
      <c r="SMN1" s="136"/>
      <c r="SMO1" s="136"/>
      <c r="SMP1" s="136"/>
      <c r="SMQ1" s="136"/>
      <c r="SMR1" s="136"/>
      <c r="SMS1" s="136"/>
      <c r="SMT1" s="136"/>
      <c r="SMU1" s="136"/>
      <c r="SMV1" s="136"/>
      <c r="SMW1" s="136"/>
      <c r="SMX1" s="136"/>
      <c r="SMY1" s="136"/>
      <c r="SMZ1" s="136"/>
      <c r="SNA1" s="136"/>
      <c r="SNB1" s="136"/>
      <c r="SNC1" s="136"/>
      <c r="SND1" s="136"/>
      <c r="SNE1" s="136"/>
      <c r="SNF1" s="136"/>
      <c r="SNG1" s="136"/>
      <c r="SNH1" s="136"/>
      <c r="SNI1" s="136"/>
      <c r="SNJ1" s="136"/>
      <c r="SNK1" s="136"/>
      <c r="SNL1" s="136"/>
      <c r="SNM1" s="136"/>
      <c r="SNN1" s="136"/>
      <c r="SNO1" s="136"/>
      <c r="SNP1" s="136"/>
      <c r="SNQ1" s="136"/>
      <c r="SNR1" s="136"/>
      <c r="SNS1" s="136"/>
      <c r="SNT1" s="136"/>
      <c r="SNU1" s="136"/>
      <c r="SNV1" s="136"/>
      <c r="SNW1" s="136"/>
      <c r="SNX1" s="136"/>
      <c r="SNY1" s="136"/>
      <c r="SNZ1" s="136"/>
      <c r="SOA1" s="136"/>
      <c r="SOB1" s="136"/>
      <c r="SOC1" s="136"/>
      <c r="SOD1" s="136"/>
      <c r="SOE1" s="136"/>
      <c r="SOF1" s="136"/>
      <c r="SOG1" s="136"/>
      <c r="SOH1" s="136"/>
      <c r="SOI1" s="136"/>
      <c r="SOJ1" s="136"/>
      <c r="SOK1" s="136"/>
      <c r="SOL1" s="136"/>
      <c r="SOM1" s="136"/>
      <c r="SON1" s="136"/>
      <c r="SOO1" s="136"/>
      <c r="SOP1" s="136"/>
      <c r="SOQ1" s="136"/>
      <c r="SOR1" s="136"/>
      <c r="SOS1" s="136"/>
      <c r="SOT1" s="136"/>
      <c r="SOU1" s="136"/>
      <c r="SOV1" s="136"/>
      <c r="SOW1" s="136"/>
      <c r="SOX1" s="136"/>
      <c r="SOY1" s="136"/>
      <c r="SOZ1" s="136"/>
      <c r="SPA1" s="136"/>
      <c r="SPB1" s="136"/>
      <c r="SPC1" s="136"/>
      <c r="SPD1" s="136"/>
      <c r="SPE1" s="136"/>
      <c r="SPF1" s="136"/>
      <c r="SPG1" s="136"/>
      <c r="SPH1" s="136"/>
      <c r="SPI1" s="136"/>
      <c r="SPJ1" s="136"/>
      <c r="SPK1" s="136"/>
      <c r="SPL1" s="136"/>
      <c r="SPM1" s="136"/>
      <c r="SPN1" s="136"/>
      <c r="SPO1" s="136"/>
      <c r="SPP1" s="136"/>
      <c r="SPQ1" s="136"/>
      <c r="SPR1" s="136"/>
      <c r="SPS1" s="136"/>
      <c r="SPT1" s="136"/>
      <c r="SPU1" s="136"/>
      <c r="SPV1" s="136"/>
      <c r="SPW1" s="136"/>
      <c r="SPX1" s="136"/>
      <c r="SPY1" s="136"/>
      <c r="SPZ1" s="136"/>
      <c r="SQA1" s="136"/>
      <c r="SQB1" s="136"/>
      <c r="SQC1" s="136"/>
      <c r="SQD1" s="136"/>
      <c r="SQE1" s="136"/>
      <c r="SQF1" s="136"/>
      <c r="SQG1" s="136"/>
      <c r="SQH1" s="136"/>
      <c r="SQI1" s="136"/>
      <c r="SQJ1" s="136"/>
      <c r="SQK1" s="136"/>
      <c r="SQL1" s="136"/>
      <c r="SQM1" s="136"/>
      <c r="SQN1" s="136"/>
      <c r="SQO1" s="136"/>
      <c r="SQP1" s="136"/>
      <c r="SQQ1" s="136"/>
      <c r="SQR1" s="136"/>
      <c r="SQS1" s="136"/>
      <c r="SQT1" s="136"/>
      <c r="SQU1" s="136"/>
      <c r="SQV1" s="136"/>
      <c r="SQW1" s="136"/>
      <c r="SQX1" s="136"/>
      <c r="SQY1" s="136"/>
      <c r="SQZ1" s="136"/>
      <c r="SRA1" s="136"/>
      <c r="SRB1" s="136"/>
      <c r="SRC1" s="136"/>
      <c r="SRD1" s="136"/>
      <c r="SRE1" s="136"/>
      <c r="SRF1" s="136"/>
      <c r="SRG1" s="136"/>
      <c r="SRH1" s="136"/>
      <c r="SRI1" s="136"/>
      <c r="SRJ1" s="136"/>
      <c r="SRK1" s="136"/>
      <c r="SRL1" s="136"/>
      <c r="SRM1" s="136"/>
      <c r="SRN1" s="136"/>
      <c r="SRO1" s="136"/>
      <c r="SRP1" s="136"/>
      <c r="SRQ1" s="136"/>
      <c r="SRR1" s="136"/>
      <c r="SRS1" s="136"/>
      <c r="SRT1" s="136"/>
      <c r="SRU1" s="136"/>
      <c r="SRV1" s="136"/>
      <c r="SRW1" s="136"/>
      <c r="SRX1" s="136"/>
      <c r="SRY1" s="136"/>
      <c r="SRZ1" s="136"/>
      <c r="SSA1" s="136"/>
      <c r="SSB1" s="136"/>
      <c r="SSC1" s="136"/>
      <c r="SSD1" s="136"/>
      <c r="SSE1" s="136"/>
      <c r="SSF1" s="136"/>
      <c r="SSG1" s="136"/>
      <c r="SSH1" s="136"/>
      <c r="SSI1" s="136"/>
      <c r="SSJ1" s="136"/>
      <c r="SSK1" s="136"/>
      <c r="SSL1" s="136"/>
      <c r="SSM1" s="136"/>
      <c r="SSN1" s="136"/>
      <c r="SSO1" s="136"/>
      <c r="SSP1" s="136"/>
      <c r="SSQ1" s="136"/>
      <c r="SSR1" s="136"/>
      <c r="SSS1" s="136"/>
      <c r="SST1" s="136"/>
      <c r="SSU1" s="136"/>
      <c r="SSV1" s="136"/>
      <c r="SSW1" s="136"/>
      <c r="SSX1" s="136"/>
      <c r="SSY1" s="136"/>
      <c r="SSZ1" s="136"/>
      <c r="STA1" s="136"/>
      <c r="STB1" s="136"/>
      <c r="STC1" s="136"/>
      <c r="STD1" s="136"/>
      <c r="STE1" s="136"/>
      <c r="STF1" s="136"/>
      <c r="STG1" s="136"/>
      <c r="STH1" s="136"/>
      <c r="STI1" s="136"/>
      <c r="STJ1" s="136"/>
      <c r="STK1" s="136"/>
      <c r="STL1" s="136"/>
      <c r="STM1" s="136"/>
      <c r="STN1" s="136"/>
      <c r="STO1" s="136"/>
      <c r="STP1" s="136"/>
      <c r="STQ1" s="136"/>
      <c r="STR1" s="136"/>
      <c r="STS1" s="136"/>
      <c r="STT1" s="136"/>
      <c r="STU1" s="136"/>
      <c r="STV1" s="136"/>
      <c r="STW1" s="136"/>
      <c r="STX1" s="136"/>
      <c r="STY1" s="136"/>
      <c r="STZ1" s="136"/>
      <c r="SUA1" s="136"/>
      <c r="SUB1" s="136"/>
      <c r="SUC1" s="136"/>
      <c r="SUD1" s="136"/>
      <c r="SUE1" s="136"/>
      <c r="SUF1" s="136"/>
      <c r="SUG1" s="136"/>
      <c r="SUH1" s="136"/>
      <c r="SUI1" s="136"/>
      <c r="SUJ1" s="136"/>
      <c r="SUK1" s="136"/>
      <c r="SUL1" s="136"/>
      <c r="SUM1" s="136"/>
      <c r="SUN1" s="136"/>
      <c r="SUO1" s="136"/>
      <c r="SUP1" s="136"/>
      <c r="SUQ1" s="136"/>
      <c r="SUR1" s="136"/>
      <c r="SUS1" s="136"/>
      <c r="SUT1" s="136"/>
      <c r="SUU1" s="136"/>
      <c r="SUV1" s="136"/>
      <c r="SUW1" s="136"/>
      <c r="SUX1" s="136"/>
      <c r="SUY1" s="136"/>
      <c r="SUZ1" s="136"/>
      <c r="SVA1" s="136"/>
      <c r="SVB1" s="136"/>
      <c r="SVC1" s="136"/>
      <c r="SVD1" s="136"/>
      <c r="SVE1" s="136"/>
      <c r="SVF1" s="136"/>
      <c r="SVG1" s="136"/>
      <c r="SVH1" s="136"/>
      <c r="SVI1" s="136"/>
      <c r="SVJ1" s="136"/>
      <c r="SVK1" s="136"/>
      <c r="SVL1" s="136"/>
      <c r="SVM1" s="136"/>
      <c r="SVN1" s="136"/>
      <c r="SVO1" s="136"/>
      <c r="SVP1" s="136"/>
      <c r="SVQ1" s="136"/>
      <c r="SVR1" s="136"/>
      <c r="SVS1" s="136"/>
      <c r="SVT1" s="136"/>
      <c r="SVU1" s="136"/>
      <c r="SVV1" s="136"/>
      <c r="SVW1" s="136"/>
      <c r="SVX1" s="136"/>
      <c r="SVY1" s="136"/>
      <c r="SVZ1" s="136"/>
      <c r="SWA1" s="136"/>
      <c r="SWB1" s="136"/>
      <c r="SWC1" s="136"/>
      <c r="SWD1" s="136"/>
      <c r="SWE1" s="136"/>
      <c r="SWF1" s="136"/>
      <c r="SWG1" s="136"/>
      <c r="SWH1" s="136"/>
      <c r="SWI1" s="136"/>
      <c r="SWJ1" s="136"/>
      <c r="SWK1" s="136"/>
      <c r="SWL1" s="136"/>
      <c r="SWM1" s="136"/>
      <c r="SWN1" s="136"/>
      <c r="SWO1" s="136"/>
      <c r="SWP1" s="136"/>
      <c r="SWQ1" s="136"/>
      <c r="SWR1" s="136"/>
      <c r="SWS1" s="136"/>
      <c r="SWT1" s="136"/>
      <c r="SWU1" s="136"/>
      <c r="SWV1" s="136"/>
      <c r="SWW1" s="136"/>
      <c r="SWX1" s="136"/>
      <c r="SWY1" s="136"/>
      <c r="SWZ1" s="136"/>
      <c r="SXA1" s="136"/>
      <c r="SXB1" s="136"/>
      <c r="SXC1" s="136"/>
      <c r="SXD1" s="136"/>
      <c r="SXE1" s="136"/>
      <c r="SXF1" s="136"/>
      <c r="SXG1" s="136"/>
      <c r="SXH1" s="136"/>
      <c r="SXI1" s="136"/>
      <c r="SXJ1" s="136"/>
      <c r="SXK1" s="136"/>
      <c r="SXL1" s="136"/>
      <c r="SXM1" s="136"/>
      <c r="SXN1" s="136"/>
      <c r="SXO1" s="136"/>
      <c r="SXP1" s="136"/>
      <c r="SXQ1" s="136"/>
      <c r="SXR1" s="136"/>
      <c r="SXS1" s="136"/>
      <c r="SXT1" s="136"/>
      <c r="SXU1" s="136"/>
      <c r="SXV1" s="136"/>
      <c r="SXW1" s="136"/>
      <c r="SXX1" s="136"/>
      <c r="SXY1" s="136"/>
      <c r="SXZ1" s="136"/>
      <c r="SYA1" s="136"/>
      <c r="SYB1" s="136"/>
      <c r="SYC1" s="136"/>
      <c r="SYD1" s="136"/>
      <c r="SYE1" s="136"/>
      <c r="SYF1" s="136"/>
      <c r="SYG1" s="136"/>
      <c r="SYH1" s="136"/>
      <c r="SYI1" s="136"/>
      <c r="SYJ1" s="136"/>
      <c r="SYK1" s="136"/>
      <c r="SYL1" s="136"/>
      <c r="SYM1" s="136"/>
      <c r="SYN1" s="136"/>
      <c r="SYO1" s="136"/>
      <c r="SYP1" s="136"/>
      <c r="SYQ1" s="136"/>
      <c r="SYR1" s="136"/>
      <c r="SYS1" s="136"/>
      <c r="SYT1" s="136"/>
      <c r="SYU1" s="136"/>
      <c r="SYV1" s="136"/>
      <c r="SYW1" s="136"/>
      <c r="SYX1" s="136"/>
      <c r="SYY1" s="136"/>
      <c r="SYZ1" s="136"/>
      <c r="SZA1" s="136"/>
      <c r="SZB1" s="136"/>
      <c r="SZC1" s="136"/>
      <c r="SZD1" s="136"/>
      <c r="SZE1" s="136"/>
      <c r="SZF1" s="136"/>
      <c r="SZG1" s="136"/>
      <c r="SZH1" s="136"/>
      <c r="SZI1" s="136"/>
      <c r="SZJ1" s="136"/>
      <c r="SZK1" s="136"/>
      <c r="SZL1" s="136"/>
      <c r="SZM1" s="136"/>
      <c r="SZN1" s="136"/>
      <c r="SZO1" s="136"/>
      <c r="SZP1" s="136"/>
      <c r="SZQ1" s="136"/>
      <c r="SZR1" s="136"/>
      <c r="SZS1" s="136"/>
      <c r="SZT1" s="136"/>
      <c r="SZU1" s="136"/>
      <c r="SZV1" s="136"/>
      <c r="SZW1" s="136"/>
      <c r="SZX1" s="136"/>
      <c r="SZY1" s="136"/>
      <c r="SZZ1" s="136"/>
      <c r="TAA1" s="136"/>
      <c r="TAB1" s="136"/>
      <c r="TAC1" s="136"/>
      <c r="TAD1" s="136"/>
      <c r="TAE1" s="136"/>
      <c r="TAF1" s="136"/>
      <c r="TAG1" s="136"/>
      <c r="TAH1" s="136"/>
      <c r="TAI1" s="136"/>
      <c r="TAJ1" s="136"/>
      <c r="TAK1" s="136"/>
      <c r="TAL1" s="136"/>
      <c r="TAM1" s="136"/>
      <c r="TAN1" s="136"/>
      <c r="TAO1" s="136"/>
      <c r="TAP1" s="136"/>
      <c r="TAQ1" s="136"/>
      <c r="TAR1" s="136"/>
      <c r="TAS1" s="136"/>
      <c r="TAT1" s="136"/>
      <c r="TAU1" s="136"/>
      <c r="TAV1" s="136"/>
      <c r="TAW1" s="136"/>
      <c r="TAX1" s="136"/>
      <c r="TAY1" s="136"/>
      <c r="TAZ1" s="136"/>
      <c r="TBA1" s="136"/>
      <c r="TBB1" s="136"/>
      <c r="TBC1" s="136"/>
      <c r="TBD1" s="136"/>
      <c r="TBE1" s="136"/>
      <c r="TBF1" s="136"/>
      <c r="TBG1" s="136"/>
      <c r="TBH1" s="136"/>
      <c r="TBI1" s="136"/>
      <c r="TBJ1" s="136"/>
      <c r="TBK1" s="136"/>
      <c r="TBL1" s="136"/>
      <c r="TBM1" s="136"/>
      <c r="TBN1" s="136"/>
      <c r="TBO1" s="136"/>
      <c r="TBP1" s="136"/>
      <c r="TBQ1" s="136"/>
      <c r="TBR1" s="136"/>
      <c r="TBS1" s="136"/>
      <c r="TBT1" s="136"/>
      <c r="TBU1" s="136"/>
      <c r="TBV1" s="136"/>
      <c r="TBW1" s="136"/>
      <c r="TBX1" s="136"/>
      <c r="TBY1" s="136"/>
      <c r="TBZ1" s="136"/>
      <c r="TCA1" s="136"/>
      <c r="TCB1" s="136"/>
      <c r="TCC1" s="136"/>
      <c r="TCD1" s="136"/>
      <c r="TCE1" s="136"/>
      <c r="TCF1" s="136"/>
      <c r="TCG1" s="136"/>
      <c r="TCH1" s="136"/>
      <c r="TCI1" s="136"/>
      <c r="TCJ1" s="136"/>
      <c r="TCK1" s="136"/>
      <c r="TCL1" s="136"/>
      <c r="TCM1" s="136"/>
      <c r="TCN1" s="136"/>
      <c r="TCO1" s="136"/>
      <c r="TCP1" s="136"/>
      <c r="TCQ1" s="136"/>
      <c r="TCR1" s="136"/>
      <c r="TCS1" s="136"/>
      <c r="TCT1" s="136"/>
      <c r="TCU1" s="136"/>
      <c r="TCV1" s="136"/>
      <c r="TCW1" s="136"/>
      <c r="TCX1" s="136"/>
      <c r="TCY1" s="136"/>
      <c r="TCZ1" s="136"/>
      <c r="TDA1" s="136"/>
      <c r="TDB1" s="136"/>
      <c r="TDC1" s="136"/>
      <c r="TDD1" s="136"/>
      <c r="TDE1" s="136"/>
      <c r="TDF1" s="136"/>
      <c r="TDG1" s="136"/>
      <c r="TDH1" s="136"/>
      <c r="TDI1" s="136"/>
      <c r="TDJ1" s="136"/>
      <c r="TDK1" s="136"/>
      <c r="TDL1" s="136"/>
      <c r="TDM1" s="136"/>
      <c r="TDN1" s="136"/>
      <c r="TDO1" s="136"/>
      <c r="TDP1" s="136"/>
      <c r="TDQ1" s="136"/>
      <c r="TDR1" s="136"/>
      <c r="TDS1" s="136"/>
      <c r="TDT1" s="136"/>
      <c r="TDU1" s="136"/>
      <c r="TDV1" s="136"/>
      <c r="TDW1" s="136"/>
      <c r="TDX1" s="136"/>
      <c r="TDY1" s="136"/>
      <c r="TDZ1" s="136"/>
      <c r="TEA1" s="136"/>
      <c r="TEB1" s="136"/>
      <c r="TEC1" s="136"/>
      <c r="TED1" s="136"/>
      <c r="TEE1" s="136"/>
      <c r="TEF1" s="136"/>
      <c r="TEG1" s="136"/>
      <c r="TEH1" s="136"/>
      <c r="TEI1" s="136"/>
      <c r="TEJ1" s="136"/>
      <c r="TEK1" s="136"/>
      <c r="TEL1" s="136"/>
      <c r="TEM1" s="136"/>
      <c r="TEN1" s="136"/>
      <c r="TEO1" s="136"/>
      <c r="TEP1" s="136"/>
      <c r="TEQ1" s="136"/>
      <c r="TER1" s="136"/>
      <c r="TES1" s="136"/>
      <c r="TET1" s="136"/>
      <c r="TEU1" s="136"/>
      <c r="TEV1" s="136"/>
      <c r="TEW1" s="136"/>
      <c r="TEX1" s="136"/>
      <c r="TEY1" s="136"/>
      <c r="TEZ1" s="136"/>
      <c r="TFA1" s="136"/>
      <c r="TFB1" s="136"/>
      <c r="TFC1" s="136"/>
      <c r="TFD1" s="136"/>
      <c r="TFE1" s="136"/>
      <c r="TFF1" s="136"/>
      <c r="TFG1" s="136"/>
      <c r="TFH1" s="136"/>
      <c r="TFI1" s="136"/>
      <c r="TFJ1" s="136"/>
      <c r="TFK1" s="136"/>
      <c r="TFL1" s="136"/>
      <c r="TFM1" s="136"/>
      <c r="TFN1" s="136"/>
      <c r="TFO1" s="136"/>
      <c r="TFP1" s="136"/>
      <c r="TFQ1" s="136"/>
      <c r="TFR1" s="136"/>
      <c r="TFS1" s="136"/>
      <c r="TFT1" s="136"/>
      <c r="TFU1" s="136"/>
      <c r="TFV1" s="136"/>
      <c r="TFW1" s="136"/>
      <c r="TFX1" s="136"/>
      <c r="TFY1" s="136"/>
      <c r="TFZ1" s="136"/>
      <c r="TGA1" s="136"/>
      <c r="TGB1" s="136"/>
      <c r="TGC1" s="136"/>
      <c r="TGD1" s="136"/>
      <c r="TGE1" s="136"/>
      <c r="TGF1" s="136"/>
      <c r="TGG1" s="136"/>
      <c r="TGH1" s="136"/>
      <c r="TGI1" s="136"/>
      <c r="TGJ1" s="136"/>
      <c r="TGK1" s="136"/>
      <c r="TGL1" s="136"/>
      <c r="TGM1" s="136"/>
      <c r="TGN1" s="136"/>
      <c r="TGO1" s="136"/>
      <c r="TGP1" s="136"/>
      <c r="TGQ1" s="136"/>
      <c r="TGR1" s="136"/>
      <c r="TGS1" s="136"/>
      <c r="TGT1" s="136"/>
      <c r="TGU1" s="136"/>
      <c r="TGV1" s="136"/>
      <c r="TGW1" s="136"/>
      <c r="TGX1" s="136"/>
      <c r="TGY1" s="136"/>
      <c r="TGZ1" s="136"/>
      <c r="THA1" s="136"/>
      <c r="THB1" s="136"/>
      <c r="THC1" s="136"/>
      <c r="THD1" s="136"/>
      <c r="THE1" s="136"/>
      <c r="THF1" s="136"/>
      <c r="THG1" s="136"/>
      <c r="THH1" s="136"/>
      <c r="THI1" s="136"/>
      <c r="THJ1" s="136"/>
      <c r="THK1" s="136"/>
      <c r="THL1" s="136"/>
      <c r="THM1" s="136"/>
      <c r="THN1" s="136"/>
      <c r="THO1" s="136"/>
      <c r="THP1" s="136"/>
      <c r="THQ1" s="136"/>
      <c r="THR1" s="136"/>
      <c r="THS1" s="136"/>
      <c r="THT1" s="136"/>
      <c r="THU1" s="136"/>
      <c r="THV1" s="136"/>
      <c r="THW1" s="136"/>
      <c r="THX1" s="136"/>
      <c r="THY1" s="136"/>
      <c r="THZ1" s="136"/>
      <c r="TIA1" s="136"/>
      <c r="TIB1" s="136"/>
      <c r="TIC1" s="136"/>
      <c r="TID1" s="136"/>
      <c r="TIE1" s="136"/>
      <c r="TIF1" s="136"/>
      <c r="TIG1" s="136"/>
      <c r="TIH1" s="136"/>
      <c r="TII1" s="136"/>
      <c r="TIJ1" s="136"/>
      <c r="TIK1" s="136"/>
      <c r="TIL1" s="136"/>
      <c r="TIM1" s="136"/>
      <c r="TIN1" s="136"/>
      <c r="TIO1" s="136"/>
      <c r="TIP1" s="136"/>
      <c r="TIQ1" s="136"/>
      <c r="TIR1" s="136"/>
      <c r="TIS1" s="136"/>
      <c r="TIT1" s="136"/>
      <c r="TIU1" s="136"/>
      <c r="TIV1" s="136"/>
      <c r="TIW1" s="136"/>
      <c r="TIX1" s="136"/>
      <c r="TIY1" s="136"/>
      <c r="TIZ1" s="136"/>
      <c r="TJA1" s="136"/>
      <c r="TJB1" s="136"/>
      <c r="TJC1" s="136"/>
      <c r="TJD1" s="136"/>
      <c r="TJE1" s="136"/>
      <c r="TJF1" s="136"/>
      <c r="TJG1" s="136"/>
      <c r="TJH1" s="136"/>
      <c r="TJI1" s="136"/>
      <c r="TJJ1" s="136"/>
      <c r="TJK1" s="136"/>
      <c r="TJL1" s="136"/>
      <c r="TJM1" s="136"/>
      <c r="TJN1" s="136"/>
      <c r="TJO1" s="136"/>
      <c r="TJP1" s="136"/>
      <c r="TJQ1" s="136"/>
      <c r="TJR1" s="136"/>
      <c r="TJS1" s="136"/>
      <c r="TJT1" s="136"/>
      <c r="TJU1" s="136"/>
      <c r="TJV1" s="136"/>
      <c r="TJW1" s="136"/>
      <c r="TJX1" s="136"/>
      <c r="TJY1" s="136"/>
      <c r="TJZ1" s="136"/>
      <c r="TKA1" s="136"/>
      <c r="TKB1" s="136"/>
      <c r="TKC1" s="136"/>
      <c r="TKD1" s="136"/>
      <c r="TKE1" s="136"/>
      <c r="TKF1" s="136"/>
      <c r="TKG1" s="136"/>
      <c r="TKH1" s="136"/>
      <c r="TKI1" s="136"/>
      <c r="TKJ1" s="136"/>
      <c r="TKK1" s="136"/>
      <c r="TKL1" s="136"/>
      <c r="TKM1" s="136"/>
      <c r="TKN1" s="136"/>
      <c r="TKO1" s="136"/>
      <c r="TKP1" s="136"/>
      <c r="TKQ1" s="136"/>
      <c r="TKR1" s="136"/>
      <c r="TKS1" s="136"/>
      <c r="TKT1" s="136"/>
      <c r="TKU1" s="136"/>
      <c r="TKV1" s="136"/>
      <c r="TKW1" s="136"/>
      <c r="TKX1" s="136"/>
      <c r="TKY1" s="136"/>
      <c r="TKZ1" s="136"/>
      <c r="TLA1" s="136"/>
      <c r="TLB1" s="136"/>
      <c r="TLC1" s="136"/>
      <c r="TLD1" s="136"/>
      <c r="TLE1" s="136"/>
      <c r="TLF1" s="136"/>
      <c r="TLG1" s="136"/>
      <c r="TLH1" s="136"/>
      <c r="TLI1" s="136"/>
      <c r="TLJ1" s="136"/>
      <c r="TLK1" s="136"/>
      <c r="TLL1" s="136"/>
      <c r="TLM1" s="136"/>
      <c r="TLN1" s="136"/>
      <c r="TLO1" s="136"/>
      <c r="TLP1" s="136"/>
      <c r="TLQ1" s="136"/>
      <c r="TLR1" s="136"/>
      <c r="TLS1" s="136"/>
      <c r="TLT1" s="136"/>
      <c r="TLU1" s="136"/>
      <c r="TLV1" s="136"/>
      <c r="TLW1" s="136"/>
      <c r="TLX1" s="136"/>
      <c r="TLY1" s="136"/>
      <c r="TLZ1" s="136"/>
      <c r="TMA1" s="136"/>
      <c r="TMB1" s="136"/>
      <c r="TMC1" s="136"/>
      <c r="TMD1" s="136"/>
      <c r="TME1" s="136"/>
      <c r="TMF1" s="136"/>
      <c r="TMG1" s="136"/>
      <c r="TMH1" s="136"/>
      <c r="TMI1" s="136"/>
      <c r="TMJ1" s="136"/>
      <c r="TMK1" s="136"/>
      <c r="TML1" s="136"/>
      <c r="TMM1" s="136"/>
      <c r="TMN1" s="136"/>
      <c r="TMO1" s="136"/>
      <c r="TMP1" s="136"/>
      <c r="TMQ1" s="136"/>
      <c r="TMR1" s="136"/>
      <c r="TMS1" s="136"/>
      <c r="TMT1" s="136"/>
      <c r="TMU1" s="136"/>
      <c r="TMV1" s="136"/>
      <c r="TMW1" s="136"/>
      <c r="TMX1" s="136"/>
      <c r="TMY1" s="136"/>
      <c r="TMZ1" s="136"/>
      <c r="TNA1" s="136"/>
      <c r="TNB1" s="136"/>
      <c r="TNC1" s="136"/>
      <c r="TND1" s="136"/>
      <c r="TNE1" s="136"/>
      <c r="TNF1" s="136"/>
      <c r="TNG1" s="136"/>
      <c r="TNH1" s="136"/>
      <c r="TNI1" s="136"/>
      <c r="TNJ1" s="136"/>
      <c r="TNK1" s="136"/>
      <c r="TNL1" s="136"/>
      <c r="TNM1" s="136"/>
      <c r="TNN1" s="136"/>
      <c r="TNO1" s="136"/>
      <c r="TNP1" s="136"/>
      <c r="TNQ1" s="136"/>
      <c r="TNR1" s="136"/>
      <c r="TNS1" s="136"/>
      <c r="TNT1" s="136"/>
      <c r="TNU1" s="136"/>
      <c r="TNV1" s="136"/>
      <c r="TNW1" s="136"/>
      <c r="TNX1" s="136"/>
      <c r="TNY1" s="136"/>
      <c r="TNZ1" s="136"/>
      <c r="TOA1" s="136"/>
      <c r="TOB1" s="136"/>
      <c r="TOC1" s="136"/>
      <c r="TOD1" s="136"/>
      <c r="TOE1" s="136"/>
      <c r="TOF1" s="136"/>
      <c r="TOG1" s="136"/>
      <c r="TOH1" s="136"/>
      <c r="TOI1" s="136"/>
      <c r="TOJ1" s="136"/>
      <c r="TOK1" s="136"/>
      <c r="TOL1" s="136"/>
      <c r="TOM1" s="136"/>
      <c r="TON1" s="136"/>
      <c r="TOO1" s="136"/>
      <c r="TOP1" s="136"/>
      <c r="TOQ1" s="136"/>
      <c r="TOR1" s="136"/>
      <c r="TOS1" s="136"/>
      <c r="TOT1" s="136"/>
      <c r="TOU1" s="136"/>
      <c r="TOV1" s="136"/>
      <c r="TOW1" s="136"/>
      <c r="TOX1" s="136"/>
      <c r="TOY1" s="136"/>
      <c r="TOZ1" s="136"/>
      <c r="TPA1" s="136"/>
      <c r="TPB1" s="136"/>
      <c r="TPC1" s="136"/>
      <c r="TPD1" s="136"/>
      <c r="TPE1" s="136"/>
      <c r="TPF1" s="136"/>
      <c r="TPG1" s="136"/>
      <c r="TPH1" s="136"/>
      <c r="TPI1" s="136"/>
      <c r="TPJ1" s="136"/>
      <c r="TPK1" s="136"/>
      <c r="TPL1" s="136"/>
      <c r="TPM1" s="136"/>
      <c r="TPN1" s="136"/>
      <c r="TPO1" s="136"/>
      <c r="TPP1" s="136"/>
      <c r="TPQ1" s="136"/>
      <c r="TPR1" s="136"/>
      <c r="TPS1" s="136"/>
      <c r="TPT1" s="136"/>
      <c r="TPU1" s="136"/>
      <c r="TPV1" s="136"/>
      <c r="TPW1" s="136"/>
      <c r="TPX1" s="136"/>
      <c r="TPY1" s="136"/>
      <c r="TPZ1" s="136"/>
      <c r="TQA1" s="136"/>
      <c r="TQB1" s="136"/>
      <c r="TQC1" s="136"/>
      <c r="TQD1" s="136"/>
      <c r="TQE1" s="136"/>
      <c r="TQF1" s="136"/>
      <c r="TQG1" s="136"/>
      <c r="TQH1" s="136"/>
      <c r="TQI1" s="136"/>
      <c r="TQJ1" s="136"/>
      <c r="TQK1" s="136"/>
      <c r="TQL1" s="136"/>
      <c r="TQM1" s="136"/>
      <c r="TQN1" s="136"/>
      <c r="TQO1" s="136"/>
      <c r="TQP1" s="136"/>
      <c r="TQQ1" s="136"/>
      <c r="TQR1" s="136"/>
      <c r="TQS1" s="136"/>
      <c r="TQT1" s="136"/>
      <c r="TQU1" s="136"/>
      <c r="TQV1" s="136"/>
      <c r="TQW1" s="136"/>
      <c r="TQX1" s="136"/>
      <c r="TQY1" s="136"/>
      <c r="TQZ1" s="136"/>
      <c r="TRA1" s="136"/>
      <c r="TRB1" s="136"/>
      <c r="TRC1" s="136"/>
      <c r="TRD1" s="136"/>
      <c r="TRE1" s="136"/>
      <c r="TRF1" s="136"/>
      <c r="TRG1" s="136"/>
      <c r="TRH1" s="136"/>
      <c r="TRI1" s="136"/>
      <c r="TRJ1" s="136"/>
      <c r="TRK1" s="136"/>
      <c r="TRL1" s="136"/>
      <c r="TRM1" s="136"/>
      <c r="TRN1" s="136"/>
      <c r="TRO1" s="136"/>
      <c r="TRP1" s="136"/>
      <c r="TRQ1" s="136"/>
      <c r="TRR1" s="136"/>
      <c r="TRS1" s="136"/>
      <c r="TRT1" s="136"/>
      <c r="TRU1" s="136"/>
      <c r="TRV1" s="136"/>
      <c r="TRW1" s="136"/>
      <c r="TRX1" s="136"/>
      <c r="TRY1" s="136"/>
      <c r="TRZ1" s="136"/>
      <c r="TSA1" s="136"/>
      <c r="TSB1" s="136"/>
      <c r="TSC1" s="136"/>
      <c r="TSD1" s="136"/>
      <c r="TSE1" s="136"/>
      <c r="TSF1" s="136"/>
      <c r="TSG1" s="136"/>
      <c r="TSH1" s="136"/>
      <c r="TSI1" s="136"/>
      <c r="TSJ1" s="136"/>
      <c r="TSK1" s="136"/>
      <c r="TSL1" s="136"/>
      <c r="TSM1" s="136"/>
      <c r="TSN1" s="136"/>
      <c r="TSO1" s="136"/>
      <c r="TSP1" s="136"/>
      <c r="TSQ1" s="136"/>
      <c r="TSR1" s="136"/>
      <c r="TSS1" s="136"/>
      <c r="TST1" s="136"/>
      <c r="TSU1" s="136"/>
      <c r="TSV1" s="136"/>
      <c r="TSW1" s="136"/>
      <c r="TSX1" s="136"/>
      <c r="TSY1" s="136"/>
      <c r="TSZ1" s="136"/>
      <c r="TTA1" s="136"/>
      <c r="TTB1" s="136"/>
      <c r="TTC1" s="136"/>
      <c r="TTD1" s="136"/>
      <c r="TTE1" s="136"/>
      <c r="TTF1" s="136"/>
      <c r="TTG1" s="136"/>
      <c r="TTH1" s="136"/>
      <c r="TTI1" s="136"/>
      <c r="TTJ1" s="136"/>
      <c r="TTK1" s="136"/>
      <c r="TTL1" s="136"/>
      <c r="TTM1" s="136"/>
      <c r="TTN1" s="136"/>
      <c r="TTO1" s="136"/>
      <c r="TTP1" s="136"/>
      <c r="TTQ1" s="136"/>
      <c r="TTR1" s="136"/>
      <c r="TTS1" s="136"/>
      <c r="TTT1" s="136"/>
      <c r="TTU1" s="136"/>
      <c r="TTV1" s="136"/>
      <c r="TTW1" s="136"/>
      <c r="TTX1" s="136"/>
      <c r="TTY1" s="136"/>
      <c r="TTZ1" s="136"/>
      <c r="TUA1" s="136"/>
      <c r="TUB1" s="136"/>
      <c r="TUC1" s="136"/>
      <c r="TUD1" s="136"/>
      <c r="TUE1" s="136"/>
      <c r="TUF1" s="136"/>
      <c r="TUG1" s="136"/>
      <c r="TUH1" s="136"/>
      <c r="TUI1" s="136"/>
      <c r="TUJ1" s="136"/>
      <c r="TUK1" s="136"/>
      <c r="TUL1" s="136"/>
      <c r="TUM1" s="136"/>
      <c r="TUN1" s="136"/>
      <c r="TUO1" s="136"/>
      <c r="TUP1" s="136"/>
      <c r="TUQ1" s="136"/>
      <c r="TUR1" s="136"/>
      <c r="TUS1" s="136"/>
      <c r="TUT1" s="136"/>
      <c r="TUU1" s="136"/>
      <c r="TUV1" s="136"/>
      <c r="TUW1" s="136"/>
      <c r="TUX1" s="136"/>
      <c r="TUY1" s="136"/>
      <c r="TUZ1" s="136"/>
      <c r="TVA1" s="136"/>
      <c r="TVB1" s="136"/>
      <c r="TVC1" s="136"/>
      <c r="TVD1" s="136"/>
      <c r="TVE1" s="136"/>
      <c r="TVF1" s="136"/>
      <c r="TVG1" s="136"/>
      <c r="TVH1" s="136"/>
      <c r="TVI1" s="136"/>
      <c r="TVJ1" s="136"/>
      <c r="TVK1" s="136"/>
      <c r="TVL1" s="136"/>
      <c r="TVM1" s="136"/>
      <c r="TVN1" s="136"/>
      <c r="TVO1" s="136"/>
      <c r="TVP1" s="136"/>
      <c r="TVQ1" s="136"/>
      <c r="TVR1" s="136"/>
      <c r="TVS1" s="136"/>
      <c r="TVT1" s="136"/>
      <c r="TVU1" s="136"/>
      <c r="TVV1" s="136"/>
      <c r="TVW1" s="136"/>
      <c r="TVX1" s="136"/>
      <c r="TVY1" s="136"/>
      <c r="TVZ1" s="136"/>
      <c r="TWA1" s="136"/>
      <c r="TWB1" s="136"/>
      <c r="TWC1" s="136"/>
      <c r="TWD1" s="136"/>
      <c r="TWE1" s="136"/>
      <c r="TWF1" s="136"/>
      <c r="TWG1" s="136"/>
      <c r="TWH1" s="136"/>
      <c r="TWI1" s="136"/>
      <c r="TWJ1" s="136"/>
      <c r="TWK1" s="136"/>
      <c r="TWL1" s="136"/>
      <c r="TWM1" s="136"/>
      <c r="TWN1" s="136"/>
      <c r="TWO1" s="136"/>
      <c r="TWP1" s="136"/>
      <c r="TWQ1" s="136"/>
      <c r="TWR1" s="136"/>
      <c r="TWS1" s="136"/>
      <c r="TWT1" s="136"/>
      <c r="TWU1" s="136"/>
      <c r="TWV1" s="136"/>
      <c r="TWW1" s="136"/>
      <c r="TWX1" s="136"/>
      <c r="TWY1" s="136"/>
      <c r="TWZ1" s="136"/>
      <c r="TXA1" s="136"/>
      <c r="TXB1" s="136"/>
      <c r="TXC1" s="136"/>
      <c r="TXD1" s="136"/>
      <c r="TXE1" s="136"/>
      <c r="TXF1" s="136"/>
      <c r="TXG1" s="136"/>
      <c r="TXH1" s="136"/>
      <c r="TXI1" s="136"/>
      <c r="TXJ1" s="136"/>
      <c r="TXK1" s="136"/>
      <c r="TXL1" s="136"/>
      <c r="TXM1" s="136"/>
      <c r="TXN1" s="136"/>
      <c r="TXO1" s="136"/>
      <c r="TXP1" s="136"/>
      <c r="TXQ1" s="136"/>
      <c r="TXR1" s="136"/>
      <c r="TXS1" s="136"/>
      <c r="TXT1" s="136"/>
      <c r="TXU1" s="136"/>
      <c r="TXV1" s="136"/>
      <c r="TXW1" s="136"/>
      <c r="TXX1" s="136"/>
      <c r="TXY1" s="136"/>
      <c r="TXZ1" s="136"/>
      <c r="TYA1" s="136"/>
      <c r="TYB1" s="136"/>
      <c r="TYC1" s="136"/>
      <c r="TYD1" s="136"/>
      <c r="TYE1" s="136"/>
      <c r="TYF1" s="136"/>
      <c r="TYG1" s="136"/>
      <c r="TYH1" s="136"/>
      <c r="TYI1" s="136"/>
      <c r="TYJ1" s="136"/>
      <c r="TYK1" s="136"/>
      <c r="TYL1" s="136"/>
      <c r="TYM1" s="136"/>
      <c r="TYN1" s="136"/>
      <c r="TYO1" s="136"/>
      <c r="TYP1" s="136"/>
      <c r="TYQ1" s="136"/>
      <c r="TYR1" s="136"/>
      <c r="TYS1" s="136"/>
      <c r="TYT1" s="136"/>
      <c r="TYU1" s="136"/>
      <c r="TYV1" s="136"/>
      <c r="TYW1" s="136"/>
      <c r="TYX1" s="136"/>
      <c r="TYY1" s="136"/>
      <c r="TYZ1" s="136"/>
      <c r="TZA1" s="136"/>
      <c r="TZB1" s="136"/>
      <c r="TZC1" s="136"/>
      <c r="TZD1" s="136"/>
      <c r="TZE1" s="136"/>
      <c r="TZF1" s="136"/>
      <c r="TZG1" s="136"/>
      <c r="TZH1" s="136"/>
      <c r="TZI1" s="136"/>
      <c r="TZJ1" s="136"/>
      <c r="TZK1" s="136"/>
      <c r="TZL1" s="136"/>
      <c r="TZM1" s="136"/>
      <c r="TZN1" s="136"/>
      <c r="TZO1" s="136"/>
      <c r="TZP1" s="136"/>
      <c r="TZQ1" s="136"/>
      <c r="TZR1" s="136"/>
      <c r="TZS1" s="136"/>
      <c r="TZT1" s="136"/>
      <c r="TZU1" s="136"/>
      <c r="TZV1" s="136"/>
      <c r="TZW1" s="136"/>
      <c r="TZX1" s="136"/>
      <c r="TZY1" s="136"/>
      <c r="TZZ1" s="136"/>
      <c r="UAA1" s="136"/>
      <c r="UAB1" s="136"/>
      <c r="UAC1" s="136"/>
      <c r="UAD1" s="136"/>
      <c r="UAE1" s="136"/>
      <c r="UAF1" s="136"/>
      <c r="UAG1" s="136"/>
      <c r="UAH1" s="136"/>
      <c r="UAI1" s="136"/>
      <c r="UAJ1" s="136"/>
      <c r="UAK1" s="136"/>
      <c r="UAL1" s="136"/>
      <c r="UAM1" s="136"/>
      <c r="UAN1" s="136"/>
      <c r="UAO1" s="136"/>
      <c r="UAP1" s="136"/>
      <c r="UAQ1" s="136"/>
      <c r="UAR1" s="136"/>
      <c r="UAS1" s="136"/>
      <c r="UAT1" s="136"/>
      <c r="UAU1" s="136"/>
      <c r="UAV1" s="136"/>
      <c r="UAW1" s="136"/>
      <c r="UAX1" s="136"/>
      <c r="UAY1" s="136"/>
      <c r="UAZ1" s="136"/>
      <c r="UBA1" s="136"/>
      <c r="UBB1" s="136"/>
      <c r="UBC1" s="136"/>
      <c r="UBD1" s="136"/>
      <c r="UBE1" s="136"/>
      <c r="UBF1" s="136"/>
      <c r="UBG1" s="136"/>
      <c r="UBH1" s="136"/>
      <c r="UBI1" s="136"/>
      <c r="UBJ1" s="136"/>
      <c r="UBK1" s="136"/>
      <c r="UBL1" s="136"/>
      <c r="UBM1" s="136"/>
      <c r="UBN1" s="136"/>
      <c r="UBO1" s="136"/>
      <c r="UBP1" s="136"/>
      <c r="UBQ1" s="136"/>
      <c r="UBR1" s="136"/>
      <c r="UBS1" s="136"/>
      <c r="UBT1" s="136"/>
      <c r="UBU1" s="136"/>
      <c r="UBV1" s="136"/>
      <c r="UBW1" s="136"/>
      <c r="UBX1" s="136"/>
      <c r="UBY1" s="136"/>
      <c r="UBZ1" s="136"/>
      <c r="UCA1" s="136"/>
      <c r="UCB1" s="136"/>
      <c r="UCC1" s="136"/>
      <c r="UCD1" s="136"/>
      <c r="UCE1" s="136"/>
      <c r="UCF1" s="136"/>
      <c r="UCG1" s="136"/>
      <c r="UCH1" s="136"/>
      <c r="UCI1" s="136"/>
      <c r="UCJ1" s="136"/>
      <c r="UCK1" s="136"/>
      <c r="UCL1" s="136"/>
      <c r="UCM1" s="136"/>
      <c r="UCN1" s="136"/>
      <c r="UCO1" s="136"/>
      <c r="UCP1" s="136"/>
      <c r="UCQ1" s="136"/>
      <c r="UCR1" s="136"/>
      <c r="UCS1" s="136"/>
      <c r="UCT1" s="136"/>
      <c r="UCU1" s="136"/>
      <c r="UCV1" s="136"/>
      <c r="UCW1" s="136"/>
      <c r="UCX1" s="136"/>
      <c r="UCY1" s="136"/>
      <c r="UCZ1" s="136"/>
      <c r="UDA1" s="136"/>
      <c r="UDB1" s="136"/>
      <c r="UDC1" s="136"/>
      <c r="UDD1" s="136"/>
      <c r="UDE1" s="136"/>
      <c r="UDF1" s="136"/>
      <c r="UDG1" s="136"/>
      <c r="UDH1" s="136"/>
      <c r="UDI1" s="136"/>
      <c r="UDJ1" s="136"/>
      <c r="UDK1" s="136"/>
      <c r="UDL1" s="136"/>
      <c r="UDM1" s="136"/>
      <c r="UDN1" s="136"/>
      <c r="UDO1" s="136"/>
      <c r="UDP1" s="136"/>
      <c r="UDQ1" s="136"/>
      <c r="UDR1" s="136"/>
      <c r="UDS1" s="136"/>
      <c r="UDT1" s="136"/>
      <c r="UDU1" s="136"/>
      <c r="UDV1" s="136"/>
      <c r="UDW1" s="136"/>
      <c r="UDX1" s="136"/>
      <c r="UDY1" s="136"/>
      <c r="UDZ1" s="136"/>
      <c r="UEA1" s="136"/>
      <c r="UEB1" s="136"/>
      <c r="UEC1" s="136"/>
      <c r="UED1" s="136"/>
      <c r="UEE1" s="136"/>
      <c r="UEF1" s="136"/>
      <c r="UEG1" s="136"/>
      <c r="UEH1" s="136"/>
      <c r="UEI1" s="136"/>
      <c r="UEJ1" s="136"/>
      <c r="UEK1" s="136"/>
      <c r="UEL1" s="136"/>
      <c r="UEM1" s="136"/>
      <c r="UEN1" s="136"/>
      <c r="UEO1" s="136"/>
      <c r="UEP1" s="136"/>
      <c r="UEQ1" s="136"/>
      <c r="UER1" s="136"/>
      <c r="UES1" s="136"/>
      <c r="UET1" s="136"/>
      <c r="UEU1" s="136"/>
      <c r="UEV1" s="136"/>
      <c r="UEW1" s="136"/>
      <c r="UEX1" s="136"/>
      <c r="UEY1" s="136"/>
      <c r="UEZ1" s="136"/>
      <c r="UFA1" s="136"/>
      <c r="UFB1" s="136"/>
      <c r="UFC1" s="136"/>
      <c r="UFD1" s="136"/>
      <c r="UFE1" s="136"/>
      <c r="UFF1" s="136"/>
      <c r="UFG1" s="136"/>
      <c r="UFH1" s="136"/>
      <c r="UFI1" s="136"/>
      <c r="UFJ1" s="136"/>
      <c r="UFK1" s="136"/>
      <c r="UFL1" s="136"/>
      <c r="UFM1" s="136"/>
      <c r="UFN1" s="136"/>
      <c r="UFO1" s="136"/>
      <c r="UFP1" s="136"/>
      <c r="UFQ1" s="136"/>
      <c r="UFR1" s="136"/>
      <c r="UFS1" s="136"/>
      <c r="UFT1" s="136"/>
      <c r="UFU1" s="136"/>
      <c r="UFV1" s="136"/>
      <c r="UFW1" s="136"/>
      <c r="UFX1" s="136"/>
      <c r="UFY1" s="136"/>
      <c r="UFZ1" s="136"/>
      <c r="UGA1" s="136"/>
      <c r="UGB1" s="136"/>
      <c r="UGC1" s="136"/>
      <c r="UGD1" s="136"/>
      <c r="UGE1" s="136"/>
      <c r="UGF1" s="136"/>
      <c r="UGG1" s="136"/>
      <c r="UGH1" s="136"/>
      <c r="UGI1" s="136"/>
      <c r="UGJ1" s="136"/>
      <c r="UGK1" s="136"/>
      <c r="UGL1" s="136"/>
      <c r="UGM1" s="136"/>
      <c r="UGN1" s="136"/>
      <c r="UGO1" s="136"/>
      <c r="UGP1" s="136"/>
      <c r="UGQ1" s="136"/>
      <c r="UGR1" s="136"/>
      <c r="UGS1" s="136"/>
      <c r="UGT1" s="136"/>
      <c r="UGU1" s="136"/>
      <c r="UGV1" s="136"/>
      <c r="UGW1" s="136"/>
      <c r="UGX1" s="136"/>
      <c r="UGY1" s="136"/>
      <c r="UGZ1" s="136"/>
      <c r="UHA1" s="136"/>
      <c r="UHB1" s="136"/>
      <c r="UHC1" s="136"/>
      <c r="UHD1" s="136"/>
      <c r="UHE1" s="136"/>
      <c r="UHF1" s="136"/>
      <c r="UHG1" s="136"/>
      <c r="UHH1" s="136"/>
      <c r="UHI1" s="136"/>
      <c r="UHJ1" s="136"/>
      <c r="UHK1" s="136"/>
      <c r="UHL1" s="136"/>
      <c r="UHM1" s="136"/>
      <c r="UHN1" s="136"/>
      <c r="UHO1" s="136"/>
      <c r="UHP1" s="136"/>
      <c r="UHQ1" s="136"/>
      <c r="UHR1" s="136"/>
      <c r="UHS1" s="136"/>
      <c r="UHT1" s="136"/>
      <c r="UHU1" s="136"/>
      <c r="UHV1" s="136"/>
      <c r="UHW1" s="136"/>
      <c r="UHX1" s="136"/>
      <c r="UHY1" s="136"/>
      <c r="UHZ1" s="136"/>
      <c r="UIA1" s="136"/>
      <c r="UIB1" s="136"/>
      <c r="UIC1" s="136"/>
      <c r="UID1" s="136"/>
      <c r="UIE1" s="136"/>
      <c r="UIF1" s="136"/>
      <c r="UIG1" s="136"/>
      <c r="UIH1" s="136"/>
      <c r="UII1" s="136"/>
      <c r="UIJ1" s="136"/>
      <c r="UIK1" s="136"/>
      <c r="UIL1" s="136"/>
      <c r="UIM1" s="136"/>
      <c r="UIN1" s="136"/>
      <c r="UIO1" s="136"/>
      <c r="UIP1" s="136"/>
      <c r="UIQ1" s="136"/>
      <c r="UIR1" s="136"/>
      <c r="UIS1" s="136"/>
      <c r="UIT1" s="136"/>
      <c r="UIU1" s="136"/>
      <c r="UIV1" s="136"/>
      <c r="UIW1" s="136"/>
      <c r="UIX1" s="136"/>
      <c r="UIY1" s="136"/>
      <c r="UIZ1" s="136"/>
      <c r="UJA1" s="136"/>
      <c r="UJB1" s="136"/>
      <c r="UJC1" s="136"/>
      <c r="UJD1" s="136"/>
      <c r="UJE1" s="136"/>
      <c r="UJF1" s="136"/>
      <c r="UJG1" s="136"/>
      <c r="UJH1" s="136"/>
      <c r="UJI1" s="136"/>
      <c r="UJJ1" s="136"/>
      <c r="UJK1" s="136"/>
      <c r="UJL1" s="136"/>
      <c r="UJM1" s="136"/>
      <c r="UJN1" s="136"/>
      <c r="UJO1" s="136"/>
      <c r="UJP1" s="136"/>
      <c r="UJQ1" s="136"/>
      <c r="UJR1" s="136"/>
      <c r="UJS1" s="136"/>
      <c r="UJT1" s="136"/>
      <c r="UJU1" s="136"/>
      <c r="UJV1" s="136"/>
      <c r="UJW1" s="136"/>
      <c r="UJX1" s="136"/>
      <c r="UJY1" s="136"/>
      <c r="UJZ1" s="136"/>
      <c r="UKA1" s="136"/>
      <c r="UKB1" s="136"/>
      <c r="UKC1" s="136"/>
      <c r="UKD1" s="136"/>
      <c r="UKE1" s="136"/>
      <c r="UKF1" s="136"/>
      <c r="UKG1" s="136"/>
      <c r="UKH1" s="136"/>
      <c r="UKI1" s="136"/>
      <c r="UKJ1" s="136"/>
      <c r="UKK1" s="136"/>
      <c r="UKL1" s="136"/>
      <c r="UKM1" s="136"/>
      <c r="UKN1" s="136"/>
      <c r="UKO1" s="136"/>
      <c r="UKP1" s="136"/>
      <c r="UKQ1" s="136"/>
      <c r="UKR1" s="136"/>
      <c r="UKS1" s="136"/>
      <c r="UKT1" s="136"/>
      <c r="UKU1" s="136"/>
      <c r="UKV1" s="136"/>
      <c r="UKW1" s="136"/>
      <c r="UKX1" s="136"/>
      <c r="UKY1" s="136"/>
      <c r="UKZ1" s="136"/>
      <c r="ULA1" s="136"/>
      <c r="ULB1" s="136"/>
      <c r="ULC1" s="136"/>
      <c r="ULD1" s="136"/>
      <c r="ULE1" s="136"/>
      <c r="ULF1" s="136"/>
      <c r="ULG1" s="136"/>
      <c r="ULH1" s="136"/>
      <c r="ULI1" s="136"/>
      <c r="ULJ1" s="136"/>
      <c r="ULK1" s="136"/>
      <c r="ULL1" s="136"/>
      <c r="ULM1" s="136"/>
      <c r="ULN1" s="136"/>
      <c r="ULO1" s="136"/>
      <c r="ULP1" s="136"/>
      <c r="ULQ1" s="136"/>
      <c r="ULR1" s="136"/>
      <c r="ULS1" s="136"/>
      <c r="ULT1" s="136"/>
      <c r="ULU1" s="136"/>
      <c r="ULV1" s="136"/>
      <c r="ULW1" s="136"/>
      <c r="ULX1" s="136"/>
      <c r="ULY1" s="136"/>
      <c r="ULZ1" s="136"/>
      <c r="UMA1" s="136"/>
      <c r="UMB1" s="136"/>
      <c r="UMC1" s="136"/>
      <c r="UMD1" s="136"/>
      <c r="UME1" s="136"/>
      <c r="UMF1" s="136"/>
      <c r="UMG1" s="136"/>
      <c r="UMH1" s="136"/>
      <c r="UMI1" s="136"/>
      <c r="UMJ1" s="136"/>
      <c r="UMK1" s="136"/>
      <c r="UML1" s="136"/>
      <c r="UMM1" s="136"/>
      <c r="UMN1" s="136"/>
      <c r="UMO1" s="136"/>
      <c r="UMP1" s="136"/>
      <c r="UMQ1" s="136"/>
      <c r="UMR1" s="136"/>
      <c r="UMS1" s="136"/>
      <c r="UMT1" s="136"/>
      <c r="UMU1" s="136"/>
      <c r="UMV1" s="136"/>
      <c r="UMW1" s="136"/>
      <c r="UMX1" s="136"/>
      <c r="UMY1" s="136"/>
      <c r="UMZ1" s="136"/>
      <c r="UNA1" s="136"/>
      <c r="UNB1" s="136"/>
      <c r="UNC1" s="136"/>
      <c r="UND1" s="136"/>
      <c r="UNE1" s="136"/>
      <c r="UNF1" s="136"/>
      <c r="UNG1" s="136"/>
      <c r="UNH1" s="136"/>
      <c r="UNI1" s="136"/>
      <c r="UNJ1" s="136"/>
      <c r="UNK1" s="136"/>
      <c r="UNL1" s="136"/>
      <c r="UNM1" s="136"/>
      <c r="UNN1" s="136"/>
      <c r="UNO1" s="136"/>
      <c r="UNP1" s="136"/>
      <c r="UNQ1" s="136"/>
      <c r="UNR1" s="136"/>
      <c r="UNS1" s="136"/>
      <c r="UNT1" s="136"/>
      <c r="UNU1" s="136"/>
      <c r="UNV1" s="136"/>
      <c r="UNW1" s="136"/>
      <c r="UNX1" s="136"/>
      <c r="UNY1" s="136"/>
      <c r="UNZ1" s="136"/>
      <c r="UOA1" s="136"/>
      <c r="UOB1" s="136"/>
      <c r="UOC1" s="136"/>
      <c r="UOD1" s="136"/>
      <c r="UOE1" s="136"/>
      <c r="UOF1" s="136"/>
      <c r="UOG1" s="136"/>
      <c r="UOH1" s="136"/>
      <c r="UOI1" s="136"/>
      <c r="UOJ1" s="136"/>
      <c r="UOK1" s="136"/>
      <c r="UOL1" s="136"/>
      <c r="UOM1" s="136"/>
      <c r="UON1" s="136"/>
      <c r="UOO1" s="136"/>
      <c r="UOP1" s="136"/>
      <c r="UOQ1" s="136"/>
      <c r="UOR1" s="136"/>
      <c r="UOS1" s="136"/>
      <c r="UOT1" s="136"/>
      <c r="UOU1" s="136"/>
      <c r="UOV1" s="136"/>
      <c r="UOW1" s="136"/>
      <c r="UOX1" s="136"/>
      <c r="UOY1" s="136"/>
      <c r="UOZ1" s="136"/>
      <c r="UPA1" s="136"/>
      <c r="UPB1" s="136"/>
      <c r="UPC1" s="136"/>
      <c r="UPD1" s="136"/>
      <c r="UPE1" s="136"/>
      <c r="UPF1" s="136"/>
      <c r="UPG1" s="136"/>
      <c r="UPH1" s="136"/>
      <c r="UPI1" s="136"/>
      <c r="UPJ1" s="136"/>
      <c r="UPK1" s="136"/>
      <c r="UPL1" s="136"/>
      <c r="UPM1" s="136"/>
      <c r="UPN1" s="136"/>
      <c r="UPO1" s="136"/>
      <c r="UPP1" s="136"/>
      <c r="UPQ1" s="136"/>
      <c r="UPR1" s="136"/>
      <c r="UPS1" s="136"/>
      <c r="UPT1" s="136"/>
      <c r="UPU1" s="136"/>
      <c r="UPV1" s="136"/>
      <c r="UPW1" s="136"/>
      <c r="UPX1" s="136"/>
      <c r="UPY1" s="136"/>
      <c r="UPZ1" s="136"/>
      <c r="UQA1" s="136"/>
      <c r="UQB1" s="136"/>
      <c r="UQC1" s="136"/>
      <c r="UQD1" s="136"/>
      <c r="UQE1" s="136"/>
      <c r="UQF1" s="136"/>
      <c r="UQG1" s="136"/>
      <c r="UQH1" s="136"/>
      <c r="UQI1" s="136"/>
      <c r="UQJ1" s="136"/>
      <c r="UQK1" s="136"/>
      <c r="UQL1" s="136"/>
      <c r="UQM1" s="136"/>
      <c r="UQN1" s="136"/>
      <c r="UQO1" s="136"/>
      <c r="UQP1" s="136"/>
      <c r="UQQ1" s="136"/>
      <c r="UQR1" s="136"/>
      <c r="UQS1" s="136"/>
      <c r="UQT1" s="136"/>
      <c r="UQU1" s="136"/>
      <c r="UQV1" s="136"/>
      <c r="UQW1" s="136"/>
      <c r="UQX1" s="136"/>
      <c r="UQY1" s="136"/>
      <c r="UQZ1" s="136"/>
      <c r="URA1" s="136"/>
      <c r="URB1" s="136"/>
      <c r="URC1" s="136"/>
      <c r="URD1" s="136"/>
      <c r="URE1" s="136"/>
      <c r="URF1" s="136"/>
      <c r="URG1" s="136"/>
      <c r="URH1" s="136"/>
      <c r="URI1" s="136"/>
      <c r="URJ1" s="136"/>
      <c r="URK1" s="136"/>
      <c r="URL1" s="136"/>
      <c r="URM1" s="136"/>
      <c r="URN1" s="136"/>
      <c r="URO1" s="136"/>
      <c r="URP1" s="136"/>
      <c r="URQ1" s="136"/>
      <c r="URR1" s="136"/>
      <c r="URS1" s="136"/>
      <c r="URT1" s="136"/>
      <c r="URU1" s="136"/>
      <c r="URV1" s="136"/>
      <c r="URW1" s="136"/>
      <c r="URX1" s="136"/>
      <c r="URY1" s="136"/>
      <c r="URZ1" s="136"/>
      <c r="USA1" s="136"/>
      <c r="USB1" s="136"/>
      <c r="USC1" s="136"/>
      <c r="USD1" s="136"/>
      <c r="USE1" s="136"/>
      <c r="USF1" s="136"/>
      <c r="USG1" s="136"/>
      <c r="USH1" s="136"/>
      <c r="USI1" s="136"/>
      <c r="USJ1" s="136"/>
      <c r="USK1" s="136"/>
      <c r="USL1" s="136"/>
      <c r="USM1" s="136"/>
      <c r="USN1" s="136"/>
      <c r="USO1" s="136"/>
      <c r="USP1" s="136"/>
      <c r="USQ1" s="136"/>
      <c r="USR1" s="136"/>
      <c r="USS1" s="136"/>
      <c r="UST1" s="136"/>
      <c r="USU1" s="136"/>
      <c r="USV1" s="136"/>
      <c r="USW1" s="136"/>
      <c r="USX1" s="136"/>
      <c r="USY1" s="136"/>
      <c r="USZ1" s="136"/>
      <c r="UTA1" s="136"/>
      <c r="UTB1" s="136"/>
      <c r="UTC1" s="136"/>
      <c r="UTD1" s="136"/>
      <c r="UTE1" s="136"/>
      <c r="UTF1" s="136"/>
      <c r="UTG1" s="136"/>
      <c r="UTH1" s="136"/>
      <c r="UTI1" s="136"/>
      <c r="UTJ1" s="136"/>
      <c r="UTK1" s="136"/>
      <c r="UTL1" s="136"/>
      <c r="UTM1" s="136"/>
      <c r="UTN1" s="136"/>
      <c r="UTO1" s="136"/>
      <c r="UTP1" s="136"/>
      <c r="UTQ1" s="136"/>
      <c r="UTR1" s="136"/>
      <c r="UTS1" s="136"/>
      <c r="UTT1" s="136"/>
      <c r="UTU1" s="136"/>
      <c r="UTV1" s="136"/>
      <c r="UTW1" s="136"/>
      <c r="UTX1" s="136"/>
      <c r="UTY1" s="136"/>
      <c r="UTZ1" s="136"/>
      <c r="UUA1" s="136"/>
      <c r="UUB1" s="136"/>
      <c r="UUC1" s="136"/>
      <c r="UUD1" s="136"/>
      <c r="UUE1" s="136"/>
      <c r="UUF1" s="136"/>
      <c r="UUG1" s="136"/>
      <c r="UUH1" s="136"/>
      <c r="UUI1" s="136"/>
      <c r="UUJ1" s="136"/>
      <c r="UUK1" s="136"/>
      <c r="UUL1" s="136"/>
      <c r="UUM1" s="136"/>
      <c r="UUN1" s="136"/>
      <c r="UUO1" s="136"/>
      <c r="UUP1" s="136"/>
      <c r="UUQ1" s="136"/>
      <c r="UUR1" s="136"/>
      <c r="UUS1" s="136"/>
      <c r="UUT1" s="136"/>
      <c r="UUU1" s="136"/>
      <c r="UUV1" s="136"/>
      <c r="UUW1" s="136"/>
      <c r="UUX1" s="136"/>
      <c r="UUY1" s="136"/>
      <c r="UUZ1" s="136"/>
      <c r="UVA1" s="136"/>
      <c r="UVB1" s="136"/>
      <c r="UVC1" s="136"/>
      <c r="UVD1" s="136"/>
      <c r="UVE1" s="136"/>
      <c r="UVF1" s="136"/>
      <c r="UVG1" s="136"/>
      <c r="UVH1" s="136"/>
      <c r="UVI1" s="136"/>
      <c r="UVJ1" s="136"/>
      <c r="UVK1" s="136"/>
      <c r="UVL1" s="136"/>
      <c r="UVM1" s="136"/>
      <c r="UVN1" s="136"/>
      <c r="UVO1" s="136"/>
      <c r="UVP1" s="136"/>
      <c r="UVQ1" s="136"/>
      <c r="UVR1" s="136"/>
      <c r="UVS1" s="136"/>
      <c r="UVT1" s="136"/>
      <c r="UVU1" s="136"/>
      <c r="UVV1" s="136"/>
      <c r="UVW1" s="136"/>
      <c r="UVX1" s="136"/>
      <c r="UVY1" s="136"/>
      <c r="UVZ1" s="136"/>
      <c r="UWA1" s="136"/>
      <c r="UWB1" s="136"/>
      <c r="UWC1" s="136"/>
      <c r="UWD1" s="136"/>
      <c r="UWE1" s="136"/>
      <c r="UWF1" s="136"/>
      <c r="UWG1" s="136"/>
      <c r="UWH1" s="136"/>
      <c r="UWI1" s="136"/>
      <c r="UWJ1" s="136"/>
      <c r="UWK1" s="136"/>
      <c r="UWL1" s="136"/>
      <c r="UWM1" s="136"/>
      <c r="UWN1" s="136"/>
      <c r="UWO1" s="136"/>
      <c r="UWP1" s="136"/>
      <c r="UWQ1" s="136"/>
      <c r="UWR1" s="136"/>
      <c r="UWS1" s="136"/>
      <c r="UWT1" s="136"/>
      <c r="UWU1" s="136"/>
      <c r="UWV1" s="136"/>
      <c r="UWW1" s="136"/>
      <c r="UWX1" s="136"/>
      <c r="UWY1" s="136"/>
      <c r="UWZ1" s="136"/>
      <c r="UXA1" s="136"/>
      <c r="UXB1" s="136"/>
      <c r="UXC1" s="136"/>
      <c r="UXD1" s="136"/>
      <c r="UXE1" s="136"/>
      <c r="UXF1" s="136"/>
      <c r="UXG1" s="136"/>
      <c r="UXH1" s="136"/>
      <c r="UXI1" s="136"/>
      <c r="UXJ1" s="136"/>
      <c r="UXK1" s="136"/>
      <c r="UXL1" s="136"/>
      <c r="UXM1" s="136"/>
      <c r="UXN1" s="136"/>
      <c r="UXO1" s="136"/>
      <c r="UXP1" s="136"/>
      <c r="UXQ1" s="136"/>
      <c r="UXR1" s="136"/>
      <c r="UXS1" s="136"/>
      <c r="UXT1" s="136"/>
      <c r="UXU1" s="136"/>
      <c r="UXV1" s="136"/>
      <c r="UXW1" s="136"/>
      <c r="UXX1" s="136"/>
      <c r="UXY1" s="136"/>
      <c r="UXZ1" s="136"/>
      <c r="UYA1" s="136"/>
      <c r="UYB1" s="136"/>
      <c r="UYC1" s="136"/>
      <c r="UYD1" s="136"/>
      <c r="UYE1" s="136"/>
      <c r="UYF1" s="136"/>
      <c r="UYG1" s="136"/>
      <c r="UYH1" s="136"/>
      <c r="UYI1" s="136"/>
      <c r="UYJ1" s="136"/>
      <c r="UYK1" s="136"/>
      <c r="UYL1" s="136"/>
      <c r="UYM1" s="136"/>
      <c r="UYN1" s="136"/>
      <c r="UYO1" s="136"/>
      <c r="UYP1" s="136"/>
      <c r="UYQ1" s="136"/>
      <c r="UYR1" s="136"/>
      <c r="UYS1" s="136"/>
      <c r="UYT1" s="136"/>
      <c r="UYU1" s="136"/>
      <c r="UYV1" s="136"/>
      <c r="UYW1" s="136"/>
      <c r="UYX1" s="136"/>
      <c r="UYY1" s="136"/>
      <c r="UYZ1" s="136"/>
      <c r="UZA1" s="136"/>
      <c r="UZB1" s="136"/>
      <c r="UZC1" s="136"/>
      <c r="UZD1" s="136"/>
      <c r="UZE1" s="136"/>
      <c r="UZF1" s="136"/>
      <c r="UZG1" s="136"/>
      <c r="UZH1" s="136"/>
      <c r="UZI1" s="136"/>
      <c r="UZJ1" s="136"/>
      <c r="UZK1" s="136"/>
      <c r="UZL1" s="136"/>
      <c r="UZM1" s="136"/>
      <c r="UZN1" s="136"/>
      <c r="UZO1" s="136"/>
      <c r="UZP1" s="136"/>
      <c r="UZQ1" s="136"/>
      <c r="UZR1" s="136"/>
      <c r="UZS1" s="136"/>
      <c r="UZT1" s="136"/>
      <c r="UZU1" s="136"/>
      <c r="UZV1" s="136"/>
      <c r="UZW1" s="136"/>
      <c r="UZX1" s="136"/>
      <c r="UZY1" s="136"/>
      <c r="UZZ1" s="136"/>
      <c r="VAA1" s="136"/>
      <c r="VAB1" s="136"/>
      <c r="VAC1" s="136"/>
      <c r="VAD1" s="136"/>
      <c r="VAE1" s="136"/>
      <c r="VAF1" s="136"/>
      <c r="VAG1" s="136"/>
      <c r="VAH1" s="136"/>
      <c r="VAI1" s="136"/>
      <c r="VAJ1" s="136"/>
      <c r="VAK1" s="136"/>
      <c r="VAL1" s="136"/>
      <c r="VAM1" s="136"/>
      <c r="VAN1" s="136"/>
      <c r="VAO1" s="136"/>
      <c r="VAP1" s="136"/>
      <c r="VAQ1" s="136"/>
      <c r="VAR1" s="136"/>
      <c r="VAS1" s="136"/>
      <c r="VAT1" s="136"/>
      <c r="VAU1" s="136"/>
      <c r="VAV1" s="136"/>
      <c r="VAW1" s="136"/>
      <c r="VAX1" s="136"/>
      <c r="VAY1" s="136"/>
      <c r="VAZ1" s="136"/>
      <c r="VBA1" s="136"/>
      <c r="VBB1" s="136"/>
      <c r="VBC1" s="136"/>
      <c r="VBD1" s="136"/>
      <c r="VBE1" s="136"/>
      <c r="VBF1" s="136"/>
      <c r="VBG1" s="136"/>
      <c r="VBH1" s="136"/>
      <c r="VBI1" s="136"/>
      <c r="VBJ1" s="136"/>
      <c r="VBK1" s="136"/>
      <c r="VBL1" s="136"/>
      <c r="VBM1" s="136"/>
      <c r="VBN1" s="136"/>
      <c r="VBO1" s="136"/>
      <c r="VBP1" s="136"/>
      <c r="VBQ1" s="136"/>
      <c r="VBR1" s="136"/>
      <c r="VBS1" s="136"/>
      <c r="VBT1" s="136"/>
      <c r="VBU1" s="136"/>
      <c r="VBV1" s="136"/>
      <c r="VBW1" s="136"/>
      <c r="VBX1" s="136"/>
      <c r="VBY1" s="136"/>
      <c r="VBZ1" s="136"/>
      <c r="VCA1" s="136"/>
      <c r="VCB1" s="136"/>
      <c r="VCC1" s="136"/>
      <c r="VCD1" s="136"/>
      <c r="VCE1" s="136"/>
      <c r="VCF1" s="136"/>
      <c r="VCG1" s="136"/>
      <c r="VCH1" s="136"/>
      <c r="VCI1" s="136"/>
      <c r="VCJ1" s="136"/>
      <c r="VCK1" s="136"/>
      <c r="VCL1" s="136"/>
      <c r="VCM1" s="136"/>
      <c r="VCN1" s="136"/>
      <c r="VCO1" s="136"/>
      <c r="VCP1" s="136"/>
      <c r="VCQ1" s="136"/>
      <c r="VCR1" s="136"/>
      <c r="VCS1" s="136"/>
      <c r="VCT1" s="136"/>
      <c r="VCU1" s="136"/>
      <c r="VCV1" s="136"/>
      <c r="VCW1" s="136"/>
      <c r="VCX1" s="136"/>
      <c r="VCY1" s="136"/>
      <c r="VCZ1" s="136"/>
      <c r="VDA1" s="136"/>
      <c r="VDB1" s="136"/>
      <c r="VDC1" s="136"/>
      <c r="VDD1" s="136"/>
      <c r="VDE1" s="136"/>
      <c r="VDF1" s="136"/>
      <c r="VDG1" s="136"/>
      <c r="VDH1" s="136"/>
      <c r="VDI1" s="136"/>
      <c r="VDJ1" s="136"/>
      <c r="VDK1" s="136"/>
      <c r="VDL1" s="136"/>
      <c r="VDM1" s="136"/>
      <c r="VDN1" s="136"/>
      <c r="VDO1" s="136"/>
      <c r="VDP1" s="136"/>
      <c r="VDQ1" s="136"/>
      <c r="VDR1" s="136"/>
      <c r="VDS1" s="136"/>
      <c r="VDT1" s="136"/>
      <c r="VDU1" s="136"/>
      <c r="VDV1" s="136"/>
      <c r="VDW1" s="136"/>
      <c r="VDX1" s="136"/>
      <c r="VDY1" s="136"/>
      <c r="VDZ1" s="136"/>
      <c r="VEA1" s="136"/>
      <c r="VEB1" s="136"/>
      <c r="VEC1" s="136"/>
      <c r="VED1" s="136"/>
      <c r="VEE1" s="136"/>
      <c r="VEF1" s="136"/>
      <c r="VEG1" s="136"/>
      <c r="VEH1" s="136"/>
      <c r="VEI1" s="136"/>
      <c r="VEJ1" s="136"/>
      <c r="VEK1" s="136"/>
      <c r="VEL1" s="136"/>
      <c r="VEM1" s="136"/>
      <c r="VEN1" s="136"/>
      <c r="VEO1" s="136"/>
      <c r="VEP1" s="136"/>
      <c r="VEQ1" s="136"/>
      <c r="VER1" s="136"/>
      <c r="VES1" s="136"/>
      <c r="VET1" s="136"/>
      <c r="VEU1" s="136"/>
      <c r="VEV1" s="136"/>
      <c r="VEW1" s="136"/>
      <c r="VEX1" s="136"/>
      <c r="VEY1" s="136"/>
      <c r="VEZ1" s="136"/>
      <c r="VFA1" s="136"/>
      <c r="VFB1" s="136"/>
      <c r="VFC1" s="136"/>
      <c r="VFD1" s="136"/>
      <c r="VFE1" s="136"/>
      <c r="VFF1" s="136"/>
      <c r="VFG1" s="136"/>
      <c r="VFH1" s="136"/>
      <c r="VFI1" s="136"/>
      <c r="VFJ1" s="136"/>
      <c r="VFK1" s="136"/>
      <c r="VFL1" s="136"/>
      <c r="VFM1" s="136"/>
      <c r="VFN1" s="136"/>
      <c r="VFO1" s="136"/>
      <c r="VFP1" s="136"/>
      <c r="VFQ1" s="136"/>
      <c r="VFR1" s="136"/>
      <c r="VFS1" s="136"/>
      <c r="VFT1" s="136"/>
      <c r="VFU1" s="136"/>
      <c r="VFV1" s="136"/>
      <c r="VFW1" s="136"/>
      <c r="VFX1" s="136"/>
      <c r="VFY1" s="136"/>
      <c r="VFZ1" s="136"/>
      <c r="VGA1" s="136"/>
      <c r="VGB1" s="136"/>
      <c r="VGC1" s="136"/>
      <c r="VGD1" s="136"/>
      <c r="VGE1" s="136"/>
      <c r="VGF1" s="136"/>
      <c r="VGG1" s="136"/>
      <c r="VGH1" s="136"/>
      <c r="VGI1" s="136"/>
      <c r="VGJ1" s="136"/>
      <c r="VGK1" s="136"/>
      <c r="VGL1" s="136"/>
      <c r="VGM1" s="136"/>
      <c r="VGN1" s="136"/>
      <c r="VGO1" s="136"/>
      <c r="VGP1" s="136"/>
      <c r="VGQ1" s="136"/>
      <c r="VGR1" s="136"/>
      <c r="VGS1" s="136"/>
      <c r="VGT1" s="136"/>
      <c r="VGU1" s="136"/>
      <c r="VGV1" s="136"/>
      <c r="VGW1" s="136"/>
      <c r="VGX1" s="136"/>
      <c r="VGY1" s="136"/>
      <c r="VGZ1" s="136"/>
      <c r="VHA1" s="136"/>
      <c r="VHB1" s="136"/>
      <c r="VHC1" s="136"/>
      <c r="VHD1" s="136"/>
      <c r="VHE1" s="136"/>
      <c r="VHF1" s="136"/>
      <c r="VHG1" s="136"/>
      <c r="VHH1" s="136"/>
      <c r="VHI1" s="136"/>
      <c r="VHJ1" s="136"/>
      <c r="VHK1" s="136"/>
      <c r="VHL1" s="136"/>
      <c r="VHM1" s="136"/>
      <c r="VHN1" s="136"/>
      <c r="VHO1" s="136"/>
      <c r="VHP1" s="136"/>
      <c r="VHQ1" s="136"/>
      <c r="VHR1" s="136"/>
      <c r="VHS1" s="136"/>
      <c r="VHT1" s="136"/>
      <c r="VHU1" s="136"/>
      <c r="VHV1" s="136"/>
      <c r="VHW1" s="136"/>
      <c r="VHX1" s="136"/>
      <c r="VHY1" s="136"/>
      <c r="VHZ1" s="136"/>
      <c r="VIA1" s="136"/>
      <c r="VIB1" s="136"/>
      <c r="VIC1" s="136"/>
      <c r="VID1" s="136"/>
      <c r="VIE1" s="136"/>
      <c r="VIF1" s="136"/>
      <c r="VIG1" s="136"/>
      <c r="VIH1" s="136"/>
      <c r="VII1" s="136"/>
      <c r="VIJ1" s="136"/>
      <c r="VIK1" s="136"/>
      <c r="VIL1" s="136"/>
      <c r="VIM1" s="136"/>
      <c r="VIN1" s="136"/>
      <c r="VIO1" s="136"/>
      <c r="VIP1" s="136"/>
      <c r="VIQ1" s="136"/>
      <c r="VIR1" s="136"/>
      <c r="VIS1" s="136"/>
      <c r="VIT1" s="136"/>
      <c r="VIU1" s="136"/>
      <c r="VIV1" s="136"/>
      <c r="VIW1" s="136"/>
      <c r="VIX1" s="136"/>
      <c r="VIY1" s="136"/>
      <c r="VIZ1" s="136"/>
      <c r="VJA1" s="136"/>
      <c r="VJB1" s="136"/>
      <c r="VJC1" s="136"/>
      <c r="VJD1" s="136"/>
      <c r="VJE1" s="136"/>
      <c r="VJF1" s="136"/>
      <c r="VJG1" s="136"/>
      <c r="VJH1" s="136"/>
      <c r="VJI1" s="136"/>
      <c r="VJJ1" s="136"/>
      <c r="VJK1" s="136"/>
      <c r="VJL1" s="136"/>
      <c r="VJM1" s="136"/>
      <c r="VJN1" s="136"/>
      <c r="VJO1" s="136"/>
      <c r="VJP1" s="136"/>
      <c r="VJQ1" s="136"/>
      <c r="VJR1" s="136"/>
      <c r="VJS1" s="136"/>
      <c r="VJT1" s="136"/>
      <c r="VJU1" s="136"/>
      <c r="VJV1" s="136"/>
      <c r="VJW1" s="136"/>
      <c r="VJX1" s="136"/>
      <c r="VJY1" s="136"/>
      <c r="VJZ1" s="136"/>
      <c r="VKA1" s="136"/>
      <c r="VKB1" s="136"/>
      <c r="VKC1" s="136"/>
      <c r="VKD1" s="136"/>
      <c r="VKE1" s="136"/>
      <c r="VKF1" s="136"/>
      <c r="VKG1" s="136"/>
      <c r="VKH1" s="136"/>
      <c r="VKI1" s="136"/>
      <c r="VKJ1" s="136"/>
      <c r="VKK1" s="136"/>
      <c r="VKL1" s="136"/>
      <c r="VKM1" s="136"/>
      <c r="VKN1" s="136"/>
      <c r="VKO1" s="136"/>
      <c r="VKP1" s="136"/>
      <c r="VKQ1" s="136"/>
      <c r="VKR1" s="136"/>
      <c r="VKS1" s="136"/>
      <c r="VKT1" s="136"/>
      <c r="VKU1" s="136"/>
      <c r="VKV1" s="136"/>
      <c r="VKW1" s="136"/>
      <c r="VKX1" s="136"/>
      <c r="VKY1" s="136"/>
      <c r="VKZ1" s="136"/>
      <c r="VLA1" s="136"/>
      <c r="VLB1" s="136"/>
      <c r="VLC1" s="136"/>
      <c r="VLD1" s="136"/>
      <c r="VLE1" s="136"/>
      <c r="VLF1" s="136"/>
      <c r="VLG1" s="136"/>
      <c r="VLH1" s="136"/>
      <c r="VLI1" s="136"/>
      <c r="VLJ1" s="136"/>
      <c r="VLK1" s="136"/>
      <c r="VLL1" s="136"/>
      <c r="VLM1" s="136"/>
      <c r="VLN1" s="136"/>
      <c r="VLO1" s="136"/>
      <c r="VLP1" s="136"/>
      <c r="VLQ1" s="136"/>
      <c r="VLR1" s="136"/>
      <c r="VLS1" s="136"/>
      <c r="VLT1" s="136"/>
      <c r="VLU1" s="136"/>
      <c r="VLV1" s="136"/>
      <c r="VLW1" s="136"/>
      <c r="VLX1" s="136"/>
      <c r="VLY1" s="136"/>
      <c r="VLZ1" s="136"/>
      <c r="VMA1" s="136"/>
      <c r="VMB1" s="136"/>
      <c r="VMC1" s="136"/>
      <c r="VMD1" s="136"/>
      <c r="VME1" s="136"/>
      <c r="VMF1" s="136"/>
      <c r="VMG1" s="136"/>
      <c r="VMH1" s="136"/>
      <c r="VMI1" s="136"/>
      <c r="VMJ1" s="136"/>
      <c r="VMK1" s="136"/>
      <c r="VML1" s="136"/>
      <c r="VMM1" s="136"/>
      <c r="VMN1" s="136"/>
      <c r="VMO1" s="136"/>
      <c r="VMP1" s="136"/>
      <c r="VMQ1" s="136"/>
      <c r="VMR1" s="136"/>
      <c r="VMS1" s="136"/>
      <c r="VMT1" s="136"/>
      <c r="VMU1" s="136"/>
      <c r="VMV1" s="136"/>
      <c r="VMW1" s="136"/>
      <c r="VMX1" s="136"/>
      <c r="VMY1" s="136"/>
      <c r="VMZ1" s="136"/>
      <c r="VNA1" s="136"/>
      <c r="VNB1" s="136"/>
      <c r="VNC1" s="136"/>
      <c r="VND1" s="136"/>
      <c r="VNE1" s="136"/>
      <c r="VNF1" s="136"/>
      <c r="VNG1" s="136"/>
      <c r="VNH1" s="136"/>
      <c r="VNI1" s="136"/>
      <c r="VNJ1" s="136"/>
      <c r="VNK1" s="136"/>
      <c r="VNL1" s="136"/>
      <c r="VNM1" s="136"/>
      <c r="VNN1" s="136"/>
      <c r="VNO1" s="136"/>
      <c r="VNP1" s="136"/>
      <c r="VNQ1" s="136"/>
      <c r="VNR1" s="136"/>
      <c r="VNS1" s="136"/>
      <c r="VNT1" s="136"/>
      <c r="VNU1" s="136"/>
      <c r="VNV1" s="136"/>
      <c r="VNW1" s="136"/>
      <c r="VNX1" s="136"/>
      <c r="VNY1" s="136"/>
      <c r="VNZ1" s="136"/>
      <c r="VOA1" s="136"/>
      <c r="VOB1" s="136"/>
      <c r="VOC1" s="136"/>
      <c r="VOD1" s="136"/>
      <c r="VOE1" s="136"/>
      <c r="VOF1" s="136"/>
      <c r="VOG1" s="136"/>
      <c r="VOH1" s="136"/>
      <c r="VOI1" s="136"/>
      <c r="VOJ1" s="136"/>
      <c r="VOK1" s="136"/>
      <c r="VOL1" s="136"/>
      <c r="VOM1" s="136"/>
      <c r="VON1" s="136"/>
      <c r="VOO1" s="136"/>
      <c r="VOP1" s="136"/>
      <c r="VOQ1" s="136"/>
      <c r="VOR1" s="136"/>
      <c r="VOS1" s="136"/>
      <c r="VOT1" s="136"/>
      <c r="VOU1" s="136"/>
      <c r="VOV1" s="136"/>
      <c r="VOW1" s="136"/>
      <c r="VOX1" s="136"/>
      <c r="VOY1" s="136"/>
      <c r="VOZ1" s="136"/>
      <c r="VPA1" s="136"/>
      <c r="VPB1" s="136"/>
      <c r="VPC1" s="136"/>
      <c r="VPD1" s="136"/>
      <c r="VPE1" s="136"/>
      <c r="VPF1" s="136"/>
      <c r="VPG1" s="136"/>
      <c r="VPH1" s="136"/>
      <c r="VPI1" s="136"/>
      <c r="VPJ1" s="136"/>
      <c r="VPK1" s="136"/>
      <c r="VPL1" s="136"/>
      <c r="VPM1" s="136"/>
      <c r="VPN1" s="136"/>
      <c r="VPO1" s="136"/>
      <c r="VPP1" s="136"/>
      <c r="VPQ1" s="136"/>
      <c r="VPR1" s="136"/>
      <c r="VPS1" s="136"/>
      <c r="VPT1" s="136"/>
      <c r="VPU1" s="136"/>
      <c r="VPV1" s="136"/>
      <c r="VPW1" s="136"/>
      <c r="VPX1" s="136"/>
      <c r="VPY1" s="136"/>
      <c r="VPZ1" s="136"/>
      <c r="VQA1" s="136"/>
      <c r="VQB1" s="136"/>
      <c r="VQC1" s="136"/>
      <c r="VQD1" s="136"/>
      <c r="VQE1" s="136"/>
      <c r="VQF1" s="136"/>
      <c r="VQG1" s="136"/>
      <c r="VQH1" s="136"/>
      <c r="VQI1" s="136"/>
      <c r="VQJ1" s="136"/>
      <c r="VQK1" s="136"/>
      <c r="VQL1" s="136"/>
      <c r="VQM1" s="136"/>
      <c r="VQN1" s="136"/>
      <c r="VQO1" s="136"/>
      <c r="VQP1" s="136"/>
      <c r="VQQ1" s="136"/>
      <c r="VQR1" s="136"/>
      <c r="VQS1" s="136"/>
      <c r="VQT1" s="136"/>
      <c r="VQU1" s="136"/>
      <c r="VQV1" s="136"/>
      <c r="VQW1" s="136"/>
      <c r="VQX1" s="136"/>
      <c r="VQY1" s="136"/>
      <c r="VQZ1" s="136"/>
      <c r="VRA1" s="136"/>
      <c r="VRB1" s="136"/>
      <c r="VRC1" s="136"/>
      <c r="VRD1" s="136"/>
      <c r="VRE1" s="136"/>
      <c r="VRF1" s="136"/>
      <c r="VRG1" s="136"/>
      <c r="VRH1" s="136"/>
      <c r="VRI1" s="136"/>
      <c r="VRJ1" s="136"/>
      <c r="VRK1" s="136"/>
      <c r="VRL1" s="136"/>
      <c r="VRM1" s="136"/>
      <c r="VRN1" s="136"/>
      <c r="VRO1" s="136"/>
      <c r="VRP1" s="136"/>
      <c r="VRQ1" s="136"/>
      <c r="VRR1" s="136"/>
      <c r="VRS1" s="136"/>
      <c r="VRT1" s="136"/>
      <c r="VRU1" s="136"/>
      <c r="VRV1" s="136"/>
      <c r="VRW1" s="136"/>
      <c r="VRX1" s="136"/>
      <c r="VRY1" s="136"/>
      <c r="VRZ1" s="136"/>
      <c r="VSA1" s="136"/>
      <c r="VSB1" s="136"/>
      <c r="VSC1" s="136"/>
      <c r="VSD1" s="136"/>
      <c r="VSE1" s="136"/>
      <c r="VSF1" s="136"/>
      <c r="VSG1" s="136"/>
      <c r="VSH1" s="136"/>
      <c r="VSI1" s="136"/>
      <c r="VSJ1" s="136"/>
      <c r="VSK1" s="136"/>
      <c r="VSL1" s="136"/>
      <c r="VSM1" s="136"/>
      <c r="VSN1" s="136"/>
      <c r="VSO1" s="136"/>
      <c r="VSP1" s="136"/>
      <c r="VSQ1" s="136"/>
      <c r="VSR1" s="136"/>
      <c r="VSS1" s="136"/>
      <c r="VST1" s="136"/>
      <c r="VSU1" s="136"/>
      <c r="VSV1" s="136"/>
      <c r="VSW1" s="136"/>
      <c r="VSX1" s="136"/>
      <c r="VSY1" s="136"/>
      <c r="VSZ1" s="136"/>
      <c r="VTA1" s="136"/>
      <c r="VTB1" s="136"/>
      <c r="VTC1" s="136"/>
      <c r="VTD1" s="136"/>
      <c r="VTE1" s="136"/>
      <c r="VTF1" s="136"/>
      <c r="VTG1" s="136"/>
      <c r="VTH1" s="136"/>
      <c r="VTI1" s="136"/>
      <c r="VTJ1" s="136"/>
      <c r="VTK1" s="136"/>
      <c r="VTL1" s="136"/>
      <c r="VTM1" s="136"/>
      <c r="VTN1" s="136"/>
      <c r="VTO1" s="136"/>
      <c r="VTP1" s="136"/>
      <c r="VTQ1" s="136"/>
      <c r="VTR1" s="136"/>
      <c r="VTS1" s="136"/>
      <c r="VTT1" s="136"/>
      <c r="VTU1" s="136"/>
      <c r="VTV1" s="136"/>
      <c r="VTW1" s="136"/>
      <c r="VTX1" s="136"/>
      <c r="VTY1" s="136"/>
      <c r="VTZ1" s="136"/>
      <c r="VUA1" s="136"/>
      <c r="VUB1" s="136"/>
      <c r="VUC1" s="136"/>
      <c r="VUD1" s="136"/>
      <c r="VUE1" s="136"/>
      <c r="VUF1" s="136"/>
      <c r="VUG1" s="136"/>
      <c r="VUH1" s="136"/>
      <c r="VUI1" s="136"/>
      <c r="VUJ1" s="136"/>
      <c r="VUK1" s="136"/>
      <c r="VUL1" s="136"/>
      <c r="VUM1" s="136"/>
      <c r="VUN1" s="136"/>
      <c r="VUO1" s="136"/>
      <c r="VUP1" s="136"/>
      <c r="VUQ1" s="136"/>
      <c r="VUR1" s="136"/>
      <c r="VUS1" s="136"/>
      <c r="VUT1" s="136"/>
      <c r="VUU1" s="136"/>
      <c r="VUV1" s="136"/>
      <c r="VUW1" s="136"/>
      <c r="VUX1" s="136"/>
      <c r="VUY1" s="136"/>
      <c r="VUZ1" s="136"/>
      <c r="VVA1" s="136"/>
      <c r="VVB1" s="136"/>
      <c r="VVC1" s="136"/>
      <c r="VVD1" s="136"/>
      <c r="VVE1" s="136"/>
      <c r="VVF1" s="136"/>
      <c r="VVG1" s="136"/>
      <c r="VVH1" s="136"/>
      <c r="VVI1" s="136"/>
      <c r="VVJ1" s="136"/>
      <c r="VVK1" s="136"/>
      <c r="VVL1" s="136"/>
      <c r="VVM1" s="136"/>
      <c r="VVN1" s="136"/>
      <c r="VVO1" s="136"/>
      <c r="VVP1" s="136"/>
      <c r="VVQ1" s="136"/>
      <c r="VVR1" s="136"/>
      <c r="VVS1" s="136"/>
      <c r="VVT1" s="136"/>
      <c r="VVU1" s="136"/>
      <c r="VVV1" s="136"/>
      <c r="VVW1" s="136"/>
      <c r="VVX1" s="136"/>
      <c r="VVY1" s="136"/>
      <c r="VVZ1" s="136"/>
      <c r="VWA1" s="136"/>
      <c r="VWB1" s="136"/>
      <c r="VWC1" s="136"/>
      <c r="VWD1" s="136"/>
      <c r="VWE1" s="136"/>
      <c r="VWF1" s="136"/>
      <c r="VWG1" s="136"/>
      <c r="VWH1" s="136"/>
      <c r="VWI1" s="136"/>
      <c r="VWJ1" s="136"/>
      <c r="VWK1" s="136"/>
      <c r="VWL1" s="136"/>
      <c r="VWM1" s="136"/>
      <c r="VWN1" s="136"/>
      <c r="VWO1" s="136"/>
      <c r="VWP1" s="136"/>
      <c r="VWQ1" s="136"/>
      <c r="VWR1" s="136"/>
      <c r="VWS1" s="136"/>
      <c r="VWT1" s="136"/>
      <c r="VWU1" s="136"/>
      <c r="VWV1" s="136"/>
      <c r="VWW1" s="136"/>
      <c r="VWX1" s="136"/>
      <c r="VWY1" s="136"/>
      <c r="VWZ1" s="136"/>
      <c r="VXA1" s="136"/>
      <c r="VXB1" s="136"/>
      <c r="VXC1" s="136"/>
      <c r="VXD1" s="136"/>
      <c r="VXE1" s="136"/>
      <c r="VXF1" s="136"/>
      <c r="VXG1" s="136"/>
      <c r="VXH1" s="136"/>
      <c r="VXI1" s="136"/>
      <c r="VXJ1" s="136"/>
      <c r="VXK1" s="136"/>
      <c r="VXL1" s="136"/>
      <c r="VXM1" s="136"/>
      <c r="VXN1" s="136"/>
      <c r="VXO1" s="136"/>
      <c r="VXP1" s="136"/>
      <c r="VXQ1" s="136"/>
      <c r="VXR1" s="136"/>
      <c r="VXS1" s="136"/>
      <c r="VXT1" s="136"/>
      <c r="VXU1" s="136"/>
      <c r="VXV1" s="136"/>
      <c r="VXW1" s="136"/>
      <c r="VXX1" s="136"/>
      <c r="VXY1" s="136"/>
      <c r="VXZ1" s="136"/>
      <c r="VYA1" s="136"/>
      <c r="VYB1" s="136"/>
      <c r="VYC1" s="136"/>
      <c r="VYD1" s="136"/>
      <c r="VYE1" s="136"/>
      <c r="VYF1" s="136"/>
      <c r="VYG1" s="136"/>
      <c r="VYH1" s="136"/>
      <c r="VYI1" s="136"/>
      <c r="VYJ1" s="136"/>
      <c r="VYK1" s="136"/>
      <c r="VYL1" s="136"/>
      <c r="VYM1" s="136"/>
      <c r="VYN1" s="136"/>
      <c r="VYO1" s="136"/>
      <c r="VYP1" s="136"/>
      <c r="VYQ1" s="136"/>
      <c r="VYR1" s="136"/>
      <c r="VYS1" s="136"/>
      <c r="VYT1" s="136"/>
      <c r="VYU1" s="136"/>
      <c r="VYV1" s="136"/>
      <c r="VYW1" s="136"/>
      <c r="VYX1" s="136"/>
      <c r="VYY1" s="136"/>
      <c r="VYZ1" s="136"/>
      <c r="VZA1" s="136"/>
      <c r="VZB1" s="136"/>
      <c r="VZC1" s="136"/>
      <c r="VZD1" s="136"/>
      <c r="VZE1" s="136"/>
      <c r="VZF1" s="136"/>
      <c r="VZG1" s="136"/>
      <c r="VZH1" s="136"/>
      <c r="VZI1" s="136"/>
      <c r="VZJ1" s="136"/>
      <c r="VZK1" s="136"/>
      <c r="VZL1" s="136"/>
      <c r="VZM1" s="136"/>
      <c r="VZN1" s="136"/>
      <c r="VZO1" s="136"/>
      <c r="VZP1" s="136"/>
      <c r="VZQ1" s="136"/>
      <c r="VZR1" s="136"/>
      <c r="VZS1" s="136"/>
      <c r="VZT1" s="136"/>
      <c r="VZU1" s="136"/>
      <c r="VZV1" s="136"/>
      <c r="VZW1" s="136"/>
      <c r="VZX1" s="136"/>
      <c r="VZY1" s="136"/>
      <c r="VZZ1" s="136"/>
      <c r="WAA1" s="136"/>
      <c r="WAB1" s="136"/>
      <c r="WAC1" s="136"/>
      <c r="WAD1" s="136"/>
      <c r="WAE1" s="136"/>
      <c r="WAF1" s="136"/>
      <c r="WAG1" s="136"/>
      <c r="WAH1" s="136"/>
      <c r="WAI1" s="136"/>
      <c r="WAJ1" s="136"/>
      <c r="WAK1" s="136"/>
      <c r="WAL1" s="136"/>
      <c r="WAM1" s="136"/>
      <c r="WAN1" s="136"/>
      <c r="WAO1" s="136"/>
      <c r="WAP1" s="136"/>
      <c r="WAQ1" s="136"/>
      <c r="WAR1" s="136"/>
      <c r="WAS1" s="136"/>
      <c r="WAT1" s="136"/>
      <c r="WAU1" s="136"/>
      <c r="WAV1" s="136"/>
      <c r="WAW1" s="136"/>
      <c r="WAX1" s="136"/>
      <c r="WAY1" s="136"/>
      <c r="WAZ1" s="136"/>
      <c r="WBA1" s="136"/>
      <c r="WBB1" s="136"/>
      <c r="WBC1" s="136"/>
      <c r="WBD1" s="136"/>
      <c r="WBE1" s="136"/>
      <c r="WBF1" s="136"/>
      <c r="WBG1" s="136"/>
      <c r="WBH1" s="136"/>
      <c r="WBI1" s="136"/>
      <c r="WBJ1" s="136"/>
      <c r="WBK1" s="136"/>
      <c r="WBL1" s="136"/>
      <c r="WBM1" s="136"/>
      <c r="WBN1" s="136"/>
      <c r="WBO1" s="136"/>
      <c r="WBP1" s="136"/>
      <c r="WBQ1" s="136"/>
      <c r="WBR1" s="136"/>
      <c r="WBS1" s="136"/>
      <c r="WBT1" s="136"/>
      <c r="WBU1" s="136"/>
      <c r="WBV1" s="136"/>
      <c r="WBW1" s="136"/>
      <c r="WBX1" s="136"/>
      <c r="WBY1" s="136"/>
      <c r="WBZ1" s="136"/>
      <c r="WCA1" s="136"/>
      <c r="WCB1" s="136"/>
      <c r="WCC1" s="136"/>
      <c r="WCD1" s="136"/>
      <c r="WCE1" s="136"/>
      <c r="WCF1" s="136"/>
      <c r="WCG1" s="136"/>
      <c r="WCH1" s="136"/>
      <c r="WCI1" s="136"/>
      <c r="WCJ1" s="136"/>
      <c r="WCK1" s="136"/>
      <c r="WCL1" s="136"/>
      <c r="WCM1" s="136"/>
      <c r="WCN1" s="136"/>
      <c r="WCO1" s="136"/>
      <c r="WCP1" s="136"/>
      <c r="WCQ1" s="136"/>
      <c r="WCR1" s="136"/>
      <c r="WCS1" s="136"/>
      <c r="WCT1" s="136"/>
      <c r="WCU1" s="136"/>
      <c r="WCV1" s="136"/>
      <c r="WCW1" s="136"/>
      <c r="WCX1" s="136"/>
      <c r="WCY1" s="136"/>
      <c r="WCZ1" s="136"/>
      <c r="WDA1" s="136"/>
      <c r="WDB1" s="136"/>
      <c r="WDC1" s="136"/>
      <c r="WDD1" s="136"/>
      <c r="WDE1" s="136"/>
      <c r="WDF1" s="136"/>
      <c r="WDG1" s="136"/>
      <c r="WDH1" s="136"/>
      <c r="WDI1" s="136"/>
      <c r="WDJ1" s="136"/>
      <c r="WDK1" s="136"/>
      <c r="WDL1" s="136"/>
      <c r="WDM1" s="136"/>
      <c r="WDN1" s="136"/>
      <c r="WDO1" s="136"/>
      <c r="WDP1" s="136"/>
      <c r="WDQ1" s="136"/>
      <c r="WDR1" s="136"/>
      <c r="WDS1" s="136"/>
      <c r="WDT1" s="136"/>
      <c r="WDU1" s="136"/>
      <c r="WDV1" s="136"/>
      <c r="WDW1" s="136"/>
      <c r="WDX1" s="136"/>
      <c r="WDY1" s="136"/>
      <c r="WDZ1" s="136"/>
      <c r="WEA1" s="136"/>
      <c r="WEB1" s="136"/>
      <c r="WEC1" s="136"/>
      <c r="WED1" s="136"/>
      <c r="WEE1" s="136"/>
      <c r="WEF1" s="136"/>
      <c r="WEG1" s="136"/>
      <c r="WEH1" s="136"/>
      <c r="WEI1" s="136"/>
      <c r="WEJ1" s="136"/>
      <c r="WEK1" s="136"/>
      <c r="WEL1" s="136"/>
      <c r="WEM1" s="136"/>
      <c r="WEN1" s="136"/>
      <c r="WEO1" s="136"/>
      <c r="WEP1" s="136"/>
      <c r="WEQ1" s="136"/>
      <c r="WER1" s="136"/>
      <c r="WES1" s="136"/>
      <c r="WET1" s="136"/>
      <c r="WEU1" s="136"/>
      <c r="WEV1" s="136"/>
      <c r="WEW1" s="136"/>
      <c r="WEX1" s="136"/>
      <c r="WEY1" s="136"/>
      <c r="WEZ1" s="136"/>
      <c r="WFA1" s="136"/>
      <c r="WFB1" s="136"/>
      <c r="WFC1" s="136"/>
      <c r="WFD1" s="136"/>
      <c r="WFE1" s="136"/>
      <c r="WFF1" s="136"/>
      <c r="WFG1" s="136"/>
      <c r="WFH1" s="136"/>
      <c r="WFI1" s="136"/>
      <c r="WFJ1" s="136"/>
      <c r="WFK1" s="136"/>
      <c r="WFL1" s="136"/>
      <c r="WFM1" s="136"/>
      <c r="WFN1" s="136"/>
      <c r="WFO1" s="136"/>
      <c r="WFP1" s="136"/>
      <c r="WFQ1" s="136"/>
      <c r="WFR1" s="136"/>
      <c r="WFS1" s="136"/>
      <c r="WFT1" s="136"/>
      <c r="WFU1" s="136"/>
      <c r="WFV1" s="136"/>
      <c r="WFW1" s="136"/>
      <c r="WFX1" s="136"/>
      <c r="WFY1" s="136"/>
      <c r="WFZ1" s="136"/>
      <c r="WGA1" s="136"/>
      <c r="WGB1" s="136"/>
      <c r="WGC1" s="136"/>
      <c r="WGD1" s="136"/>
      <c r="WGE1" s="136"/>
      <c r="WGF1" s="136"/>
      <c r="WGG1" s="136"/>
      <c r="WGH1" s="136"/>
      <c r="WGI1" s="136"/>
      <c r="WGJ1" s="136"/>
      <c r="WGK1" s="136"/>
      <c r="WGL1" s="136"/>
      <c r="WGM1" s="136"/>
      <c r="WGN1" s="136"/>
      <c r="WGO1" s="136"/>
      <c r="WGP1" s="136"/>
      <c r="WGQ1" s="136"/>
      <c r="WGR1" s="136"/>
      <c r="WGS1" s="136"/>
      <c r="WGT1" s="136"/>
      <c r="WGU1" s="136"/>
      <c r="WGV1" s="136"/>
      <c r="WGW1" s="136"/>
      <c r="WGX1" s="136"/>
      <c r="WGY1" s="136"/>
      <c r="WGZ1" s="136"/>
      <c r="WHA1" s="136"/>
      <c r="WHB1" s="136"/>
      <c r="WHC1" s="136"/>
      <c r="WHD1" s="136"/>
      <c r="WHE1" s="136"/>
      <c r="WHF1" s="136"/>
      <c r="WHG1" s="136"/>
      <c r="WHH1" s="136"/>
      <c r="WHI1" s="136"/>
      <c r="WHJ1" s="136"/>
      <c r="WHK1" s="136"/>
      <c r="WHL1" s="136"/>
      <c r="WHM1" s="136"/>
      <c r="WHN1" s="136"/>
      <c r="WHO1" s="136"/>
      <c r="WHP1" s="136"/>
      <c r="WHQ1" s="136"/>
      <c r="WHR1" s="136"/>
      <c r="WHS1" s="136"/>
      <c r="WHT1" s="136"/>
      <c r="WHU1" s="136"/>
      <c r="WHV1" s="136"/>
      <c r="WHW1" s="136"/>
      <c r="WHX1" s="136"/>
      <c r="WHY1" s="136"/>
      <c r="WHZ1" s="136"/>
      <c r="WIA1" s="136"/>
      <c r="WIB1" s="136"/>
      <c r="WIC1" s="136"/>
      <c r="WID1" s="136"/>
      <c r="WIE1" s="136"/>
      <c r="WIF1" s="136"/>
      <c r="WIG1" s="136"/>
      <c r="WIH1" s="136"/>
      <c r="WII1" s="136"/>
      <c r="WIJ1" s="136"/>
      <c r="WIK1" s="136"/>
      <c r="WIL1" s="136"/>
      <c r="WIM1" s="136"/>
      <c r="WIN1" s="136"/>
      <c r="WIO1" s="136"/>
      <c r="WIP1" s="136"/>
      <c r="WIQ1" s="136"/>
      <c r="WIR1" s="136"/>
      <c r="WIS1" s="136"/>
      <c r="WIT1" s="136"/>
      <c r="WIU1" s="136"/>
      <c r="WIV1" s="136"/>
      <c r="WIW1" s="136"/>
      <c r="WIX1" s="136"/>
      <c r="WIY1" s="136"/>
      <c r="WIZ1" s="136"/>
      <c r="WJA1" s="136"/>
      <c r="WJB1" s="136"/>
      <c r="WJC1" s="136"/>
      <c r="WJD1" s="136"/>
      <c r="WJE1" s="136"/>
      <c r="WJF1" s="136"/>
      <c r="WJG1" s="136"/>
      <c r="WJH1" s="136"/>
      <c r="WJI1" s="136"/>
      <c r="WJJ1" s="136"/>
      <c r="WJK1" s="136"/>
      <c r="WJL1" s="136"/>
      <c r="WJM1" s="136"/>
      <c r="WJN1" s="136"/>
      <c r="WJO1" s="136"/>
      <c r="WJP1" s="136"/>
      <c r="WJQ1" s="136"/>
      <c r="WJR1" s="136"/>
      <c r="WJS1" s="136"/>
      <c r="WJT1" s="136"/>
      <c r="WJU1" s="136"/>
      <c r="WJV1" s="136"/>
      <c r="WJW1" s="136"/>
      <c r="WJX1" s="136"/>
      <c r="WJY1" s="136"/>
      <c r="WJZ1" s="136"/>
      <c r="WKA1" s="136"/>
      <c r="WKB1" s="136"/>
      <c r="WKC1" s="136"/>
      <c r="WKD1" s="136"/>
      <c r="WKE1" s="136"/>
      <c r="WKF1" s="136"/>
      <c r="WKG1" s="136"/>
      <c r="WKH1" s="136"/>
      <c r="WKI1" s="136"/>
      <c r="WKJ1" s="136"/>
      <c r="WKK1" s="136"/>
      <c r="WKL1" s="136"/>
      <c r="WKM1" s="136"/>
      <c r="WKN1" s="136"/>
      <c r="WKO1" s="136"/>
      <c r="WKP1" s="136"/>
      <c r="WKQ1" s="136"/>
      <c r="WKR1" s="136"/>
      <c r="WKS1" s="136"/>
      <c r="WKT1" s="136"/>
      <c r="WKU1" s="136"/>
      <c r="WKV1" s="136"/>
      <c r="WKW1" s="136"/>
      <c r="WKX1" s="136"/>
      <c r="WKY1" s="136"/>
      <c r="WKZ1" s="136"/>
      <c r="WLA1" s="136"/>
      <c r="WLB1" s="136"/>
      <c r="WLC1" s="136"/>
      <c r="WLD1" s="136"/>
      <c r="WLE1" s="136"/>
      <c r="WLF1" s="136"/>
      <c r="WLG1" s="136"/>
      <c r="WLH1" s="136"/>
      <c r="WLI1" s="136"/>
      <c r="WLJ1" s="136"/>
      <c r="WLK1" s="136"/>
      <c r="WLL1" s="136"/>
      <c r="WLM1" s="136"/>
      <c r="WLN1" s="136"/>
      <c r="WLO1" s="136"/>
      <c r="WLP1" s="136"/>
      <c r="WLQ1" s="136"/>
      <c r="WLR1" s="136"/>
      <c r="WLS1" s="136"/>
      <c r="WLT1" s="136"/>
      <c r="WLU1" s="136"/>
      <c r="WLV1" s="136"/>
      <c r="WLW1" s="136"/>
      <c r="WLX1" s="136"/>
      <c r="WLY1" s="136"/>
      <c r="WLZ1" s="136"/>
      <c r="WMA1" s="136"/>
      <c r="WMB1" s="136"/>
      <c r="WMC1" s="136"/>
      <c r="WMD1" s="136"/>
      <c r="WME1" s="136"/>
      <c r="WMF1" s="136"/>
      <c r="WMG1" s="136"/>
      <c r="WMH1" s="136"/>
      <c r="WMI1" s="136"/>
      <c r="WMJ1" s="136"/>
      <c r="WMK1" s="136"/>
      <c r="WML1" s="136"/>
      <c r="WMM1" s="136"/>
      <c r="WMN1" s="136"/>
      <c r="WMO1" s="136"/>
      <c r="WMP1" s="136"/>
      <c r="WMQ1" s="136"/>
      <c r="WMR1" s="136"/>
      <c r="WMS1" s="136"/>
      <c r="WMT1" s="136"/>
      <c r="WMU1" s="136"/>
      <c r="WMV1" s="136"/>
      <c r="WMW1" s="136"/>
      <c r="WMX1" s="136"/>
      <c r="WMY1" s="136"/>
      <c r="WMZ1" s="136"/>
      <c r="WNA1" s="136"/>
      <c r="WNB1" s="136"/>
      <c r="WNC1" s="136"/>
      <c r="WND1" s="136"/>
      <c r="WNE1" s="136"/>
      <c r="WNF1" s="136"/>
      <c r="WNG1" s="136"/>
      <c r="WNH1" s="136"/>
      <c r="WNI1" s="136"/>
      <c r="WNJ1" s="136"/>
      <c r="WNK1" s="136"/>
      <c r="WNL1" s="136"/>
      <c r="WNM1" s="136"/>
      <c r="WNN1" s="136"/>
      <c r="WNO1" s="136"/>
      <c r="WNP1" s="136"/>
      <c r="WNQ1" s="136"/>
      <c r="WNR1" s="136"/>
      <c r="WNS1" s="136"/>
      <c r="WNT1" s="136"/>
      <c r="WNU1" s="136"/>
      <c r="WNV1" s="136"/>
      <c r="WNW1" s="136"/>
      <c r="WNX1" s="136"/>
      <c r="WNY1" s="136"/>
      <c r="WNZ1" s="136"/>
      <c r="WOA1" s="136"/>
      <c r="WOB1" s="136"/>
      <c r="WOC1" s="136"/>
      <c r="WOD1" s="136"/>
      <c r="WOE1" s="136"/>
      <c r="WOF1" s="136"/>
      <c r="WOG1" s="136"/>
      <c r="WOH1" s="136"/>
      <c r="WOI1" s="136"/>
      <c r="WOJ1" s="136"/>
      <c r="WOK1" s="136"/>
      <c r="WOL1" s="136"/>
      <c r="WOM1" s="136"/>
      <c r="WON1" s="136"/>
      <c r="WOO1" s="136"/>
      <c r="WOP1" s="136"/>
      <c r="WOQ1" s="136"/>
      <c r="WOR1" s="136"/>
      <c r="WOS1" s="136"/>
      <c r="WOT1" s="136"/>
      <c r="WOU1" s="136"/>
      <c r="WOV1" s="136"/>
      <c r="WOW1" s="136"/>
      <c r="WOX1" s="136"/>
      <c r="WOY1" s="136"/>
      <c r="WOZ1" s="136"/>
      <c r="WPA1" s="136"/>
      <c r="WPB1" s="136"/>
      <c r="WPC1" s="136"/>
      <c r="WPD1" s="136"/>
      <c r="WPE1" s="136"/>
      <c r="WPF1" s="136"/>
      <c r="WPG1" s="136"/>
      <c r="WPH1" s="136"/>
      <c r="WPI1" s="136"/>
      <c r="WPJ1" s="136"/>
      <c r="WPK1" s="136"/>
      <c r="WPL1" s="136"/>
      <c r="WPM1" s="136"/>
      <c r="WPN1" s="136"/>
      <c r="WPO1" s="136"/>
      <c r="WPP1" s="136"/>
      <c r="WPQ1" s="136"/>
      <c r="WPR1" s="136"/>
      <c r="WPS1" s="136"/>
      <c r="WPT1" s="136"/>
      <c r="WPU1" s="136"/>
      <c r="WPV1" s="136"/>
      <c r="WPW1" s="136"/>
      <c r="WPX1" s="136"/>
      <c r="WPY1" s="136"/>
      <c r="WPZ1" s="136"/>
      <c r="WQA1" s="136"/>
      <c r="WQB1" s="136"/>
      <c r="WQC1" s="136"/>
      <c r="WQD1" s="136"/>
      <c r="WQE1" s="136"/>
      <c r="WQF1" s="136"/>
      <c r="WQG1" s="136"/>
      <c r="WQH1" s="136"/>
      <c r="WQI1" s="136"/>
      <c r="WQJ1" s="136"/>
      <c r="WQK1" s="136"/>
      <c r="WQL1" s="136"/>
      <c r="WQM1" s="136"/>
      <c r="WQN1" s="136"/>
      <c r="WQO1" s="136"/>
      <c r="WQP1" s="136"/>
      <c r="WQQ1" s="136"/>
      <c r="WQR1" s="136"/>
      <c r="WQS1" s="136"/>
      <c r="WQT1" s="136"/>
      <c r="WQU1" s="136"/>
      <c r="WQV1" s="136"/>
      <c r="WQW1" s="136"/>
      <c r="WQX1" s="136"/>
      <c r="WQY1" s="136"/>
      <c r="WQZ1" s="136"/>
      <c r="WRA1" s="136"/>
      <c r="WRB1" s="136"/>
      <c r="WRC1" s="136"/>
      <c r="WRD1" s="136"/>
      <c r="WRE1" s="136"/>
      <c r="WRF1" s="136"/>
      <c r="WRG1" s="136"/>
      <c r="WRH1" s="136"/>
      <c r="WRI1" s="136"/>
      <c r="WRJ1" s="136"/>
      <c r="WRK1" s="136"/>
      <c r="WRL1" s="136"/>
      <c r="WRM1" s="136"/>
      <c r="WRN1" s="136"/>
      <c r="WRO1" s="136"/>
      <c r="WRP1" s="136"/>
      <c r="WRQ1" s="136"/>
      <c r="WRR1" s="136"/>
      <c r="WRS1" s="136"/>
      <c r="WRT1" s="136"/>
      <c r="WRU1" s="136"/>
      <c r="WRV1" s="136"/>
      <c r="WRW1" s="136"/>
      <c r="WRX1" s="136"/>
      <c r="WRY1" s="136"/>
      <c r="WRZ1" s="136"/>
      <c r="WSA1" s="136"/>
      <c r="WSB1" s="136"/>
      <c r="WSC1" s="136"/>
      <c r="WSD1" s="136"/>
      <c r="WSE1" s="136"/>
      <c r="WSF1" s="136"/>
      <c r="WSG1" s="136"/>
      <c r="WSH1" s="136"/>
      <c r="WSI1" s="136"/>
      <c r="WSJ1" s="136"/>
      <c r="WSK1" s="136"/>
      <c r="WSL1" s="136"/>
      <c r="WSM1" s="136"/>
      <c r="WSN1" s="136"/>
      <c r="WSO1" s="136"/>
      <c r="WSP1" s="136"/>
      <c r="WSQ1" s="136"/>
      <c r="WSR1" s="136"/>
      <c r="WSS1" s="136"/>
      <c r="WST1" s="136"/>
      <c r="WSU1" s="136"/>
      <c r="WSV1" s="136"/>
      <c r="WSW1" s="136"/>
      <c r="WSX1" s="136"/>
      <c r="WSY1" s="136"/>
      <c r="WSZ1" s="136"/>
      <c r="WTA1" s="136"/>
      <c r="WTB1" s="136"/>
      <c r="WTC1" s="136"/>
      <c r="WTD1" s="136"/>
      <c r="WTE1" s="136"/>
      <c r="WTF1" s="136"/>
      <c r="WTG1" s="136"/>
      <c r="WTH1" s="136"/>
      <c r="WTI1" s="136"/>
      <c r="WTJ1" s="136"/>
      <c r="WTK1" s="136"/>
      <c r="WTL1" s="136"/>
      <c r="WTM1" s="136"/>
      <c r="WTN1" s="136"/>
      <c r="WTO1" s="136"/>
      <c r="WTP1" s="136"/>
      <c r="WTQ1" s="136"/>
      <c r="WTR1" s="136"/>
      <c r="WTS1" s="136"/>
      <c r="WTT1" s="136"/>
      <c r="WTU1" s="136"/>
      <c r="WTV1" s="136"/>
      <c r="WTW1" s="136"/>
      <c r="WTX1" s="136"/>
      <c r="WTY1" s="136"/>
      <c r="WTZ1" s="136"/>
      <c r="WUA1" s="136"/>
      <c r="WUB1" s="136"/>
      <c r="WUC1" s="136"/>
      <c r="WUD1" s="136"/>
      <c r="WUE1" s="136"/>
      <c r="WUF1" s="136"/>
      <c r="WUG1" s="136"/>
      <c r="WUH1" s="136"/>
      <c r="WUI1" s="136"/>
      <c r="WUJ1" s="136"/>
      <c r="WUK1" s="136"/>
      <c r="WUL1" s="136"/>
      <c r="WUM1" s="136"/>
      <c r="WUN1" s="136"/>
      <c r="WUO1" s="136"/>
      <c r="WUP1" s="136"/>
      <c r="WUQ1" s="136"/>
      <c r="WUR1" s="136"/>
      <c r="WUS1" s="136"/>
      <c r="WUT1" s="136"/>
      <c r="WUU1" s="136"/>
      <c r="WUV1" s="136"/>
      <c r="WUW1" s="136"/>
      <c r="WUX1" s="136"/>
      <c r="WUY1" s="136"/>
      <c r="WUZ1" s="136"/>
      <c r="WVA1" s="136"/>
      <c r="WVB1" s="136"/>
      <c r="WVC1" s="136"/>
      <c r="WVD1" s="136"/>
      <c r="WVE1" s="136"/>
      <c r="WVF1" s="136"/>
      <c r="WVG1" s="136"/>
      <c r="WVH1" s="136"/>
      <c r="WVI1" s="136"/>
      <c r="WVJ1" s="136"/>
      <c r="WVK1" s="136"/>
      <c r="WVL1" s="136"/>
      <c r="WVM1" s="136"/>
      <c r="WVN1" s="136"/>
      <c r="WVO1" s="136"/>
      <c r="WVP1" s="136"/>
      <c r="WVQ1" s="136"/>
      <c r="WVR1" s="136"/>
      <c r="WVS1" s="136"/>
      <c r="WVT1" s="136"/>
      <c r="WVU1" s="136"/>
      <c r="WVV1" s="136"/>
      <c r="WVW1" s="136"/>
      <c r="WVX1" s="136"/>
      <c r="WVY1" s="136"/>
      <c r="WVZ1" s="136"/>
      <c r="WWA1" s="136"/>
      <c r="WWB1" s="136"/>
      <c r="WWC1" s="136"/>
      <c r="WWD1" s="136"/>
      <c r="WWE1" s="136"/>
      <c r="WWF1" s="136"/>
      <c r="WWG1" s="136"/>
      <c r="WWH1" s="136"/>
      <c r="WWI1" s="136"/>
      <c r="WWJ1" s="136"/>
      <c r="WWK1" s="136"/>
      <c r="WWL1" s="136"/>
      <c r="WWM1" s="136"/>
      <c r="WWN1" s="136"/>
      <c r="WWO1" s="136"/>
      <c r="WWP1" s="136"/>
      <c r="WWQ1" s="136"/>
      <c r="WWR1" s="136"/>
      <c r="WWS1" s="136"/>
      <c r="WWT1" s="136"/>
      <c r="WWU1" s="136"/>
      <c r="WWV1" s="136"/>
      <c r="WWW1" s="136"/>
      <c r="WWX1" s="136"/>
      <c r="WWY1" s="136"/>
      <c r="WWZ1" s="136"/>
      <c r="WXA1" s="136"/>
      <c r="WXB1" s="136"/>
      <c r="WXC1" s="136"/>
      <c r="WXD1" s="136"/>
      <c r="WXE1" s="136"/>
      <c r="WXF1" s="136"/>
      <c r="WXG1" s="136"/>
      <c r="WXH1" s="136"/>
      <c r="WXI1" s="136"/>
      <c r="WXJ1" s="136"/>
      <c r="WXK1" s="136"/>
      <c r="WXL1" s="136"/>
      <c r="WXM1" s="136"/>
      <c r="WXN1" s="136"/>
      <c r="WXO1" s="136"/>
      <c r="WXP1" s="136"/>
      <c r="WXQ1" s="136"/>
      <c r="WXR1" s="136"/>
      <c r="WXS1" s="136"/>
      <c r="WXT1" s="136"/>
      <c r="WXU1" s="136"/>
      <c r="WXV1" s="136"/>
      <c r="WXW1" s="136"/>
      <c r="WXX1" s="136"/>
      <c r="WXY1" s="136"/>
      <c r="WXZ1" s="136"/>
      <c r="WYA1" s="136"/>
      <c r="WYB1" s="136"/>
      <c r="WYC1" s="136"/>
      <c r="WYD1" s="136"/>
      <c r="WYE1" s="136"/>
      <c r="WYF1" s="136"/>
      <c r="WYG1" s="136"/>
      <c r="WYH1" s="136"/>
      <c r="WYI1" s="136"/>
      <c r="WYJ1" s="136"/>
      <c r="WYK1" s="136"/>
      <c r="WYL1" s="136"/>
      <c r="WYM1" s="136"/>
      <c r="WYN1" s="136"/>
      <c r="WYO1" s="136"/>
      <c r="WYP1" s="136"/>
      <c r="WYQ1" s="136"/>
      <c r="WYR1" s="136"/>
      <c r="WYS1" s="136"/>
      <c r="WYT1" s="136"/>
      <c r="WYU1" s="136"/>
      <c r="WYV1" s="136"/>
      <c r="WYW1" s="136"/>
      <c r="WYX1" s="136"/>
      <c r="WYY1" s="136"/>
      <c r="WYZ1" s="136"/>
      <c r="WZA1" s="136"/>
      <c r="WZB1" s="136"/>
      <c r="WZC1" s="136"/>
      <c r="WZD1" s="136"/>
      <c r="WZE1" s="136"/>
      <c r="WZF1" s="136"/>
      <c r="WZG1" s="136"/>
      <c r="WZH1" s="136"/>
      <c r="WZI1" s="136"/>
      <c r="WZJ1" s="136"/>
      <c r="WZK1" s="136"/>
      <c r="WZL1" s="136"/>
      <c r="WZM1" s="136"/>
      <c r="WZN1" s="136"/>
      <c r="WZO1" s="136"/>
      <c r="WZP1" s="136"/>
      <c r="WZQ1" s="136"/>
      <c r="WZR1" s="136"/>
      <c r="WZS1" s="136"/>
      <c r="WZT1" s="136"/>
      <c r="WZU1" s="136"/>
      <c r="WZV1" s="136"/>
      <c r="WZW1" s="136"/>
      <c r="WZX1" s="136"/>
      <c r="WZY1" s="136"/>
      <c r="WZZ1" s="136"/>
      <c r="XAA1" s="136"/>
      <c r="XAB1" s="136"/>
      <c r="XAC1" s="136"/>
      <c r="XAD1" s="136"/>
      <c r="XAE1" s="136"/>
      <c r="XAF1" s="136"/>
      <c r="XAG1" s="136"/>
      <c r="XAH1" s="136"/>
      <c r="XAI1" s="136"/>
      <c r="XAJ1" s="136"/>
      <c r="XAK1" s="136"/>
      <c r="XAL1" s="136"/>
      <c r="XAM1" s="136"/>
      <c r="XAN1" s="136"/>
      <c r="XAO1" s="136"/>
      <c r="XAP1" s="136"/>
      <c r="XAQ1" s="136"/>
      <c r="XAR1" s="136"/>
      <c r="XAS1" s="136"/>
      <c r="XAT1" s="136"/>
      <c r="XAU1" s="136"/>
      <c r="XAV1" s="136"/>
      <c r="XAW1" s="136"/>
      <c r="XAX1" s="136"/>
      <c r="XAY1" s="136"/>
      <c r="XAZ1" s="136"/>
      <c r="XBA1" s="136"/>
      <c r="XBB1" s="136"/>
      <c r="XBC1" s="136"/>
      <c r="XBD1" s="136"/>
      <c r="XBE1" s="136"/>
      <c r="XBF1" s="136"/>
      <c r="XBG1" s="136"/>
      <c r="XBH1" s="136"/>
      <c r="XBI1" s="136"/>
      <c r="XBJ1" s="136"/>
      <c r="XBK1" s="136"/>
      <c r="XBL1" s="136"/>
      <c r="XBM1" s="136"/>
      <c r="XBN1" s="136"/>
      <c r="XBO1" s="136"/>
      <c r="XBP1" s="136"/>
      <c r="XBQ1" s="136"/>
      <c r="XBR1" s="136"/>
      <c r="XBS1" s="136"/>
      <c r="XBT1" s="136"/>
      <c r="XBU1" s="136"/>
      <c r="XBV1" s="136"/>
      <c r="XBW1" s="136"/>
      <c r="XBX1" s="136"/>
      <c r="XBY1" s="136"/>
      <c r="XBZ1" s="136"/>
      <c r="XCA1" s="136"/>
      <c r="XCB1" s="136"/>
      <c r="XCC1" s="136"/>
      <c r="XCD1" s="136"/>
      <c r="XCE1" s="136"/>
      <c r="XCF1" s="136"/>
      <c r="XCG1" s="136"/>
      <c r="XCH1" s="136"/>
      <c r="XCI1" s="136"/>
      <c r="XCJ1" s="136"/>
      <c r="XCK1" s="136"/>
      <c r="XCL1" s="136"/>
      <c r="XCM1" s="136"/>
      <c r="XCN1" s="136"/>
      <c r="XCO1" s="136"/>
      <c r="XCP1" s="136"/>
      <c r="XCQ1" s="136"/>
      <c r="XCR1" s="136"/>
      <c r="XCS1" s="136"/>
      <c r="XCT1" s="136"/>
      <c r="XCU1" s="136"/>
      <c r="XCV1" s="136"/>
      <c r="XCW1" s="136"/>
      <c r="XCX1" s="136"/>
      <c r="XCY1" s="136"/>
      <c r="XCZ1" s="136"/>
      <c r="XDA1" s="136"/>
      <c r="XDB1" s="136"/>
      <c r="XDC1" s="136"/>
      <c r="XDD1" s="136"/>
      <c r="XDE1" s="136"/>
      <c r="XDF1" s="136"/>
      <c r="XDG1" s="136"/>
      <c r="XDH1" s="136"/>
      <c r="XDI1" s="136"/>
      <c r="XDJ1" s="136"/>
      <c r="XDK1" s="136"/>
      <c r="XDL1" s="136"/>
      <c r="XDM1" s="136"/>
      <c r="XDN1" s="136"/>
      <c r="XDO1" s="136"/>
      <c r="XDP1" s="136"/>
      <c r="XDQ1" s="136"/>
      <c r="XDR1" s="136"/>
      <c r="XDS1" s="136"/>
      <c r="XDT1" s="136"/>
      <c r="XDU1" s="136"/>
      <c r="XDV1" s="136"/>
      <c r="XDW1" s="136"/>
      <c r="XDX1" s="136"/>
      <c r="XDY1" s="136"/>
      <c r="XDZ1" s="136"/>
      <c r="XEA1" s="136"/>
      <c r="XEB1" s="136"/>
      <c r="XEC1" s="136"/>
      <c r="XED1" s="136"/>
      <c r="XEE1" s="136"/>
      <c r="XEF1" s="136"/>
      <c r="XEG1" s="136"/>
      <c r="XEH1" s="136"/>
      <c r="XEI1" s="136"/>
      <c r="XEJ1" s="136"/>
      <c r="XEK1" s="136"/>
      <c r="XEL1" s="136"/>
      <c r="XEM1" s="136"/>
      <c r="XEN1" s="136"/>
      <c r="XEO1" s="136"/>
      <c r="XEP1" s="136"/>
      <c r="XEQ1" s="136"/>
      <c r="XER1" s="136"/>
      <c r="XES1" s="136"/>
      <c r="XET1" s="136"/>
      <c r="XEU1" s="136"/>
      <c r="XEV1" s="136"/>
      <c r="XEW1" s="136"/>
      <c r="XEX1" s="136"/>
      <c r="XEY1" s="136"/>
      <c r="XEZ1" s="136"/>
      <c r="XFA1" s="136"/>
      <c r="XFB1" s="136"/>
      <c r="XFC1" s="136"/>
    </row>
    <row r="2" spans="1:16383" customFormat="1" ht="30" customHeight="1">
      <c r="A2" s="1"/>
      <c r="B2" s="136"/>
      <c r="C2" s="189" t="str">
        <f>IF(Idioma=Castellano,"4. Resultados generales",IF(Idioma=Valencià,"4. Resultats generals","4. Resultados generales"))</f>
        <v>4. Resultados generales</v>
      </c>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row>
    <row r="3" spans="1:16383" customFormat="1" ht="30" customHeight="1">
      <c r="A3" s="1"/>
      <c r="B3" s="136"/>
      <c r="C3" s="136"/>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c r="JD3" s="136"/>
      <c r="JE3" s="136"/>
      <c r="JF3" s="136"/>
      <c r="JG3" s="136"/>
      <c r="JH3" s="136"/>
      <c r="JI3" s="136"/>
      <c r="JJ3" s="136"/>
      <c r="JK3" s="136"/>
      <c r="JL3" s="136"/>
      <c r="JM3" s="136"/>
      <c r="JN3" s="136"/>
      <c r="JO3" s="136"/>
      <c r="JP3" s="136"/>
      <c r="JQ3" s="136"/>
      <c r="JR3" s="136"/>
      <c r="JS3" s="136"/>
      <c r="JT3" s="136"/>
      <c r="JU3" s="136"/>
      <c r="JV3" s="136"/>
      <c r="JW3" s="136"/>
      <c r="JX3" s="136"/>
      <c r="JY3" s="136"/>
      <c r="JZ3" s="136"/>
      <c r="KA3" s="136"/>
      <c r="KB3" s="136"/>
      <c r="KC3" s="136"/>
      <c r="KD3" s="136"/>
      <c r="KE3" s="136"/>
      <c r="KF3" s="136"/>
      <c r="KG3" s="136"/>
      <c r="KH3" s="136"/>
      <c r="KI3" s="136"/>
      <c r="KJ3" s="136"/>
      <c r="KK3" s="136"/>
      <c r="KL3" s="136"/>
      <c r="KM3" s="136"/>
      <c r="KN3" s="136"/>
      <c r="KO3" s="136"/>
      <c r="KP3" s="136"/>
      <c r="KQ3" s="136"/>
      <c r="KR3" s="136"/>
      <c r="KS3" s="136"/>
      <c r="KT3" s="136"/>
      <c r="KU3" s="136"/>
      <c r="KV3" s="136"/>
      <c r="KW3" s="136"/>
      <c r="KX3" s="136"/>
      <c r="KY3" s="136"/>
      <c r="KZ3" s="136"/>
      <c r="LA3" s="136"/>
      <c r="LB3" s="136"/>
      <c r="LC3" s="136"/>
      <c r="LD3" s="136"/>
      <c r="LE3" s="136"/>
      <c r="LF3" s="136"/>
      <c r="LG3" s="136"/>
      <c r="LH3" s="136"/>
      <c r="LI3" s="136"/>
      <c r="LJ3" s="136"/>
      <c r="LK3" s="136"/>
      <c r="LL3" s="136"/>
      <c r="LM3" s="136"/>
      <c r="LN3" s="136"/>
      <c r="LO3" s="136"/>
      <c r="LP3" s="136"/>
      <c r="LQ3" s="136"/>
      <c r="LR3" s="136"/>
      <c r="LS3" s="136"/>
      <c r="LT3" s="136"/>
      <c r="LU3" s="136"/>
      <c r="LV3" s="136"/>
      <c r="LW3" s="136"/>
      <c r="LX3" s="136"/>
      <c r="LY3" s="136"/>
      <c r="LZ3" s="136"/>
      <c r="MA3" s="136"/>
      <c r="MB3" s="136"/>
      <c r="MC3" s="136"/>
      <c r="MD3" s="136"/>
      <c r="ME3" s="136"/>
      <c r="MF3" s="136"/>
      <c r="MG3" s="136"/>
      <c r="MH3" s="136"/>
      <c r="MI3" s="136"/>
      <c r="MJ3" s="136"/>
      <c r="MK3" s="136"/>
      <c r="ML3" s="136"/>
      <c r="MM3" s="136"/>
      <c r="MN3" s="136"/>
      <c r="MO3" s="136"/>
      <c r="MP3" s="136"/>
      <c r="MQ3" s="136"/>
      <c r="MR3" s="136"/>
      <c r="MS3" s="136"/>
      <c r="MT3" s="136"/>
      <c r="MU3" s="136"/>
      <c r="MV3" s="136"/>
      <c r="MW3" s="136"/>
      <c r="MX3" s="136"/>
      <c r="MY3" s="136"/>
      <c r="MZ3" s="136"/>
      <c r="NA3" s="136"/>
      <c r="NB3" s="136"/>
      <c r="NC3" s="136"/>
      <c r="ND3" s="136"/>
      <c r="NE3" s="136"/>
      <c r="NF3" s="136"/>
      <c r="NG3" s="136"/>
      <c r="NH3" s="136"/>
      <c r="NI3" s="136"/>
      <c r="NJ3" s="136"/>
      <c r="NK3" s="136"/>
      <c r="NL3" s="136"/>
      <c r="NM3" s="136"/>
      <c r="NN3" s="136"/>
      <c r="NO3" s="136"/>
      <c r="NP3" s="136"/>
      <c r="NQ3" s="136"/>
      <c r="NR3" s="136"/>
      <c r="NS3" s="136"/>
      <c r="NT3" s="136"/>
      <c r="NU3" s="136"/>
      <c r="NV3" s="136"/>
      <c r="NW3" s="136"/>
      <c r="NX3" s="136"/>
      <c r="NY3" s="136"/>
      <c r="NZ3" s="136"/>
      <c r="OA3" s="136"/>
      <c r="OB3" s="136"/>
      <c r="OC3" s="136"/>
      <c r="OD3" s="136"/>
      <c r="OE3" s="136"/>
      <c r="OF3" s="136"/>
      <c r="OG3" s="136"/>
      <c r="OH3" s="136"/>
      <c r="OI3" s="136"/>
      <c r="OJ3" s="136"/>
      <c r="OK3" s="136"/>
      <c r="OL3" s="136"/>
      <c r="OM3" s="136"/>
      <c r="ON3" s="136"/>
      <c r="OO3" s="136"/>
      <c r="OP3" s="136"/>
      <c r="OQ3" s="136"/>
      <c r="OR3" s="136"/>
      <c r="OS3" s="136"/>
      <c r="OT3" s="136"/>
      <c r="OU3" s="136"/>
      <c r="OV3" s="136"/>
      <c r="OW3" s="136"/>
      <c r="OX3" s="136"/>
      <c r="OY3" s="136"/>
      <c r="OZ3" s="136"/>
      <c r="PA3" s="136"/>
      <c r="PB3" s="136"/>
      <c r="PC3" s="136"/>
      <c r="PD3" s="136"/>
      <c r="PE3" s="136"/>
      <c r="PF3" s="136"/>
      <c r="PG3" s="136"/>
      <c r="PH3" s="136"/>
      <c r="PI3" s="136"/>
      <c r="PJ3" s="136"/>
      <c r="PK3" s="136"/>
      <c r="PL3" s="136"/>
      <c r="PM3" s="136"/>
      <c r="PN3" s="136"/>
      <c r="PO3" s="136"/>
      <c r="PP3" s="136"/>
      <c r="PQ3" s="136"/>
      <c r="PR3" s="136"/>
      <c r="PS3" s="136"/>
      <c r="PT3" s="136"/>
      <c r="PU3" s="136"/>
      <c r="PV3" s="136"/>
      <c r="PW3" s="136"/>
      <c r="PX3" s="136"/>
      <c r="PY3" s="136"/>
      <c r="PZ3" s="136"/>
      <c r="QA3" s="136"/>
      <c r="QB3" s="136"/>
      <c r="QC3" s="136"/>
      <c r="QD3" s="136"/>
      <c r="QE3" s="136"/>
      <c r="QF3" s="136"/>
      <c r="QG3" s="136"/>
      <c r="QH3" s="136"/>
      <c r="QI3" s="136"/>
      <c r="QJ3" s="136"/>
      <c r="QK3" s="136"/>
      <c r="QL3" s="136"/>
      <c r="QM3" s="136"/>
      <c r="QN3" s="136"/>
      <c r="QO3" s="136"/>
      <c r="QP3" s="136"/>
      <c r="QQ3" s="136"/>
      <c r="QR3" s="136"/>
      <c r="QS3" s="136"/>
      <c r="QT3" s="136"/>
      <c r="QU3" s="136"/>
      <c r="QV3" s="136"/>
      <c r="QW3" s="136"/>
      <c r="QX3" s="136"/>
      <c r="QY3" s="136"/>
      <c r="QZ3" s="136"/>
      <c r="RA3" s="136"/>
      <c r="RB3" s="136"/>
      <c r="RC3" s="136"/>
      <c r="RD3" s="136"/>
      <c r="RE3" s="136"/>
      <c r="RF3" s="136"/>
      <c r="RG3" s="136"/>
      <c r="RH3" s="136"/>
      <c r="RI3" s="136"/>
      <c r="RJ3" s="136"/>
      <c r="RK3" s="136"/>
      <c r="RL3" s="136"/>
      <c r="RM3" s="136"/>
      <c r="RN3" s="136"/>
      <c r="RO3" s="136"/>
      <c r="RP3" s="136"/>
      <c r="RQ3" s="136"/>
      <c r="RR3" s="136"/>
      <c r="RS3" s="136"/>
      <c r="RT3" s="136"/>
      <c r="RU3" s="136"/>
      <c r="RV3" s="136"/>
      <c r="RW3" s="136"/>
      <c r="RX3" s="136"/>
      <c r="RY3" s="136"/>
      <c r="RZ3" s="136"/>
      <c r="SA3" s="136"/>
      <c r="SB3" s="136"/>
      <c r="SC3" s="136"/>
      <c r="SD3" s="136"/>
      <c r="SE3" s="136"/>
      <c r="SF3" s="136"/>
      <c r="SG3" s="136"/>
      <c r="SH3" s="136"/>
      <c r="SI3" s="136"/>
      <c r="SJ3" s="136"/>
      <c r="SK3" s="136"/>
      <c r="SL3" s="136"/>
      <c r="SM3" s="136"/>
      <c r="SN3" s="136"/>
      <c r="SO3" s="136"/>
      <c r="SP3" s="136"/>
      <c r="SQ3" s="136"/>
      <c r="SR3" s="136"/>
      <c r="SS3" s="136"/>
      <c r="ST3" s="136"/>
      <c r="SU3" s="136"/>
      <c r="SV3" s="136"/>
      <c r="SW3" s="136"/>
      <c r="SX3" s="136"/>
      <c r="SY3" s="136"/>
      <c r="SZ3" s="136"/>
      <c r="TA3" s="136"/>
      <c r="TB3" s="136"/>
      <c r="TC3" s="136"/>
      <c r="TD3" s="136"/>
      <c r="TE3" s="136"/>
      <c r="TF3" s="136"/>
      <c r="TG3" s="136"/>
      <c r="TH3" s="136"/>
      <c r="TI3" s="136"/>
      <c r="TJ3" s="136"/>
      <c r="TK3" s="136"/>
      <c r="TL3" s="136"/>
      <c r="TM3" s="136"/>
      <c r="TN3" s="136"/>
      <c r="TO3" s="136"/>
      <c r="TP3" s="136"/>
      <c r="TQ3" s="136"/>
      <c r="TR3" s="136"/>
      <c r="TS3" s="136"/>
      <c r="TT3" s="136"/>
      <c r="TU3" s="136"/>
      <c r="TV3" s="136"/>
      <c r="TW3" s="136"/>
      <c r="TX3" s="136"/>
      <c r="TY3" s="136"/>
      <c r="TZ3" s="136"/>
      <c r="UA3" s="136"/>
      <c r="UB3" s="136"/>
      <c r="UC3" s="136"/>
      <c r="UD3" s="136"/>
      <c r="UE3" s="136"/>
      <c r="UF3" s="136"/>
      <c r="UG3" s="136"/>
      <c r="UH3" s="136"/>
      <c r="UI3" s="136"/>
      <c r="UJ3" s="136"/>
      <c r="UK3" s="136"/>
      <c r="UL3" s="136"/>
      <c r="UM3" s="136"/>
      <c r="UN3" s="136"/>
      <c r="UO3" s="136"/>
      <c r="UP3" s="136"/>
      <c r="UQ3" s="136"/>
      <c r="UR3" s="136"/>
      <c r="US3" s="136"/>
      <c r="UT3" s="136"/>
      <c r="UU3" s="136"/>
      <c r="UV3" s="136"/>
      <c r="UW3" s="136"/>
      <c r="UX3" s="136"/>
      <c r="UY3" s="136"/>
      <c r="UZ3" s="136"/>
      <c r="VA3" s="136"/>
      <c r="VB3" s="136"/>
      <c r="VC3" s="136"/>
      <c r="VD3" s="136"/>
      <c r="VE3" s="136"/>
      <c r="VF3" s="136"/>
      <c r="VG3" s="136"/>
      <c r="VH3" s="136"/>
      <c r="VI3" s="136"/>
      <c r="VJ3" s="136"/>
      <c r="VK3" s="136"/>
      <c r="VL3" s="136"/>
      <c r="VM3" s="136"/>
      <c r="VN3" s="136"/>
      <c r="VO3" s="136"/>
      <c r="VP3" s="136"/>
      <c r="VQ3" s="136"/>
      <c r="VR3" s="136"/>
      <c r="VS3" s="136"/>
      <c r="VT3" s="136"/>
      <c r="VU3" s="136"/>
      <c r="VV3" s="136"/>
      <c r="VW3" s="136"/>
      <c r="VX3" s="136"/>
      <c r="VY3" s="136"/>
      <c r="VZ3" s="136"/>
      <c r="WA3" s="136"/>
      <c r="WB3" s="136"/>
      <c r="WC3" s="136"/>
      <c r="WD3" s="136"/>
      <c r="WE3" s="136"/>
      <c r="WF3" s="136"/>
      <c r="WG3" s="136"/>
      <c r="WH3" s="136"/>
      <c r="WI3" s="136"/>
      <c r="WJ3" s="136"/>
      <c r="WK3" s="136"/>
      <c r="WL3" s="136"/>
      <c r="WM3" s="136"/>
      <c r="WN3" s="136"/>
      <c r="WO3" s="136"/>
      <c r="WP3" s="136"/>
      <c r="WQ3" s="136"/>
      <c r="WR3" s="136"/>
      <c r="WS3" s="136"/>
      <c r="WT3" s="136"/>
      <c r="WU3" s="136"/>
      <c r="WV3" s="136"/>
      <c r="WW3" s="136"/>
      <c r="WX3" s="136"/>
      <c r="WY3" s="136"/>
      <c r="WZ3" s="136"/>
      <c r="XA3" s="136"/>
      <c r="XB3" s="136"/>
      <c r="XC3" s="136"/>
      <c r="XD3" s="136"/>
      <c r="XE3" s="136"/>
      <c r="XF3" s="136"/>
      <c r="XG3" s="136"/>
      <c r="XH3" s="136"/>
      <c r="XI3" s="136"/>
      <c r="XJ3" s="136"/>
      <c r="XK3" s="136"/>
      <c r="XL3" s="136"/>
      <c r="XM3" s="136"/>
      <c r="XN3" s="136"/>
      <c r="XO3" s="136"/>
      <c r="XP3" s="136"/>
      <c r="XQ3" s="136"/>
      <c r="XR3" s="136"/>
      <c r="XS3" s="136"/>
      <c r="XT3" s="136"/>
      <c r="XU3" s="136"/>
      <c r="XV3" s="136"/>
      <c r="XW3" s="136"/>
      <c r="XX3" s="136"/>
      <c r="XY3" s="136"/>
      <c r="XZ3" s="136"/>
      <c r="YA3" s="136"/>
      <c r="YB3" s="136"/>
      <c r="YC3" s="136"/>
      <c r="YD3" s="136"/>
      <c r="YE3" s="136"/>
      <c r="YF3" s="136"/>
      <c r="YG3" s="136"/>
      <c r="YH3" s="136"/>
      <c r="YI3" s="136"/>
      <c r="YJ3" s="136"/>
      <c r="YK3" s="136"/>
      <c r="YL3" s="136"/>
      <c r="YM3" s="136"/>
      <c r="YN3" s="136"/>
      <c r="YO3" s="136"/>
      <c r="YP3" s="136"/>
      <c r="YQ3" s="136"/>
      <c r="YR3" s="136"/>
      <c r="YS3" s="136"/>
      <c r="YT3" s="136"/>
      <c r="YU3" s="136"/>
      <c r="YV3" s="136"/>
      <c r="YW3" s="136"/>
      <c r="YX3" s="136"/>
      <c r="YY3" s="136"/>
      <c r="YZ3" s="136"/>
      <c r="ZA3" s="136"/>
      <c r="ZB3" s="136"/>
      <c r="ZC3" s="136"/>
      <c r="ZD3" s="136"/>
      <c r="ZE3" s="136"/>
      <c r="ZF3" s="136"/>
      <c r="ZG3" s="136"/>
      <c r="ZH3" s="136"/>
      <c r="ZI3" s="136"/>
      <c r="ZJ3" s="136"/>
      <c r="ZK3" s="136"/>
      <c r="ZL3" s="136"/>
      <c r="ZM3" s="136"/>
      <c r="ZN3" s="136"/>
      <c r="ZO3" s="136"/>
      <c r="ZP3" s="136"/>
      <c r="ZQ3" s="136"/>
      <c r="ZR3" s="136"/>
      <c r="ZS3" s="136"/>
      <c r="ZT3" s="136"/>
      <c r="ZU3" s="136"/>
      <c r="ZV3" s="136"/>
      <c r="ZW3" s="136"/>
      <c r="ZX3" s="136"/>
      <c r="ZY3" s="136"/>
      <c r="ZZ3" s="136"/>
      <c r="AAA3" s="136"/>
      <c r="AAB3" s="136"/>
      <c r="AAC3" s="136"/>
      <c r="AAD3" s="136"/>
      <c r="AAE3" s="136"/>
      <c r="AAF3" s="136"/>
      <c r="AAG3" s="136"/>
      <c r="AAH3" s="136"/>
      <c r="AAI3" s="136"/>
      <c r="AAJ3" s="136"/>
      <c r="AAK3" s="136"/>
      <c r="AAL3" s="136"/>
      <c r="AAM3" s="136"/>
      <c r="AAN3" s="136"/>
      <c r="AAO3" s="136"/>
      <c r="AAP3" s="136"/>
      <c r="AAQ3" s="136"/>
      <c r="AAR3" s="136"/>
      <c r="AAS3" s="136"/>
      <c r="AAT3" s="136"/>
      <c r="AAU3" s="136"/>
      <c r="AAV3" s="136"/>
      <c r="AAW3" s="136"/>
      <c r="AAX3" s="136"/>
      <c r="AAY3" s="136"/>
      <c r="AAZ3" s="136"/>
      <c r="ABA3" s="136"/>
      <c r="ABB3" s="136"/>
      <c r="ABC3" s="136"/>
      <c r="ABD3" s="136"/>
      <c r="ABE3" s="136"/>
      <c r="ABF3" s="136"/>
      <c r="ABG3" s="136"/>
      <c r="ABH3" s="136"/>
      <c r="ABI3" s="136"/>
      <c r="ABJ3" s="136"/>
      <c r="ABK3" s="136"/>
      <c r="ABL3" s="136"/>
      <c r="ABM3" s="136"/>
      <c r="ABN3" s="136"/>
      <c r="ABO3" s="136"/>
      <c r="ABP3" s="136"/>
      <c r="ABQ3" s="136"/>
      <c r="ABR3" s="136"/>
      <c r="ABS3" s="136"/>
      <c r="ABT3" s="136"/>
      <c r="ABU3" s="136"/>
      <c r="ABV3" s="136"/>
      <c r="ABW3" s="136"/>
      <c r="ABX3" s="136"/>
      <c r="ABY3" s="136"/>
      <c r="ABZ3" s="136"/>
      <c r="ACA3" s="136"/>
      <c r="ACB3" s="136"/>
      <c r="ACC3" s="136"/>
      <c r="ACD3" s="136"/>
      <c r="ACE3" s="136"/>
      <c r="ACF3" s="136"/>
      <c r="ACG3" s="136"/>
      <c r="ACH3" s="136"/>
      <c r="ACI3" s="136"/>
      <c r="ACJ3" s="136"/>
      <c r="ACK3" s="136"/>
      <c r="ACL3" s="136"/>
      <c r="ACM3" s="136"/>
      <c r="ACN3" s="136"/>
      <c r="ACO3" s="136"/>
      <c r="ACP3" s="136"/>
      <c r="ACQ3" s="136"/>
      <c r="ACR3" s="136"/>
      <c r="ACS3" s="136"/>
      <c r="ACT3" s="136"/>
      <c r="ACU3" s="136"/>
      <c r="ACV3" s="136"/>
      <c r="ACW3" s="136"/>
      <c r="ACX3" s="136"/>
      <c r="ACY3" s="136"/>
      <c r="ACZ3" s="136"/>
      <c r="ADA3" s="136"/>
      <c r="ADB3" s="136"/>
      <c r="ADC3" s="136"/>
      <c r="ADD3" s="136"/>
      <c r="ADE3" s="136"/>
      <c r="ADF3" s="136"/>
      <c r="ADG3" s="136"/>
      <c r="ADH3" s="136"/>
      <c r="ADI3" s="136"/>
      <c r="ADJ3" s="136"/>
      <c r="ADK3" s="136"/>
      <c r="ADL3" s="136"/>
      <c r="ADM3" s="136"/>
      <c r="ADN3" s="136"/>
      <c r="ADO3" s="136"/>
      <c r="ADP3" s="136"/>
      <c r="ADQ3" s="136"/>
      <c r="ADR3" s="136"/>
      <c r="ADS3" s="136"/>
      <c r="ADT3" s="136"/>
      <c r="ADU3" s="136"/>
      <c r="ADV3" s="136"/>
      <c r="ADW3" s="136"/>
      <c r="ADX3" s="136"/>
      <c r="ADY3" s="136"/>
      <c r="ADZ3" s="136"/>
      <c r="AEA3" s="136"/>
      <c r="AEB3" s="136"/>
      <c r="AEC3" s="136"/>
      <c r="AED3" s="136"/>
      <c r="AEE3" s="136"/>
      <c r="AEF3" s="136"/>
      <c r="AEG3" s="136"/>
      <c r="AEH3" s="136"/>
      <c r="AEI3" s="136"/>
      <c r="AEJ3" s="136"/>
      <c r="AEK3" s="136"/>
      <c r="AEL3" s="136"/>
      <c r="AEM3" s="136"/>
      <c r="AEN3" s="136"/>
      <c r="AEO3" s="136"/>
      <c r="AEP3" s="136"/>
      <c r="AEQ3" s="136"/>
      <c r="AER3" s="136"/>
      <c r="AES3" s="136"/>
      <c r="AET3" s="136"/>
      <c r="AEU3" s="136"/>
      <c r="AEV3" s="136"/>
      <c r="AEW3" s="136"/>
      <c r="AEX3" s="136"/>
      <c r="AEY3" s="136"/>
      <c r="AEZ3" s="136"/>
      <c r="AFA3" s="136"/>
      <c r="AFB3" s="136"/>
      <c r="AFC3" s="136"/>
      <c r="AFD3" s="136"/>
      <c r="AFE3" s="136"/>
      <c r="AFF3" s="136"/>
      <c r="AFG3" s="136"/>
      <c r="AFH3" s="136"/>
      <c r="AFI3" s="136"/>
      <c r="AFJ3" s="136"/>
      <c r="AFK3" s="136"/>
      <c r="AFL3" s="136"/>
      <c r="AFM3" s="136"/>
      <c r="AFN3" s="136"/>
      <c r="AFO3" s="136"/>
      <c r="AFP3" s="136"/>
      <c r="AFQ3" s="136"/>
      <c r="AFR3" s="136"/>
      <c r="AFS3" s="136"/>
      <c r="AFT3" s="136"/>
      <c r="AFU3" s="136"/>
      <c r="AFV3" s="136"/>
      <c r="AFW3" s="136"/>
      <c r="AFX3" s="136"/>
      <c r="AFY3" s="136"/>
      <c r="AFZ3" s="136"/>
      <c r="AGA3" s="136"/>
      <c r="AGB3" s="136"/>
      <c r="AGC3" s="136"/>
      <c r="AGD3" s="136"/>
      <c r="AGE3" s="136"/>
      <c r="AGF3" s="136"/>
      <c r="AGG3" s="136"/>
      <c r="AGH3" s="136"/>
      <c r="AGI3" s="136"/>
      <c r="AGJ3" s="136"/>
      <c r="AGK3" s="136"/>
      <c r="AGL3" s="136"/>
      <c r="AGM3" s="136"/>
      <c r="AGN3" s="136"/>
      <c r="AGO3" s="136"/>
      <c r="AGP3" s="136"/>
      <c r="AGQ3" s="136"/>
      <c r="AGR3" s="136"/>
      <c r="AGS3" s="136"/>
      <c r="AGT3" s="136"/>
      <c r="AGU3" s="136"/>
      <c r="AGV3" s="136"/>
      <c r="AGW3" s="136"/>
      <c r="AGX3" s="136"/>
      <c r="AGY3" s="136"/>
      <c r="AGZ3" s="136"/>
      <c r="AHA3" s="136"/>
      <c r="AHB3" s="136"/>
      <c r="AHC3" s="136"/>
      <c r="AHD3" s="136"/>
      <c r="AHE3" s="136"/>
      <c r="AHF3" s="136"/>
      <c r="AHG3" s="136"/>
      <c r="AHH3" s="136"/>
      <c r="AHI3" s="136"/>
      <c r="AHJ3" s="136"/>
      <c r="AHK3" s="136"/>
      <c r="AHL3" s="136"/>
      <c r="AHM3" s="136"/>
      <c r="AHN3" s="136"/>
      <c r="AHO3" s="136"/>
      <c r="AHP3" s="136"/>
      <c r="AHQ3" s="136"/>
      <c r="AHR3" s="136"/>
      <c r="AHS3" s="136"/>
      <c r="AHT3" s="136"/>
      <c r="AHU3" s="136"/>
      <c r="AHV3" s="136"/>
      <c r="AHW3" s="136"/>
      <c r="AHX3" s="136"/>
      <c r="AHY3" s="136"/>
      <c r="AHZ3" s="136"/>
      <c r="AIA3" s="136"/>
      <c r="AIB3" s="136"/>
      <c r="AIC3" s="136"/>
      <c r="AID3" s="136"/>
      <c r="AIE3" s="136"/>
      <c r="AIF3" s="136"/>
      <c r="AIG3" s="136"/>
      <c r="AIH3" s="136"/>
      <c r="AII3" s="136"/>
      <c r="AIJ3" s="136"/>
      <c r="AIK3" s="136"/>
      <c r="AIL3" s="136"/>
      <c r="AIM3" s="136"/>
      <c r="AIN3" s="136"/>
      <c r="AIO3" s="136"/>
      <c r="AIP3" s="136"/>
      <c r="AIQ3" s="136"/>
      <c r="AIR3" s="136"/>
      <c r="AIS3" s="136"/>
      <c r="AIT3" s="136"/>
      <c r="AIU3" s="136"/>
      <c r="AIV3" s="136"/>
      <c r="AIW3" s="136"/>
      <c r="AIX3" s="136"/>
      <c r="AIY3" s="136"/>
      <c r="AIZ3" s="136"/>
      <c r="AJA3" s="136"/>
      <c r="AJB3" s="136"/>
      <c r="AJC3" s="136"/>
      <c r="AJD3" s="136"/>
      <c r="AJE3" s="136"/>
      <c r="AJF3" s="136"/>
      <c r="AJG3" s="136"/>
      <c r="AJH3" s="136"/>
      <c r="AJI3" s="136"/>
      <c r="AJJ3" s="136"/>
      <c r="AJK3" s="136"/>
      <c r="AJL3" s="136"/>
      <c r="AJM3" s="136"/>
      <c r="AJN3" s="136"/>
      <c r="AJO3" s="136"/>
      <c r="AJP3" s="136"/>
      <c r="AJQ3" s="136"/>
      <c r="AJR3" s="136"/>
      <c r="AJS3" s="136"/>
      <c r="AJT3" s="136"/>
      <c r="AJU3" s="136"/>
      <c r="AJV3" s="136"/>
      <c r="AJW3" s="136"/>
      <c r="AJX3" s="136"/>
      <c r="AJY3" s="136"/>
      <c r="AJZ3" s="136"/>
      <c r="AKA3" s="136"/>
      <c r="AKB3" s="136"/>
      <c r="AKC3" s="136"/>
      <c r="AKD3" s="136"/>
      <c r="AKE3" s="136"/>
      <c r="AKF3" s="136"/>
      <c r="AKG3" s="136"/>
      <c r="AKH3" s="136"/>
      <c r="AKI3" s="136"/>
      <c r="AKJ3" s="136"/>
      <c r="AKK3" s="136"/>
      <c r="AKL3" s="136"/>
      <c r="AKM3" s="136"/>
      <c r="AKN3" s="136"/>
      <c r="AKO3" s="136"/>
      <c r="AKP3" s="136"/>
      <c r="AKQ3" s="136"/>
      <c r="AKR3" s="136"/>
      <c r="AKS3" s="136"/>
      <c r="AKT3" s="136"/>
      <c r="AKU3" s="136"/>
      <c r="AKV3" s="136"/>
      <c r="AKW3" s="136"/>
      <c r="AKX3" s="136"/>
      <c r="AKY3" s="136"/>
      <c r="AKZ3" s="136"/>
      <c r="ALA3" s="136"/>
      <c r="ALB3" s="136"/>
      <c r="ALC3" s="136"/>
      <c r="ALD3" s="136"/>
      <c r="ALE3" s="136"/>
      <c r="ALF3" s="136"/>
      <c r="ALG3" s="136"/>
      <c r="ALH3" s="136"/>
      <c r="ALI3" s="136"/>
      <c r="ALJ3" s="136"/>
      <c r="ALK3" s="136"/>
      <c r="ALL3" s="136"/>
      <c r="ALM3" s="136"/>
      <c r="ALN3" s="136"/>
      <c r="ALO3" s="136"/>
      <c r="ALP3" s="136"/>
      <c r="ALQ3" s="136"/>
      <c r="ALR3" s="136"/>
      <c r="ALS3" s="136"/>
      <c r="ALT3" s="136"/>
      <c r="ALU3" s="136"/>
      <c r="ALV3" s="136"/>
      <c r="ALW3" s="136"/>
      <c r="ALX3" s="136"/>
      <c r="ALY3" s="136"/>
      <c r="ALZ3" s="136"/>
      <c r="AMA3" s="136"/>
      <c r="AMB3" s="136"/>
      <c r="AMC3" s="136"/>
      <c r="AMD3" s="136"/>
      <c r="AME3" s="136"/>
      <c r="AMF3" s="136"/>
      <c r="AMG3" s="136"/>
      <c r="AMH3" s="136"/>
      <c r="AMI3" s="136"/>
      <c r="AMJ3" s="136"/>
      <c r="AMK3" s="136"/>
      <c r="AML3" s="136"/>
      <c r="AMM3" s="136"/>
      <c r="AMN3" s="136"/>
      <c r="AMO3" s="136"/>
      <c r="AMP3" s="136"/>
      <c r="AMQ3" s="136"/>
      <c r="AMR3" s="136"/>
      <c r="AMS3" s="136"/>
      <c r="AMT3" s="136"/>
      <c r="AMU3" s="136"/>
      <c r="AMV3" s="136"/>
      <c r="AMW3" s="136"/>
      <c r="AMX3" s="136"/>
      <c r="AMY3" s="136"/>
      <c r="AMZ3" s="136"/>
      <c r="ANA3" s="136"/>
      <c r="ANB3" s="136"/>
      <c r="ANC3" s="136"/>
      <c r="AND3" s="136"/>
      <c r="ANE3" s="136"/>
      <c r="ANF3" s="136"/>
      <c r="ANG3" s="136"/>
      <c r="ANH3" s="136"/>
      <c r="ANI3" s="136"/>
      <c r="ANJ3" s="136"/>
      <c r="ANK3" s="136"/>
      <c r="ANL3" s="136"/>
      <c r="ANM3" s="136"/>
      <c r="ANN3" s="136"/>
      <c r="ANO3" s="136"/>
      <c r="ANP3" s="136"/>
      <c r="ANQ3" s="136"/>
      <c r="ANR3" s="136"/>
      <c r="ANS3" s="136"/>
      <c r="ANT3" s="136"/>
      <c r="ANU3" s="136"/>
      <c r="ANV3" s="136"/>
      <c r="ANW3" s="136"/>
      <c r="ANX3" s="136"/>
      <c r="ANY3" s="136"/>
      <c r="ANZ3" s="136"/>
      <c r="AOA3" s="136"/>
      <c r="AOB3" s="136"/>
      <c r="AOC3" s="136"/>
      <c r="AOD3" s="136"/>
      <c r="AOE3" s="136"/>
      <c r="AOF3" s="136"/>
      <c r="AOG3" s="136"/>
      <c r="AOH3" s="136"/>
      <c r="AOI3" s="136"/>
      <c r="AOJ3" s="136"/>
      <c r="AOK3" s="136"/>
      <c r="AOL3" s="136"/>
      <c r="AOM3" s="136"/>
      <c r="AON3" s="136"/>
      <c r="AOO3" s="136"/>
      <c r="AOP3" s="136"/>
      <c r="AOQ3" s="136"/>
      <c r="AOR3" s="136"/>
      <c r="AOS3" s="136"/>
      <c r="AOT3" s="136"/>
      <c r="AOU3" s="136"/>
      <c r="AOV3" s="136"/>
      <c r="AOW3" s="136"/>
      <c r="AOX3" s="136"/>
      <c r="AOY3" s="136"/>
      <c r="AOZ3" s="136"/>
      <c r="APA3" s="136"/>
      <c r="APB3" s="136"/>
      <c r="APC3" s="136"/>
      <c r="APD3" s="136"/>
      <c r="APE3" s="136"/>
      <c r="APF3" s="136"/>
      <c r="APG3" s="136"/>
      <c r="APH3" s="136"/>
      <c r="API3" s="136"/>
      <c r="APJ3" s="136"/>
      <c r="APK3" s="136"/>
      <c r="APL3" s="136"/>
      <c r="APM3" s="136"/>
      <c r="APN3" s="136"/>
      <c r="APO3" s="136"/>
      <c r="APP3" s="136"/>
      <c r="APQ3" s="136"/>
      <c r="APR3" s="136"/>
      <c r="APS3" s="136"/>
      <c r="APT3" s="136"/>
      <c r="APU3" s="136"/>
      <c r="APV3" s="136"/>
      <c r="APW3" s="136"/>
      <c r="APX3" s="136"/>
      <c r="APY3" s="136"/>
      <c r="APZ3" s="136"/>
      <c r="AQA3" s="136"/>
      <c r="AQB3" s="136"/>
      <c r="AQC3" s="136"/>
      <c r="AQD3" s="136"/>
      <c r="AQE3" s="136"/>
      <c r="AQF3" s="136"/>
      <c r="AQG3" s="136"/>
      <c r="AQH3" s="136"/>
      <c r="AQI3" s="136"/>
      <c r="AQJ3" s="136"/>
      <c r="AQK3" s="136"/>
      <c r="AQL3" s="136"/>
      <c r="AQM3" s="136"/>
      <c r="AQN3" s="136"/>
      <c r="AQO3" s="136"/>
      <c r="AQP3" s="136"/>
      <c r="AQQ3" s="136"/>
      <c r="AQR3" s="136"/>
      <c r="AQS3" s="136"/>
      <c r="AQT3" s="136"/>
      <c r="AQU3" s="136"/>
      <c r="AQV3" s="136"/>
      <c r="AQW3" s="136"/>
      <c r="AQX3" s="136"/>
      <c r="AQY3" s="136"/>
      <c r="AQZ3" s="136"/>
      <c r="ARA3" s="136"/>
      <c r="ARB3" s="136"/>
      <c r="ARC3" s="136"/>
      <c r="ARD3" s="136"/>
      <c r="ARE3" s="136"/>
      <c r="ARF3" s="136"/>
      <c r="ARG3" s="136"/>
      <c r="ARH3" s="136"/>
      <c r="ARI3" s="136"/>
      <c r="ARJ3" s="136"/>
      <c r="ARK3" s="136"/>
      <c r="ARL3" s="136"/>
      <c r="ARM3" s="136"/>
      <c r="ARN3" s="136"/>
      <c r="ARO3" s="136"/>
      <c r="ARP3" s="136"/>
      <c r="ARQ3" s="136"/>
      <c r="ARR3" s="136"/>
      <c r="ARS3" s="136"/>
      <c r="ART3" s="136"/>
      <c r="ARU3" s="136"/>
      <c r="ARV3" s="136"/>
      <c r="ARW3" s="136"/>
      <c r="ARX3" s="136"/>
      <c r="ARY3" s="136"/>
      <c r="ARZ3" s="136"/>
      <c r="ASA3" s="136"/>
      <c r="ASB3" s="136"/>
      <c r="ASC3" s="136"/>
      <c r="ASD3" s="136"/>
      <c r="ASE3" s="136"/>
      <c r="ASF3" s="136"/>
      <c r="ASG3" s="136"/>
      <c r="ASH3" s="136"/>
      <c r="ASI3" s="136"/>
      <c r="ASJ3" s="136"/>
      <c r="ASK3" s="136"/>
      <c r="ASL3" s="136"/>
      <c r="ASM3" s="136"/>
      <c r="ASN3" s="136"/>
      <c r="ASO3" s="136"/>
      <c r="ASP3" s="136"/>
      <c r="ASQ3" s="136"/>
      <c r="ASR3" s="136"/>
      <c r="ASS3" s="136"/>
      <c r="AST3" s="136"/>
      <c r="ASU3" s="136"/>
      <c r="ASV3" s="136"/>
      <c r="ASW3" s="136"/>
      <c r="ASX3" s="136"/>
      <c r="ASY3" s="136"/>
      <c r="ASZ3" s="136"/>
      <c r="ATA3" s="136"/>
      <c r="ATB3" s="136"/>
      <c r="ATC3" s="136"/>
      <c r="ATD3" s="136"/>
      <c r="ATE3" s="136"/>
      <c r="ATF3" s="136"/>
      <c r="ATG3" s="136"/>
      <c r="ATH3" s="136"/>
      <c r="ATI3" s="136"/>
      <c r="ATJ3" s="136"/>
      <c r="ATK3" s="136"/>
      <c r="ATL3" s="136"/>
      <c r="ATM3" s="136"/>
      <c r="ATN3" s="136"/>
      <c r="ATO3" s="136"/>
      <c r="ATP3" s="136"/>
      <c r="ATQ3" s="136"/>
      <c r="ATR3" s="136"/>
      <c r="ATS3" s="136"/>
      <c r="ATT3" s="136"/>
      <c r="ATU3" s="136"/>
      <c r="ATV3" s="136"/>
      <c r="ATW3" s="136"/>
      <c r="ATX3" s="136"/>
      <c r="ATY3" s="136"/>
      <c r="ATZ3" s="136"/>
      <c r="AUA3" s="136"/>
      <c r="AUB3" s="136"/>
      <c r="AUC3" s="136"/>
      <c r="AUD3" s="136"/>
      <c r="AUE3" s="136"/>
      <c r="AUF3" s="136"/>
      <c r="AUG3" s="136"/>
      <c r="AUH3" s="136"/>
      <c r="AUI3" s="136"/>
      <c r="AUJ3" s="136"/>
      <c r="AUK3" s="136"/>
      <c r="AUL3" s="136"/>
      <c r="AUM3" s="136"/>
      <c r="AUN3" s="136"/>
      <c r="AUO3" s="136"/>
      <c r="AUP3" s="136"/>
      <c r="AUQ3" s="136"/>
      <c r="AUR3" s="136"/>
      <c r="AUS3" s="136"/>
      <c r="AUT3" s="136"/>
      <c r="AUU3" s="136"/>
      <c r="AUV3" s="136"/>
      <c r="AUW3" s="136"/>
      <c r="AUX3" s="136"/>
      <c r="AUY3" s="136"/>
      <c r="AUZ3" s="136"/>
      <c r="AVA3" s="136"/>
      <c r="AVB3" s="136"/>
      <c r="AVC3" s="136"/>
      <c r="AVD3" s="136"/>
      <c r="AVE3" s="136"/>
      <c r="AVF3" s="136"/>
      <c r="AVG3" s="136"/>
      <c r="AVH3" s="136"/>
      <c r="AVI3" s="136"/>
      <c r="AVJ3" s="136"/>
      <c r="AVK3" s="136"/>
      <c r="AVL3" s="136"/>
      <c r="AVM3" s="136"/>
      <c r="AVN3" s="136"/>
      <c r="AVO3" s="136"/>
      <c r="AVP3" s="136"/>
      <c r="AVQ3" s="136"/>
      <c r="AVR3" s="136"/>
      <c r="AVS3" s="136"/>
      <c r="AVT3" s="136"/>
      <c r="AVU3" s="136"/>
      <c r="AVV3" s="136"/>
      <c r="AVW3" s="136"/>
      <c r="AVX3" s="136"/>
      <c r="AVY3" s="136"/>
      <c r="AVZ3" s="136"/>
      <c r="AWA3" s="136"/>
      <c r="AWB3" s="136"/>
      <c r="AWC3" s="136"/>
      <c r="AWD3" s="136"/>
      <c r="AWE3" s="136"/>
      <c r="AWF3" s="136"/>
      <c r="AWG3" s="136"/>
      <c r="AWH3" s="136"/>
      <c r="AWI3" s="136"/>
      <c r="AWJ3" s="136"/>
      <c r="AWK3" s="136"/>
      <c r="AWL3" s="136"/>
      <c r="AWM3" s="136"/>
      <c r="AWN3" s="136"/>
      <c r="AWO3" s="136"/>
      <c r="AWP3" s="136"/>
      <c r="AWQ3" s="136"/>
      <c r="AWR3" s="136"/>
      <c r="AWS3" s="136"/>
      <c r="AWT3" s="136"/>
      <c r="AWU3" s="136"/>
      <c r="AWV3" s="136"/>
      <c r="AWW3" s="136"/>
      <c r="AWX3" s="136"/>
      <c r="AWY3" s="136"/>
      <c r="AWZ3" s="136"/>
      <c r="AXA3" s="136"/>
      <c r="AXB3" s="136"/>
      <c r="AXC3" s="136"/>
      <c r="AXD3" s="136"/>
      <c r="AXE3" s="136"/>
      <c r="AXF3" s="136"/>
      <c r="AXG3" s="136"/>
      <c r="AXH3" s="136"/>
      <c r="AXI3" s="136"/>
      <c r="AXJ3" s="136"/>
      <c r="AXK3" s="136"/>
      <c r="AXL3" s="136"/>
      <c r="AXM3" s="136"/>
      <c r="AXN3" s="136"/>
      <c r="AXO3" s="136"/>
      <c r="AXP3" s="136"/>
      <c r="AXQ3" s="136"/>
      <c r="AXR3" s="136"/>
      <c r="AXS3" s="136"/>
      <c r="AXT3" s="136"/>
      <c r="AXU3" s="136"/>
      <c r="AXV3" s="136"/>
      <c r="AXW3" s="136"/>
      <c r="AXX3" s="136"/>
      <c r="AXY3" s="136"/>
      <c r="AXZ3" s="136"/>
      <c r="AYA3" s="136"/>
      <c r="AYB3" s="136"/>
      <c r="AYC3" s="136"/>
      <c r="AYD3" s="136"/>
      <c r="AYE3" s="136"/>
      <c r="AYF3" s="136"/>
      <c r="AYG3" s="136"/>
      <c r="AYH3" s="136"/>
      <c r="AYI3" s="136"/>
      <c r="AYJ3" s="136"/>
      <c r="AYK3" s="136"/>
      <c r="AYL3" s="136"/>
      <c r="AYM3" s="136"/>
      <c r="AYN3" s="136"/>
      <c r="AYO3" s="136"/>
      <c r="AYP3" s="136"/>
      <c r="AYQ3" s="136"/>
      <c r="AYR3" s="136"/>
      <c r="AYS3" s="136"/>
      <c r="AYT3" s="136"/>
      <c r="AYU3" s="136"/>
      <c r="AYV3" s="136"/>
      <c r="AYW3" s="136"/>
      <c r="AYX3" s="136"/>
      <c r="AYY3" s="136"/>
      <c r="AYZ3" s="136"/>
      <c r="AZA3" s="136"/>
      <c r="AZB3" s="136"/>
      <c r="AZC3" s="136"/>
      <c r="AZD3" s="136"/>
      <c r="AZE3" s="136"/>
      <c r="AZF3" s="136"/>
      <c r="AZG3" s="136"/>
      <c r="AZH3" s="136"/>
      <c r="AZI3" s="136"/>
      <c r="AZJ3" s="136"/>
      <c r="AZK3" s="136"/>
      <c r="AZL3" s="136"/>
      <c r="AZM3" s="136"/>
      <c r="AZN3" s="136"/>
      <c r="AZO3" s="136"/>
      <c r="AZP3" s="136"/>
      <c r="AZQ3" s="136"/>
      <c r="AZR3" s="136"/>
      <c r="AZS3" s="136"/>
      <c r="AZT3" s="136"/>
      <c r="AZU3" s="136"/>
      <c r="AZV3" s="136"/>
      <c r="AZW3" s="136"/>
      <c r="AZX3" s="136"/>
      <c r="AZY3" s="136"/>
      <c r="AZZ3" s="136"/>
      <c r="BAA3" s="136"/>
      <c r="BAB3" s="136"/>
      <c r="BAC3" s="136"/>
      <c r="BAD3" s="136"/>
      <c r="BAE3" s="136"/>
      <c r="BAF3" s="136"/>
      <c r="BAG3" s="136"/>
      <c r="BAH3" s="136"/>
      <c r="BAI3" s="136"/>
      <c r="BAJ3" s="136"/>
      <c r="BAK3" s="136"/>
      <c r="BAL3" s="136"/>
      <c r="BAM3" s="136"/>
      <c r="BAN3" s="136"/>
      <c r="BAO3" s="136"/>
      <c r="BAP3" s="136"/>
      <c r="BAQ3" s="136"/>
      <c r="BAR3" s="136"/>
      <c r="BAS3" s="136"/>
      <c r="BAT3" s="136"/>
      <c r="BAU3" s="136"/>
      <c r="BAV3" s="136"/>
      <c r="BAW3" s="136"/>
      <c r="BAX3" s="136"/>
      <c r="BAY3" s="136"/>
      <c r="BAZ3" s="136"/>
      <c r="BBA3" s="136"/>
      <c r="BBB3" s="136"/>
      <c r="BBC3" s="136"/>
      <c r="BBD3" s="136"/>
      <c r="BBE3" s="136"/>
      <c r="BBF3" s="136"/>
      <c r="BBG3" s="136"/>
      <c r="BBH3" s="136"/>
      <c r="BBI3" s="136"/>
      <c r="BBJ3" s="136"/>
      <c r="BBK3" s="136"/>
      <c r="BBL3" s="136"/>
      <c r="BBM3" s="136"/>
      <c r="BBN3" s="136"/>
      <c r="BBO3" s="136"/>
      <c r="BBP3" s="136"/>
      <c r="BBQ3" s="136"/>
      <c r="BBR3" s="136"/>
      <c r="BBS3" s="136"/>
      <c r="BBT3" s="136"/>
      <c r="BBU3" s="136"/>
      <c r="BBV3" s="136"/>
      <c r="BBW3" s="136"/>
      <c r="BBX3" s="136"/>
      <c r="BBY3" s="136"/>
      <c r="BBZ3" s="136"/>
      <c r="BCA3" s="136"/>
      <c r="BCB3" s="136"/>
      <c r="BCC3" s="136"/>
      <c r="BCD3" s="136"/>
      <c r="BCE3" s="136"/>
      <c r="BCF3" s="136"/>
      <c r="BCG3" s="136"/>
      <c r="BCH3" s="136"/>
      <c r="BCI3" s="136"/>
      <c r="BCJ3" s="136"/>
      <c r="BCK3" s="136"/>
      <c r="BCL3" s="136"/>
      <c r="BCM3" s="136"/>
      <c r="BCN3" s="136"/>
      <c r="BCO3" s="136"/>
      <c r="BCP3" s="136"/>
      <c r="BCQ3" s="136"/>
      <c r="BCR3" s="136"/>
      <c r="BCS3" s="136"/>
      <c r="BCT3" s="136"/>
      <c r="BCU3" s="136"/>
      <c r="BCV3" s="136"/>
      <c r="BCW3" s="136"/>
      <c r="BCX3" s="136"/>
      <c r="BCY3" s="136"/>
      <c r="BCZ3" s="136"/>
      <c r="BDA3" s="136"/>
      <c r="BDB3" s="136"/>
      <c r="BDC3" s="136"/>
      <c r="BDD3" s="136"/>
      <c r="BDE3" s="136"/>
      <c r="BDF3" s="136"/>
      <c r="BDG3" s="136"/>
      <c r="BDH3" s="136"/>
      <c r="BDI3" s="136"/>
      <c r="BDJ3" s="136"/>
      <c r="BDK3" s="136"/>
      <c r="BDL3" s="136"/>
      <c r="BDM3" s="136"/>
      <c r="BDN3" s="136"/>
      <c r="BDO3" s="136"/>
      <c r="BDP3" s="136"/>
      <c r="BDQ3" s="136"/>
      <c r="BDR3" s="136"/>
      <c r="BDS3" s="136"/>
      <c r="BDT3" s="136"/>
      <c r="BDU3" s="136"/>
      <c r="BDV3" s="136"/>
      <c r="BDW3" s="136"/>
      <c r="BDX3" s="136"/>
      <c r="BDY3" s="136"/>
      <c r="BDZ3" s="136"/>
      <c r="BEA3" s="136"/>
      <c r="BEB3" s="136"/>
      <c r="BEC3" s="136"/>
      <c r="BED3" s="136"/>
      <c r="BEE3" s="136"/>
      <c r="BEF3" s="136"/>
      <c r="BEG3" s="136"/>
      <c r="BEH3" s="136"/>
      <c r="BEI3" s="136"/>
      <c r="BEJ3" s="136"/>
      <c r="BEK3" s="136"/>
      <c r="BEL3" s="136"/>
      <c r="BEM3" s="136"/>
      <c r="BEN3" s="136"/>
      <c r="BEO3" s="136"/>
      <c r="BEP3" s="136"/>
      <c r="BEQ3" s="136"/>
      <c r="BER3" s="136"/>
      <c r="BES3" s="136"/>
      <c r="BET3" s="136"/>
      <c r="BEU3" s="136"/>
      <c r="BEV3" s="136"/>
      <c r="BEW3" s="136"/>
      <c r="BEX3" s="136"/>
      <c r="BEY3" s="136"/>
      <c r="BEZ3" s="136"/>
      <c r="BFA3" s="136"/>
      <c r="BFB3" s="136"/>
      <c r="BFC3" s="136"/>
      <c r="BFD3" s="136"/>
      <c r="BFE3" s="136"/>
      <c r="BFF3" s="136"/>
      <c r="BFG3" s="136"/>
      <c r="BFH3" s="136"/>
      <c r="BFI3" s="136"/>
      <c r="BFJ3" s="136"/>
      <c r="BFK3" s="136"/>
      <c r="BFL3" s="136"/>
      <c r="BFM3" s="136"/>
      <c r="BFN3" s="136"/>
      <c r="BFO3" s="136"/>
      <c r="BFP3" s="136"/>
      <c r="BFQ3" s="136"/>
      <c r="BFR3" s="136"/>
      <c r="BFS3" s="136"/>
      <c r="BFT3" s="136"/>
      <c r="BFU3" s="136"/>
      <c r="BFV3" s="136"/>
      <c r="BFW3" s="136"/>
      <c r="BFX3" s="136"/>
      <c r="BFY3" s="136"/>
      <c r="BFZ3" s="136"/>
      <c r="BGA3" s="136"/>
      <c r="BGB3" s="136"/>
      <c r="BGC3" s="136"/>
      <c r="BGD3" s="136"/>
      <c r="BGE3" s="136"/>
      <c r="BGF3" s="136"/>
      <c r="BGG3" s="136"/>
      <c r="BGH3" s="136"/>
      <c r="BGI3" s="136"/>
      <c r="BGJ3" s="136"/>
      <c r="BGK3" s="136"/>
      <c r="BGL3" s="136"/>
      <c r="BGM3" s="136"/>
      <c r="BGN3" s="136"/>
      <c r="BGO3" s="136"/>
      <c r="BGP3" s="136"/>
      <c r="BGQ3" s="136"/>
      <c r="BGR3" s="136"/>
      <c r="BGS3" s="136"/>
      <c r="BGT3" s="136"/>
      <c r="BGU3" s="136"/>
      <c r="BGV3" s="136"/>
      <c r="BGW3" s="136"/>
      <c r="BGX3" s="136"/>
      <c r="BGY3" s="136"/>
      <c r="BGZ3" s="136"/>
      <c r="BHA3" s="136"/>
      <c r="BHB3" s="136"/>
      <c r="BHC3" s="136"/>
      <c r="BHD3" s="136"/>
      <c r="BHE3" s="136"/>
      <c r="BHF3" s="136"/>
      <c r="BHG3" s="136"/>
      <c r="BHH3" s="136"/>
      <c r="BHI3" s="136"/>
      <c r="BHJ3" s="136"/>
      <c r="BHK3" s="136"/>
      <c r="BHL3" s="136"/>
      <c r="BHM3" s="136"/>
      <c r="BHN3" s="136"/>
      <c r="BHO3" s="136"/>
      <c r="BHP3" s="136"/>
      <c r="BHQ3" s="136"/>
      <c r="BHR3" s="136"/>
      <c r="BHS3" s="136"/>
      <c r="BHT3" s="136"/>
      <c r="BHU3" s="136"/>
      <c r="BHV3" s="136"/>
      <c r="BHW3" s="136"/>
      <c r="BHX3" s="136"/>
      <c r="BHY3" s="136"/>
      <c r="BHZ3" s="136"/>
      <c r="BIA3" s="136"/>
      <c r="BIB3" s="136"/>
      <c r="BIC3" s="136"/>
      <c r="BID3" s="136"/>
      <c r="BIE3" s="136"/>
      <c r="BIF3" s="136"/>
      <c r="BIG3" s="136"/>
      <c r="BIH3" s="136"/>
      <c r="BII3" s="136"/>
      <c r="BIJ3" s="136"/>
      <c r="BIK3" s="136"/>
      <c r="BIL3" s="136"/>
      <c r="BIM3" s="136"/>
      <c r="BIN3" s="136"/>
      <c r="BIO3" s="136"/>
      <c r="BIP3" s="136"/>
      <c r="BIQ3" s="136"/>
      <c r="BIR3" s="136"/>
      <c r="BIS3" s="136"/>
      <c r="BIT3" s="136"/>
      <c r="BIU3" s="136"/>
      <c r="BIV3" s="136"/>
      <c r="BIW3" s="136"/>
      <c r="BIX3" s="136"/>
      <c r="BIY3" s="136"/>
      <c r="BIZ3" s="136"/>
      <c r="BJA3" s="136"/>
      <c r="BJB3" s="136"/>
      <c r="BJC3" s="136"/>
      <c r="BJD3" s="136"/>
      <c r="BJE3" s="136"/>
      <c r="BJF3" s="136"/>
      <c r="BJG3" s="136"/>
      <c r="BJH3" s="136"/>
      <c r="BJI3" s="136"/>
      <c r="BJJ3" s="136"/>
      <c r="BJK3" s="136"/>
      <c r="BJL3" s="136"/>
      <c r="BJM3" s="136"/>
      <c r="BJN3" s="136"/>
      <c r="BJO3" s="136"/>
      <c r="BJP3" s="136"/>
      <c r="BJQ3" s="136"/>
      <c r="BJR3" s="136"/>
      <c r="BJS3" s="136"/>
      <c r="BJT3" s="136"/>
      <c r="BJU3" s="136"/>
      <c r="BJV3" s="136"/>
      <c r="BJW3" s="136"/>
      <c r="BJX3" s="136"/>
      <c r="BJY3" s="136"/>
      <c r="BJZ3" s="136"/>
      <c r="BKA3" s="136"/>
      <c r="BKB3" s="136"/>
      <c r="BKC3" s="136"/>
      <c r="BKD3" s="136"/>
      <c r="BKE3" s="136"/>
      <c r="BKF3" s="136"/>
      <c r="BKG3" s="136"/>
      <c r="BKH3" s="136"/>
      <c r="BKI3" s="136"/>
      <c r="BKJ3" s="136"/>
      <c r="BKK3" s="136"/>
      <c r="BKL3" s="136"/>
      <c r="BKM3" s="136"/>
      <c r="BKN3" s="136"/>
      <c r="BKO3" s="136"/>
      <c r="BKP3" s="136"/>
      <c r="BKQ3" s="136"/>
      <c r="BKR3" s="136"/>
      <c r="BKS3" s="136"/>
      <c r="BKT3" s="136"/>
      <c r="BKU3" s="136"/>
      <c r="BKV3" s="136"/>
      <c r="BKW3" s="136"/>
      <c r="BKX3" s="136"/>
      <c r="BKY3" s="136"/>
      <c r="BKZ3" s="136"/>
      <c r="BLA3" s="136"/>
      <c r="BLB3" s="136"/>
      <c r="BLC3" s="136"/>
      <c r="BLD3" s="136"/>
      <c r="BLE3" s="136"/>
      <c r="BLF3" s="136"/>
      <c r="BLG3" s="136"/>
      <c r="BLH3" s="136"/>
      <c r="BLI3" s="136"/>
      <c r="BLJ3" s="136"/>
      <c r="BLK3" s="136"/>
      <c r="BLL3" s="136"/>
      <c r="BLM3" s="136"/>
      <c r="BLN3" s="136"/>
      <c r="BLO3" s="136"/>
      <c r="BLP3" s="136"/>
      <c r="BLQ3" s="136"/>
      <c r="BLR3" s="136"/>
      <c r="BLS3" s="136"/>
      <c r="BLT3" s="136"/>
      <c r="BLU3" s="136"/>
      <c r="BLV3" s="136"/>
      <c r="BLW3" s="136"/>
      <c r="BLX3" s="136"/>
      <c r="BLY3" s="136"/>
      <c r="BLZ3" s="136"/>
      <c r="BMA3" s="136"/>
      <c r="BMB3" s="136"/>
      <c r="BMC3" s="136"/>
      <c r="BMD3" s="136"/>
      <c r="BME3" s="136"/>
      <c r="BMF3" s="136"/>
      <c r="BMG3" s="136"/>
      <c r="BMH3" s="136"/>
      <c r="BMI3" s="136"/>
      <c r="BMJ3" s="136"/>
      <c r="BMK3" s="136"/>
      <c r="BML3" s="136"/>
      <c r="BMM3" s="136"/>
      <c r="BMN3" s="136"/>
      <c r="BMO3" s="136"/>
      <c r="BMP3" s="136"/>
      <c r="BMQ3" s="136"/>
      <c r="BMR3" s="136"/>
      <c r="BMS3" s="136"/>
      <c r="BMT3" s="136"/>
      <c r="BMU3" s="136"/>
      <c r="BMV3" s="136"/>
      <c r="BMW3" s="136"/>
      <c r="BMX3" s="136"/>
      <c r="BMY3" s="136"/>
      <c r="BMZ3" s="136"/>
      <c r="BNA3" s="136"/>
      <c r="BNB3" s="136"/>
      <c r="BNC3" s="136"/>
      <c r="BND3" s="136"/>
      <c r="BNE3" s="136"/>
      <c r="BNF3" s="136"/>
      <c r="BNG3" s="136"/>
      <c r="BNH3" s="136"/>
      <c r="BNI3" s="136"/>
      <c r="BNJ3" s="136"/>
      <c r="BNK3" s="136"/>
      <c r="BNL3" s="136"/>
      <c r="BNM3" s="136"/>
      <c r="BNN3" s="136"/>
      <c r="BNO3" s="136"/>
      <c r="BNP3" s="136"/>
      <c r="BNQ3" s="136"/>
      <c r="BNR3" s="136"/>
      <c r="BNS3" s="136"/>
      <c r="BNT3" s="136"/>
      <c r="BNU3" s="136"/>
      <c r="BNV3" s="136"/>
      <c r="BNW3" s="136"/>
      <c r="BNX3" s="136"/>
      <c r="BNY3" s="136"/>
      <c r="BNZ3" s="136"/>
      <c r="BOA3" s="136"/>
      <c r="BOB3" s="136"/>
      <c r="BOC3" s="136"/>
      <c r="BOD3" s="136"/>
      <c r="BOE3" s="136"/>
      <c r="BOF3" s="136"/>
      <c r="BOG3" s="136"/>
      <c r="BOH3" s="136"/>
      <c r="BOI3" s="136"/>
      <c r="BOJ3" s="136"/>
      <c r="BOK3" s="136"/>
      <c r="BOL3" s="136"/>
      <c r="BOM3" s="136"/>
      <c r="BON3" s="136"/>
      <c r="BOO3" s="136"/>
      <c r="BOP3" s="136"/>
      <c r="BOQ3" s="136"/>
      <c r="BOR3" s="136"/>
      <c r="BOS3" s="136"/>
      <c r="BOT3" s="136"/>
      <c r="BOU3" s="136"/>
      <c r="BOV3" s="136"/>
      <c r="BOW3" s="136"/>
      <c r="BOX3" s="136"/>
      <c r="BOY3" s="136"/>
      <c r="BOZ3" s="136"/>
      <c r="BPA3" s="136"/>
      <c r="BPB3" s="136"/>
      <c r="BPC3" s="136"/>
      <c r="BPD3" s="136"/>
      <c r="BPE3" s="136"/>
      <c r="BPF3" s="136"/>
      <c r="BPG3" s="136"/>
      <c r="BPH3" s="136"/>
      <c r="BPI3" s="136"/>
      <c r="BPJ3" s="136"/>
      <c r="BPK3" s="136"/>
      <c r="BPL3" s="136"/>
      <c r="BPM3" s="136"/>
      <c r="BPN3" s="136"/>
      <c r="BPO3" s="136"/>
      <c r="BPP3" s="136"/>
      <c r="BPQ3" s="136"/>
      <c r="BPR3" s="136"/>
      <c r="BPS3" s="136"/>
      <c r="BPT3" s="136"/>
      <c r="BPU3" s="136"/>
      <c r="BPV3" s="136"/>
      <c r="BPW3" s="136"/>
      <c r="BPX3" s="136"/>
      <c r="BPY3" s="136"/>
      <c r="BPZ3" s="136"/>
      <c r="BQA3" s="136"/>
      <c r="BQB3" s="136"/>
      <c r="BQC3" s="136"/>
      <c r="BQD3" s="136"/>
      <c r="BQE3" s="136"/>
      <c r="BQF3" s="136"/>
      <c r="BQG3" s="136"/>
      <c r="BQH3" s="136"/>
      <c r="BQI3" s="136"/>
      <c r="BQJ3" s="136"/>
      <c r="BQK3" s="136"/>
      <c r="BQL3" s="136"/>
      <c r="BQM3" s="136"/>
      <c r="BQN3" s="136"/>
      <c r="BQO3" s="136"/>
      <c r="BQP3" s="136"/>
      <c r="BQQ3" s="136"/>
      <c r="BQR3" s="136"/>
      <c r="BQS3" s="136"/>
      <c r="BQT3" s="136"/>
      <c r="BQU3" s="136"/>
      <c r="BQV3" s="136"/>
      <c r="BQW3" s="136"/>
      <c r="BQX3" s="136"/>
      <c r="BQY3" s="136"/>
      <c r="BQZ3" s="136"/>
      <c r="BRA3" s="136"/>
      <c r="BRB3" s="136"/>
      <c r="BRC3" s="136"/>
      <c r="BRD3" s="136"/>
      <c r="BRE3" s="136"/>
      <c r="BRF3" s="136"/>
      <c r="BRG3" s="136"/>
      <c r="BRH3" s="136"/>
      <c r="BRI3" s="136"/>
      <c r="BRJ3" s="136"/>
      <c r="BRK3" s="136"/>
      <c r="BRL3" s="136"/>
      <c r="BRM3" s="136"/>
      <c r="BRN3" s="136"/>
      <c r="BRO3" s="136"/>
      <c r="BRP3" s="136"/>
      <c r="BRQ3" s="136"/>
      <c r="BRR3" s="136"/>
      <c r="BRS3" s="136"/>
      <c r="BRT3" s="136"/>
      <c r="BRU3" s="136"/>
      <c r="BRV3" s="136"/>
      <c r="BRW3" s="136"/>
      <c r="BRX3" s="136"/>
      <c r="BRY3" s="136"/>
      <c r="BRZ3" s="136"/>
      <c r="BSA3" s="136"/>
      <c r="BSB3" s="136"/>
      <c r="BSC3" s="136"/>
      <c r="BSD3" s="136"/>
      <c r="BSE3" s="136"/>
      <c r="BSF3" s="136"/>
      <c r="BSG3" s="136"/>
      <c r="BSH3" s="136"/>
      <c r="BSI3" s="136"/>
      <c r="BSJ3" s="136"/>
      <c r="BSK3" s="136"/>
      <c r="BSL3" s="136"/>
      <c r="BSM3" s="136"/>
      <c r="BSN3" s="136"/>
      <c r="BSO3" s="136"/>
      <c r="BSP3" s="136"/>
      <c r="BSQ3" s="136"/>
      <c r="BSR3" s="136"/>
      <c r="BSS3" s="136"/>
      <c r="BST3" s="136"/>
      <c r="BSU3" s="136"/>
      <c r="BSV3" s="136"/>
      <c r="BSW3" s="136"/>
      <c r="BSX3" s="136"/>
      <c r="BSY3" s="136"/>
      <c r="BSZ3" s="136"/>
      <c r="BTA3" s="136"/>
      <c r="BTB3" s="136"/>
      <c r="BTC3" s="136"/>
      <c r="BTD3" s="136"/>
      <c r="BTE3" s="136"/>
      <c r="BTF3" s="136"/>
      <c r="BTG3" s="136"/>
      <c r="BTH3" s="136"/>
      <c r="BTI3" s="136"/>
      <c r="BTJ3" s="136"/>
      <c r="BTK3" s="136"/>
      <c r="BTL3" s="136"/>
      <c r="BTM3" s="136"/>
      <c r="BTN3" s="136"/>
      <c r="BTO3" s="136"/>
      <c r="BTP3" s="136"/>
      <c r="BTQ3" s="136"/>
      <c r="BTR3" s="136"/>
      <c r="BTS3" s="136"/>
      <c r="BTT3" s="136"/>
      <c r="BTU3" s="136"/>
      <c r="BTV3" s="136"/>
      <c r="BTW3" s="136"/>
      <c r="BTX3" s="136"/>
      <c r="BTY3" s="136"/>
      <c r="BTZ3" s="136"/>
      <c r="BUA3" s="136"/>
      <c r="BUB3" s="136"/>
      <c r="BUC3" s="136"/>
      <c r="BUD3" s="136"/>
      <c r="BUE3" s="136"/>
      <c r="BUF3" s="136"/>
      <c r="BUG3" s="136"/>
      <c r="BUH3" s="136"/>
      <c r="BUI3" s="136"/>
      <c r="BUJ3" s="136"/>
      <c r="BUK3" s="136"/>
      <c r="BUL3" s="136"/>
      <c r="BUM3" s="136"/>
      <c r="BUN3" s="136"/>
      <c r="BUO3" s="136"/>
      <c r="BUP3" s="136"/>
      <c r="BUQ3" s="136"/>
      <c r="BUR3" s="136"/>
      <c r="BUS3" s="136"/>
      <c r="BUT3" s="136"/>
      <c r="BUU3" s="136"/>
      <c r="BUV3" s="136"/>
      <c r="BUW3" s="136"/>
      <c r="BUX3" s="136"/>
      <c r="BUY3" s="136"/>
      <c r="BUZ3" s="136"/>
      <c r="BVA3" s="136"/>
      <c r="BVB3" s="136"/>
      <c r="BVC3" s="136"/>
      <c r="BVD3" s="136"/>
      <c r="BVE3" s="136"/>
      <c r="BVF3" s="136"/>
      <c r="BVG3" s="136"/>
      <c r="BVH3" s="136"/>
      <c r="BVI3" s="136"/>
      <c r="BVJ3" s="136"/>
      <c r="BVK3" s="136"/>
      <c r="BVL3" s="136"/>
      <c r="BVM3" s="136"/>
      <c r="BVN3" s="136"/>
      <c r="BVO3" s="136"/>
      <c r="BVP3" s="136"/>
      <c r="BVQ3" s="136"/>
      <c r="BVR3" s="136"/>
      <c r="BVS3" s="136"/>
      <c r="BVT3" s="136"/>
      <c r="BVU3" s="136"/>
      <c r="BVV3" s="136"/>
      <c r="BVW3" s="136"/>
      <c r="BVX3" s="136"/>
      <c r="BVY3" s="136"/>
      <c r="BVZ3" s="136"/>
      <c r="BWA3" s="136"/>
      <c r="BWB3" s="136"/>
      <c r="BWC3" s="136"/>
      <c r="BWD3" s="136"/>
      <c r="BWE3" s="136"/>
      <c r="BWF3" s="136"/>
      <c r="BWG3" s="136"/>
      <c r="BWH3" s="136"/>
      <c r="BWI3" s="136"/>
      <c r="BWJ3" s="136"/>
      <c r="BWK3" s="136"/>
      <c r="BWL3" s="136"/>
      <c r="BWM3" s="136"/>
      <c r="BWN3" s="136"/>
      <c r="BWO3" s="136"/>
      <c r="BWP3" s="136"/>
      <c r="BWQ3" s="136"/>
      <c r="BWR3" s="136"/>
      <c r="BWS3" s="136"/>
      <c r="BWT3" s="136"/>
      <c r="BWU3" s="136"/>
      <c r="BWV3" s="136"/>
      <c r="BWW3" s="136"/>
      <c r="BWX3" s="136"/>
      <c r="BWY3" s="136"/>
      <c r="BWZ3" s="136"/>
      <c r="BXA3" s="136"/>
      <c r="BXB3" s="136"/>
      <c r="BXC3" s="136"/>
      <c r="BXD3" s="136"/>
      <c r="BXE3" s="136"/>
      <c r="BXF3" s="136"/>
      <c r="BXG3" s="136"/>
      <c r="BXH3" s="136"/>
      <c r="BXI3" s="136"/>
      <c r="BXJ3" s="136"/>
      <c r="BXK3" s="136"/>
      <c r="BXL3" s="136"/>
      <c r="BXM3" s="136"/>
      <c r="BXN3" s="136"/>
      <c r="BXO3" s="136"/>
      <c r="BXP3" s="136"/>
      <c r="BXQ3" s="136"/>
      <c r="BXR3" s="136"/>
      <c r="BXS3" s="136"/>
      <c r="BXT3" s="136"/>
      <c r="BXU3" s="136"/>
      <c r="BXV3" s="136"/>
      <c r="BXW3" s="136"/>
      <c r="BXX3" s="136"/>
      <c r="BXY3" s="136"/>
      <c r="BXZ3" s="136"/>
      <c r="BYA3" s="136"/>
      <c r="BYB3" s="136"/>
      <c r="BYC3" s="136"/>
      <c r="BYD3" s="136"/>
      <c r="BYE3" s="136"/>
      <c r="BYF3" s="136"/>
      <c r="BYG3" s="136"/>
      <c r="BYH3" s="136"/>
      <c r="BYI3" s="136"/>
      <c r="BYJ3" s="136"/>
      <c r="BYK3" s="136"/>
      <c r="BYL3" s="136"/>
      <c r="BYM3" s="136"/>
      <c r="BYN3" s="136"/>
      <c r="BYO3" s="136"/>
      <c r="BYP3" s="136"/>
      <c r="BYQ3" s="136"/>
      <c r="BYR3" s="136"/>
      <c r="BYS3" s="136"/>
      <c r="BYT3" s="136"/>
      <c r="BYU3" s="136"/>
      <c r="BYV3" s="136"/>
      <c r="BYW3" s="136"/>
      <c r="BYX3" s="136"/>
      <c r="BYY3" s="136"/>
      <c r="BYZ3" s="136"/>
      <c r="BZA3" s="136"/>
      <c r="BZB3" s="136"/>
      <c r="BZC3" s="136"/>
      <c r="BZD3" s="136"/>
      <c r="BZE3" s="136"/>
      <c r="BZF3" s="136"/>
      <c r="BZG3" s="136"/>
      <c r="BZH3" s="136"/>
      <c r="BZI3" s="136"/>
      <c r="BZJ3" s="136"/>
      <c r="BZK3" s="136"/>
      <c r="BZL3" s="136"/>
      <c r="BZM3" s="136"/>
      <c r="BZN3" s="136"/>
      <c r="BZO3" s="136"/>
      <c r="BZP3" s="136"/>
      <c r="BZQ3" s="136"/>
      <c r="BZR3" s="136"/>
      <c r="BZS3" s="136"/>
      <c r="BZT3" s="136"/>
      <c r="BZU3" s="136"/>
      <c r="BZV3" s="136"/>
      <c r="BZW3" s="136"/>
      <c r="BZX3" s="136"/>
      <c r="BZY3" s="136"/>
      <c r="BZZ3" s="136"/>
      <c r="CAA3" s="136"/>
      <c r="CAB3" s="136"/>
      <c r="CAC3" s="136"/>
      <c r="CAD3" s="136"/>
      <c r="CAE3" s="136"/>
      <c r="CAF3" s="136"/>
      <c r="CAG3" s="136"/>
      <c r="CAH3" s="136"/>
      <c r="CAI3" s="136"/>
      <c r="CAJ3" s="136"/>
      <c r="CAK3" s="136"/>
      <c r="CAL3" s="136"/>
      <c r="CAM3" s="136"/>
      <c r="CAN3" s="136"/>
      <c r="CAO3" s="136"/>
      <c r="CAP3" s="136"/>
      <c r="CAQ3" s="136"/>
      <c r="CAR3" s="136"/>
      <c r="CAS3" s="136"/>
      <c r="CAT3" s="136"/>
      <c r="CAU3" s="136"/>
      <c r="CAV3" s="136"/>
      <c r="CAW3" s="136"/>
      <c r="CAX3" s="136"/>
      <c r="CAY3" s="136"/>
      <c r="CAZ3" s="136"/>
      <c r="CBA3" s="136"/>
      <c r="CBB3" s="136"/>
      <c r="CBC3" s="136"/>
      <c r="CBD3" s="136"/>
      <c r="CBE3" s="136"/>
      <c r="CBF3" s="136"/>
      <c r="CBG3" s="136"/>
      <c r="CBH3" s="136"/>
      <c r="CBI3" s="136"/>
      <c r="CBJ3" s="136"/>
      <c r="CBK3" s="136"/>
      <c r="CBL3" s="136"/>
      <c r="CBM3" s="136"/>
      <c r="CBN3" s="136"/>
      <c r="CBO3" s="136"/>
      <c r="CBP3" s="136"/>
      <c r="CBQ3" s="136"/>
      <c r="CBR3" s="136"/>
      <c r="CBS3" s="136"/>
      <c r="CBT3" s="136"/>
      <c r="CBU3" s="136"/>
      <c r="CBV3" s="136"/>
      <c r="CBW3" s="136"/>
      <c r="CBX3" s="136"/>
      <c r="CBY3" s="136"/>
      <c r="CBZ3" s="136"/>
      <c r="CCA3" s="136"/>
      <c r="CCB3" s="136"/>
      <c r="CCC3" s="136"/>
      <c r="CCD3" s="136"/>
      <c r="CCE3" s="136"/>
      <c r="CCF3" s="136"/>
      <c r="CCG3" s="136"/>
      <c r="CCH3" s="136"/>
      <c r="CCI3" s="136"/>
      <c r="CCJ3" s="136"/>
      <c r="CCK3" s="136"/>
      <c r="CCL3" s="136"/>
      <c r="CCM3" s="136"/>
      <c r="CCN3" s="136"/>
      <c r="CCO3" s="136"/>
      <c r="CCP3" s="136"/>
      <c r="CCQ3" s="136"/>
      <c r="CCR3" s="136"/>
      <c r="CCS3" s="136"/>
      <c r="CCT3" s="136"/>
      <c r="CCU3" s="136"/>
      <c r="CCV3" s="136"/>
      <c r="CCW3" s="136"/>
      <c r="CCX3" s="136"/>
      <c r="CCY3" s="136"/>
      <c r="CCZ3" s="136"/>
      <c r="CDA3" s="136"/>
      <c r="CDB3" s="136"/>
      <c r="CDC3" s="136"/>
      <c r="CDD3" s="136"/>
      <c r="CDE3" s="136"/>
      <c r="CDF3" s="136"/>
      <c r="CDG3" s="136"/>
      <c r="CDH3" s="136"/>
      <c r="CDI3" s="136"/>
      <c r="CDJ3" s="136"/>
      <c r="CDK3" s="136"/>
      <c r="CDL3" s="136"/>
      <c r="CDM3" s="136"/>
      <c r="CDN3" s="136"/>
      <c r="CDO3" s="136"/>
      <c r="CDP3" s="136"/>
      <c r="CDQ3" s="136"/>
      <c r="CDR3" s="136"/>
      <c r="CDS3" s="136"/>
      <c r="CDT3" s="136"/>
      <c r="CDU3" s="136"/>
      <c r="CDV3" s="136"/>
      <c r="CDW3" s="136"/>
      <c r="CDX3" s="136"/>
      <c r="CDY3" s="136"/>
      <c r="CDZ3" s="136"/>
      <c r="CEA3" s="136"/>
      <c r="CEB3" s="136"/>
      <c r="CEC3" s="136"/>
      <c r="CED3" s="136"/>
      <c r="CEE3" s="136"/>
      <c r="CEF3" s="136"/>
      <c r="CEG3" s="136"/>
      <c r="CEH3" s="136"/>
      <c r="CEI3" s="136"/>
      <c r="CEJ3" s="136"/>
      <c r="CEK3" s="136"/>
      <c r="CEL3" s="136"/>
      <c r="CEM3" s="136"/>
      <c r="CEN3" s="136"/>
      <c r="CEO3" s="136"/>
      <c r="CEP3" s="136"/>
      <c r="CEQ3" s="136"/>
      <c r="CER3" s="136"/>
      <c r="CES3" s="136"/>
      <c r="CET3" s="136"/>
      <c r="CEU3" s="136"/>
      <c r="CEV3" s="136"/>
      <c r="CEW3" s="136"/>
      <c r="CEX3" s="136"/>
      <c r="CEY3" s="136"/>
      <c r="CEZ3" s="136"/>
      <c r="CFA3" s="136"/>
      <c r="CFB3" s="136"/>
      <c r="CFC3" s="136"/>
      <c r="CFD3" s="136"/>
      <c r="CFE3" s="136"/>
      <c r="CFF3" s="136"/>
      <c r="CFG3" s="136"/>
      <c r="CFH3" s="136"/>
      <c r="CFI3" s="136"/>
      <c r="CFJ3" s="136"/>
      <c r="CFK3" s="136"/>
      <c r="CFL3" s="136"/>
      <c r="CFM3" s="136"/>
      <c r="CFN3" s="136"/>
      <c r="CFO3" s="136"/>
      <c r="CFP3" s="136"/>
      <c r="CFQ3" s="136"/>
      <c r="CFR3" s="136"/>
      <c r="CFS3" s="136"/>
      <c r="CFT3" s="136"/>
      <c r="CFU3" s="136"/>
      <c r="CFV3" s="136"/>
      <c r="CFW3" s="136"/>
      <c r="CFX3" s="136"/>
      <c r="CFY3" s="136"/>
      <c r="CFZ3" s="136"/>
      <c r="CGA3" s="136"/>
      <c r="CGB3" s="136"/>
      <c r="CGC3" s="136"/>
      <c r="CGD3" s="136"/>
      <c r="CGE3" s="136"/>
      <c r="CGF3" s="136"/>
      <c r="CGG3" s="136"/>
      <c r="CGH3" s="136"/>
      <c r="CGI3" s="136"/>
      <c r="CGJ3" s="136"/>
      <c r="CGK3" s="136"/>
      <c r="CGL3" s="136"/>
      <c r="CGM3" s="136"/>
      <c r="CGN3" s="136"/>
      <c r="CGO3" s="136"/>
      <c r="CGP3" s="136"/>
      <c r="CGQ3" s="136"/>
      <c r="CGR3" s="136"/>
      <c r="CGS3" s="136"/>
      <c r="CGT3" s="136"/>
      <c r="CGU3" s="136"/>
      <c r="CGV3" s="136"/>
      <c r="CGW3" s="136"/>
      <c r="CGX3" s="136"/>
      <c r="CGY3" s="136"/>
      <c r="CGZ3" s="136"/>
      <c r="CHA3" s="136"/>
      <c r="CHB3" s="136"/>
      <c r="CHC3" s="136"/>
      <c r="CHD3" s="136"/>
      <c r="CHE3" s="136"/>
      <c r="CHF3" s="136"/>
      <c r="CHG3" s="136"/>
      <c r="CHH3" s="136"/>
      <c r="CHI3" s="136"/>
      <c r="CHJ3" s="136"/>
      <c r="CHK3" s="136"/>
      <c r="CHL3" s="136"/>
      <c r="CHM3" s="136"/>
      <c r="CHN3" s="136"/>
      <c r="CHO3" s="136"/>
      <c r="CHP3" s="136"/>
      <c r="CHQ3" s="136"/>
      <c r="CHR3" s="136"/>
      <c r="CHS3" s="136"/>
      <c r="CHT3" s="136"/>
      <c r="CHU3" s="136"/>
      <c r="CHV3" s="136"/>
      <c r="CHW3" s="136"/>
      <c r="CHX3" s="136"/>
      <c r="CHY3" s="136"/>
      <c r="CHZ3" s="136"/>
      <c r="CIA3" s="136"/>
      <c r="CIB3" s="136"/>
      <c r="CIC3" s="136"/>
      <c r="CID3" s="136"/>
      <c r="CIE3" s="136"/>
      <c r="CIF3" s="136"/>
      <c r="CIG3" s="136"/>
      <c r="CIH3" s="136"/>
      <c r="CII3" s="136"/>
      <c r="CIJ3" s="136"/>
      <c r="CIK3" s="136"/>
      <c r="CIL3" s="136"/>
      <c r="CIM3" s="136"/>
      <c r="CIN3" s="136"/>
      <c r="CIO3" s="136"/>
      <c r="CIP3" s="136"/>
      <c r="CIQ3" s="136"/>
      <c r="CIR3" s="136"/>
      <c r="CIS3" s="136"/>
      <c r="CIT3" s="136"/>
      <c r="CIU3" s="136"/>
      <c r="CIV3" s="136"/>
      <c r="CIW3" s="136"/>
      <c r="CIX3" s="136"/>
      <c r="CIY3" s="136"/>
      <c r="CIZ3" s="136"/>
      <c r="CJA3" s="136"/>
      <c r="CJB3" s="136"/>
      <c r="CJC3" s="136"/>
      <c r="CJD3" s="136"/>
      <c r="CJE3" s="136"/>
      <c r="CJF3" s="136"/>
      <c r="CJG3" s="136"/>
      <c r="CJH3" s="136"/>
      <c r="CJI3" s="136"/>
      <c r="CJJ3" s="136"/>
      <c r="CJK3" s="136"/>
      <c r="CJL3" s="136"/>
      <c r="CJM3" s="136"/>
      <c r="CJN3" s="136"/>
      <c r="CJO3" s="136"/>
      <c r="CJP3" s="136"/>
      <c r="CJQ3" s="136"/>
      <c r="CJR3" s="136"/>
      <c r="CJS3" s="136"/>
      <c r="CJT3" s="136"/>
      <c r="CJU3" s="136"/>
      <c r="CJV3" s="136"/>
      <c r="CJW3" s="136"/>
      <c r="CJX3" s="136"/>
      <c r="CJY3" s="136"/>
      <c r="CJZ3" s="136"/>
      <c r="CKA3" s="136"/>
      <c r="CKB3" s="136"/>
      <c r="CKC3" s="136"/>
      <c r="CKD3" s="136"/>
      <c r="CKE3" s="136"/>
      <c r="CKF3" s="136"/>
      <c r="CKG3" s="136"/>
      <c r="CKH3" s="136"/>
      <c r="CKI3" s="136"/>
      <c r="CKJ3" s="136"/>
      <c r="CKK3" s="136"/>
      <c r="CKL3" s="136"/>
      <c r="CKM3" s="136"/>
      <c r="CKN3" s="136"/>
      <c r="CKO3" s="136"/>
      <c r="CKP3" s="136"/>
      <c r="CKQ3" s="136"/>
      <c r="CKR3" s="136"/>
      <c r="CKS3" s="136"/>
      <c r="CKT3" s="136"/>
      <c r="CKU3" s="136"/>
      <c r="CKV3" s="136"/>
      <c r="CKW3" s="136"/>
      <c r="CKX3" s="136"/>
      <c r="CKY3" s="136"/>
      <c r="CKZ3" s="136"/>
      <c r="CLA3" s="136"/>
      <c r="CLB3" s="136"/>
      <c r="CLC3" s="136"/>
      <c r="CLD3" s="136"/>
      <c r="CLE3" s="136"/>
      <c r="CLF3" s="136"/>
      <c r="CLG3" s="136"/>
      <c r="CLH3" s="136"/>
      <c r="CLI3" s="136"/>
      <c r="CLJ3" s="136"/>
      <c r="CLK3" s="136"/>
      <c r="CLL3" s="136"/>
      <c r="CLM3" s="136"/>
      <c r="CLN3" s="136"/>
      <c r="CLO3" s="136"/>
      <c r="CLP3" s="136"/>
      <c r="CLQ3" s="136"/>
      <c r="CLR3" s="136"/>
      <c r="CLS3" s="136"/>
      <c r="CLT3" s="136"/>
      <c r="CLU3" s="136"/>
      <c r="CLV3" s="136"/>
      <c r="CLW3" s="136"/>
      <c r="CLX3" s="136"/>
      <c r="CLY3" s="136"/>
      <c r="CLZ3" s="136"/>
      <c r="CMA3" s="136"/>
      <c r="CMB3" s="136"/>
      <c r="CMC3" s="136"/>
      <c r="CMD3" s="136"/>
      <c r="CME3" s="136"/>
      <c r="CMF3" s="136"/>
      <c r="CMG3" s="136"/>
      <c r="CMH3" s="136"/>
      <c r="CMI3" s="136"/>
      <c r="CMJ3" s="136"/>
      <c r="CMK3" s="136"/>
      <c r="CML3" s="136"/>
      <c r="CMM3" s="136"/>
      <c r="CMN3" s="136"/>
      <c r="CMO3" s="136"/>
      <c r="CMP3" s="136"/>
      <c r="CMQ3" s="136"/>
      <c r="CMR3" s="136"/>
      <c r="CMS3" s="136"/>
      <c r="CMT3" s="136"/>
      <c r="CMU3" s="136"/>
      <c r="CMV3" s="136"/>
      <c r="CMW3" s="136"/>
      <c r="CMX3" s="136"/>
      <c r="CMY3" s="136"/>
      <c r="CMZ3" s="136"/>
      <c r="CNA3" s="136"/>
      <c r="CNB3" s="136"/>
      <c r="CNC3" s="136"/>
      <c r="CND3" s="136"/>
      <c r="CNE3" s="136"/>
      <c r="CNF3" s="136"/>
      <c r="CNG3" s="136"/>
      <c r="CNH3" s="136"/>
      <c r="CNI3" s="136"/>
      <c r="CNJ3" s="136"/>
      <c r="CNK3" s="136"/>
      <c r="CNL3" s="136"/>
      <c r="CNM3" s="136"/>
      <c r="CNN3" s="136"/>
      <c r="CNO3" s="136"/>
      <c r="CNP3" s="136"/>
      <c r="CNQ3" s="136"/>
      <c r="CNR3" s="136"/>
      <c r="CNS3" s="136"/>
      <c r="CNT3" s="136"/>
      <c r="CNU3" s="136"/>
      <c r="CNV3" s="136"/>
      <c r="CNW3" s="136"/>
      <c r="CNX3" s="136"/>
      <c r="CNY3" s="136"/>
      <c r="CNZ3" s="136"/>
      <c r="COA3" s="136"/>
      <c r="COB3" s="136"/>
      <c r="COC3" s="136"/>
      <c r="COD3" s="136"/>
      <c r="COE3" s="136"/>
      <c r="COF3" s="136"/>
      <c r="COG3" s="136"/>
      <c r="COH3" s="136"/>
      <c r="COI3" s="136"/>
      <c r="COJ3" s="136"/>
      <c r="COK3" s="136"/>
      <c r="COL3" s="136"/>
      <c r="COM3" s="136"/>
      <c r="CON3" s="136"/>
      <c r="COO3" s="136"/>
      <c r="COP3" s="136"/>
      <c r="COQ3" s="136"/>
      <c r="COR3" s="136"/>
      <c r="COS3" s="136"/>
      <c r="COT3" s="136"/>
      <c r="COU3" s="136"/>
      <c r="COV3" s="136"/>
      <c r="COW3" s="136"/>
      <c r="COX3" s="136"/>
      <c r="COY3" s="136"/>
      <c r="COZ3" s="136"/>
      <c r="CPA3" s="136"/>
      <c r="CPB3" s="136"/>
      <c r="CPC3" s="136"/>
      <c r="CPD3" s="136"/>
      <c r="CPE3" s="136"/>
      <c r="CPF3" s="136"/>
      <c r="CPG3" s="136"/>
      <c r="CPH3" s="136"/>
      <c r="CPI3" s="136"/>
      <c r="CPJ3" s="136"/>
      <c r="CPK3" s="136"/>
      <c r="CPL3" s="136"/>
      <c r="CPM3" s="136"/>
      <c r="CPN3" s="136"/>
      <c r="CPO3" s="136"/>
      <c r="CPP3" s="136"/>
      <c r="CPQ3" s="136"/>
      <c r="CPR3" s="136"/>
      <c r="CPS3" s="136"/>
      <c r="CPT3" s="136"/>
      <c r="CPU3" s="136"/>
      <c r="CPV3" s="136"/>
      <c r="CPW3" s="136"/>
      <c r="CPX3" s="136"/>
      <c r="CPY3" s="136"/>
      <c r="CPZ3" s="136"/>
      <c r="CQA3" s="136"/>
      <c r="CQB3" s="136"/>
      <c r="CQC3" s="136"/>
      <c r="CQD3" s="136"/>
      <c r="CQE3" s="136"/>
      <c r="CQF3" s="136"/>
      <c r="CQG3" s="136"/>
      <c r="CQH3" s="136"/>
      <c r="CQI3" s="136"/>
      <c r="CQJ3" s="136"/>
      <c r="CQK3" s="136"/>
      <c r="CQL3" s="136"/>
      <c r="CQM3" s="136"/>
      <c r="CQN3" s="136"/>
      <c r="CQO3" s="136"/>
      <c r="CQP3" s="136"/>
      <c r="CQQ3" s="136"/>
      <c r="CQR3" s="136"/>
      <c r="CQS3" s="136"/>
      <c r="CQT3" s="136"/>
      <c r="CQU3" s="136"/>
      <c r="CQV3" s="136"/>
      <c r="CQW3" s="136"/>
      <c r="CQX3" s="136"/>
      <c r="CQY3" s="136"/>
      <c r="CQZ3" s="136"/>
      <c r="CRA3" s="136"/>
      <c r="CRB3" s="136"/>
      <c r="CRC3" s="136"/>
      <c r="CRD3" s="136"/>
      <c r="CRE3" s="136"/>
      <c r="CRF3" s="136"/>
      <c r="CRG3" s="136"/>
      <c r="CRH3" s="136"/>
      <c r="CRI3" s="136"/>
      <c r="CRJ3" s="136"/>
      <c r="CRK3" s="136"/>
      <c r="CRL3" s="136"/>
      <c r="CRM3" s="136"/>
      <c r="CRN3" s="136"/>
      <c r="CRO3" s="136"/>
      <c r="CRP3" s="136"/>
      <c r="CRQ3" s="136"/>
      <c r="CRR3" s="136"/>
      <c r="CRS3" s="136"/>
      <c r="CRT3" s="136"/>
      <c r="CRU3" s="136"/>
      <c r="CRV3" s="136"/>
      <c r="CRW3" s="136"/>
      <c r="CRX3" s="136"/>
      <c r="CRY3" s="136"/>
      <c r="CRZ3" s="136"/>
      <c r="CSA3" s="136"/>
      <c r="CSB3" s="136"/>
      <c r="CSC3" s="136"/>
      <c r="CSD3" s="136"/>
      <c r="CSE3" s="136"/>
      <c r="CSF3" s="136"/>
      <c r="CSG3" s="136"/>
      <c r="CSH3" s="136"/>
      <c r="CSI3" s="136"/>
      <c r="CSJ3" s="136"/>
      <c r="CSK3" s="136"/>
      <c r="CSL3" s="136"/>
      <c r="CSM3" s="136"/>
      <c r="CSN3" s="136"/>
      <c r="CSO3" s="136"/>
      <c r="CSP3" s="136"/>
      <c r="CSQ3" s="136"/>
      <c r="CSR3" s="136"/>
      <c r="CSS3" s="136"/>
      <c r="CST3" s="136"/>
      <c r="CSU3" s="136"/>
      <c r="CSV3" s="136"/>
      <c r="CSW3" s="136"/>
      <c r="CSX3" s="136"/>
      <c r="CSY3" s="136"/>
      <c r="CSZ3" s="136"/>
      <c r="CTA3" s="136"/>
      <c r="CTB3" s="136"/>
      <c r="CTC3" s="136"/>
      <c r="CTD3" s="136"/>
      <c r="CTE3" s="136"/>
      <c r="CTF3" s="136"/>
      <c r="CTG3" s="136"/>
      <c r="CTH3" s="136"/>
      <c r="CTI3" s="136"/>
      <c r="CTJ3" s="136"/>
      <c r="CTK3" s="136"/>
      <c r="CTL3" s="136"/>
      <c r="CTM3" s="136"/>
      <c r="CTN3" s="136"/>
      <c r="CTO3" s="136"/>
      <c r="CTP3" s="136"/>
      <c r="CTQ3" s="136"/>
      <c r="CTR3" s="136"/>
      <c r="CTS3" s="136"/>
      <c r="CTT3" s="136"/>
      <c r="CTU3" s="136"/>
      <c r="CTV3" s="136"/>
      <c r="CTW3" s="136"/>
      <c r="CTX3" s="136"/>
      <c r="CTY3" s="136"/>
      <c r="CTZ3" s="136"/>
      <c r="CUA3" s="136"/>
      <c r="CUB3" s="136"/>
      <c r="CUC3" s="136"/>
      <c r="CUD3" s="136"/>
      <c r="CUE3" s="136"/>
      <c r="CUF3" s="136"/>
      <c r="CUG3" s="136"/>
      <c r="CUH3" s="136"/>
      <c r="CUI3" s="136"/>
      <c r="CUJ3" s="136"/>
      <c r="CUK3" s="136"/>
      <c r="CUL3" s="136"/>
      <c r="CUM3" s="136"/>
      <c r="CUN3" s="136"/>
      <c r="CUO3" s="136"/>
      <c r="CUP3" s="136"/>
      <c r="CUQ3" s="136"/>
      <c r="CUR3" s="136"/>
      <c r="CUS3" s="136"/>
      <c r="CUT3" s="136"/>
      <c r="CUU3" s="136"/>
      <c r="CUV3" s="136"/>
      <c r="CUW3" s="136"/>
      <c r="CUX3" s="136"/>
      <c r="CUY3" s="136"/>
      <c r="CUZ3" s="136"/>
      <c r="CVA3" s="136"/>
      <c r="CVB3" s="136"/>
      <c r="CVC3" s="136"/>
      <c r="CVD3" s="136"/>
      <c r="CVE3" s="136"/>
      <c r="CVF3" s="136"/>
      <c r="CVG3" s="136"/>
      <c r="CVH3" s="136"/>
      <c r="CVI3" s="136"/>
      <c r="CVJ3" s="136"/>
      <c r="CVK3" s="136"/>
      <c r="CVL3" s="136"/>
      <c r="CVM3" s="136"/>
      <c r="CVN3" s="136"/>
      <c r="CVO3" s="136"/>
      <c r="CVP3" s="136"/>
      <c r="CVQ3" s="136"/>
      <c r="CVR3" s="136"/>
      <c r="CVS3" s="136"/>
      <c r="CVT3" s="136"/>
      <c r="CVU3" s="136"/>
      <c r="CVV3" s="136"/>
      <c r="CVW3" s="136"/>
      <c r="CVX3" s="136"/>
      <c r="CVY3" s="136"/>
      <c r="CVZ3" s="136"/>
      <c r="CWA3" s="136"/>
      <c r="CWB3" s="136"/>
      <c r="CWC3" s="136"/>
      <c r="CWD3" s="136"/>
      <c r="CWE3" s="136"/>
      <c r="CWF3" s="136"/>
      <c r="CWG3" s="136"/>
      <c r="CWH3" s="136"/>
      <c r="CWI3" s="136"/>
      <c r="CWJ3" s="136"/>
      <c r="CWK3" s="136"/>
      <c r="CWL3" s="136"/>
      <c r="CWM3" s="136"/>
      <c r="CWN3" s="136"/>
      <c r="CWO3" s="136"/>
      <c r="CWP3" s="136"/>
      <c r="CWQ3" s="136"/>
      <c r="CWR3" s="136"/>
      <c r="CWS3" s="136"/>
      <c r="CWT3" s="136"/>
      <c r="CWU3" s="136"/>
      <c r="CWV3" s="136"/>
      <c r="CWW3" s="136"/>
      <c r="CWX3" s="136"/>
      <c r="CWY3" s="136"/>
      <c r="CWZ3" s="136"/>
      <c r="CXA3" s="136"/>
      <c r="CXB3" s="136"/>
      <c r="CXC3" s="136"/>
      <c r="CXD3" s="136"/>
      <c r="CXE3" s="136"/>
      <c r="CXF3" s="136"/>
      <c r="CXG3" s="136"/>
      <c r="CXH3" s="136"/>
      <c r="CXI3" s="136"/>
      <c r="CXJ3" s="136"/>
      <c r="CXK3" s="136"/>
      <c r="CXL3" s="136"/>
      <c r="CXM3" s="136"/>
      <c r="CXN3" s="136"/>
      <c r="CXO3" s="136"/>
      <c r="CXP3" s="136"/>
      <c r="CXQ3" s="136"/>
      <c r="CXR3" s="136"/>
      <c r="CXS3" s="136"/>
      <c r="CXT3" s="136"/>
      <c r="CXU3" s="136"/>
      <c r="CXV3" s="136"/>
      <c r="CXW3" s="136"/>
      <c r="CXX3" s="136"/>
      <c r="CXY3" s="136"/>
      <c r="CXZ3" s="136"/>
      <c r="CYA3" s="136"/>
      <c r="CYB3" s="136"/>
      <c r="CYC3" s="136"/>
      <c r="CYD3" s="136"/>
      <c r="CYE3" s="136"/>
      <c r="CYF3" s="136"/>
      <c r="CYG3" s="136"/>
      <c r="CYH3" s="136"/>
      <c r="CYI3" s="136"/>
      <c r="CYJ3" s="136"/>
      <c r="CYK3" s="136"/>
      <c r="CYL3" s="136"/>
      <c r="CYM3" s="136"/>
      <c r="CYN3" s="136"/>
      <c r="CYO3" s="136"/>
      <c r="CYP3" s="136"/>
      <c r="CYQ3" s="136"/>
      <c r="CYR3" s="136"/>
      <c r="CYS3" s="136"/>
      <c r="CYT3" s="136"/>
      <c r="CYU3" s="136"/>
      <c r="CYV3" s="136"/>
      <c r="CYW3" s="136"/>
      <c r="CYX3" s="136"/>
      <c r="CYY3" s="136"/>
      <c r="CYZ3" s="136"/>
      <c r="CZA3" s="136"/>
      <c r="CZB3" s="136"/>
      <c r="CZC3" s="136"/>
      <c r="CZD3" s="136"/>
      <c r="CZE3" s="136"/>
      <c r="CZF3" s="136"/>
      <c r="CZG3" s="136"/>
      <c r="CZH3" s="136"/>
      <c r="CZI3" s="136"/>
      <c r="CZJ3" s="136"/>
      <c r="CZK3" s="136"/>
      <c r="CZL3" s="136"/>
      <c r="CZM3" s="136"/>
      <c r="CZN3" s="136"/>
      <c r="CZO3" s="136"/>
      <c r="CZP3" s="136"/>
      <c r="CZQ3" s="136"/>
      <c r="CZR3" s="136"/>
      <c r="CZS3" s="136"/>
      <c r="CZT3" s="136"/>
      <c r="CZU3" s="136"/>
      <c r="CZV3" s="136"/>
      <c r="CZW3" s="136"/>
      <c r="CZX3" s="136"/>
      <c r="CZY3" s="136"/>
      <c r="CZZ3" s="136"/>
      <c r="DAA3" s="136"/>
      <c r="DAB3" s="136"/>
      <c r="DAC3" s="136"/>
      <c r="DAD3" s="136"/>
      <c r="DAE3" s="136"/>
      <c r="DAF3" s="136"/>
      <c r="DAG3" s="136"/>
      <c r="DAH3" s="136"/>
      <c r="DAI3" s="136"/>
      <c r="DAJ3" s="136"/>
      <c r="DAK3" s="136"/>
      <c r="DAL3" s="136"/>
      <c r="DAM3" s="136"/>
      <c r="DAN3" s="136"/>
      <c r="DAO3" s="136"/>
      <c r="DAP3" s="136"/>
      <c r="DAQ3" s="136"/>
      <c r="DAR3" s="136"/>
      <c r="DAS3" s="136"/>
      <c r="DAT3" s="136"/>
      <c r="DAU3" s="136"/>
      <c r="DAV3" s="136"/>
      <c r="DAW3" s="136"/>
      <c r="DAX3" s="136"/>
      <c r="DAY3" s="136"/>
      <c r="DAZ3" s="136"/>
      <c r="DBA3" s="136"/>
      <c r="DBB3" s="136"/>
      <c r="DBC3" s="136"/>
      <c r="DBD3" s="136"/>
      <c r="DBE3" s="136"/>
      <c r="DBF3" s="136"/>
      <c r="DBG3" s="136"/>
      <c r="DBH3" s="136"/>
      <c r="DBI3" s="136"/>
      <c r="DBJ3" s="136"/>
      <c r="DBK3" s="136"/>
      <c r="DBL3" s="136"/>
      <c r="DBM3" s="136"/>
      <c r="DBN3" s="136"/>
      <c r="DBO3" s="136"/>
      <c r="DBP3" s="136"/>
      <c r="DBQ3" s="136"/>
      <c r="DBR3" s="136"/>
      <c r="DBS3" s="136"/>
      <c r="DBT3" s="136"/>
      <c r="DBU3" s="136"/>
      <c r="DBV3" s="136"/>
      <c r="DBW3" s="136"/>
      <c r="DBX3" s="136"/>
      <c r="DBY3" s="136"/>
      <c r="DBZ3" s="136"/>
      <c r="DCA3" s="136"/>
      <c r="DCB3" s="136"/>
      <c r="DCC3" s="136"/>
      <c r="DCD3" s="136"/>
      <c r="DCE3" s="136"/>
      <c r="DCF3" s="136"/>
      <c r="DCG3" s="136"/>
      <c r="DCH3" s="136"/>
      <c r="DCI3" s="136"/>
      <c r="DCJ3" s="136"/>
      <c r="DCK3" s="136"/>
      <c r="DCL3" s="136"/>
      <c r="DCM3" s="136"/>
      <c r="DCN3" s="136"/>
      <c r="DCO3" s="136"/>
      <c r="DCP3" s="136"/>
      <c r="DCQ3" s="136"/>
      <c r="DCR3" s="136"/>
      <c r="DCS3" s="136"/>
      <c r="DCT3" s="136"/>
      <c r="DCU3" s="136"/>
      <c r="DCV3" s="136"/>
      <c r="DCW3" s="136"/>
      <c r="DCX3" s="136"/>
      <c r="DCY3" s="136"/>
      <c r="DCZ3" s="136"/>
      <c r="DDA3" s="136"/>
      <c r="DDB3" s="136"/>
      <c r="DDC3" s="136"/>
      <c r="DDD3" s="136"/>
      <c r="DDE3" s="136"/>
      <c r="DDF3" s="136"/>
      <c r="DDG3" s="136"/>
      <c r="DDH3" s="136"/>
      <c r="DDI3" s="136"/>
      <c r="DDJ3" s="136"/>
      <c r="DDK3" s="136"/>
      <c r="DDL3" s="136"/>
      <c r="DDM3" s="136"/>
      <c r="DDN3" s="136"/>
      <c r="DDO3" s="136"/>
      <c r="DDP3" s="136"/>
      <c r="DDQ3" s="136"/>
      <c r="DDR3" s="136"/>
      <c r="DDS3" s="136"/>
      <c r="DDT3" s="136"/>
      <c r="DDU3" s="136"/>
      <c r="DDV3" s="136"/>
      <c r="DDW3" s="136"/>
      <c r="DDX3" s="136"/>
      <c r="DDY3" s="136"/>
      <c r="DDZ3" s="136"/>
      <c r="DEA3" s="136"/>
      <c r="DEB3" s="136"/>
      <c r="DEC3" s="136"/>
      <c r="DED3" s="136"/>
      <c r="DEE3" s="136"/>
      <c r="DEF3" s="136"/>
      <c r="DEG3" s="136"/>
      <c r="DEH3" s="136"/>
      <c r="DEI3" s="136"/>
      <c r="DEJ3" s="136"/>
      <c r="DEK3" s="136"/>
      <c r="DEL3" s="136"/>
      <c r="DEM3" s="136"/>
      <c r="DEN3" s="136"/>
      <c r="DEO3" s="136"/>
      <c r="DEP3" s="136"/>
      <c r="DEQ3" s="136"/>
      <c r="DER3" s="136"/>
      <c r="DES3" s="136"/>
      <c r="DET3" s="136"/>
      <c r="DEU3" s="136"/>
      <c r="DEV3" s="136"/>
      <c r="DEW3" s="136"/>
      <c r="DEX3" s="136"/>
      <c r="DEY3" s="136"/>
      <c r="DEZ3" s="136"/>
      <c r="DFA3" s="136"/>
      <c r="DFB3" s="136"/>
      <c r="DFC3" s="136"/>
      <c r="DFD3" s="136"/>
      <c r="DFE3" s="136"/>
      <c r="DFF3" s="136"/>
      <c r="DFG3" s="136"/>
      <c r="DFH3" s="136"/>
      <c r="DFI3" s="136"/>
      <c r="DFJ3" s="136"/>
      <c r="DFK3" s="136"/>
      <c r="DFL3" s="136"/>
      <c r="DFM3" s="136"/>
      <c r="DFN3" s="136"/>
      <c r="DFO3" s="136"/>
      <c r="DFP3" s="136"/>
      <c r="DFQ3" s="136"/>
      <c r="DFR3" s="136"/>
      <c r="DFS3" s="136"/>
      <c r="DFT3" s="136"/>
      <c r="DFU3" s="136"/>
      <c r="DFV3" s="136"/>
      <c r="DFW3" s="136"/>
      <c r="DFX3" s="136"/>
      <c r="DFY3" s="136"/>
      <c r="DFZ3" s="136"/>
      <c r="DGA3" s="136"/>
      <c r="DGB3" s="136"/>
      <c r="DGC3" s="136"/>
      <c r="DGD3" s="136"/>
      <c r="DGE3" s="136"/>
      <c r="DGF3" s="136"/>
      <c r="DGG3" s="136"/>
      <c r="DGH3" s="136"/>
      <c r="DGI3" s="136"/>
      <c r="DGJ3" s="136"/>
      <c r="DGK3" s="136"/>
      <c r="DGL3" s="136"/>
      <c r="DGM3" s="136"/>
      <c r="DGN3" s="136"/>
      <c r="DGO3" s="136"/>
      <c r="DGP3" s="136"/>
      <c r="DGQ3" s="136"/>
      <c r="DGR3" s="136"/>
      <c r="DGS3" s="136"/>
      <c r="DGT3" s="136"/>
      <c r="DGU3" s="136"/>
      <c r="DGV3" s="136"/>
      <c r="DGW3" s="136"/>
      <c r="DGX3" s="136"/>
      <c r="DGY3" s="136"/>
      <c r="DGZ3" s="136"/>
      <c r="DHA3" s="136"/>
      <c r="DHB3" s="136"/>
      <c r="DHC3" s="136"/>
      <c r="DHD3" s="136"/>
      <c r="DHE3" s="136"/>
      <c r="DHF3" s="136"/>
      <c r="DHG3" s="136"/>
      <c r="DHH3" s="136"/>
      <c r="DHI3" s="136"/>
      <c r="DHJ3" s="136"/>
      <c r="DHK3" s="136"/>
      <c r="DHL3" s="136"/>
      <c r="DHM3" s="136"/>
      <c r="DHN3" s="136"/>
      <c r="DHO3" s="136"/>
      <c r="DHP3" s="136"/>
      <c r="DHQ3" s="136"/>
      <c r="DHR3" s="136"/>
      <c r="DHS3" s="136"/>
      <c r="DHT3" s="136"/>
      <c r="DHU3" s="136"/>
      <c r="DHV3" s="136"/>
      <c r="DHW3" s="136"/>
      <c r="DHX3" s="136"/>
      <c r="DHY3" s="136"/>
      <c r="DHZ3" s="136"/>
      <c r="DIA3" s="136"/>
      <c r="DIB3" s="136"/>
      <c r="DIC3" s="136"/>
      <c r="DID3" s="136"/>
      <c r="DIE3" s="136"/>
      <c r="DIF3" s="136"/>
      <c r="DIG3" s="136"/>
      <c r="DIH3" s="136"/>
      <c r="DII3" s="136"/>
      <c r="DIJ3" s="136"/>
      <c r="DIK3" s="136"/>
      <c r="DIL3" s="136"/>
      <c r="DIM3" s="136"/>
      <c r="DIN3" s="136"/>
      <c r="DIO3" s="136"/>
      <c r="DIP3" s="136"/>
      <c r="DIQ3" s="136"/>
      <c r="DIR3" s="136"/>
      <c r="DIS3" s="136"/>
      <c r="DIT3" s="136"/>
      <c r="DIU3" s="136"/>
      <c r="DIV3" s="136"/>
      <c r="DIW3" s="136"/>
      <c r="DIX3" s="136"/>
      <c r="DIY3" s="136"/>
      <c r="DIZ3" s="136"/>
      <c r="DJA3" s="136"/>
      <c r="DJB3" s="136"/>
      <c r="DJC3" s="136"/>
      <c r="DJD3" s="136"/>
      <c r="DJE3" s="136"/>
      <c r="DJF3" s="136"/>
      <c r="DJG3" s="136"/>
      <c r="DJH3" s="136"/>
      <c r="DJI3" s="136"/>
      <c r="DJJ3" s="136"/>
      <c r="DJK3" s="136"/>
      <c r="DJL3" s="136"/>
      <c r="DJM3" s="136"/>
      <c r="DJN3" s="136"/>
      <c r="DJO3" s="136"/>
      <c r="DJP3" s="136"/>
      <c r="DJQ3" s="136"/>
      <c r="DJR3" s="136"/>
      <c r="DJS3" s="136"/>
      <c r="DJT3" s="136"/>
      <c r="DJU3" s="136"/>
      <c r="DJV3" s="136"/>
      <c r="DJW3" s="136"/>
      <c r="DJX3" s="136"/>
      <c r="DJY3" s="136"/>
      <c r="DJZ3" s="136"/>
      <c r="DKA3" s="136"/>
      <c r="DKB3" s="136"/>
      <c r="DKC3" s="136"/>
      <c r="DKD3" s="136"/>
      <c r="DKE3" s="136"/>
      <c r="DKF3" s="136"/>
      <c r="DKG3" s="136"/>
      <c r="DKH3" s="136"/>
      <c r="DKI3" s="136"/>
      <c r="DKJ3" s="136"/>
      <c r="DKK3" s="136"/>
      <c r="DKL3" s="136"/>
      <c r="DKM3" s="136"/>
      <c r="DKN3" s="136"/>
      <c r="DKO3" s="136"/>
      <c r="DKP3" s="136"/>
      <c r="DKQ3" s="136"/>
      <c r="DKR3" s="136"/>
      <c r="DKS3" s="136"/>
      <c r="DKT3" s="136"/>
      <c r="DKU3" s="136"/>
      <c r="DKV3" s="136"/>
      <c r="DKW3" s="136"/>
      <c r="DKX3" s="136"/>
      <c r="DKY3" s="136"/>
      <c r="DKZ3" s="136"/>
      <c r="DLA3" s="136"/>
      <c r="DLB3" s="136"/>
      <c r="DLC3" s="136"/>
      <c r="DLD3" s="136"/>
      <c r="DLE3" s="136"/>
      <c r="DLF3" s="136"/>
      <c r="DLG3" s="136"/>
      <c r="DLH3" s="136"/>
      <c r="DLI3" s="136"/>
      <c r="DLJ3" s="136"/>
      <c r="DLK3" s="136"/>
      <c r="DLL3" s="136"/>
      <c r="DLM3" s="136"/>
      <c r="DLN3" s="136"/>
      <c r="DLO3" s="136"/>
      <c r="DLP3" s="136"/>
      <c r="DLQ3" s="136"/>
      <c r="DLR3" s="136"/>
      <c r="DLS3" s="136"/>
      <c r="DLT3" s="136"/>
      <c r="DLU3" s="136"/>
      <c r="DLV3" s="136"/>
      <c r="DLW3" s="136"/>
      <c r="DLX3" s="136"/>
      <c r="DLY3" s="136"/>
      <c r="DLZ3" s="136"/>
      <c r="DMA3" s="136"/>
      <c r="DMB3" s="136"/>
      <c r="DMC3" s="136"/>
      <c r="DMD3" s="136"/>
      <c r="DME3" s="136"/>
      <c r="DMF3" s="136"/>
      <c r="DMG3" s="136"/>
      <c r="DMH3" s="136"/>
      <c r="DMI3" s="136"/>
      <c r="DMJ3" s="136"/>
      <c r="DMK3" s="136"/>
      <c r="DML3" s="136"/>
      <c r="DMM3" s="136"/>
      <c r="DMN3" s="136"/>
      <c r="DMO3" s="136"/>
      <c r="DMP3" s="136"/>
      <c r="DMQ3" s="136"/>
      <c r="DMR3" s="136"/>
      <c r="DMS3" s="136"/>
      <c r="DMT3" s="136"/>
      <c r="DMU3" s="136"/>
      <c r="DMV3" s="136"/>
      <c r="DMW3" s="136"/>
      <c r="DMX3" s="136"/>
      <c r="DMY3" s="136"/>
      <c r="DMZ3" s="136"/>
      <c r="DNA3" s="136"/>
      <c r="DNB3" s="136"/>
      <c r="DNC3" s="136"/>
      <c r="DND3" s="136"/>
      <c r="DNE3" s="136"/>
      <c r="DNF3" s="136"/>
      <c r="DNG3" s="136"/>
      <c r="DNH3" s="136"/>
      <c r="DNI3" s="136"/>
      <c r="DNJ3" s="136"/>
      <c r="DNK3" s="136"/>
      <c r="DNL3" s="136"/>
      <c r="DNM3" s="136"/>
      <c r="DNN3" s="136"/>
      <c r="DNO3" s="136"/>
      <c r="DNP3" s="136"/>
      <c r="DNQ3" s="136"/>
      <c r="DNR3" s="136"/>
      <c r="DNS3" s="136"/>
      <c r="DNT3" s="136"/>
      <c r="DNU3" s="136"/>
      <c r="DNV3" s="136"/>
      <c r="DNW3" s="136"/>
      <c r="DNX3" s="136"/>
      <c r="DNY3" s="136"/>
      <c r="DNZ3" s="136"/>
      <c r="DOA3" s="136"/>
      <c r="DOB3" s="136"/>
      <c r="DOC3" s="136"/>
      <c r="DOD3" s="136"/>
      <c r="DOE3" s="136"/>
      <c r="DOF3" s="136"/>
      <c r="DOG3" s="136"/>
      <c r="DOH3" s="136"/>
      <c r="DOI3" s="136"/>
      <c r="DOJ3" s="136"/>
      <c r="DOK3" s="136"/>
      <c r="DOL3" s="136"/>
      <c r="DOM3" s="136"/>
      <c r="DON3" s="136"/>
      <c r="DOO3" s="136"/>
      <c r="DOP3" s="136"/>
      <c r="DOQ3" s="136"/>
      <c r="DOR3" s="136"/>
      <c r="DOS3" s="136"/>
      <c r="DOT3" s="136"/>
      <c r="DOU3" s="136"/>
      <c r="DOV3" s="136"/>
      <c r="DOW3" s="136"/>
      <c r="DOX3" s="136"/>
      <c r="DOY3" s="136"/>
      <c r="DOZ3" s="136"/>
      <c r="DPA3" s="136"/>
      <c r="DPB3" s="136"/>
      <c r="DPC3" s="136"/>
      <c r="DPD3" s="136"/>
      <c r="DPE3" s="136"/>
      <c r="DPF3" s="136"/>
      <c r="DPG3" s="136"/>
      <c r="DPH3" s="136"/>
      <c r="DPI3" s="136"/>
      <c r="DPJ3" s="136"/>
      <c r="DPK3" s="136"/>
      <c r="DPL3" s="136"/>
      <c r="DPM3" s="136"/>
      <c r="DPN3" s="136"/>
      <c r="DPO3" s="136"/>
      <c r="DPP3" s="136"/>
      <c r="DPQ3" s="136"/>
      <c r="DPR3" s="136"/>
      <c r="DPS3" s="136"/>
      <c r="DPT3" s="136"/>
      <c r="DPU3" s="136"/>
      <c r="DPV3" s="136"/>
      <c r="DPW3" s="136"/>
      <c r="DPX3" s="136"/>
      <c r="DPY3" s="136"/>
      <c r="DPZ3" s="136"/>
      <c r="DQA3" s="136"/>
      <c r="DQB3" s="136"/>
      <c r="DQC3" s="136"/>
      <c r="DQD3" s="136"/>
      <c r="DQE3" s="136"/>
      <c r="DQF3" s="136"/>
      <c r="DQG3" s="136"/>
      <c r="DQH3" s="136"/>
      <c r="DQI3" s="136"/>
      <c r="DQJ3" s="136"/>
      <c r="DQK3" s="136"/>
      <c r="DQL3" s="136"/>
      <c r="DQM3" s="136"/>
      <c r="DQN3" s="136"/>
      <c r="DQO3" s="136"/>
      <c r="DQP3" s="136"/>
      <c r="DQQ3" s="136"/>
      <c r="DQR3" s="136"/>
      <c r="DQS3" s="136"/>
      <c r="DQT3" s="136"/>
      <c r="DQU3" s="136"/>
      <c r="DQV3" s="136"/>
      <c r="DQW3" s="136"/>
      <c r="DQX3" s="136"/>
      <c r="DQY3" s="136"/>
      <c r="DQZ3" s="136"/>
      <c r="DRA3" s="136"/>
      <c r="DRB3" s="136"/>
      <c r="DRC3" s="136"/>
      <c r="DRD3" s="136"/>
      <c r="DRE3" s="136"/>
      <c r="DRF3" s="136"/>
      <c r="DRG3" s="136"/>
      <c r="DRH3" s="136"/>
      <c r="DRI3" s="136"/>
      <c r="DRJ3" s="136"/>
      <c r="DRK3" s="136"/>
      <c r="DRL3" s="136"/>
      <c r="DRM3" s="136"/>
      <c r="DRN3" s="136"/>
      <c r="DRO3" s="136"/>
      <c r="DRP3" s="136"/>
      <c r="DRQ3" s="136"/>
      <c r="DRR3" s="136"/>
      <c r="DRS3" s="136"/>
      <c r="DRT3" s="136"/>
      <c r="DRU3" s="136"/>
      <c r="DRV3" s="136"/>
      <c r="DRW3" s="136"/>
      <c r="DRX3" s="136"/>
      <c r="DRY3" s="136"/>
      <c r="DRZ3" s="136"/>
      <c r="DSA3" s="136"/>
      <c r="DSB3" s="136"/>
      <c r="DSC3" s="136"/>
      <c r="DSD3" s="136"/>
      <c r="DSE3" s="136"/>
      <c r="DSF3" s="136"/>
      <c r="DSG3" s="136"/>
      <c r="DSH3" s="136"/>
      <c r="DSI3" s="136"/>
      <c r="DSJ3" s="136"/>
      <c r="DSK3" s="136"/>
      <c r="DSL3" s="136"/>
      <c r="DSM3" s="136"/>
      <c r="DSN3" s="136"/>
      <c r="DSO3" s="136"/>
      <c r="DSP3" s="136"/>
      <c r="DSQ3" s="136"/>
      <c r="DSR3" s="136"/>
      <c r="DSS3" s="136"/>
      <c r="DST3" s="136"/>
      <c r="DSU3" s="136"/>
      <c r="DSV3" s="136"/>
      <c r="DSW3" s="136"/>
      <c r="DSX3" s="136"/>
      <c r="DSY3" s="136"/>
      <c r="DSZ3" s="136"/>
      <c r="DTA3" s="136"/>
      <c r="DTB3" s="136"/>
      <c r="DTC3" s="136"/>
      <c r="DTD3" s="136"/>
      <c r="DTE3" s="136"/>
      <c r="DTF3" s="136"/>
      <c r="DTG3" s="136"/>
      <c r="DTH3" s="136"/>
      <c r="DTI3" s="136"/>
      <c r="DTJ3" s="136"/>
      <c r="DTK3" s="136"/>
      <c r="DTL3" s="136"/>
      <c r="DTM3" s="136"/>
      <c r="DTN3" s="136"/>
      <c r="DTO3" s="136"/>
      <c r="DTP3" s="136"/>
      <c r="DTQ3" s="136"/>
      <c r="DTR3" s="136"/>
      <c r="DTS3" s="136"/>
      <c r="DTT3" s="136"/>
      <c r="DTU3" s="136"/>
      <c r="DTV3" s="136"/>
      <c r="DTW3" s="136"/>
      <c r="DTX3" s="136"/>
      <c r="DTY3" s="136"/>
      <c r="DTZ3" s="136"/>
      <c r="DUA3" s="136"/>
      <c r="DUB3" s="136"/>
      <c r="DUC3" s="136"/>
      <c r="DUD3" s="136"/>
      <c r="DUE3" s="136"/>
      <c r="DUF3" s="136"/>
      <c r="DUG3" s="136"/>
      <c r="DUH3" s="136"/>
      <c r="DUI3" s="136"/>
      <c r="DUJ3" s="136"/>
      <c r="DUK3" s="136"/>
      <c r="DUL3" s="136"/>
      <c r="DUM3" s="136"/>
      <c r="DUN3" s="136"/>
      <c r="DUO3" s="136"/>
      <c r="DUP3" s="136"/>
      <c r="DUQ3" s="136"/>
      <c r="DUR3" s="136"/>
      <c r="DUS3" s="136"/>
      <c r="DUT3" s="136"/>
      <c r="DUU3" s="136"/>
      <c r="DUV3" s="136"/>
      <c r="DUW3" s="136"/>
      <c r="DUX3" s="136"/>
      <c r="DUY3" s="136"/>
      <c r="DUZ3" s="136"/>
      <c r="DVA3" s="136"/>
      <c r="DVB3" s="136"/>
      <c r="DVC3" s="136"/>
      <c r="DVD3" s="136"/>
      <c r="DVE3" s="136"/>
      <c r="DVF3" s="136"/>
      <c r="DVG3" s="136"/>
      <c r="DVH3" s="136"/>
      <c r="DVI3" s="136"/>
      <c r="DVJ3" s="136"/>
      <c r="DVK3" s="136"/>
      <c r="DVL3" s="136"/>
      <c r="DVM3" s="136"/>
      <c r="DVN3" s="136"/>
      <c r="DVO3" s="136"/>
      <c r="DVP3" s="136"/>
      <c r="DVQ3" s="136"/>
      <c r="DVR3" s="136"/>
      <c r="DVS3" s="136"/>
      <c r="DVT3" s="136"/>
      <c r="DVU3" s="136"/>
      <c r="DVV3" s="136"/>
      <c r="DVW3" s="136"/>
      <c r="DVX3" s="136"/>
      <c r="DVY3" s="136"/>
      <c r="DVZ3" s="136"/>
      <c r="DWA3" s="136"/>
      <c r="DWB3" s="136"/>
      <c r="DWC3" s="136"/>
      <c r="DWD3" s="136"/>
      <c r="DWE3" s="136"/>
      <c r="DWF3" s="136"/>
      <c r="DWG3" s="136"/>
      <c r="DWH3" s="136"/>
      <c r="DWI3" s="136"/>
      <c r="DWJ3" s="136"/>
      <c r="DWK3" s="136"/>
      <c r="DWL3" s="136"/>
      <c r="DWM3" s="136"/>
      <c r="DWN3" s="136"/>
      <c r="DWO3" s="136"/>
      <c r="DWP3" s="136"/>
      <c r="DWQ3" s="136"/>
      <c r="DWR3" s="136"/>
      <c r="DWS3" s="136"/>
      <c r="DWT3" s="136"/>
      <c r="DWU3" s="136"/>
      <c r="DWV3" s="136"/>
      <c r="DWW3" s="136"/>
      <c r="DWX3" s="136"/>
      <c r="DWY3" s="136"/>
      <c r="DWZ3" s="136"/>
      <c r="DXA3" s="136"/>
      <c r="DXB3" s="136"/>
      <c r="DXC3" s="136"/>
      <c r="DXD3" s="136"/>
      <c r="DXE3" s="136"/>
      <c r="DXF3" s="136"/>
      <c r="DXG3" s="136"/>
      <c r="DXH3" s="136"/>
      <c r="DXI3" s="136"/>
      <c r="DXJ3" s="136"/>
      <c r="DXK3" s="136"/>
      <c r="DXL3" s="136"/>
      <c r="DXM3" s="136"/>
      <c r="DXN3" s="136"/>
      <c r="DXO3" s="136"/>
      <c r="DXP3" s="136"/>
      <c r="DXQ3" s="136"/>
      <c r="DXR3" s="136"/>
      <c r="DXS3" s="136"/>
      <c r="DXT3" s="136"/>
      <c r="DXU3" s="136"/>
      <c r="DXV3" s="136"/>
      <c r="DXW3" s="136"/>
      <c r="DXX3" s="136"/>
      <c r="DXY3" s="136"/>
      <c r="DXZ3" s="136"/>
      <c r="DYA3" s="136"/>
      <c r="DYB3" s="136"/>
      <c r="DYC3" s="136"/>
      <c r="DYD3" s="136"/>
      <c r="DYE3" s="136"/>
      <c r="DYF3" s="136"/>
      <c r="DYG3" s="136"/>
      <c r="DYH3" s="136"/>
      <c r="DYI3" s="136"/>
      <c r="DYJ3" s="136"/>
      <c r="DYK3" s="136"/>
      <c r="DYL3" s="136"/>
      <c r="DYM3" s="136"/>
      <c r="DYN3" s="136"/>
      <c r="DYO3" s="136"/>
      <c r="DYP3" s="136"/>
      <c r="DYQ3" s="136"/>
      <c r="DYR3" s="136"/>
      <c r="DYS3" s="136"/>
      <c r="DYT3" s="136"/>
      <c r="DYU3" s="136"/>
      <c r="DYV3" s="136"/>
      <c r="DYW3" s="136"/>
      <c r="DYX3" s="136"/>
      <c r="DYY3" s="136"/>
      <c r="DYZ3" s="136"/>
      <c r="DZA3" s="136"/>
      <c r="DZB3" s="136"/>
      <c r="DZC3" s="136"/>
      <c r="DZD3" s="136"/>
      <c r="DZE3" s="136"/>
      <c r="DZF3" s="136"/>
      <c r="DZG3" s="136"/>
      <c r="DZH3" s="136"/>
      <c r="DZI3" s="136"/>
      <c r="DZJ3" s="136"/>
      <c r="DZK3" s="136"/>
      <c r="DZL3" s="136"/>
      <c r="DZM3" s="136"/>
      <c r="DZN3" s="136"/>
      <c r="DZO3" s="136"/>
      <c r="DZP3" s="136"/>
      <c r="DZQ3" s="136"/>
      <c r="DZR3" s="136"/>
      <c r="DZS3" s="136"/>
      <c r="DZT3" s="136"/>
      <c r="DZU3" s="136"/>
      <c r="DZV3" s="136"/>
      <c r="DZW3" s="136"/>
      <c r="DZX3" s="136"/>
      <c r="DZY3" s="136"/>
      <c r="DZZ3" s="136"/>
      <c r="EAA3" s="136"/>
      <c r="EAB3" s="136"/>
      <c r="EAC3" s="136"/>
      <c r="EAD3" s="136"/>
      <c r="EAE3" s="136"/>
      <c r="EAF3" s="136"/>
      <c r="EAG3" s="136"/>
      <c r="EAH3" s="136"/>
      <c r="EAI3" s="136"/>
      <c r="EAJ3" s="136"/>
      <c r="EAK3" s="136"/>
      <c r="EAL3" s="136"/>
      <c r="EAM3" s="136"/>
      <c r="EAN3" s="136"/>
      <c r="EAO3" s="136"/>
      <c r="EAP3" s="136"/>
      <c r="EAQ3" s="136"/>
      <c r="EAR3" s="136"/>
      <c r="EAS3" s="136"/>
      <c r="EAT3" s="136"/>
      <c r="EAU3" s="136"/>
      <c r="EAV3" s="136"/>
      <c r="EAW3" s="136"/>
      <c r="EAX3" s="136"/>
      <c r="EAY3" s="136"/>
      <c r="EAZ3" s="136"/>
      <c r="EBA3" s="136"/>
      <c r="EBB3" s="136"/>
      <c r="EBC3" s="136"/>
      <c r="EBD3" s="136"/>
      <c r="EBE3" s="136"/>
      <c r="EBF3" s="136"/>
      <c r="EBG3" s="136"/>
      <c r="EBH3" s="136"/>
      <c r="EBI3" s="136"/>
      <c r="EBJ3" s="136"/>
      <c r="EBK3" s="136"/>
      <c r="EBL3" s="136"/>
      <c r="EBM3" s="136"/>
      <c r="EBN3" s="136"/>
      <c r="EBO3" s="136"/>
      <c r="EBP3" s="136"/>
      <c r="EBQ3" s="136"/>
      <c r="EBR3" s="136"/>
      <c r="EBS3" s="136"/>
      <c r="EBT3" s="136"/>
      <c r="EBU3" s="136"/>
      <c r="EBV3" s="136"/>
      <c r="EBW3" s="136"/>
      <c r="EBX3" s="136"/>
      <c r="EBY3" s="136"/>
      <c r="EBZ3" s="136"/>
      <c r="ECA3" s="136"/>
      <c r="ECB3" s="136"/>
      <c r="ECC3" s="136"/>
      <c r="ECD3" s="136"/>
      <c r="ECE3" s="136"/>
      <c r="ECF3" s="136"/>
      <c r="ECG3" s="136"/>
      <c r="ECH3" s="136"/>
      <c r="ECI3" s="136"/>
      <c r="ECJ3" s="136"/>
      <c r="ECK3" s="136"/>
      <c r="ECL3" s="136"/>
      <c r="ECM3" s="136"/>
      <c r="ECN3" s="136"/>
      <c r="ECO3" s="136"/>
      <c r="ECP3" s="136"/>
      <c r="ECQ3" s="136"/>
      <c r="ECR3" s="136"/>
      <c r="ECS3" s="136"/>
      <c r="ECT3" s="136"/>
      <c r="ECU3" s="136"/>
      <c r="ECV3" s="136"/>
      <c r="ECW3" s="136"/>
      <c r="ECX3" s="136"/>
      <c r="ECY3" s="136"/>
      <c r="ECZ3" s="136"/>
      <c r="EDA3" s="136"/>
      <c r="EDB3" s="136"/>
      <c r="EDC3" s="136"/>
      <c r="EDD3" s="136"/>
      <c r="EDE3" s="136"/>
      <c r="EDF3" s="136"/>
      <c r="EDG3" s="136"/>
      <c r="EDH3" s="136"/>
      <c r="EDI3" s="136"/>
      <c r="EDJ3" s="136"/>
      <c r="EDK3" s="136"/>
      <c r="EDL3" s="136"/>
      <c r="EDM3" s="136"/>
      <c r="EDN3" s="136"/>
      <c r="EDO3" s="136"/>
      <c r="EDP3" s="136"/>
      <c r="EDQ3" s="136"/>
      <c r="EDR3" s="136"/>
      <c r="EDS3" s="136"/>
      <c r="EDT3" s="136"/>
      <c r="EDU3" s="136"/>
      <c r="EDV3" s="136"/>
      <c r="EDW3" s="136"/>
      <c r="EDX3" s="136"/>
      <c r="EDY3" s="136"/>
      <c r="EDZ3" s="136"/>
      <c r="EEA3" s="136"/>
      <c r="EEB3" s="136"/>
      <c r="EEC3" s="136"/>
      <c r="EED3" s="136"/>
      <c r="EEE3" s="136"/>
      <c r="EEF3" s="136"/>
      <c r="EEG3" s="136"/>
      <c r="EEH3" s="136"/>
      <c r="EEI3" s="136"/>
      <c r="EEJ3" s="136"/>
      <c r="EEK3" s="136"/>
      <c r="EEL3" s="136"/>
      <c r="EEM3" s="136"/>
      <c r="EEN3" s="136"/>
      <c r="EEO3" s="136"/>
      <c r="EEP3" s="136"/>
      <c r="EEQ3" s="136"/>
      <c r="EER3" s="136"/>
      <c r="EES3" s="136"/>
      <c r="EET3" s="136"/>
      <c r="EEU3" s="136"/>
      <c r="EEV3" s="136"/>
      <c r="EEW3" s="136"/>
      <c r="EEX3" s="136"/>
      <c r="EEY3" s="136"/>
      <c r="EEZ3" s="136"/>
      <c r="EFA3" s="136"/>
      <c r="EFB3" s="136"/>
      <c r="EFC3" s="136"/>
      <c r="EFD3" s="136"/>
      <c r="EFE3" s="136"/>
      <c r="EFF3" s="136"/>
      <c r="EFG3" s="136"/>
      <c r="EFH3" s="136"/>
      <c r="EFI3" s="136"/>
      <c r="EFJ3" s="136"/>
      <c r="EFK3" s="136"/>
      <c r="EFL3" s="136"/>
      <c r="EFM3" s="136"/>
      <c r="EFN3" s="136"/>
      <c r="EFO3" s="136"/>
      <c r="EFP3" s="136"/>
      <c r="EFQ3" s="136"/>
      <c r="EFR3" s="136"/>
      <c r="EFS3" s="136"/>
      <c r="EFT3" s="136"/>
      <c r="EFU3" s="136"/>
      <c r="EFV3" s="136"/>
      <c r="EFW3" s="136"/>
      <c r="EFX3" s="136"/>
      <c r="EFY3" s="136"/>
      <c r="EFZ3" s="136"/>
      <c r="EGA3" s="136"/>
      <c r="EGB3" s="136"/>
      <c r="EGC3" s="136"/>
      <c r="EGD3" s="136"/>
      <c r="EGE3" s="136"/>
      <c r="EGF3" s="136"/>
      <c r="EGG3" s="136"/>
      <c r="EGH3" s="136"/>
      <c r="EGI3" s="136"/>
      <c r="EGJ3" s="136"/>
      <c r="EGK3" s="136"/>
      <c r="EGL3" s="136"/>
      <c r="EGM3" s="136"/>
      <c r="EGN3" s="136"/>
      <c r="EGO3" s="136"/>
      <c r="EGP3" s="136"/>
      <c r="EGQ3" s="136"/>
      <c r="EGR3" s="136"/>
      <c r="EGS3" s="136"/>
      <c r="EGT3" s="136"/>
      <c r="EGU3" s="136"/>
      <c r="EGV3" s="136"/>
      <c r="EGW3" s="136"/>
      <c r="EGX3" s="136"/>
      <c r="EGY3" s="136"/>
      <c r="EGZ3" s="136"/>
      <c r="EHA3" s="136"/>
      <c r="EHB3" s="136"/>
      <c r="EHC3" s="136"/>
      <c r="EHD3" s="136"/>
      <c r="EHE3" s="136"/>
      <c r="EHF3" s="136"/>
      <c r="EHG3" s="136"/>
      <c r="EHH3" s="136"/>
      <c r="EHI3" s="136"/>
      <c r="EHJ3" s="136"/>
      <c r="EHK3" s="136"/>
      <c r="EHL3" s="136"/>
      <c r="EHM3" s="136"/>
      <c r="EHN3" s="136"/>
      <c r="EHO3" s="136"/>
      <c r="EHP3" s="136"/>
      <c r="EHQ3" s="136"/>
      <c r="EHR3" s="136"/>
      <c r="EHS3" s="136"/>
      <c r="EHT3" s="136"/>
      <c r="EHU3" s="136"/>
      <c r="EHV3" s="136"/>
      <c r="EHW3" s="136"/>
      <c r="EHX3" s="136"/>
      <c r="EHY3" s="136"/>
      <c r="EHZ3" s="136"/>
      <c r="EIA3" s="136"/>
      <c r="EIB3" s="136"/>
      <c r="EIC3" s="136"/>
      <c r="EID3" s="136"/>
      <c r="EIE3" s="136"/>
      <c r="EIF3" s="136"/>
      <c r="EIG3" s="136"/>
      <c r="EIH3" s="136"/>
      <c r="EII3" s="136"/>
      <c r="EIJ3" s="136"/>
      <c r="EIK3" s="136"/>
      <c r="EIL3" s="136"/>
      <c r="EIM3" s="136"/>
      <c r="EIN3" s="136"/>
      <c r="EIO3" s="136"/>
      <c r="EIP3" s="136"/>
      <c r="EIQ3" s="136"/>
      <c r="EIR3" s="136"/>
      <c r="EIS3" s="136"/>
      <c r="EIT3" s="136"/>
      <c r="EIU3" s="136"/>
      <c r="EIV3" s="136"/>
      <c r="EIW3" s="136"/>
      <c r="EIX3" s="136"/>
      <c r="EIY3" s="136"/>
      <c r="EIZ3" s="136"/>
      <c r="EJA3" s="136"/>
      <c r="EJB3" s="136"/>
      <c r="EJC3" s="136"/>
      <c r="EJD3" s="136"/>
      <c r="EJE3" s="136"/>
      <c r="EJF3" s="136"/>
      <c r="EJG3" s="136"/>
      <c r="EJH3" s="136"/>
      <c r="EJI3" s="136"/>
      <c r="EJJ3" s="136"/>
      <c r="EJK3" s="136"/>
      <c r="EJL3" s="136"/>
      <c r="EJM3" s="136"/>
      <c r="EJN3" s="136"/>
      <c r="EJO3" s="136"/>
      <c r="EJP3" s="136"/>
      <c r="EJQ3" s="136"/>
      <c r="EJR3" s="136"/>
      <c r="EJS3" s="136"/>
      <c r="EJT3" s="136"/>
      <c r="EJU3" s="136"/>
      <c r="EJV3" s="136"/>
      <c r="EJW3" s="136"/>
      <c r="EJX3" s="136"/>
      <c r="EJY3" s="136"/>
      <c r="EJZ3" s="136"/>
      <c r="EKA3" s="136"/>
      <c r="EKB3" s="136"/>
      <c r="EKC3" s="136"/>
      <c r="EKD3" s="136"/>
      <c r="EKE3" s="136"/>
      <c r="EKF3" s="136"/>
      <c r="EKG3" s="136"/>
      <c r="EKH3" s="136"/>
      <c r="EKI3" s="136"/>
      <c r="EKJ3" s="136"/>
      <c r="EKK3" s="136"/>
      <c r="EKL3" s="136"/>
      <c r="EKM3" s="136"/>
      <c r="EKN3" s="136"/>
      <c r="EKO3" s="136"/>
      <c r="EKP3" s="136"/>
      <c r="EKQ3" s="136"/>
      <c r="EKR3" s="136"/>
      <c r="EKS3" s="136"/>
      <c r="EKT3" s="136"/>
      <c r="EKU3" s="136"/>
      <c r="EKV3" s="136"/>
      <c r="EKW3" s="136"/>
      <c r="EKX3" s="136"/>
      <c r="EKY3" s="136"/>
      <c r="EKZ3" s="136"/>
      <c r="ELA3" s="136"/>
      <c r="ELB3" s="136"/>
      <c r="ELC3" s="136"/>
      <c r="ELD3" s="136"/>
      <c r="ELE3" s="136"/>
      <c r="ELF3" s="136"/>
      <c r="ELG3" s="136"/>
      <c r="ELH3" s="136"/>
      <c r="ELI3" s="136"/>
      <c r="ELJ3" s="136"/>
      <c r="ELK3" s="136"/>
      <c r="ELL3" s="136"/>
      <c r="ELM3" s="136"/>
      <c r="ELN3" s="136"/>
      <c r="ELO3" s="136"/>
      <c r="ELP3" s="136"/>
      <c r="ELQ3" s="136"/>
      <c r="ELR3" s="136"/>
      <c r="ELS3" s="136"/>
      <c r="ELT3" s="136"/>
      <c r="ELU3" s="136"/>
      <c r="ELV3" s="136"/>
      <c r="ELW3" s="136"/>
      <c r="ELX3" s="136"/>
      <c r="ELY3" s="136"/>
      <c r="ELZ3" s="136"/>
      <c r="EMA3" s="136"/>
      <c r="EMB3" s="136"/>
      <c r="EMC3" s="136"/>
      <c r="EMD3" s="136"/>
      <c r="EME3" s="136"/>
      <c r="EMF3" s="136"/>
      <c r="EMG3" s="136"/>
      <c r="EMH3" s="136"/>
      <c r="EMI3" s="136"/>
      <c r="EMJ3" s="136"/>
      <c r="EMK3" s="136"/>
      <c r="EML3" s="136"/>
      <c r="EMM3" s="136"/>
      <c r="EMN3" s="136"/>
      <c r="EMO3" s="136"/>
      <c r="EMP3" s="136"/>
      <c r="EMQ3" s="136"/>
      <c r="EMR3" s="136"/>
      <c r="EMS3" s="136"/>
      <c r="EMT3" s="136"/>
      <c r="EMU3" s="136"/>
      <c r="EMV3" s="136"/>
      <c r="EMW3" s="136"/>
      <c r="EMX3" s="136"/>
      <c r="EMY3" s="136"/>
      <c r="EMZ3" s="136"/>
      <c r="ENA3" s="136"/>
      <c r="ENB3" s="136"/>
      <c r="ENC3" s="136"/>
      <c r="END3" s="136"/>
      <c r="ENE3" s="136"/>
      <c r="ENF3" s="136"/>
      <c r="ENG3" s="136"/>
      <c r="ENH3" s="136"/>
      <c r="ENI3" s="136"/>
      <c r="ENJ3" s="136"/>
      <c r="ENK3" s="136"/>
      <c r="ENL3" s="136"/>
      <c r="ENM3" s="136"/>
      <c r="ENN3" s="136"/>
      <c r="ENO3" s="136"/>
      <c r="ENP3" s="136"/>
      <c r="ENQ3" s="136"/>
      <c r="ENR3" s="136"/>
      <c r="ENS3" s="136"/>
      <c r="ENT3" s="136"/>
      <c r="ENU3" s="136"/>
      <c r="ENV3" s="136"/>
      <c r="ENW3" s="136"/>
      <c r="ENX3" s="136"/>
      <c r="ENY3" s="136"/>
      <c r="ENZ3" s="136"/>
      <c r="EOA3" s="136"/>
      <c r="EOB3" s="136"/>
      <c r="EOC3" s="136"/>
      <c r="EOD3" s="136"/>
      <c r="EOE3" s="136"/>
      <c r="EOF3" s="136"/>
      <c r="EOG3" s="136"/>
      <c r="EOH3" s="136"/>
      <c r="EOI3" s="136"/>
      <c r="EOJ3" s="136"/>
      <c r="EOK3" s="136"/>
      <c r="EOL3" s="136"/>
      <c r="EOM3" s="136"/>
      <c r="EON3" s="136"/>
      <c r="EOO3" s="136"/>
      <c r="EOP3" s="136"/>
      <c r="EOQ3" s="136"/>
      <c r="EOR3" s="136"/>
      <c r="EOS3" s="136"/>
      <c r="EOT3" s="136"/>
      <c r="EOU3" s="136"/>
      <c r="EOV3" s="136"/>
      <c r="EOW3" s="136"/>
      <c r="EOX3" s="136"/>
      <c r="EOY3" s="136"/>
      <c r="EOZ3" s="136"/>
      <c r="EPA3" s="136"/>
      <c r="EPB3" s="136"/>
      <c r="EPC3" s="136"/>
      <c r="EPD3" s="136"/>
      <c r="EPE3" s="136"/>
      <c r="EPF3" s="136"/>
      <c r="EPG3" s="136"/>
      <c r="EPH3" s="136"/>
      <c r="EPI3" s="136"/>
      <c r="EPJ3" s="136"/>
      <c r="EPK3" s="136"/>
      <c r="EPL3" s="136"/>
      <c r="EPM3" s="136"/>
      <c r="EPN3" s="136"/>
      <c r="EPO3" s="136"/>
      <c r="EPP3" s="136"/>
      <c r="EPQ3" s="136"/>
      <c r="EPR3" s="136"/>
      <c r="EPS3" s="136"/>
      <c r="EPT3" s="136"/>
      <c r="EPU3" s="136"/>
      <c r="EPV3" s="136"/>
      <c r="EPW3" s="136"/>
      <c r="EPX3" s="136"/>
      <c r="EPY3" s="136"/>
      <c r="EPZ3" s="136"/>
      <c r="EQA3" s="136"/>
      <c r="EQB3" s="136"/>
      <c r="EQC3" s="136"/>
      <c r="EQD3" s="136"/>
      <c r="EQE3" s="136"/>
      <c r="EQF3" s="136"/>
      <c r="EQG3" s="136"/>
      <c r="EQH3" s="136"/>
      <c r="EQI3" s="136"/>
      <c r="EQJ3" s="136"/>
      <c r="EQK3" s="136"/>
      <c r="EQL3" s="136"/>
      <c r="EQM3" s="136"/>
      <c r="EQN3" s="136"/>
      <c r="EQO3" s="136"/>
      <c r="EQP3" s="136"/>
      <c r="EQQ3" s="136"/>
      <c r="EQR3" s="136"/>
      <c r="EQS3" s="136"/>
      <c r="EQT3" s="136"/>
      <c r="EQU3" s="136"/>
      <c r="EQV3" s="136"/>
      <c r="EQW3" s="136"/>
      <c r="EQX3" s="136"/>
      <c r="EQY3" s="136"/>
      <c r="EQZ3" s="136"/>
      <c r="ERA3" s="136"/>
      <c r="ERB3" s="136"/>
      <c r="ERC3" s="136"/>
      <c r="ERD3" s="136"/>
      <c r="ERE3" s="136"/>
      <c r="ERF3" s="136"/>
      <c r="ERG3" s="136"/>
      <c r="ERH3" s="136"/>
      <c r="ERI3" s="136"/>
      <c r="ERJ3" s="136"/>
      <c r="ERK3" s="136"/>
      <c r="ERL3" s="136"/>
      <c r="ERM3" s="136"/>
      <c r="ERN3" s="136"/>
      <c r="ERO3" s="136"/>
      <c r="ERP3" s="136"/>
      <c r="ERQ3" s="136"/>
      <c r="ERR3" s="136"/>
      <c r="ERS3" s="136"/>
      <c r="ERT3" s="136"/>
      <c r="ERU3" s="136"/>
      <c r="ERV3" s="136"/>
      <c r="ERW3" s="136"/>
      <c r="ERX3" s="136"/>
      <c r="ERY3" s="136"/>
      <c r="ERZ3" s="136"/>
      <c r="ESA3" s="136"/>
      <c r="ESB3" s="136"/>
      <c r="ESC3" s="136"/>
      <c r="ESD3" s="136"/>
      <c r="ESE3" s="136"/>
      <c r="ESF3" s="136"/>
      <c r="ESG3" s="136"/>
      <c r="ESH3" s="136"/>
      <c r="ESI3" s="136"/>
      <c r="ESJ3" s="136"/>
      <c r="ESK3" s="136"/>
      <c r="ESL3" s="136"/>
      <c r="ESM3" s="136"/>
      <c r="ESN3" s="136"/>
      <c r="ESO3" s="136"/>
      <c r="ESP3" s="136"/>
      <c r="ESQ3" s="136"/>
      <c r="ESR3" s="136"/>
      <c r="ESS3" s="136"/>
      <c r="EST3" s="136"/>
      <c r="ESU3" s="136"/>
      <c r="ESV3" s="136"/>
      <c r="ESW3" s="136"/>
      <c r="ESX3" s="136"/>
      <c r="ESY3" s="136"/>
      <c r="ESZ3" s="136"/>
      <c r="ETA3" s="136"/>
      <c r="ETB3" s="136"/>
      <c r="ETC3" s="136"/>
      <c r="ETD3" s="136"/>
      <c r="ETE3" s="136"/>
      <c r="ETF3" s="136"/>
      <c r="ETG3" s="136"/>
      <c r="ETH3" s="136"/>
      <c r="ETI3" s="136"/>
      <c r="ETJ3" s="136"/>
      <c r="ETK3" s="136"/>
      <c r="ETL3" s="136"/>
      <c r="ETM3" s="136"/>
      <c r="ETN3" s="136"/>
      <c r="ETO3" s="136"/>
      <c r="ETP3" s="136"/>
      <c r="ETQ3" s="136"/>
      <c r="ETR3" s="136"/>
      <c r="ETS3" s="136"/>
      <c r="ETT3" s="136"/>
      <c r="ETU3" s="136"/>
      <c r="ETV3" s="136"/>
      <c r="ETW3" s="136"/>
      <c r="ETX3" s="136"/>
      <c r="ETY3" s="136"/>
      <c r="ETZ3" s="136"/>
      <c r="EUA3" s="136"/>
      <c r="EUB3" s="136"/>
      <c r="EUC3" s="136"/>
      <c r="EUD3" s="136"/>
      <c r="EUE3" s="136"/>
      <c r="EUF3" s="136"/>
      <c r="EUG3" s="136"/>
      <c r="EUH3" s="136"/>
      <c r="EUI3" s="136"/>
      <c r="EUJ3" s="136"/>
      <c r="EUK3" s="136"/>
      <c r="EUL3" s="136"/>
      <c r="EUM3" s="136"/>
      <c r="EUN3" s="136"/>
      <c r="EUO3" s="136"/>
      <c r="EUP3" s="136"/>
      <c r="EUQ3" s="136"/>
      <c r="EUR3" s="136"/>
      <c r="EUS3" s="136"/>
      <c r="EUT3" s="136"/>
      <c r="EUU3" s="136"/>
      <c r="EUV3" s="136"/>
      <c r="EUW3" s="136"/>
      <c r="EUX3" s="136"/>
      <c r="EUY3" s="136"/>
      <c r="EUZ3" s="136"/>
      <c r="EVA3" s="136"/>
      <c r="EVB3" s="136"/>
      <c r="EVC3" s="136"/>
      <c r="EVD3" s="136"/>
      <c r="EVE3" s="136"/>
      <c r="EVF3" s="136"/>
      <c r="EVG3" s="136"/>
      <c r="EVH3" s="136"/>
      <c r="EVI3" s="136"/>
      <c r="EVJ3" s="136"/>
      <c r="EVK3" s="136"/>
      <c r="EVL3" s="136"/>
      <c r="EVM3" s="136"/>
      <c r="EVN3" s="136"/>
      <c r="EVO3" s="136"/>
      <c r="EVP3" s="136"/>
      <c r="EVQ3" s="136"/>
      <c r="EVR3" s="136"/>
      <c r="EVS3" s="136"/>
      <c r="EVT3" s="136"/>
      <c r="EVU3" s="136"/>
      <c r="EVV3" s="136"/>
      <c r="EVW3" s="136"/>
      <c r="EVX3" s="136"/>
      <c r="EVY3" s="136"/>
      <c r="EVZ3" s="136"/>
      <c r="EWA3" s="136"/>
      <c r="EWB3" s="136"/>
      <c r="EWC3" s="136"/>
      <c r="EWD3" s="136"/>
      <c r="EWE3" s="136"/>
      <c r="EWF3" s="136"/>
      <c r="EWG3" s="136"/>
      <c r="EWH3" s="136"/>
      <c r="EWI3" s="136"/>
      <c r="EWJ3" s="136"/>
      <c r="EWK3" s="136"/>
      <c r="EWL3" s="136"/>
      <c r="EWM3" s="136"/>
      <c r="EWN3" s="136"/>
      <c r="EWO3" s="136"/>
      <c r="EWP3" s="136"/>
      <c r="EWQ3" s="136"/>
      <c r="EWR3" s="136"/>
      <c r="EWS3" s="136"/>
      <c r="EWT3" s="136"/>
      <c r="EWU3" s="136"/>
      <c r="EWV3" s="136"/>
      <c r="EWW3" s="136"/>
      <c r="EWX3" s="136"/>
      <c r="EWY3" s="136"/>
      <c r="EWZ3" s="136"/>
      <c r="EXA3" s="136"/>
      <c r="EXB3" s="136"/>
      <c r="EXC3" s="136"/>
      <c r="EXD3" s="136"/>
      <c r="EXE3" s="136"/>
      <c r="EXF3" s="136"/>
      <c r="EXG3" s="136"/>
      <c r="EXH3" s="136"/>
      <c r="EXI3" s="136"/>
      <c r="EXJ3" s="136"/>
      <c r="EXK3" s="136"/>
      <c r="EXL3" s="136"/>
      <c r="EXM3" s="136"/>
      <c r="EXN3" s="136"/>
      <c r="EXO3" s="136"/>
      <c r="EXP3" s="136"/>
      <c r="EXQ3" s="136"/>
      <c r="EXR3" s="136"/>
      <c r="EXS3" s="136"/>
      <c r="EXT3" s="136"/>
      <c r="EXU3" s="136"/>
      <c r="EXV3" s="136"/>
      <c r="EXW3" s="136"/>
      <c r="EXX3" s="136"/>
      <c r="EXY3" s="136"/>
      <c r="EXZ3" s="136"/>
      <c r="EYA3" s="136"/>
      <c r="EYB3" s="136"/>
      <c r="EYC3" s="136"/>
      <c r="EYD3" s="136"/>
      <c r="EYE3" s="136"/>
      <c r="EYF3" s="136"/>
      <c r="EYG3" s="136"/>
      <c r="EYH3" s="136"/>
      <c r="EYI3" s="136"/>
      <c r="EYJ3" s="136"/>
      <c r="EYK3" s="136"/>
      <c r="EYL3" s="136"/>
      <c r="EYM3" s="136"/>
      <c r="EYN3" s="136"/>
      <c r="EYO3" s="136"/>
      <c r="EYP3" s="136"/>
      <c r="EYQ3" s="136"/>
      <c r="EYR3" s="136"/>
      <c r="EYS3" s="136"/>
      <c r="EYT3" s="136"/>
      <c r="EYU3" s="136"/>
      <c r="EYV3" s="136"/>
      <c r="EYW3" s="136"/>
      <c r="EYX3" s="136"/>
      <c r="EYY3" s="136"/>
      <c r="EYZ3" s="136"/>
      <c r="EZA3" s="136"/>
      <c r="EZB3" s="136"/>
      <c r="EZC3" s="136"/>
      <c r="EZD3" s="136"/>
      <c r="EZE3" s="136"/>
      <c r="EZF3" s="136"/>
      <c r="EZG3" s="136"/>
      <c r="EZH3" s="136"/>
      <c r="EZI3" s="136"/>
      <c r="EZJ3" s="136"/>
      <c r="EZK3" s="136"/>
      <c r="EZL3" s="136"/>
      <c r="EZM3" s="136"/>
      <c r="EZN3" s="136"/>
      <c r="EZO3" s="136"/>
      <c r="EZP3" s="136"/>
      <c r="EZQ3" s="136"/>
      <c r="EZR3" s="136"/>
      <c r="EZS3" s="136"/>
      <c r="EZT3" s="136"/>
      <c r="EZU3" s="136"/>
      <c r="EZV3" s="136"/>
      <c r="EZW3" s="136"/>
      <c r="EZX3" s="136"/>
      <c r="EZY3" s="136"/>
      <c r="EZZ3" s="136"/>
      <c r="FAA3" s="136"/>
      <c r="FAB3" s="136"/>
      <c r="FAC3" s="136"/>
      <c r="FAD3" s="136"/>
      <c r="FAE3" s="136"/>
      <c r="FAF3" s="136"/>
      <c r="FAG3" s="136"/>
      <c r="FAH3" s="136"/>
      <c r="FAI3" s="136"/>
      <c r="FAJ3" s="136"/>
      <c r="FAK3" s="136"/>
      <c r="FAL3" s="136"/>
      <c r="FAM3" s="136"/>
      <c r="FAN3" s="136"/>
      <c r="FAO3" s="136"/>
      <c r="FAP3" s="136"/>
      <c r="FAQ3" s="136"/>
      <c r="FAR3" s="136"/>
      <c r="FAS3" s="136"/>
      <c r="FAT3" s="136"/>
      <c r="FAU3" s="136"/>
      <c r="FAV3" s="136"/>
      <c r="FAW3" s="136"/>
      <c r="FAX3" s="136"/>
      <c r="FAY3" s="136"/>
      <c r="FAZ3" s="136"/>
      <c r="FBA3" s="136"/>
      <c r="FBB3" s="136"/>
      <c r="FBC3" s="136"/>
      <c r="FBD3" s="136"/>
      <c r="FBE3" s="136"/>
      <c r="FBF3" s="136"/>
      <c r="FBG3" s="136"/>
      <c r="FBH3" s="136"/>
      <c r="FBI3" s="136"/>
      <c r="FBJ3" s="136"/>
      <c r="FBK3" s="136"/>
      <c r="FBL3" s="136"/>
      <c r="FBM3" s="136"/>
      <c r="FBN3" s="136"/>
      <c r="FBO3" s="136"/>
      <c r="FBP3" s="136"/>
      <c r="FBQ3" s="136"/>
      <c r="FBR3" s="136"/>
      <c r="FBS3" s="136"/>
      <c r="FBT3" s="136"/>
      <c r="FBU3" s="136"/>
      <c r="FBV3" s="136"/>
      <c r="FBW3" s="136"/>
      <c r="FBX3" s="136"/>
      <c r="FBY3" s="136"/>
      <c r="FBZ3" s="136"/>
      <c r="FCA3" s="136"/>
      <c r="FCB3" s="136"/>
      <c r="FCC3" s="136"/>
      <c r="FCD3" s="136"/>
      <c r="FCE3" s="136"/>
      <c r="FCF3" s="136"/>
      <c r="FCG3" s="136"/>
      <c r="FCH3" s="136"/>
      <c r="FCI3" s="136"/>
      <c r="FCJ3" s="136"/>
      <c r="FCK3" s="136"/>
      <c r="FCL3" s="136"/>
      <c r="FCM3" s="136"/>
      <c r="FCN3" s="136"/>
      <c r="FCO3" s="136"/>
      <c r="FCP3" s="136"/>
      <c r="FCQ3" s="136"/>
      <c r="FCR3" s="136"/>
      <c r="FCS3" s="136"/>
      <c r="FCT3" s="136"/>
      <c r="FCU3" s="136"/>
      <c r="FCV3" s="136"/>
      <c r="FCW3" s="136"/>
      <c r="FCX3" s="136"/>
      <c r="FCY3" s="136"/>
      <c r="FCZ3" s="136"/>
      <c r="FDA3" s="136"/>
      <c r="FDB3" s="136"/>
      <c r="FDC3" s="136"/>
      <c r="FDD3" s="136"/>
      <c r="FDE3" s="136"/>
      <c r="FDF3" s="136"/>
      <c r="FDG3" s="136"/>
      <c r="FDH3" s="136"/>
      <c r="FDI3" s="136"/>
      <c r="FDJ3" s="136"/>
      <c r="FDK3" s="136"/>
      <c r="FDL3" s="136"/>
      <c r="FDM3" s="136"/>
      <c r="FDN3" s="136"/>
      <c r="FDO3" s="136"/>
      <c r="FDP3" s="136"/>
      <c r="FDQ3" s="136"/>
      <c r="FDR3" s="136"/>
      <c r="FDS3" s="136"/>
      <c r="FDT3" s="136"/>
      <c r="FDU3" s="136"/>
      <c r="FDV3" s="136"/>
      <c r="FDW3" s="136"/>
      <c r="FDX3" s="136"/>
      <c r="FDY3" s="136"/>
      <c r="FDZ3" s="136"/>
      <c r="FEA3" s="136"/>
      <c r="FEB3" s="136"/>
      <c r="FEC3" s="136"/>
      <c r="FED3" s="136"/>
      <c r="FEE3" s="136"/>
      <c r="FEF3" s="136"/>
      <c r="FEG3" s="136"/>
      <c r="FEH3" s="136"/>
      <c r="FEI3" s="136"/>
      <c r="FEJ3" s="136"/>
      <c r="FEK3" s="136"/>
      <c r="FEL3" s="136"/>
      <c r="FEM3" s="136"/>
      <c r="FEN3" s="136"/>
      <c r="FEO3" s="136"/>
      <c r="FEP3" s="136"/>
      <c r="FEQ3" s="136"/>
      <c r="FER3" s="136"/>
      <c r="FES3" s="136"/>
      <c r="FET3" s="136"/>
      <c r="FEU3" s="136"/>
      <c r="FEV3" s="136"/>
      <c r="FEW3" s="136"/>
      <c r="FEX3" s="136"/>
      <c r="FEY3" s="136"/>
      <c r="FEZ3" s="136"/>
      <c r="FFA3" s="136"/>
      <c r="FFB3" s="136"/>
      <c r="FFC3" s="136"/>
      <c r="FFD3" s="136"/>
      <c r="FFE3" s="136"/>
      <c r="FFF3" s="136"/>
      <c r="FFG3" s="136"/>
      <c r="FFH3" s="136"/>
      <c r="FFI3" s="136"/>
      <c r="FFJ3" s="136"/>
      <c r="FFK3" s="136"/>
      <c r="FFL3" s="136"/>
      <c r="FFM3" s="136"/>
      <c r="FFN3" s="136"/>
      <c r="FFO3" s="136"/>
      <c r="FFP3" s="136"/>
      <c r="FFQ3" s="136"/>
      <c r="FFR3" s="136"/>
      <c r="FFS3" s="136"/>
      <c r="FFT3" s="136"/>
      <c r="FFU3" s="136"/>
      <c r="FFV3" s="136"/>
      <c r="FFW3" s="136"/>
      <c r="FFX3" s="136"/>
      <c r="FFY3" s="136"/>
      <c r="FFZ3" s="136"/>
      <c r="FGA3" s="136"/>
      <c r="FGB3" s="136"/>
      <c r="FGC3" s="136"/>
      <c r="FGD3" s="136"/>
      <c r="FGE3" s="136"/>
      <c r="FGF3" s="136"/>
      <c r="FGG3" s="136"/>
      <c r="FGH3" s="136"/>
      <c r="FGI3" s="136"/>
      <c r="FGJ3" s="136"/>
      <c r="FGK3" s="136"/>
      <c r="FGL3" s="136"/>
      <c r="FGM3" s="136"/>
      <c r="FGN3" s="136"/>
      <c r="FGO3" s="136"/>
      <c r="FGP3" s="136"/>
      <c r="FGQ3" s="136"/>
      <c r="FGR3" s="136"/>
      <c r="FGS3" s="136"/>
      <c r="FGT3" s="136"/>
      <c r="FGU3" s="136"/>
      <c r="FGV3" s="136"/>
      <c r="FGW3" s="136"/>
      <c r="FGX3" s="136"/>
      <c r="FGY3" s="136"/>
      <c r="FGZ3" s="136"/>
      <c r="FHA3" s="136"/>
      <c r="FHB3" s="136"/>
      <c r="FHC3" s="136"/>
      <c r="FHD3" s="136"/>
      <c r="FHE3" s="136"/>
      <c r="FHF3" s="136"/>
      <c r="FHG3" s="136"/>
      <c r="FHH3" s="136"/>
      <c r="FHI3" s="136"/>
      <c r="FHJ3" s="136"/>
      <c r="FHK3" s="136"/>
      <c r="FHL3" s="136"/>
      <c r="FHM3" s="136"/>
      <c r="FHN3" s="136"/>
      <c r="FHO3" s="136"/>
      <c r="FHP3" s="136"/>
      <c r="FHQ3" s="136"/>
      <c r="FHR3" s="136"/>
      <c r="FHS3" s="136"/>
      <c r="FHT3" s="136"/>
      <c r="FHU3" s="136"/>
      <c r="FHV3" s="136"/>
      <c r="FHW3" s="136"/>
      <c r="FHX3" s="136"/>
      <c r="FHY3" s="136"/>
      <c r="FHZ3" s="136"/>
      <c r="FIA3" s="136"/>
      <c r="FIB3" s="136"/>
      <c r="FIC3" s="136"/>
      <c r="FID3" s="136"/>
      <c r="FIE3" s="136"/>
      <c r="FIF3" s="136"/>
      <c r="FIG3" s="136"/>
      <c r="FIH3" s="136"/>
      <c r="FII3" s="136"/>
      <c r="FIJ3" s="136"/>
      <c r="FIK3" s="136"/>
      <c r="FIL3" s="136"/>
      <c r="FIM3" s="136"/>
      <c r="FIN3" s="136"/>
      <c r="FIO3" s="136"/>
      <c r="FIP3" s="136"/>
      <c r="FIQ3" s="136"/>
      <c r="FIR3" s="136"/>
      <c r="FIS3" s="136"/>
      <c r="FIT3" s="136"/>
      <c r="FIU3" s="136"/>
      <c r="FIV3" s="136"/>
      <c r="FIW3" s="136"/>
      <c r="FIX3" s="136"/>
      <c r="FIY3" s="136"/>
      <c r="FIZ3" s="136"/>
      <c r="FJA3" s="136"/>
      <c r="FJB3" s="136"/>
      <c r="FJC3" s="136"/>
      <c r="FJD3" s="136"/>
      <c r="FJE3" s="136"/>
      <c r="FJF3" s="136"/>
      <c r="FJG3" s="136"/>
      <c r="FJH3" s="136"/>
      <c r="FJI3" s="136"/>
      <c r="FJJ3" s="136"/>
      <c r="FJK3" s="136"/>
      <c r="FJL3" s="136"/>
      <c r="FJM3" s="136"/>
      <c r="FJN3" s="136"/>
      <c r="FJO3" s="136"/>
      <c r="FJP3" s="136"/>
      <c r="FJQ3" s="136"/>
      <c r="FJR3" s="136"/>
      <c r="FJS3" s="136"/>
      <c r="FJT3" s="136"/>
      <c r="FJU3" s="136"/>
      <c r="FJV3" s="136"/>
      <c r="FJW3" s="136"/>
      <c r="FJX3" s="136"/>
      <c r="FJY3" s="136"/>
      <c r="FJZ3" s="136"/>
      <c r="FKA3" s="136"/>
      <c r="FKB3" s="136"/>
      <c r="FKC3" s="136"/>
      <c r="FKD3" s="136"/>
      <c r="FKE3" s="136"/>
      <c r="FKF3" s="136"/>
      <c r="FKG3" s="136"/>
      <c r="FKH3" s="136"/>
      <c r="FKI3" s="136"/>
      <c r="FKJ3" s="136"/>
      <c r="FKK3" s="136"/>
      <c r="FKL3" s="136"/>
      <c r="FKM3" s="136"/>
      <c r="FKN3" s="136"/>
      <c r="FKO3" s="136"/>
      <c r="FKP3" s="136"/>
      <c r="FKQ3" s="136"/>
      <c r="FKR3" s="136"/>
      <c r="FKS3" s="136"/>
      <c r="FKT3" s="136"/>
      <c r="FKU3" s="136"/>
      <c r="FKV3" s="136"/>
      <c r="FKW3" s="136"/>
      <c r="FKX3" s="136"/>
      <c r="FKY3" s="136"/>
      <c r="FKZ3" s="136"/>
      <c r="FLA3" s="136"/>
      <c r="FLB3" s="136"/>
      <c r="FLC3" s="136"/>
      <c r="FLD3" s="136"/>
      <c r="FLE3" s="136"/>
      <c r="FLF3" s="136"/>
      <c r="FLG3" s="136"/>
      <c r="FLH3" s="136"/>
      <c r="FLI3" s="136"/>
      <c r="FLJ3" s="136"/>
      <c r="FLK3" s="136"/>
      <c r="FLL3" s="136"/>
      <c r="FLM3" s="136"/>
      <c r="FLN3" s="136"/>
      <c r="FLO3" s="136"/>
      <c r="FLP3" s="136"/>
      <c r="FLQ3" s="136"/>
      <c r="FLR3" s="136"/>
      <c r="FLS3" s="136"/>
      <c r="FLT3" s="136"/>
      <c r="FLU3" s="136"/>
      <c r="FLV3" s="136"/>
      <c r="FLW3" s="136"/>
      <c r="FLX3" s="136"/>
      <c r="FLY3" s="136"/>
      <c r="FLZ3" s="136"/>
      <c r="FMA3" s="136"/>
      <c r="FMB3" s="136"/>
      <c r="FMC3" s="136"/>
      <c r="FMD3" s="136"/>
      <c r="FME3" s="136"/>
      <c r="FMF3" s="136"/>
      <c r="FMG3" s="136"/>
      <c r="FMH3" s="136"/>
      <c r="FMI3" s="136"/>
      <c r="FMJ3" s="136"/>
      <c r="FMK3" s="136"/>
      <c r="FML3" s="136"/>
      <c r="FMM3" s="136"/>
      <c r="FMN3" s="136"/>
      <c r="FMO3" s="136"/>
      <c r="FMP3" s="136"/>
      <c r="FMQ3" s="136"/>
      <c r="FMR3" s="136"/>
      <c r="FMS3" s="136"/>
      <c r="FMT3" s="136"/>
      <c r="FMU3" s="136"/>
      <c r="FMV3" s="136"/>
      <c r="FMW3" s="136"/>
      <c r="FMX3" s="136"/>
      <c r="FMY3" s="136"/>
      <c r="FMZ3" s="136"/>
      <c r="FNA3" s="136"/>
      <c r="FNB3" s="136"/>
      <c r="FNC3" s="136"/>
      <c r="FND3" s="136"/>
      <c r="FNE3" s="136"/>
      <c r="FNF3" s="136"/>
      <c r="FNG3" s="136"/>
      <c r="FNH3" s="136"/>
      <c r="FNI3" s="136"/>
      <c r="FNJ3" s="136"/>
      <c r="FNK3" s="136"/>
      <c r="FNL3" s="136"/>
      <c r="FNM3" s="136"/>
      <c r="FNN3" s="136"/>
      <c r="FNO3" s="136"/>
      <c r="FNP3" s="136"/>
      <c r="FNQ3" s="136"/>
      <c r="FNR3" s="136"/>
      <c r="FNS3" s="136"/>
      <c r="FNT3" s="136"/>
      <c r="FNU3" s="136"/>
      <c r="FNV3" s="136"/>
      <c r="FNW3" s="136"/>
      <c r="FNX3" s="136"/>
      <c r="FNY3" s="136"/>
      <c r="FNZ3" s="136"/>
      <c r="FOA3" s="136"/>
      <c r="FOB3" s="136"/>
      <c r="FOC3" s="136"/>
      <c r="FOD3" s="136"/>
      <c r="FOE3" s="136"/>
      <c r="FOF3" s="136"/>
      <c r="FOG3" s="136"/>
      <c r="FOH3" s="136"/>
      <c r="FOI3" s="136"/>
      <c r="FOJ3" s="136"/>
      <c r="FOK3" s="136"/>
      <c r="FOL3" s="136"/>
      <c r="FOM3" s="136"/>
      <c r="FON3" s="136"/>
      <c r="FOO3" s="136"/>
      <c r="FOP3" s="136"/>
      <c r="FOQ3" s="136"/>
      <c r="FOR3" s="136"/>
      <c r="FOS3" s="136"/>
      <c r="FOT3" s="136"/>
      <c r="FOU3" s="136"/>
      <c r="FOV3" s="136"/>
      <c r="FOW3" s="136"/>
      <c r="FOX3" s="136"/>
      <c r="FOY3" s="136"/>
      <c r="FOZ3" s="136"/>
      <c r="FPA3" s="136"/>
      <c r="FPB3" s="136"/>
      <c r="FPC3" s="136"/>
      <c r="FPD3" s="136"/>
      <c r="FPE3" s="136"/>
      <c r="FPF3" s="136"/>
      <c r="FPG3" s="136"/>
      <c r="FPH3" s="136"/>
      <c r="FPI3" s="136"/>
      <c r="FPJ3" s="136"/>
      <c r="FPK3" s="136"/>
      <c r="FPL3" s="136"/>
      <c r="FPM3" s="136"/>
      <c r="FPN3" s="136"/>
      <c r="FPO3" s="136"/>
      <c r="FPP3" s="136"/>
      <c r="FPQ3" s="136"/>
      <c r="FPR3" s="136"/>
      <c r="FPS3" s="136"/>
      <c r="FPT3" s="136"/>
      <c r="FPU3" s="136"/>
      <c r="FPV3" s="136"/>
      <c r="FPW3" s="136"/>
      <c r="FPX3" s="136"/>
      <c r="FPY3" s="136"/>
      <c r="FPZ3" s="136"/>
      <c r="FQA3" s="136"/>
      <c r="FQB3" s="136"/>
      <c r="FQC3" s="136"/>
      <c r="FQD3" s="136"/>
      <c r="FQE3" s="136"/>
      <c r="FQF3" s="136"/>
      <c r="FQG3" s="136"/>
      <c r="FQH3" s="136"/>
      <c r="FQI3" s="136"/>
      <c r="FQJ3" s="136"/>
      <c r="FQK3" s="136"/>
      <c r="FQL3" s="136"/>
      <c r="FQM3" s="136"/>
      <c r="FQN3" s="136"/>
      <c r="FQO3" s="136"/>
      <c r="FQP3" s="136"/>
      <c r="FQQ3" s="136"/>
      <c r="FQR3" s="136"/>
      <c r="FQS3" s="136"/>
      <c r="FQT3" s="136"/>
      <c r="FQU3" s="136"/>
      <c r="FQV3" s="136"/>
      <c r="FQW3" s="136"/>
      <c r="FQX3" s="136"/>
      <c r="FQY3" s="136"/>
      <c r="FQZ3" s="136"/>
      <c r="FRA3" s="136"/>
      <c r="FRB3" s="136"/>
      <c r="FRC3" s="136"/>
      <c r="FRD3" s="136"/>
      <c r="FRE3" s="136"/>
      <c r="FRF3" s="136"/>
      <c r="FRG3" s="136"/>
      <c r="FRH3" s="136"/>
      <c r="FRI3" s="136"/>
      <c r="FRJ3" s="136"/>
      <c r="FRK3" s="136"/>
      <c r="FRL3" s="136"/>
      <c r="FRM3" s="136"/>
      <c r="FRN3" s="136"/>
      <c r="FRO3" s="136"/>
      <c r="FRP3" s="136"/>
      <c r="FRQ3" s="136"/>
      <c r="FRR3" s="136"/>
      <c r="FRS3" s="136"/>
      <c r="FRT3" s="136"/>
      <c r="FRU3" s="136"/>
      <c r="FRV3" s="136"/>
      <c r="FRW3" s="136"/>
      <c r="FRX3" s="136"/>
      <c r="FRY3" s="136"/>
      <c r="FRZ3" s="136"/>
      <c r="FSA3" s="136"/>
      <c r="FSB3" s="136"/>
      <c r="FSC3" s="136"/>
      <c r="FSD3" s="136"/>
      <c r="FSE3" s="136"/>
      <c r="FSF3" s="136"/>
      <c r="FSG3" s="136"/>
      <c r="FSH3" s="136"/>
      <c r="FSI3" s="136"/>
      <c r="FSJ3" s="136"/>
      <c r="FSK3" s="136"/>
      <c r="FSL3" s="136"/>
      <c r="FSM3" s="136"/>
      <c r="FSN3" s="136"/>
      <c r="FSO3" s="136"/>
      <c r="FSP3" s="136"/>
      <c r="FSQ3" s="136"/>
      <c r="FSR3" s="136"/>
      <c r="FSS3" s="136"/>
      <c r="FST3" s="136"/>
      <c r="FSU3" s="136"/>
      <c r="FSV3" s="136"/>
      <c r="FSW3" s="136"/>
      <c r="FSX3" s="136"/>
      <c r="FSY3" s="136"/>
      <c r="FSZ3" s="136"/>
      <c r="FTA3" s="136"/>
      <c r="FTB3" s="136"/>
      <c r="FTC3" s="136"/>
      <c r="FTD3" s="136"/>
      <c r="FTE3" s="136"/>
      <c r="FTF3" s="136"/>
      <c r="FTG3" s="136"/>
      <c r="FTH3" s="136"/>
      <c r="FTI3" s="136"/>
      <c r="FTJ3" s="136"/>
      <c r="FTK3" s="136"/>
      <c r="FTL3" s="136"/>
      <c r="FTM3" s="136"/>
      <c r="FTN3" s="136"/>
      <c r="FTO3" s="136"/>
      <c r="FTP3" s="136"/>
      <c r="FTQ3" s="136"/>
      <c r="FTR3" s="136"/>
      <c r="FTS3" s="136"/>
      <c r="FTT3" s="136"/>
      <c r="FTU3" s="136"/>
      <c r="FTV3" s="136"/>
      <c r="FTW3" s="136"/>
      <c r="FTX3" s="136"/>
      <c r="FTY3" s="136"/>
      <c r="FTZ3" s="136"/>
      <c r="FUA3" s="136"/>
      <c r="FUB3" s="136"/>
      <c r="FUC3" s="136"/>
      <c r="FUD3" s="136"/>
      <c r="FUE3" s="136"/>
      <c r="FUF3" s="136"/>
      <c r="FUG3" s="136"/>
      <c r="FUH3" s="136"/>
      <c r="FUI3" s="136"/>
      <c r="FUJ3" s="136"/>
      <c r="FUK3" s="136"/>
      <c r="FUL3" s="136"/>
      <c r="FUM3" s="136"/>
      <c r="FUN3" s="136"/>
      <c r="FUO3" s="136"/>
      <c r="FUP3" s="136"/>
      <c r="FUQ3" s="136"/>
      <c r="FUR3" s="136"/>
      <c r="FUS3" s="136"/>
      <c r="FUT3" s="136"/>
      <c r="FUU3" s="136"/>
      <c r="FUV3" s="136"/>
      <c r="FUW3" s="136"/>
      <c r="FUX3" s="136"/>
      <c r="FUY3" s="136"/>
      <c r="FUZ3" s="136"/>
      <c r="FVA3" s="136"/>
      <c r="FVB3" s="136"/>
      <c r="FVC3" s="136"/>
      <c r="FVD3" s="136"/>
      <c r="FVE3" s="136"/>
      <c r="FVF3" s="136"/>
      <c r="FVG3" s="136"/>
      <c r="FVH3" s="136"/>
      <c r="FVI3" s="136"/>
      <c r="FVJ3" s="136"/>
      <c r="FVK3" s="136"/>
      <c r="FVL3" s="136"/>
      <c r="FVM3" s="136"/>
      <c r="FVN3" s="136"/>
      <c r="FVO3" s="136"/>
      <c r="FVP3" s="136"/>
      <c r="FVQ3" s="136"/>
      <c r="FVR3" s="136"/>
      <c r="FVS3" s="136"/>
      <c r="FVT3" s="136"/>
      <c r="FVU3" s="136"/>
      <c r="FVV3" s="136"/>
      <c r="FVW3" s="136"/>
      <c r="FVX3" s="136"/>
      <c r="FVY3" s="136"/>
      <c r="FVZ3" s="136"/>
      <c r="FWA3" s="136"/>
      <c r="FWB3" s="136"/>
      <c r="FWC3" s="136"/>
      <c r="FWD3" s="136"/>
      <c r="FWE3" s="136"/>
      <c r="FWF3" s="136"/>
      <c r="FWG3" s="136"/>
      <c r="FWH3" s="136"/>
      <c r="FWI3" s="136"/>
      <c r="FWJ3" s="136"/>
      <c r="FWK3" s="136"/>
      <c r="FWL3" s="136"/>
      <c r="FWM3" s="136"/>
      <c r="FWN3" s="136"/>
      <c r="FWO3" s="136"/>
      <c r="FWP3" s="136"/>
      <c r="FWQ3" s="136"/>
      <c r="FWR3" s="136"/>
      <c r="FWS3" s="136"/>
      <c r="FWT3" s="136"/>
      <c r="FWU3" s="136"/>
      <c r="FWV3" s="136"/>
      <c r="FWW3" s="136"/>
      <c r="FWX3" s="136"/>
      <c r="FWY3" s="136"/>
      <c r="FWZ3" s="136"/>
      <c r="FXA3" s="136"/>
      <c r="FXB3" s="136"/>
      <c r="FXC3" s="136"/>
      <c r="FXD3" s="136"/>
      <c r="FXE3" s="136"/>
      <c r="FXF3" s="136"/>
      <c r="FXG3" s="136"/>
      <c r="FXH3" s="136"/>
      <c r="FXI3" s="136"/>
      <c r="FXJ3" s="136"/>
      <c r="FXK3" s="136"/>
      <c r="FXL3" s="136"/>
      <c r="FXM3" s="136"/>
      <c r="FXN3" s="136"/>
      <c r="FXO3" s="136"/>
      <c r="FXP3" s="136"/>
      <c r="FXQ3" s="136"/>
      <c r="FXR3" s="136"/>
      <c r="FXS3" s="136"/>
      <c r="FXT3" s="136"/>
      <c r="FXU3" s="136"/>
      <c r="FXV3" s="136"/>
      <c r="FXW3" s="136"/>
      <c r="FXX3" s="136"/>
      <c r="FXY3" s="136"/>
      <c r="FXZ3" s="136"/>
      <c r="FYA3" s="136"/>
      <c r="FYB3" s="136"/>
      <c r="FYC3" s="136"/>
      <c r="FYD3" s="136"/>
      <c r="FYE3" s="136"/>
      <c r="FYF3" s="136"/>
      <c r="FYG3" s="136"/>
      <c r="FYH3" s="136"/>
      <c r="FYI3" s="136"/>
      <c r="FYJ3" s="136"/>
      <c r="FYK3" s="136"/>
      <c r="FYL3" s="136"/>
      <c r="FYM3" s="136"/>
      <c r="FYN3" s="136"/>
      <c r="FYO3" s="136"/>
      <c r="FYP3" s="136"/>
      <c r="FYQ3" s="136"/>
      <c r="FYR3" s="136"/>
      <c r="FYS3" s="136"/>
      <c r="FYT3" s="136"/>
      <c r="FYU3" s="136"/>
      <c r="FYV3" s="136"/>
      <c r="FYW3" s="136"/>
      <c r="FYX3" s="136"/>
      <c r="FYY3" s="136"/>
      <c r="FYZ3" s="136"/>
      <c r="FZA3" s="136"/>
      <c r="FZB3" s="136"/>
      <c r="FZC3" s="136"/>
      <c r="FZD3" s="136"/>
      <c r="FZE3" s="136"/>
      <c r="FZF3" s="136"/>
      <c r="FZG3" s="136"/>
      <c r="FZH3" s="136"/>
      <c r="FZI3" s="136"/>
      <c r="FZJ3" s="136"/>
      <c r="FZK3" s="136"/>
      <c r="FZL3" s="136"/>
      <c r="FZM3" s="136"/>
      <c r="FZN3" s="136"/>
      <c r="FZO3" s="136"/>
      <c r="FZP3" s="136"/>
      <c r="FZQ3" s="136"/>
      <c r="FZR3" s="136"/>
      <c r="FZS3" s="136"/>
      <c r="FZT3" s="136"/>
      <c r="FZU3" s="136"/>
      <c r="FZV3" s="136"/>
      <c r="FZW3" s="136"/>
      <c r="FZX3" s="136"/>
      <c r="FZY3" s="136"/>
      <c r="FZZ3" s="136"/>
      <c r="GAA3" s="136"/>
      <c r="GAB3" s="136"/>
      <c r="GAC3" s="136"/>
      <c r="GAD3" s="136"/>
      <c r="GAE3" s="136"/>
      <c r="GAF3" s="136"/>
      <c r="GAG3" s="136"/>
      <c r="GAH3" s="136"/>
      <c r="GAI3" s="136"/>
      <c r="GAJ3" s="136"/>
      <c r="GAK3" s="136"/>
      <c r="GAL3" s="136"/>
      <c r="GAM3" s="136"/>
      <c r="GAN3" s="136"/>
      <c r="GAO3" s="136"/>
      <c r="GAP3" s="136"/>
      <c r="GAQ3" s="136"/>
      <c r="GAR3" s="136"/>
      <c r="GAS3" s="136"/>
      <c r="GAT3" s="136"/>
      <c r="GAU3" s="136"/>
      <c r="GAV3" s="136"/>
      <c r="GAW3" s="136"/>
      <c r="GAX3" s="136"/>
      <c r="GAY3" s="136"/>
      <c r="GAZ3" s="136"/>
      <c r="GBA3" s="136"/>
      <c r="GBB3" s="136"/>
      <c r="GBC3" s="136"/>
      <c r="GBD3" s="136"/>
      <c r="GBE3" s="136"/>
      <c r="GBF3" s="136"/>
      <c r="GBG3" s="136"/>
      <c r="GBH3" s="136"/>
      <c r="GBI3" s="136"/>
      <c r="GBJ3" s="136"/>
      <c r="GBK3" s="136"/>
      <c r="GBL3" s="136"/>
      <c r="GBM3" s="136"/>
      <c r="GBN3" s="136"/>
      <c r="GBO3" s="136"/>
      <c r="GBP3" s="136"/>
      <c r="GBQ3" s="136"/>
      <c r="GBR3" s="136"/>
      <c r="GBS3" s="136"/>
      <c r="GBT3" s="136"/>
      <c r="GBU3" s="136"/>
      <c r="GBV3" s="136"/>
      <c r="GBW3" s="136"/>
      <c r="GBX3" s="136"/>
      <c r="GBY3" s="136"/>
      <c r="GBZ3" s="136"/>
      <c r="GCA3" s="136"/>
      <c r="GCB3" s="136"/>
      <c r="GCC3" s="136"/>
      <c r="GCD3" s="136"/>
      <c r="GCE3" s="136"/>
      <c r="GCF3" s="136"/>
      <c r="GCG3" s="136"/>
      <c r="GCH3" s="136"/>
      <c r="GCI3" s="136"/>
      <c r="GCJ3" s="136"/>
      <c r="GCK3" s="136"/>
      <c r="GCL3" s="136"/>
      <c r="GCM3" s="136"/>
      <c r="GCN3" s="136"/>
      <c r="GCO3" s="136"/>
      <c r="GCP3" s="136"/>
      <c r="GCQ3" s="136"/>
      <c r="GCR3" s="136"/>
      <c r="GCS3" s="136"/>
      <c r="GCT3" s="136"/>
      <c r="GCU3" s="136"/>
      <c r="GCV3" s="136"/>
      <c r="GCW3" s="136"/>
      <c r="GCX3" s="136"/>
      <c r="GCY3" s="136"/>
      <c r="GCZ3" s="136"/>
      <c r="GDA3" s="136"/>
      <c r="GDB3" s="136"/>
      <c r="GDC3" s="136"/>
      <c r="GDD3" s="136"/>
      <c r="GDE3" s="136"/>
      <c r="GDF3" s="136"/>
      <c r="GDG3" s="136"/>
      <c r="GDH3" s="136"/>
      <c r="GDI3" s="136"/>
      <c r="GDJ3" s="136"/>
      <c r="GDK3" s="136"/>
      <c r="GDL3" s="136"/>
      <c r="GDM3" s="136"/>
      <c r="GDN3" s="136"/>
      <c r="GDO3" s="136"/>
      <c r="GDP3" s="136"/>
      <c r="GDQ3" s="136"/>
      <c r="GDR3" s="136"/>
      <c r="GDS3" s="136"/>
      <c r="GDT3" s="136"/>
      <c r="GDU3" s="136"/>
      <c r="GDV3" s="136"/>
      <c r="GDW3" s="136"/>
      <c r="GDX3" s="136"/>
      <c r="GDY3" s="136"/>
      <c r="GDZ3" s="136"/>
      <c r="GEA3" s="136"/>
      <c r="GEB3" s="136"/>
      <c r="GEC3" s="136"/>
      <c r="GED3" s="136"/>
      <c r="GEE3" s="136"/>
      <c r="GEF3" s="136"/>
      <c r="GEG3" s="136"/>
      <c r="GEH3" s="136"/>
      <c r="GEI3" s="136"/>
      <c r="GEJ3" s="136"/>
      <c r="GEK3" s="136"/>
      <c r="GEL3" s="136"/>
      <c r="GEM3" s="136"/>
      <c r="GEN3" s="136"/>
      <c r="GEO3" s="136"/>
      <c r="GEP3" s="136"/>
      <c r="GEQ3" s="136"/>
      <c r="GER3" s="136"/>
      <c r="GES3" s="136"/>
      <c r="GET3" s="136"/>
      <c r="GEU3" s="136"/>
      <c r="GEV3" s="136"/>
      <c r="GEW3" s="136"/>
      <c r="GEX3" s="136"/>
      <c r="GEY3" s="136"/>
      <c r="GEZ3" s="136"/>
      <c r="GFA3" s="136"/>
      <c r="GFB3" s="136"/>
      <c r="GFC3" s="136"/>
      <c r="GFD3" s="136"/>
      <c r="GFE3" s="136"/>
      <c r="GFF3" s="136"/>
      <c r="GFG3" s="136"/>
      <c r="GFH3" s="136"/>
      <c r="GFI3" s="136"/>
      <c r="GFJ3" s="136"/>
      <c r="GFK3" s="136"/>
      <c r="GFL3" s="136"/>
      <c r="GFM3" s="136"/>
      <c r="GFN3" s="136"/>
      <c r="GFO3" s="136"/>
      <c r="GFP3" s="136"/>
      <c r="GFQ3" s="136"/>
      <c r="GFR3" s="136"/>
      <c r="GFS3" s="136"/>
      <c r="GFT3" s="136"/>
      <c r="GFU3" s="136"/>
      <c r="GFV3" s="136"/>
      <c r="GFW3" s="136"/>
      <c r="GFX3" s="136"/>
      <c r="GFY3" s="136"/>
      <c r="GFZ3" s="136"/>
      <c r="GGA3" s="136"/>
      <c r="GGB3" s="136"/>
      <c r="GGC3" s="136"/>
      <c r="GGD3" s="136"/>
      <c r="GGE3" s="136"/>
      <c r="GGF3" s="136"/>
      <c r="GGG3" s="136"/>
      <c r="GGH3" s="136"/>
      <c r="GGI3" s="136"/>
      <c r="GGJ3" s="136"/>
      <c r="GGK3" s="136"/>
      <c r="GGL3" s="136"/>
      <c r="GGM3" s="136"/>
      <c r="GGN3" s="136"/>
      <c r="GGO3" s="136"/>
      <c r="GGP3" s="136"/>
      <c r="GGQ3" s="136"/>
      <c r="GGR3" s="136"/>
      <c r="GGS3" s="136"/>
      <c r="GGT3" s="136"/>
      <c r="GGU3" s="136"/>
      <c r="GGV3" s="136"/>
      <c r="GGW3" s="136"/>
      <c r="GGX3" s="136"/>
      <c r="GGY3" s="136"/>
      <c r="GGZ3" s="136"/>
      <c r="GHA3" s="136"/>
      <c r="GHB3" s="136"/>
      <c r="GHC3" s="136"/>
      <c r="GHD3" s="136"/>
      <c r="GHE3" s="136"/>
      <c r="GHF3" s="136"/>
      <c r="GHG3" s="136"/>
      <c r="GHH3" s="136"/>
      <c r="GHI3" s="136"/>
      <c r="GHJ3" s="136"/>
      <c r="GHK3" s="136"/>
      <c r="GHL3" s="136"/>
      <c r="GHM3" s="136"/>
      <c r="GHN3" s="136"/>
      <c r="GHO3" s="136"/>
      <c r="GHP3" s="136"/>
      <c r="GHQ3" s="136"/>
      <c r="GHR3" s="136"/>
      <c r="GHS3" s="136"/>
      <c r="GHT3" s="136"/>
      <c r="GHU3" s="136"/>
      <c r="GHV3" s="136"/>
      <c r="GHW3" s="136"/>
      <c r="GHX3" s="136"/>
      <c r="GHY3" s="136"/>
      <c r="GHZ3" s="136"/>
      <c r="GIA3" s="136"/>
      <c r="GIB3" s="136"/>
      <c r="GIC3" s="136"/>
      <c r="GID3" s="136"/>
      <c r="GIE3" s="136"/>
      <c r="GIF3" s="136"/>
      <c r="GIG3" s="136"/>
      <c r="GIH3" s="136"/>
      <c r="GII3" s="136"/>
      <c r="GIJ3" s="136"/>
      <c r="GIK3" s="136"/>
      <c r="GIL3" s="136"/>
      <c r="GIM3" s="136"/>
      <c r="GIN3" s="136"/>
      <c r="GIO3" s="136"/>
      <c r="GIP3" s="136"/>
      <c r="GIQ3" s="136"/>
      <c r="GIR3" s="136"/>
      <c r="GIS3" s="136"/>
      <c r="GIT3" s="136"/>
      <c r="GIU3" s="136"/>
      <c r="GIV3" s="136"/>
      <c r="GIW3" s="136"/>
      <c r="GIX3" s="136"/>
      <c r="GIY3" s="136"/>
      <c r="GIZ3" s="136"/>
      <c r="GJA3" s="136"/>
      <c r="GJB3" s="136"/>
      <c r="GJC3" s="136"/>
      <c r="GJD3" s="136"/>
      <c r="GJE3" s="136"/>
      <c r="GJF3" s="136"/>
      <c r="GJG3" s="136"/>
      <c r="GJH3" s="136"/>
      <c r="GJI3" s="136"/>
      <c r="GJJ3" s="136"/>
      <c r="GJK3" s="136"/>
      <c r="GJL3" s="136"/>
      <c r="GJM3" s="136"/>
      <c r="GJN3" s="136"/>
      <c r="GJO3" s="136"/>
      <c r="GJP3" s="136"/>
      <c r="GJQ3" s="136"/>
      <c r="GJR3" s="136"/>
      <c r="GJS3" s="136"/>
      <c r="GJT3" s="136"/>
      <c r="GJU3" s="136"/>
      <c r="GJV3" s="136"/>
      <c r="GJW3" s="136"/>
      <c r="GJX3" s="136"/>
      <c r="GJY3" s="136"/>
      <c r="GJZ3" s="136"/>
      <c r="GKA3" s="136"/>
      <c r="GKB3" s="136"/>
      <c r="GKC3" s="136"/>
      <c r="GKD3" s="136"/>
      <c r="GKE3" s="136"/>
      <c r="GKF3" s="136"/>
      <c r="GKG3" s="136"/>
      <c r="GKH3" s="136"/>
      <c r="GKI3" s="136"/>
      <c r="GKJ3" s="136"/>
      <c r="GKK3" s="136"/>
      <c r="GKL3" s="136"/>
      <c r="GKM3" s="136"/>
      <c r="GKN3" s="136"/>
      <c r="GKO3" s="136"/>
      <c r="GKP3" s="136"/>
      <c r="GKQ3" s="136"/>
      <c r="GKR3" s="136"/>
      <c r="GKS3" s="136"/>
      <c r="GKT3" s="136"/>
      <c r="GKU3" s="136"/>
      <c r="GKV3" s="136"/>
      <c r="GKW3" s="136"/>
      <c r="GKX3" s="136"/>
      <c r="GKY3" s="136"/>
      <c r="GKZ3" s="136"/>
      <c r="GLA3" s="136"/>
      <c r="GLB3" s="136"/>
      <c r="GLC3" s="136"/>
      <c r="GLD3" s="136"/>
      <c r="GLE3" s="136"/>
      <c r="GLF3" s="136"/>
      <c r="GLG3" s="136"/>
      <c r="GLH3" s="136"/>
      <c r="GLI3" s="136"/>
      <c r="GLJ3" s="136"/>
      <c r="GLK3" s="136"/>
      <c r="GLL3" s="136"/>
      <c r="GLM3" s="136"/>
      <c r="GLN3" s="136"/>
      <c r="GLO3" s="136"/>
      <c r="GLP3" s="136"/>
      <c r="GLQ3" s="136"/>
      <c r="GLR3" s="136"/>
      <c r="GLS3" s="136"/>
      <c r="GLT3" s="136"/>
      <c r="GLU3" s="136"/>
      <c r="GLV3" s="136"/>
      <c r="GLW3" s="136"/>
      <c r="GLX3" s="136"/>
      <c r="GLY3" s="136"/>
      <c r="GLZ3" s="136"/>
      <c r="GMA3" s="136"/>
      <c r="GMB3" s="136"/>
      <c r="GMC3" s="136"/>
      <c r="GMD3" s="136"/>
      <c r="GME3" s="136"/>
      <c r="GMF3" s="136"/>
      <c r="GMG3" s="136"/>
      <c r="GMH3" s="136"/>
      <c r="GMI3" s="136"/>
      <c r="GMJ3" s="136"/>
      <c r="GMK3" s="136"/>
      <c r="GML3" s="136"/>
      <c r="GMM3" s="136"/>
      <c r="GMN3" s="136"/>
      <c r="GMO3" s="136"/>
      <c r="GMP3" s="136"/>
      <c r="GMQ3" s="136"/>
      <c r="GMR3" s="136"/>
      <c r="GMS3" s="136"/>
      <c r="GMT3" s="136"/>
      <c r="GMU3" s="136"/>
      <c r="GMV3" s="136"/>
      <c r="GMW3" s="136"/>
      <c r="GMX3" s="136"/>
      <c r="GMY3" s="136"/>
      <c r="GMZ3" s="136"/>
      <c r="GNA3" s="136"/>
      <c r="GNB3" s="136"/>
      <c r="GNC3" s="136"/>
      <c r="GND3" s="136"/>
      <c r="GNE3" s="136"/>
      <c r="GNF3" s="136"/>
      <c r="GNG3" s="136"/>
      <c r="GNH3" s="136"/>
      <c r="GNI3" s="136"/>
      <c r="GNJ3" s="136"/>
      <c r="GNK3" s="136"/>
      <c r="GNL3" s="136"/>
      <c r="GNM3" s="136"/>
      <c r="GNN3" s="136"/>
      <c r="GNO3" s="136"/>
      <c r="GNP3" s="136"/>
      <c r="GNQ3" s="136"/>
      <c r="GNR3" s="136"/>
      <c r="GNS3" s="136"/>
      <c r="GNT3" s="136"/>
      <c r="GNU3" s="136"/>
      <c r="GNV3" s="136"/>
      <c r="GNW3" s="136"/>
      <c r="GNX3" s="136"/>
      <c r="GNY3" s="136"/>
      <c r="GNZ3" s="136"/>
      <c r="GOA3" s="136"/>
      <c r="GOB3" s="136"/>
      <c r="GOC3" s="136"/>
      <c r="GOD3" s="136"/>
      <c r="GOE3" s="136"/>
      <c r="GOF3" s="136"/>
      <c r="GOG3" s="136"/>
      <c r="GOH3" s="136"/>
      <c r="GOI3" s="136"/>
      <c r="GOJ3" s="136"/>
      <c r="GOK3" s="136"/>
      <c r="GOL3" s="136"/>
      <c r="GOM3" s="136"/>
      <c r="GON3" s="136"/>
      <c r="GOO3" s="136"/>
      <c r="GOP3" s="136"/>
      <c r="GOQ3" s="136"/>
      <c r="GOR3" s="136"/>
      <c r="GOS3" s="136"/>
      <c r="GOT3" s="136"/>
      <c r="GOU3" s="136"/>
      <c r="GOV3" s="136"/>
      <c r="GOW3" s="136"/>
      <c r="GOX3" s="136"/>
      <c r="GOY3" s="136"/>
      <c r="GOZ3" s="136"/>
      <c r="GPA3" s="136"/>
      <c r="GPB3" s="136"/>
      <c r="GPC3" s="136"/>
      <c r="GPD3" s="136"/>
      <c r="GPE3" s="136"/>
      <c r="GPF3" s="136"/>
      <c r="GPG3" s="136"/>
      <c r="GPH3" s="136"/>
      <c r="GPI3" s="136"/>
      <c r="GPJ3" s="136"/>
      <c r="GPK3" s="136"/>
      <c r="GPL3" s="136"/>
      <c r="GPM3" s="136"/>
      <c r="GPN3" s="136"/>
      <c r="GPO3" s="136"/>
      <c r="GPP3" s="136"/>
      <c r="GPQ3" s="136"/>
      <c r="GPR3" s="136"/>
      <c r="GPS3" s="136"/>
      <c r="GPT3" s="136"/>
      <c r="GPU3" s="136"/>
      <c r="GPV3" s="136"/>
      <c r="GPW3" s="136"/>
      <c r="GPX3" s="136"/>
      <c r="GPY3" s="136"/>
      <c r="GPZ3" s="136"/>
      <c r="GQA3" s="136"/>
      <c r="GQB3" s="136"/>
      <c r="GQC3" s="136"/>
      <c r="GQD3" s="136"/>
      <c r="GQE3" s="136"/>
      <c r="GQF3" s="136"/>
      <c r="GQG3" s="136"/>
      <c r="GQH3" s="136"/>
      <c r="GQI3" s="136"/>
      <c r="GQJ3" s="136"/>
      <c r="GQK3" s="136"/>
      <c r="GQL3" s="136"/>
      <c r="GQM3" s="136"/>
      <c r="GQN3" s="136"/>
      <c r="GQO3" s="136"/>
      <c r="GQP3" s="136"/>
      <c r="GQQ3" s="136"/>
      <c r="GQR3" s="136"/>
      <c r="GQS3" s="136"/>
      <c r="GQT3" s="136"/>
      <c r="GQU3" s="136"/>
      <c r="GQV3" s="136"/>
      <c r="GQW3" s="136"/>
      <c r="GQX3" s="136"/>
      <c r="GQY3" s="136"/>
      <c r="GQZ3" s="136"/>
      <c r="GRA3" s="136"/>
      <c r="GRB3" s="136"/>
      <c r="GRC3" s="136"/>
      <c r="GRD3" s="136"/>
      <c r="GRE3" s="136"/>
      <c r="GRF3" s="136"/>
      <c r="GRG3" s="136"/>
      <c r="GRH3" s="136"/>
      <c r="GRI3" s="136"/>
      <c r="GRJ3" s="136"/>
      <c r="GRK3" s="136"/>
      <c r="GRL3" s="136"/>
      <c r="GRM3" s="136"/>
      <c r="GRN3" s="136"/>
      <c r="GRO3" s="136"/>
      <c r="GRP3" s="136"/>
      <c r="GRQ3" s="136"/>
      <c r="GRR3" s="136"/>
      <c r="GRS3" s="136"/>
      <c r="GRT3" s="136"/>
      <c r="GRU3" s="136"/>
      <c r="GRV3" s="136"/>
      <c r="GRW3" s="136"/>
      <c r="GRX3" s="136"/>
      <c r="GRY3" s="136"/>
      <c r="GRZ3" s="136"/>
      <c r="GSA3" s="136"/>
      <c r="GSB3" s="136"/>
      <c r="GSC3" s="136"/>
      <c r="GSD3" s="136"/>
      <c r="GSE3" s="136"/>
      <c r="GSF3" s="136"/>
      <c r="GSG3" s="136"/>
      <c r="GSH3" s="136"/>
      <c r="GSI3" s="136"/>
      <c r="GSJ3" s="136"/>
      <c r="GSK3" s="136"/>
      <c r="GSL3" s="136"/>
      <c r="GSM3" s="136"/>
      <c r="GSN3" s="136"/>
      <c r="GSO3" s="136"/>
      <c r="GSP3" s="136"/>
      <c r="GSQ3" s="136"/>
      <c r="GSR3" s="136"/>
      <c r="GSS3" s="136"/>
      <c r="GST3" s="136"/>
      <c r="GSU3" s="136"/>
      <c r="GSV3" s="136"/>
      <c r="GSW3" s="136"/>
      <c r="GSX3" s="136"/>
      <c r="GSY3" s="136"/>
      <c r="GSZ3" s="136"/>
      <c r="GTA3" s="136"/>
      <c r="GTB3" s="136"/>
      <c r="GTC3" s="136"/>
      <c r="GTD3" s="136"/>
      <c r="GTE3" s="136"/>
      <c r="GTF3" s="136"/>
      <c r="GTG3" s="136"/>
      <c r="GTH3" s="136"/>
      <c r="GTI3" s="136"/>
      <c r="GTJ3" s="136"/>
      <c r="GTK3" s="136"/>
      <c r="GTL3" s="136"/>
      <c r="GTM3" s="136"/>
      <c r="GTN3" s="136"/>
      <c r="GTO3" s="136"/>
      <c r="GTP3" s="136"/>
      <c r="GTQ3" s="136"/>
      <c r="GTR3" s="136"/>
      <c r="GTS3" s="136"/>
      <c r="GTT3" s="136"/>
      <c r="GTU3" s="136"/>
      <c r="GTV3" s="136"/>
      <c r="GTW3" s="136"/>
      <c r="GTX3" s="136"/>
      <c r="GTY3" s="136"/>
      <c r="GTZ3" s="136"/>
      <c r="GUA3" s="136"/>
      <c r="GUB3" s="136"/>
      <c r="GUC3" s="136"/>
      <c r="GUD3" s="136"/>
      <c r="GUE3" s="136"/>
      <c r="GUF3" s="136"/>
      <c r="GUG3" s="136"/>
      <c r="GUH3" s="136"/>
      <c r="GUI3" s="136"/>
      <c r="GUJ3" s="136"/>
      <c r="GUK3" s="136"/>
      <c r="GUL3" s="136"/>
      <c r="GUM3" s="136"/>
      <c r="GUN3" s="136"/>
      <c r="GUO3" s="136"/>
      <c r="GUP3" s="136"/>
      <c r="GUQ3" s="136"/>
      <c r="GUR3" s="136"/>
      <c r="GUS3" s="136"/>
      <c r="GUT3" s="136"/>
      <c r="GUU3" s="136"/>
      <c r="GUV3" s="136"/>
      <c r="GUW3" s="136"/>
      <c r="GUX3" s="136"/>
      <c r="GUY3" s="136"/>
      <c r="GUZ3" s="136"/>
      <c r="GVA3" s="136"/>
      <c r="GVB3" s="136"/>
      <c r="GVC3" s="136"/>
      <c r="GVD3" s="136"/>
      <c r="GVE3" s="136"/>
      <c r="GVF3" s="136"/>
      <c r="GVG3" s="136"/>
      <c r="GVH3" s="136"/>
      <c r="GVI3" s="136"/>
      <c r="GVJ3" s="136"/>
      <c r="GVK3" s="136"/>
      <c r="GVL3" s="136"/>
      <c r="GVM3" s="136"/>
      <c r="GVN3" s="136"/>
      <c r="GVO3" s="136"/>
      <c r="GVP3" s="136"/>
      <c r="GVQ3" s="136"/>
      <c r="GVR3" s="136"/>
      <c r="GVS3" s="136"/>
      <c r="GVT3" s="136"/>
      <c r="GVU3" s="136"/>
      <c r="GVV3" s="136"/>
      <c r="GVW3" s="136"/>
      <c r="GVX3" s="136"/>
      <c r="GVY3" s="136"/>
      <c r="GVZ3" s="136"/>
      <c r="GWA3" s="136"/>
      <c r="GWB3" s="136"/>
      <c r="GWC3" s="136"/>
      <c r="GWD3" s="136"/>
      <c r="GWE3" s="136"/>
      <c r="GWF3" s="136"/>
      <c r="GWG3" s="136"/>
      <c r="GWH3" s="136"/>
      <c r="GWI3" s="136"/>
      <c r="GWJ3" s="136"/>
      <c r="GWK3" s="136"/>
      <c r="GWL3" s="136"/>
      <c r="GWM3" s="136"/>
      <c r="GWN3" s="136"/>
      <c r="GWO3" s="136"/>
      <c r="GWP3" s="136"/>
      <c r="GWQ3" s="136"/>
      <c r="GWR3" s="136"/>
      <c r="GWS3" s="136"/>
      <c r="GWT3" s="136"/>
      <c r="GWU3" s="136"/>
      <c r="GWV3" s="136"/>
      <c r="GWW3" s="136"/>
      <c r="GWX3" s="136"/>
      <c r="GWY3" s="136"/>
      <c r="GWZ3" s="136"/>
      <c r="GXA3" s="136"/>
      <c r="GXB3" s="136"/>
      <c r="GXC3" s="136"/>
      <c r="GXD3" s="136"/>
      <c r="GXE3" s="136"/>
      <c r="GXF3" s="136"/>
      <c r="GXG3" s="136"/>
      <c r="GXH3" s="136"/>
      <c r="GXI3" s="136"/>
      <c r="GXJ3" s="136"/>
      <c r="GXK3" s="136"/>
      <c r="GXL3" s="136"/>
      <c r="GXM3" s="136"/>
      <c r="GXN3" s="136"/>
      <c r="GXO3" s="136"/>
      <c r="GXP3" s="136"/>
      <c r="GXQ3" s="136"/>
      <c r="GXR3" s="136"/>
      <c r="GXS3" s="136"/>
      <c r="GXT3" s="136"/>
      <c r="GXU3" s="136"/>
      <c r="GXV3" s="136"/>
      <c r="GXW3" s="136"/>
      <c r="GXX3" s="136"/>
      <c r="GXY3" s="136"/>
      <c r="GXZ3" s="136"/>
      <c r="GYA3" s="136"/>
      <c r="GYB3" s="136"/>
      <c r="GYC3" s="136"/>
      <c r="GYD3" s="136"/>
      <c r="GYE3" s="136"/>
      <c r="GYF3" s="136"/>
      <c r="GYG3" s="136"/>
      <c r="GYH3" s="136"/>
      <c r="GYI3" s="136"/>
      <c r="GYJ3" s="136"/>
      <c r="GYK3" s="136"/>
      <c r="GYL3" s="136"/>
      <c r="GYM3" s="136"/>
      <c r="GYN3" s="136"/>
      <c r="GYO3" s="136"/>
      <c r="GYP3" s="136"/>
      <c r="GYQ3" s="136"/>
      <c r="GYR3" s="136"/>
      <c r="GYS3" s="136"/>
      <c r="GYT3" s="136"/>
      <c r="GYU3" s="136"/>
      <c r="GYV3" s="136"/>
      <c r="GYW3" s="136"/>
      <c r="GYX3" s="136"/>
      <c r="GYY3" s="136"/>
      <c r="GYZ3" s="136"/>
      <c r="GZA3" s="136"/>
      <c r="GZB3" s="136"/>
      <c r="GZC3" s="136"/>
      <c r="GZD3" s="136"/>
      <c r="GZE3" s="136"/>
      <c r="GZF3" s="136"/>
      <c r="GZG3" s="136"/>
      <c r="GZH3" s="136"/>
      <c r="GZI3" s="136"/>
      <c r="GZJ3" s="136"/>
      <c r="GZK3" s="136"/>
      <c r="GZL3" s="136"/>
      <c r="GZM3" s="136"/>
      <c r="GZN3" s="136"/>
      <c r="GZO3" s="136"/>
      <c r="GZP3" s="136"/>
      <c r="GZQ3" s="136"/>
      <c r="GZR3" s="136"/>
      <c r="GZS3" s="136"/>
      <c r="GZT3" s="136"/>
      <c r="GZU3" s="136"/>
      <c r="GZV3" s="136"/>
      <c r="GZW3" s="136"/>
      <c r="GZX3" s="136"/>
      <c r="GZY3" s="136"/>
      <c r="GZZ3" s="136"/>
      <c r="HAA3" s="136"/>
      <c r="HAB3" s="136"/>
      <c r="HAC3" s="136"/>
      <c r="HAD3" s="136"/>
      <c r="HAE3" s="136"/>
      <c r="HAF3" s="136"/>
      <c r="HAG3" s="136"/>
      <c r="HAH3" s="136"/>
      <c r="HAI3" s="136"/>
      <c r="HAJ3" s="136"/>
      <c r="HAK3" s="136"/>
      <c r="HAL3" s="136"/>
      <c r="HAM3" s="136"/>
      <c r="HAN3" s="136"/>
      <c r="HAO3" s="136"/>
      <c r="HAP3" s="136"/>
      <c r="HAQ3" s="136"/>
      <c r="HAR3" s="136"/>
      <c r="HAS3" s="136"/>
      <c r="HAT3" s="136"/>
      <c r="HAU3" s="136"/>
      <c r="HAV3" s="136"/>
      <c r="HAW3" s="136"/>
      <c r="HAX3" s="136"/>
      <c r="HAY3" s="136"/>
      <c r="HAZ3" s="136"/>
      <c r="HBA3" s="136"/>
      <c r="HBB3" s="136"/>
      <c r="HBC3" s="136"/>
      <c r="HBD3" s="136"/>
      <c r="HBE3" s="136"/>
      <c r="HBF3" s="136"/>
      <c r="HBG3" s="136"/>
      <c r="HBH3" s="136"/>
      <c r="HBI3" s="136"/>
      <c r="HBJ3" s="136"/>
      <c r="HBK3" s="136"/>
      <c r="HBL3" s="136"/>
      <c r="HBM3" s="136"/>
      <c r="HBN3" s="136"/>
      <c r="HBO3" s="136"/>
      <c r="HBP3" s="136"/>
      <c r="HBQ3" s="136"/>
      <c r="HBR3" s="136"/>
      <c r="HBS3" s="136"/>
      <c r="HBT3" s="136"/>
      <c r="HBU3" s="136"/>
      <c r="HBV3" s="136"/>
      <c r="HBW3" s="136"/>
      <c r="HBX3" s="136"/>
      <c r="HBY3" s="136"/>
      <c r="HBZ3" s="136"/>
      <c r="HCA3" s="136"/>
      <c r="HCB3" s="136"/>
      <c r="HCC3" s="136"/>
      <c r="HCD3" s="136"/>
      <c r="HCE3" s="136"/>
      <c r="HCF3" s="136"/>
      <c r="HCG3" s="136"/>
      <c r="HCH3" s="136"/>
      <c r="HCI3" s="136"/>
      <c r="HCJ3" s="136"/>
      <c r="HCK3" s="136"/>
      <c r="HCL3" s="136"/>
      <c r="HCM3" s="136"/>
      <c r="HCN3" s="136"/>
      <c r="HCO3" s="136"/>
      <c r="HCP3" s="136"/>
      <c r="HCQ3" s="136"/>
      <c r="HCR3" s="136"/>
      <c r="HCS3" s="136"/>
      <c r="HCT3" s="136"/>
      <c r="HCU3" s="136"/>
      <c r="HCV3" s="136"/>
      <c r="HCW3" s="136"/>
      <c r="HCX3" s="136"/>
      <c r="HCY3" s="136"/>
      <c r="HCZ3" s="136"/>
      <c r="HDA3" s="136"/>
      <c r="HDB3" s="136"/>
      <c r="HDC3" s="136"/>
      <c r="HDD3" s="136"/>
      <c r="HDE3" s="136"/>
      <c r="HDF3" s="136"/>
      <c r="HDG3" s="136"/>
      <c r="HDH3" s="136"/>
      <c r="HDI3" s="136"/>
      <c r="HDJ3" s="136"/>
      <c r="HDK3" s="136"/>
      <c r="HDL3" s="136"/>
      <c r="HDM3" s="136"/>
      <c r="HDN3" s="136"/>
      <c r="HDO3" s="136"/>
      <c r="HDP3" s="136"/>
      <c r="HDQ3" s="136"/>
      <c r="HDR3" s="136"/>
      <c r="HDS3" s="136"/>
      <c r="HDT3" s="136"/>
      <c r="HDU3" s="136"/>
      <c r="HDV3" s="136"/>
      <c r="HDW3" s="136"/>
      <c r="HDX3" s="136"/>
      <c r="HDY3" s="136"/>
      <c r="HDZ3" s="136"/>
      <c r="HEA3" s="136"/>
      <c r="HEB3" s="136"/>
      <c r="HEC3" s="136"/>
      <c r="HED3" s="136"/>
      <c r="HEE3" s="136"/>
      <c r="HEF3" s="136"/>
      <c r="HEG3" s="136"/>
      <c r="HEH3" s="136"/>
      <c r="HEI3" s="136"/>
      <c r="HEJ3" s="136"/>
      <c r="HEK3" s="136"/>
      <c r="HEL3" s="136"/>
      <c r="HEM3" s="136"/>
      <c r="HEN3" s="136"/>
      <c r="HEO3" s="136"/>
      <c r="HEP3" s="136"/>
      <c r="HEQ3" s="136"/>
      <c r="HER3" s="136"/>
      <c r="HES3" s="136"/>
      <c r="HET3" s="136"/>
      <c r="HEU3" s="136"/>
      <c r="HEV3" s="136"/>
      <c r="HEW3" s="136"/>
      <c r="HEX3" s="136"/>
      <c r="HEY3" s="136"/>
      <c r="HEZ3" s="136"/>
      <c r="HFA3" s="136"/>
      <c r="HFB3" s="136"/>
      <c r="HFC3" s="136"/>
      <c r="HFD3" s="136"/>
      <c r="HFE3" s="136"/>
      <c r="HFF3" s="136"/>
      <c r="HFG3" s="136"/>
      <c r="HFH3" s="136"/>
      <c r="HFI3" s="136"/>
      <c r="HFJ3" s="136"/>
      <c r="HFK3" s="136"/>
      <c r="HFL3" s="136"/>
      <c r="HFM3" s="136"/>
      <c r="HFN3" s="136"/>
      <c r="HFO3" s="136"/>
      <c r="HFP3" s="136"/>
      <c r="HFQ3" s="136"/>
      <c r="HFR3" s="136"/>
      <c r="HFS3" s="136"/>
      <c r="HFT3" s="136"/>
      <c r="HFU3" s="136"/>
      <c r="HFV3" s="136"/>
      <c r="HFW3" s="136"/>
      <c r="HFX3" s="136"/>
      <c r="HFY3" s="136"/>
      <c r="HFZ3" s="136"/>
      <c r="HGA3" s="136"/>
      <c r="HGB3" s="136"/>
      <c r="HGC3" s="136"/>
      <c r="HGD3" s="136"/>
      <c r="HGE3" s="136"/>
      <c r="HGF3" s="136"/>
      <c r="HGG3" s="136"/>
      <c r="HGH3" s="136"/>
      <c r="HGI3" s="136"/>
      <c r="HGJ3" s="136"/>
      <c r="HGK3" s="136"/>
      <c r="HGL3" s="136"/>
      <c r="HGM3" s="136"/>
      <c r="HGN3" s="136"/>
      <c r="HGO3" s="136"/>
      <c r="HGP3" s="136"/>
      <c r="HGQ3" s="136"/>
      <c r="HGR3" s="136"/>
      <c r="HGS3" s="136"/>
      <c r="HGT3" s="136"/>
      <c r="HGU3" s="136"/>
      <c r="HGV3" s="136"/>
      <c r="HGW3" s="136"/>
      <c r="HGX3" s="136"/>
      <c r="HGY3" s="136"/>
      <c r="HGZ3" s="136"/>
      <c r="HHA3" s="136"/>
      <c r="HHB3" s="136"/>
      <c r="HHC3" s="136"/>
      <c r="HHD3" s="136"/>
      <c r="HHE3" s="136"/>
      <c r="HHF3" s="136"/>
      <c r="HHG3" s="136"/>
      <c r="HHH3" s="136"/>
      <c r="HHI3" s="136"/>
      <c r="HHJ3" s="136"/>
      <c r="HHK3" s="136"/>
      <c r="HHL3" s="136"/>
      <c r="HHM3" s="136"/>
      <c r="HHN3" s="136"/>
      <c r="HHO3" s="136"/>
      <c r="HHP3" s="136"/>
      <c r="HHQ3" s="136"/>
      <c r="HHR3" s="136"/>
      <c r="HHS3" s="136"/>
      <c r="HHT3" s="136"/>
      <c r="HHU3" s="136"/>
      <c r="HHV3" s="136"/>
      <c r="HHW3" s="136"/>
      <c r="HHX3" s="136"/>
      <c r="HHY3" s="136"/>
      <c r="HHZ3" s="136"/>
      <c r="HIA3" s="136"/>
      <c r="HIB3" s="136"/>
      <c r="HIC3" s="136"/>
      <c r="HID3" s="136"/>
      <c r="HIE3" s="136"/>
      <c r="HIF3" s="136"/>
      <c r="HIG3" s="136"/>
      <c r="HIH3" s="136"/>
      <c r="HII3" s="136"/>
      <c r="HIJ3" s="136"/>
      <c r="HIK3" s="136"/>
      <c r="HIL3" s="136"/>
      <c r="HIM3" s="136"/>
      <c r="HIN3" s="136"/>
      <c r="HIO3" s="136"/>
      <c r="HIP3" s="136"/>
      <c r="HIQ3" s="136"/>
      <c r="HIR3" s="136"/>
      <c r="HIS3" s="136"/>
      <c r="HIT3" s="136"/>
      <c r="HIU3" s="136"/>
      <c r="HIV3" s="136"/>
      <c r="HIW3" s="136"/>
      <c r="HIX3" s="136"/>
      <c r="HIY3" s="136"/>
      <c r="HIZ3" s="136"/>
      <c r="HJA3" s="136"/>
      <c r="HJB3" s="136"/>
      <c r="HJC3" s="136"/>
      <c r="HJD3" s="136"/>
      <c r="HJE3" s="136"/>
      <c r="HJF3" s="136"/>
      <c r="HJG3" s="136"/>
      <c r="HJH3" s="136"/>
      <c r="HJI3" s="136"/>
      <c r="HJJ3" s="136"/>
      <c r="HJK3" s="136"/>
      <c r="HJL3" s="136"/>
      <c r="HJM3" s="136"/>
      <c r="HJN3" s="136"/>
      <c r="HJO3" s="136"/>
      <c r="HJP3" s="136"/>
      <c r="HJQ3" s="136"/>
      <c r="HJR3" s="136"/>
      <c r="HJS3" s="136"/>
      <c r="HJT3" s="136"/>
      <c r="HJU3" s="136"/>
      <c r="HJV3" s="136"/>
      <c r="HJW3" s="136"/>
      <c r="HJX3" s="136"/>
      <c r="HJY3" s="136"/>
      <c r="HJZ3" s="136"/>
      <c r="HKA3" s="136"/>
      <c r="HKB3" s="136"/>
      <c r="HKC3" s="136"/>
      <c r="HKD3" s="136"/>
      <c r="HKE3" s="136"/>
      <c r="HKF3" s="136"/>
      <c r="HKG3" s="136"/>
      <c r="HKH3" s="136"/>
      <c r="HKI3" s="136"/>
      <c r="HKJ3" s="136"/>
      <c r="HKK3" s="136"/>
      <c r="HKL3" s="136"/>
      <c r="HKM3" s="136"/>
      <c r="HKN3" s="136"/>
      <c r="HKO3" s="136"/>
      <c r="HKP3" s="136"/>
      <c r="HKQ3" s="136"/>
      <c r="HKR3" s="136"/>
      <c r="HKS3" s="136"/>
      <c r="HKT3" s="136"/>
      <c r="HKU3" s="136"/>
      <c r="HKV3" s="136"/>
      <c r="HKW3" s="136"/>
      <c r="HKX3" s="136"/>
      <c r="HKY3" s="136"/>
      <c r="HKZ3" s="136"/>
      <c r="HLA3" s="136"/>
      <c r="HLB3" s="136"/>
      <c r="HLC3" s="136"/>
      <c r="HLD3" s="136"/>
      <c r="HLE3" s="136"/>
      <c r="HLF3" s="136"/>
      <c r="HLG3" s="136"/>
      <c r="HLH3" s="136"/>
      <c r="HLI3" s="136"/>
      <c r="HLJ3" s="136"/>
      <c r="HLK3" s="136"/>
      <c r="HLL3" s="136"/>
      <c r="HLM3" s="136"/>
      <c r="HLN3" s="136"/>
      <c r="HLO3" s="136"/>
      <c r="HLP3" s="136"/>
      <c r="HLQ3" s="136"/>
      <c r="HLR3" s="136"/>
      <c r="HLS3" s="136"/>
      <c r="HLT3" s="136"/>
      <c r="HLU3" s="136"/>
      <c r="HLV3" s="136"/>
      <c r="HLW3" s="136"/>
      <c r="HLX3" s="136"/>
      <c r="HLY3" s="136"/>
      <c r="HLZ3" s="136"/>
      <c r="HMA3" s="136"/>
      <c r="HMB3" s="136"/>
      <c r="HMC3" s="136"/>
      <c r="HMD3" s="136"/>
      <c r="HME3" s="136"/>
      <c r="HMF3" s="136"/>
      <c r="HMG3" s="136"/>
      <c r="HMH3" s="136"/>
      <c r="HMI3" s="136"/>
      <c r="HMJ3" s="136"/>
      <c r="HMK3" s="136"/>
      <c r="HML3" s="136"/>
      <c r="HMM3" s="136"/>
      <c r="HMN3" s="136"/>
      <c r="HMO3" s="136"/>
      <c r="HMP3" s="136"/>
      <c r="HMQ3" s="136"/>
      <c r="HMR3" s="136"/>
      <c r="HMS3" s="136"/>
      <c r="HMT3" s="136"/>
      <c r="HMU3" s="136"/>
      <c r="HMV3" s="136"/>
      <c r="HMW3" s="136"/>
      <c r="HMX3" s="136"/>
      <c r="HMY3" s="136"/>
      <c r="HMZ3" s="136"/>
      <c r="HNA3" s="136"/>
      <c r="HNB3" s="136"/>
      <c r="HNC3" s="136"/>
      <c r="HND3" s="136"/>
      <c r="HNE3" s="136"/>
      <c r="HNF3" s="136"/>
      <c r="HNG3" s="136"/>
      <c r="HNH3" s="136"/>
      <c r="HNI3" s="136"/>
      <c r="HNJ3" s="136"/>
      <c r="HNK3" s="136"/>
      <c r="HNL3" s="136"/>
      <c r="HNM3" s="136"/>
      <c r="HNN3" s="136"/>
      <c r="HNO3" s="136"/>
      <c r="HNP3" s="136"/>
      <c r="HNQ3" s="136"/>
      <c r="HNR3" s="136"/>
      <c r="HNS3" s="136"/>
      <c r="HNT3" s="136"/>
      <c r="HNU3" s="136"/>
      <c r="HNV3" s="136"/>
      <c r="HNW3" s="136"/>
      <c r="HNX3" s="136"/>
      <c r="HNY3" s="136"/>
      <c r="HNZ3" s="136"/>
      <c r="HOA3" s="136"/>
      <c r="HOB3" s="136"/>
      <c r="HOC3" s="136"/>
      <c r="HOD3" s="136"/>
      <c r="HOE3" s="136"/>
      <c r="HOF3" s="136"/>
      <c r="HOG3" s="136"/>
      <c r="HOH3" s="136"/>
      <c r="HOI3" s="136"/>
      <c r="HOJ3" s="136"/>
      <c r="HOK3" s="136"/>
      <c r="HOL3" s="136"/>
      <c r="HOM3" s="136"/>
      <c r="HON3" s="136"/>
      <c r="HOO3" s="136"/>
      <c r="HOP3" s="136"/>
      <c r="HOQ3" s="136"/>
      <c r="HOR3" s="136"/>
      <c r="HOS3" s="136"/>
      <c r="HOT3" s="136"/>
      <c r="HOU3" s="136"/>
      <c r="HOV3" s="136"/>
      <c r="HOW3" s="136"/>
      <c r="HOX3" s="136"/>
      <c r="HOY3" s="136"/>
      <c r="HOZ3" s="136"/>
      <c r="HPA3" s="136"/>
      <c r="HPB3" s="136"/>
      <c r="HPC3" s="136"/>
      <c r="HPD3" s="136"/>
      <c r="HPE3" s="136"/>
      <c r="HPF3" s="136"/>
      <c r="HPG3" s="136"/>
      <c r="HPH3" s="136"/>
      <c r="HPI3" s="136"/>
      <c r="HPJ3" s="136"/>
      <c r="HPK3" s="136"/>
      <c r="HPL3" s="136"/>
      <c r="HPM3" s="136"/>
      <c r="HPN3" s="136"/>
      <c r="HPO3" s="136"/>
      <c r="HPP3" s="136"/>
      <c r="HPQ3" s="136"/>
      <c r="HPR3" s="136"/>
      <c r="HPS3" s="136"/>
      <c r="HPT3" s="136"/>
      <c r="HPU3" s="136"/>
      <c r="HPV3" s="136"/>
      <c r="HPW3" s="136"/>
      <c r="HPX3" s="136"/>
      <c r="HPY3" s="136"/>
      <c r="HPZ3" s="136"/>
      <c r="HQA3" s="136"/>
      <c r="HQB3" s="136"/>
      <c r="HQC3" s="136"/>
      <c r="HQD3" s="136"/>
      <c r="HQE3" s="136"/>
      <c r="HQF3" s="136"/>
      <c r="HQG3" s="136"/>
      <c r="HQH3" s="136"/>
      <c r="HQI3" s="136"/>
      <c r="HQJ3" s="136"/>
      <c r="HQK3" s="136"/>
      <c r="HQL3" s="136"/>
      <c r="HQM3" s="136"/>
      <c r="HQN3" s="136"/>
      <c r="HQO3" s="136"/>
      <c r="HQP3" s="136"/>
      <c r="HQQ3" s="136"/>
      <c r="HQR3" s="136"/>
      <c r="HQS3" s="136"/>
      <c r="HQT3" s="136"/>
      <c r="HQU3" s="136"/>
      <c r="HQV3" s="136"/>
      <c r="HQW3" s="136"/>
      <c r="HQX3" s="136"/>
      <c r="HQY3" s="136"/>
      <c r="HQZ3" s="136"/>
      <c r="HRA3" s="136"/>
      <c r="HRB3" s="136"/>
      <c r="HRC3" s="136"/>
      <c r="HRD3" s="136"/>
      <c r="HRE3" s="136"/>
      <c r="HRF3" s="136"/>
      <c r="HRG3" s="136"/>
      <c r="HRH3" s="136"/>
      <c r="HRI3" s="136"/>
      <c r="HRJ3" s="136"/>
      <c r="HRK3" s="136"/>
      <c r="HRL3" s="136"/>
      <c r="HRM3" s="136"/>
      <c r="HRN3" s="136"/>
      <c r="HRO3" s="136"/>
      <c r="HRP3" s="136"/>
      <c r="HRQ3" s="136"/>
      <c r="HRR3" s="136"/>
      <c r="HRS3" s="136"/>
      <c r="HRT3" s="136"/>
      <c r="HRU3" s="136"/>
      <c r="HRV3" s="136"/>
      <c r="HRW3" s="136"/>
      <c r="HRX3" s="136"/>
      <c r="HRY3" s="136"/>
      <c r="HRZ3" s="136"/>
      <c r="HSA3" s="136"/>
      <c r="HSB3" s="136"/>
      <c r="HSC3" s="136"/>
      <c r="HSD3" s="136"/>
      <c r="HSE3" s="136"/>
      <c r="HSF3" s="136"/>
      <c r="HSG3" s="136"/>
      <c r="HSH3" s="136"/>
      <c r="HSI3" s="136"/>
      <c r="HSJ3" s="136"/>
      <c r="HSK3" s="136"/>
      <c r="HSL3" s="136"/>
      <c r="HSM3" s="136"/>
      <c r="HSN3" s="136"/>
      <c r="HSO3" s="136"/>
      <c r="HSP3" s="136"/>
      <c r="HSQ3" s="136"/>
      <c r="HSR3" s="136"/>
      <c r="HSS3" s="136"/>
      <c r="HST3" s="136"/>
      <c r="HSU3" s="136"/>
      <c r="HSV3" s="136"/>
      <c r="HSW3" s="136"/>
      <c r="HSX3" s="136"/>
      <c r="HSY3" s="136"/>
      <c r="HSZ3" s="136"/>
      <c r="HTA3" s="136"/>
      <c r="HTB3" s="136"/>
      <c r="HTC3" s="136"/>
      <c r="HTD3" s="136"/>
      <c r="HTE3" s="136"/>
      <c r="HTF3" s="136"/>
      <c r="HTG3" s="136"/>
      <c r="HTH3" s="136"/>
      <c r="HTI3" s="136"/>
      <c r="HTJ3" s="136"/>
      <c r="HTK3" s="136"/>
      <c r="HTL3" s="136"/>
      <c r="HTM3" s="136"/>
      <c r="HTN3" s="136"/>
      <c r="HTO3" s="136"/>
      <c r="HTP3" s="136"/>
      <c r="HTQ3" s="136"/>
      <c r="HTR3" s="136"/>
      <c r="HTS3" s="136"/>
      <c r="HTT3" s="136"/>
      <c r="HTU3" s="136"/>
      <c r="HTV3" s="136"/>
      <c r="HTW3" s="136"/>
      <c r="HTX3" s="136"/>
      <c r="HTY3" s="136"/>
      <c r="HTZ3" s="136"/>
      <c r="HUA3" s="136"/>
      <c r="HUB3" s="136"/>
      <c r="HUC3" s="136"/>
      <c r="HUD3" s="136"/>
      <c r="HUE3" s="136"/>
      <c r="HUF3" s="136"/>
      <c r="HUG3" s="136"/>
      <c r="HUH3" s="136"/>
      <c r="HUI3" s="136"/>
      <c r="HUJ3" s="136"/>
      <c r="HUK3" s="136"/>
      <c r="HUL3" s="136"/>
      <c r="HUM3" s="136"/>
      <c r="HUN3" s="136"/>
      <c r="HUO3" s="136"/>
      <c r="HUP3" s="136"/>
      <c r="HUQ3" s="136"/>
      <c r="HUR3" s="136"/>
      <c r="HUS3" s="136"/>
      <c r="HUT3" s="136"/>
      <c r="HUU3" s="136"/>
      <c r="HUV3" s="136"/>
      <c r="HUW3" s="136"/>
      <c r="HUX3" s="136"/>
      <c r="HUY3" s="136"/>
      <c r="HUZ3" s="136"/>
      <c r="HVA3" s="136"/>
      <c r="HVB3" s="136"/>
      <c r="HVC3" s="136"/>
      <c r="HVD3" s="136"/>
      <c r="HVE3" s="136"/>
      <c r="HVF3" s="136"/>
      <c r="HVG3" s="136"/>
      <c r="HVH3" s="136"/>
      <c r="HVI3" s="136"/>
      <c r="HVJ3" s="136"/>
      <c r="HVK3" s="136"/>
      <c r="HVL3" s="136"/>
      <c r="HVM3" s="136"/>
      <c r="HVN3" s="136"/>
      <c r="HVO3" s="136"/>
      <c r="HVP3" s="136"/>
      <c r="HVQ3" s="136"/>
      <c r="HVR3" s="136"/>
      <c r="HVS3" s="136"/>
      <c r="HVT3" s="136"/>
      <c r="HVU3" s="136"/>
      <c r="HVV3" s="136"/>
      <c r="HVW3" s="136"/>
      <c r="HVX3" s="136"/>
      <c r="HVY3" s="136"/>
      <c r="HVZ3" s="136"/>
      <c r="HWA3" s="136"/>
      <c r="HWB3" s="136"/>
      <c r="HWC3" s="136"/>
      <c r="HWD3" s="136"/>
      <c r="HWE3" s="136"/>
      <c r="HWF3" s="136"/>
      <c r="HWG3" s="136"/>
      <c r="HWH3" s="136"/>
      <c r="HWI3" s="136"/>
      <c r="HWJ3" s="136"/>
      <c r="HWK3" s="136"/>
      <c r="HWL3" s="136"/>
      <c r="HWM3" s="136"/>
      <c r="HWN3" s="136"/>
      <c r="HWO3" s="136"/>
      <c r="HWP3" s="136"/>
      <c r="HWQ3" s="136"/>
      <c r="HWR3" s="136"/>
      <c r="HWS3" s="136"/>
      <c r="HWT3" s="136"/>
      <c r="HWU3" s="136"/>
      <c r="HWV3" s="136"/>
      <c r="HWW3" s="136"/>
      <c r="HWX3" s="136"/>
      <c r="HWY3" s="136"/>
      <c r="HWZ3" s="136"/>
      <c r="HXA3" s="136"/>
      <c r="HXB3" s="136"/>
      <c r="HXC3" s="136"/>
      <c r="HXD3" s="136"/>
      <c r="HXE3" s="136"/>
      <c r="HXF3" s="136"/>
      <c r="HXG3" s="136"/>
      <c r="HXH3" s="136"/>
      <c r="HXI3" s="136"/>
      <c r="HXJ3" s="136"/>
      <c r="HXK3" s="136"/>
      <c r="HXL3" s="136"/>
      <c r="HXM3" s="136"/>
      <c r="HXN3" s="136"/>
      <c r="HXO3" s="136"/>
      <c r="HXP3" s="136"/>
      <c r="HXQ3" s="136"/>
      <c r="HXR3" s="136"/>
      <c r="HXS3" s="136"/>
      <c r="HXT3" s="136"/>
      <c r="HXU3" s="136"/>
      <c r="HXV3" s="136"/>
      <c r="HXW3" s="136"/>
      <c r="HXX3" s="136"/>
      <c r="HXY3" s="136"/>
      <c r="HXZ3" s="136"/>
      <c r="HYA3" s="136"/>
      <c r="HYB3" s="136"/>
      <c r="HYC3" s="136"/>
      <c r="HYD3" s="136"/>
      <c r="HYE3" s="136"/>
      <c r="HYF3" s="136"/>
      <c r="HYG3" s="136"/>
      <c r="HYH3" s="136"/>
      <c r="HYI3" s="136"/>
      <c r="HYJ3" s="136"/>
      <c r="HYK3" s="136"/>
      <c r="HYL3" s="136"/>
      <c r="HYM3" s="136"/>
      <c r="HYN3" s="136"/>
      <c r="HYO3" s="136"/>
      <c r="HYP3" s="136"/>
      <c r="HYQ3" s="136"/>
      <c r="HYR3" s="136"/>
      <c r="HYS3" s="136"/>
      <c r="HYT3" s="136"/>
      <c r="HYU3" s="136"/>
      <c r="HYV3" s="136"/>
      <c r="HYW3" s="136"/>
      <c r="HYX3" s="136"/>
      <c r="HYY3" s="136"/>
      <c r="HYZ3" s="136"/>
      <c r="HZA3" s="136"/>
      <c r="HZB3" s="136"/>
      <c r="HZC3" s="136"/>
      <c r="HZD3" s="136"/>
      <c r="HZE3" s="136"/>
      <c r="HZF3" s="136"/>
      <c r="HZG3" s="136"/>
      <c r="HZH3" s="136"/>
      <c r="HZI3" s="136"/>
      <c r="HZJ3" s="136"/>
      <c r="HZK3" s="136"/>
      <c r="HZL3" s="136"/>
      <c r="HZM3" s="136"/>
      <c r="HZN3" s="136"/>
      <c r="HZO3" s="136"/>
      <c r="HZP3" s="136"/>
      <c r="HZQ3" s="136"/>
      <c r="HZR3" s="136"/>
      <c r="HZS3" s="136"/>
      <c r="HZT3" s="136"/>
      <c r="HZU3" s="136"/>
      <c r="HZV3" s="136"/>
      <c r="HZW3" s="136"/>
      <c r="HZX3" s="136"/>
      <c r="HZY3" s="136"/>
      <c r="HZZ3" s="136"/>
      <c r="IAA3" s="136"/>
      <c r="IAB3" s="136"/>
      <c r="IAC3" s="136"/>
      <c r="IAD3" s="136"/>
      <c r="IAE3" s="136"/>
      <c r="IAF3" s="136"/>
      <c r="IAG3" s="136"/>
      <c r="IAH3" s="136"/>
      <c r="IAI3" s="136"/>
      <c r="IAJ3" s="136"/>
      <c r="IAK3" s="136"/>
      <c r="IAL3" s="136"/>
      <c r="IAM3" s="136"/>
      <c r="IAN3" s="136"/>
      <c r="IAO3" s="136"/>
      <c r="IAP3" s="136"/>
      <c r="IAQ3" s="136"/>
      <c r="IAR3" s="136"/>
      <c r="IAS3" s="136"/>
      <c r="IAT3" s="136"/>
      <c r="IAU3" s="136"/>
      <c r="IAV3" s="136"/>
      <c r="IAW3" s="136"/>
      <c r="IAX3" s="136"/>
      <c r="IAY3" s="136"/>
      <c r="IAZ3" s="136"/>
      <c r="IBA3" s="136"/>
      <c r="IBB3" s="136"/>
      <c r="IBC3" s="136"/>
      <c r="IBD3" s="136"/>
      <c r="IBE3" s="136"/>
      <c r="IBF3" s="136"/>
      <c r="IBG3" s="136"/>
      <c r="IBH3" s="136"/>
      <c r="IBI3" s="136"/>
      <c r="IBJ3" s="136"/>
      <c r="IBK3" s="136"/>
      <c r="IBL3" s="136"/>
      <c r="IBM3" s="136"/>
      <c r="IBN3" s="136"/>
      <c r="IBO3" s="136"/>
      <c r="IBP3" s="136"/>
      <c r="IBQ3" s="136"/>
      <c r="IBR3" s="136"/>
      <c r="IBS3" s="136"/>
      <c r="IBT3" s="136"/>
      <c r="IBU3" s="136"/>
      <c r="IBV3" s="136"/>
      <c r="IBW3" s="136"/>
      <c r="IBX3" s="136"/>
      <c r="IBY3" s="136"/>
      <c r="IBZ3" s="136"/>
      <c r="ICA3" s="136"/>
      <c r="ICB3" s="136"/>
      <c r="ICC3" s="136"/>
      <c r="ICD3" s="136"/>
      <c r="ICE3" s="136"/>
      <c r="ICF3" s="136"/>
      <c r="ICG3" s="136"/>
      <c r="ICH3" s="136"/>
      <c r="ICI3" s="136"/>
      <c r="ICJ3" s="136"/>
      <c r="ICK3" s="136"/>
      <c r="ICL3" s="136"/>
      <c r="ICM3" s="136"/>
      <c r="ICN3" s="136"/>
      <c r="ICO3" s="136"/>
      <c r="ICP3" s="136"/>
      <c r="ICQ3" s="136"/>
      <c r="ICR3" s="136"/>
      <c r="ICS3" s="136"/>
      <c r="ICT3" s="136"/>
      <c r="ICU3" s="136"/>
      <c r="ICV3" s="136"/>
      <c r="ICW3" s="136"/>
      <c r="ICX3" s="136"/>
      <c r="ICY3" s="136"/>
      <c r="ICZ3" s="136"/>
      <c r="IDA3" s="136"/>
      <c r="IDB3" s="136"/>
      <c r="IDC3" s="136"/>
      <c r="IDD3" s="136"/>
      <c r="IDE3" s="136"/>
      <c r="IDF3" s="136"/>
      <c r="IDG3" s="136"/>
      <c r="IDH3" s="136"/>
      <c r="IDI3" s="136"/>
      <c r="IDJ3" s="136"/>
      <c r="IDK3" s="136"/>
      <c r="IDL3" s="136"/>
      <c r="IDM3" s="136"/>
      <c r="IDN3" s="136"/>
      <c r="IDO3" s="136"/>
      <c r="IDP3" s="136"/>
      <c r="IDQ3" s="136"/>
      <c r="IDR3" s="136"/>
      <c r="IDS3" s="136"/>
      <c r="IDT3" s="136"/>
      <c r="IDU3" s="136"/>
      <c r="IDV3" s="136"/>
      <c r="IDW3" s="136"/>
      <c r="IDX3" s="136"/>
      <c r="IDY3" s="136"/>
      <c r="IDZ3" s="136"/>
      <c r="IEA3" s="136"/>
      <c r="IEB3" s="136"/>
      <c r="IEC3" s="136"/>
      <c r="IED3" s="136"/>
      <c r="IEE3" s="136"/>
      <c r="IEF3" s="136"/>
      <c r="IEG3" s="136"/>
      <c r="IEH3" s="136"/>
      <c r="IEI3" s="136"/>
      <c r="IEJ3" s="136"/>
      <c r="IEK3" s="136"/>
      <c r="IEL3" s="136"/>
      <c r="IEM3" s="136"/>
      <c r="IEN3" s="136"/>
      <c r="IEO3" s="136"/>
      <c r="IEP3" s="136"/>
      <c r="IEQ3" s="136"/>
      <c r="IER3" s="136"/>
      <c r="IES3" s="136"/>
      <c r="IET3" s="136"/>
      <c r="IEU3" s="136"/>
      <c r="IEV3" s="136"/>
      <c r="IEW3" s="136"/>
      <c r="IEX3" s="136"/>
      <c r="IEY3" s="136"/>
      <c r="IEZ3" s="136"/>
      <c r="IFA3" s="136"/>
      <c r="IFB3" s="136"/>
      <c r="IFC3" s="136"/>
      <c r="IFD3" s="136"/>
      <c r="IFE3" s="136"/>
      <c r="IFF3" s="136"/>
      <c r="IFG3" s="136"/>
      <c r="IFH3" s="136"/>
      <c r="IFI3" s="136"/>
      <c r="IFJ3" s="136"/>
      <c r="IFK3" s="136"/>
      <c r="IFL3" s="136"/>
      <c r="IFM3" s="136"/>
      <c r="IFN3" s="136"/>
      <c r="IFO3" s="136"/>
      <c r="IFP3" s="136"/>
      <c r="IFQ3" s="136"/>
      <c r="IFR3" s="136"/>
      <c r="IFS3" s="136"/>
      <c r="IFT3" s="136"/>
      <c r="IFU3" s="136"/>
      <c r="IFV3" s="136"/>
      <c r="IFW3" s="136"/>
      <c r="IFX3" s="136"/>
      <c r="IFY3" s="136"/>
      <c r="IFZ3" s="136"/>
      <c r="IGA3" s="136"/>
      <c r="IGB3" s="136"/>
      <c r="IGC3" s="136"/>
      <c r="IGD3" s="136"/>
      <c r="IGE3" s="136"/>
      <c r="IGF3" s="136"/>
      <c r="IGG3" s="136"/>
      <c r="IGH3" s="136"/>
      <c r="IGI3" s="136"/>
      <c r="IGJ3" s="136"/>
      <c r="IGK3" s="136"/>
      <c r="IGL3" s="136"/>
      <c r="IGM3" s="136"/>
      <c r="IGN3" s="136"/>
      <c r="IGO3" s="136"/>
      <c r="IGP3" s="136"/>
      <c r="IGQ3" s="136"/>
      <c r="IGR3" s="136"/>
      <c r="IGS3" s="136"/>
      <c r="IGT3" s="136"/>
      <c r="IGU3" s="136"/>
      <c r="IGV3" s="136"/>
      <c r="IGW3" s="136"/>
      <c r="IGX3" s="136"/>
      <c r="IGY3" s="136"/>
      <c r="IGZ3" s="136"/>
      <c r="IHA3" s="136"/>
      <c r="IHB3" s="136"/>
      <c r="IHC3" s="136"/>
      <c r="IHD3" s="136"/>
      <c r="IHE3" s="136"/>
      <c r="IHF3" s="136"/>
      <c r="IHG3" s="136"/>
      <c r="IHH3" s="136"/>
      <c r="IHI3" s="136"/>
      <c r="IHJ3" s="136"/>
      <c r="IHK3" s="136"/>
      <c r="IHL3" s="136"/>
      <c r="IHM3" s="136"/>
      <c r="IHN3" s="136"/>
      <c r="IHO3" s="136"/>
      <c r="IHP3" s="136"/>
      <c r="IHQ3" s="136"/>
      <c r="IHR3" s="136"/>
      <c r="IHS3" s="136"/>
      <c r="IHT3" s="136"/>
      <c r="IHU3" s="136"/>
      <c r="IHV3" s="136"/>
      <c r="IHW3" s="136"/>
      <c r="IHX3" s="136"/>
      <c r="IHY3" s="136"/>
      <c r="IHZ3" s="136"/>
      <c r="IIA3" s="136"/>
      <c r="IIB3" s="136"/>
      <c r="IIC3" s="136"/>
      <c r="IID3" s="136"/>
      <c r="IIE3" s="136"/>
      <c r="IIF3" s="136"/>
      <c r="IIG3" s="136"/>
      <c r="IIH3" s="136"/>
      <c r="III3" s="136"/>
      <c r="IIJ3" s="136"/>
      <c r="IIK3" s="136"/>
      <c r="IIL3" s="136"/>
      <c r="IIM3" s="136"/>
      <c r="IIN3" s="136"/>
      <c r="IIO3" s="136"/>
      <c r="IIP3" s="136"/>
      <c r="IIQ3" s="136"/>
      <c r="IIR3" s="136"/>
      <c r="IIS3" s="136"/>
      <c r="IIT3" s="136"/>
      <c r="IIU3" s="136"/>
      <c r="IIV3" s="136"/>
      <c r="IIW3" s="136"/>
      <c r="IIX3" s="136"/>
      <c r="IIY3" s="136"/>
      <c r="IIZ3" s="136"/>
      <c r="IJA3" s="136"/>
      <c r="IJB3" s="136"/>
      <c r="IJC3" s="136"/>
      <c r="IJD3" s="136"/>
      <c r="IJE3" s="136"/>
      <c r="IJF3" s="136"/>
      <c r="IJG3" s="136"/>
      <c r="IJH3" s="136"/>
      <c r="IJI3" s="136"/>
      <c r="IJJ3" s="136"/>
      <c r="IJK3" s="136"/>
      <c r="IJL3" s="136"/>
      <c r="IJM3" s="136"/>
      <c r="IJN3" s="136"/>
      <c r="IJO3" s="136"/>
      <c r="IJP3" s="136"/>
      <c r="IJQ3" s="136"/>
      <c r="IJR3" s="136"/>
      <c r="IJS3" s="136"/>
      <c r="IJT3" s="136"/>
      <c r="IJU3" s="136"/>
      <c r="IJV3" s="136"/>
      <c r="IJW3" s="136"/>
      <c r="IJX3" s="136"/>
      <c r="IJY3" s="136"/>
      <c r="IJZ3" s="136"/>
      <c r="IKA3" s="136"/>
      <c r="IKB3" s="136"/>
      <c r="IKC3" s="136"/>
      <c r="IKD3" s="136"/>
      <c r="IKE3" s="136"/>
      <c r="IKF3" s="136"/>
      <c r="IKG3" s="136"/>
      <c r="IKH3" s="136"/>
      <c r="IKI3" s="136"/>
      <c r="IKJ3" s="136"/>
      <c r="IKK3" s="136"/>
      <c r="IKL3" s="136"/>
      <c r="IKM3" s="136"/>
      <c r="IKN3" s="136"/>
      <c r="IKO3" s="136"/>
      <c r="IKP3" s="136"/>
      <c r="IKQ3" s="136"/>
      <c r="IKR3" s="136"/>
      <c r="IKS3" s="136"/>
      <c r="IKT3" s="136"/>
      <c r="IKU3" s="136"/>
      <c r="IKV3" s="136"/>
      <c r="IKW3" s="136"/>
      <c r="IKX3" s="136"/>
      <c r="IKY3" s="136"/>
      <c r="IKZ3" s="136"/>
      <c r="ILA3" s="136"/>
      <c r="ILB3" s="136"/>
      <c r="ILC3" s="136"/>
      <c r="ILD3" s="136"/>
      <c r="ILE3" s="136"/>
      <c r="ILF3" s="136"/>
      <c r="ILG3" s="136"/>
      <c r="ILH3" s="136"/>
      <c r="ILI3" s="136"/>
      <c r="ILJ3" s="136"/>
      <c r="ILK3" s="136"/>
      <c r="ILL3" s="136"/>
      <c r="ILM3" s="136"/>
      <c r="ILN3" s="136"/>
      <c r="ILO3" s="136"/>
      <c r="ILP3" s="136"/>
      <c r="ILQ3" s="136"/>
      <c r="ILR3" s="136"/>
      <c r="ILS3" s="136"/>
      <c r="ILT3" s="136"/>
      <c r="ILU3" s="136"/>
      <c r="ILV3" s="136"/>
      <c r="ILW3" s="136"/>
      <c r="ILX3" s="136"/>
      <c r="ILY3" s="136"/>
      <c r="ILZ3" s="136"/>
      <c r="IMA3" s="136"/>
      <c r="IMB3" s="136"/>
      <c r="IMC3" s="136"/>
      <c r="IMD3" s="136"/>
      <c r="IME3" s="136"/>
      <c r="IMF3" s="136"/>
      <c r="IMG3" s="136"/>
      <c r="IMH3" s="136"/>
      <c r="IMI3" s="136"/>
      <c r="IMJ3" s="136"/>
      <c r="IMK3" s="136"/>
      <c r="IML3" s="136"/>
      <c r="IMM3" s="136"/>
      <c r="IMN3" s="136"/>
      <c r="IMO3" s="136"/>
      <c r="IMP3" s="136"/>
      <c r="IMQ3" s="136"/>
      <c r="IMR3" s="136"/>
      <c r="IMS3" s="136"/>
      <c r="IMT3" s="136"/>
      <c r="IMU3" s="136"/>
      <c r="IMV3" s="136"/>
      <c r="IMW3" s="136"/>
      <c r="IMX3" s="136"/>
      <c r="IMY3" s="136"/>
      <c r="IMZ3" s="136"/>
      <c r="INA3" s="136"/>
      <c r="INB3" s="136"/>
      <c r="INC3" s="136"/>
      <c r="IND3" s="136"/>
      <c r="INE3" s="136"/>
      <c r="INF3" s="136"/>
      <c r="ING3" s="136"/>
      <c r="INH3" s="136"/>
      <c r="INI3" s="136"/>
      <c r="INJ3" s="136"/>
      <c r="INK3" s="136"/>
      <c r="INL3" s="136"/>
      <c r="INM3" s="136"/>
      <c r="INN3" s="136"/>
      <c r="INO3" s="136"/>
      <c r="INP3" s="136"/>
      <c r="INQ3" s="136"/>
      <c r="INR3" s="136"/>
      <c r="INS3" s="136"/>
      <c r="INT3" s="136"/>
      <c r="INU3" s="136"/>
      <c r="INV3" s="136"/>
      <c r="INW3" s="136"/>
      <c r="INX3" s="136"/>
      <c r="INY3" s="136"/>
      <c r="INZ3" s="136"/>
      <c r="IOA3" s="136"/>
      <c r="IOB3" s="136"/>
      <c r="IOC3" s="136"/>
      <c r="IOD3" s="136"/>
      <c r="IOE3" s="136"/>
      <c r="IOF3" s="136"/>
      <c r="IOG3" s="136"/>
      <c r="IOH3" s="136"/>
      <c r="IOI3" s="136"/>
      <c r="IOJ3" s="136"/>
      <c r="IOK3" s="136"/>
      <c r="IOL3" s="136"/>
      <c r="IOM3" s="136"/>
      <c r="ION3" s="136"/>
      <c r="IOO3" s="136"/>
      <c r="IOP3" s="136"/>
      <c r="IOQ3" s="136"/>
      <c r="IOR3" s="136"/>
      <c r="IOS3" s="136"/>
      <c r="IOT3" s="136"/>
      <c r="IOU3" s="136"/>
      <c r="IOV3" s="136"/>
      <c r="IOW3" s="136"/>
      <c r="IOX3" s="136"/>
      <c r="IOY3" s="136"/>
      <c r="IOZ3" s="136"/>
      <c r="IPA3" s="136"/>
      <c r="IPB3" s="136"/>
      <c r="IPC3" s="136"/>
      <c r="IPD3" s="136"/>
      <c r="IPE3" s="136"/>
      <c r="IPF3" s="136"/>
      <c r="IPG3" s="136"/>
      <c r="IPH3" s="136"/>
      <c r="IPI3" s="136"/>
      <c r="IPJ3" s="136"/>
      <c r="IPK3" s="136"/>
      <c r="IPL3" s="136"/>
      <c r="IPM3" s="136"/>
      <c r="IPN3" s="136"/>
      <c r="IPO3" s="136"/>
      <c r="IPP3" s="136"/>
      <c r="IPQ3" s="136"/>
      <c r="IPR3" s="136"/>
      <c r="IPS3" s="136"/>
      <c r="IPT3" s="136"/>
      <c r="IPU3" s="136"/>
      <c r="IPV3" s="136"/>
      <c r="IPW3" s="136"/>
      <c r="IPX3" s="136"/>
      <c r="IPY3" s="136"/>
      <c r="IPZ3" s="136"/>
      <c r="IQA3" s="136"/>
      <c r="IQB3" s="136"/>
      <c r="IQC3" s="136"/>
      <c r="IQD3" s="136"/>
      <c r="IQE3" s="136"/>
      <c r="IQF3" s="136"/>
      <c r="IQG3" s="136"/>
      <c r="IQH3" s="136"/>
      <c r="IQI3" s="136"/>
      <c r="IQJ3" s="136"/>
      <c r="IQK3" s="136"/>
      <c r="IQL3" s="136"/>
      <c r="IQM3" s="136"/>
      <c r="IQN3" s="136"/>
      <c r="IQO3" s="136"/>
      <c r="IQP3" s="136"/>
      <c r="IQQ3" s="136"/>
      <c r="IQR3" s="136"/>
      <c r="IQS3" s="136"/>
      <c r="IQT3" s="136"/>
      <c r="IQU3" s="136"/>
      <c r="IQV3" s="136"/>
      <c r="IQW3" s="136"/>
      <c r="IQX3" s="136"/>
      <c r="IQY3" s="136"/>
      <c r="IQZ3" s="136"/>
      <c r="IRA3" s="136"/>
      <c r="IRB3" s="136"/>
      <c r="IRC3" s="136"/>
      <c r="IRD3" s="136"/>
      <c r="IRE3" s="136"/>
      <c r="IRF3" s="136"/>
      <c r="IRG3" s="136"/>
      <c r="IRH3" s="136"/>
      <c r="IRI3" s="136"/>
      <c r="IRJ3" s="136"/>
      <c r="IRK3" s="136"/>
      <c r="IRL3" s="136"/>
      <c r="IRM3" s="136"/>
      <c r="IRN3" s="136"/>
      <c r="IRO3" s="136"/>
      <c r="IRP3" s="136"/>
      <c r="IRQ3" s="136"/>
      <c r="IRR3" s="136"/>
      <c r="IRS3" s="136"/>
      <c r="IRT3" s="136"/>
      <c r="IRU3" s="136"/>
      <c r="IRV3" s="136"/>
      <c r="IRW3" s="136"/>
      <c r="IRX3" s="136"/>
      <c r="IRY3" s="136"/>
      <c r="IRZ3" s="136"/>
      <c r="ISA3" s="136"/>
      <c r="ISB3" s="136"/>
      <c r="ISC3" s="136"/>
      <c r="ISD3" s="136"/>
      <c r="ISE3" s="136"/>
      <c r="ISF3" s="136"/>
      <c r="ISG3" s="136"/>
      <c r="ISH3" s="136"/>
      <c r="ISI3" s="136"/>
      <c r="ISJ3" s="136"/>
      <c r="ISK3" s="136"/>
      <c r="ISL3" s="136"/>
      <c r="ISM3" s="136"/>
      <c r="ISN3" s="136"/>
      <c r="ISO3" s="136"/>
      <c r="ISP3" s="136"/>
      <c r="ISQ3" s="136"/>
      <c r="ISR3" s="136"/>
      <c r="ISS3" s="136"/>
      <c r="IST3" s="136"/>
      <c r="ISU3" s="136"/>
      <c r="ISV3" s="136"/>
      <c r="ISW3" s="136"/>
      <c r="ISX3" s="136"/>
      <c r="ISY3" s="136"/>
      <c r="ISZ3" s="136"/>
      <c r="ITA3" s="136"/>
      <c r="ITB3" s="136"/>
      <c r="ITC3" s="136"/>
      <c r="ITD3" s="136"/>
      <c r="ITE3" s="136"/>
      <c r="ITF3" s="136"/>
      <c r="ITG3" s="136"/>
      <c r="ITH3" s="136"/>
      <c r="ITI3" s="136"/>
      <c r="ITJ3" s="136"/>
      <c r="ITK3" s="136"/>
      <c r="ITL3" s="136"/>
      <c r="ITM3" s="136"/>
      <c r="ITN3" s="136"/>
      <c r="ITO3" s="136"/>
      <c r="ITP3" s="136"/>
      <c r="ITQ3" s="136"/>
      <c r="ITR3" s="136"/>
      <c r="ITS3" s="136"/>
      <c r="ITT3" s="136"/>
      <c r="ITU3" s="136"/>
      <c r="ITV3" s="136"/>
      <c r="ITW3" s="136"/>
      <c r="ITX3" s="136"/>
      <c r="ITY3" s="136"/>
      <c r="ITZ3" s="136"/>
      <c r="IUA3" s="136"/>
      <c r="IUB3" s="136"/>
      <c r="IUC3" s="136"/>
      <c r="IUD3" s="136"/>
      <c r="IUE3" s="136"/>
      <c r="IUF3" s="136"/>
      <c r="IUG3" s="136"/>
      <c r="IUH3" s="136"/>
      <c r="IUI3" s="136"/>
      <c r="IUJ3" s="136"/>
      <c r="IUK3" s="136"/>
      <c r="IUL3" s="136"/>
      <c r="IUM3" s="136"/>
      <c r="IUN3" s="136"/>
      <c r="IUO3" s="136"/>
      <c r="IUP3" s="136"/>
      <c r="IUQ3" s="136"/>
      <c r="IUR3" s="136"/>
      <c r="IUS3" s="136"/>
      <c r="IUT3" s="136"/>
      <c r="IUU3" s="136"/>
      <c r="IUV3" s="136"/>
      <c r="IUW3" s="136"/>
      <c r="IUX3" s="136"/>
      <c r="IUY3" s="136"/>
      <c r="IUZ3" s="136"/>
      <c r="IVA3" s="136"/>
      <c r="IVB3" s="136"/>
      <c r="IVC3" s="136"/>
      <c r="IVD3" s="136"/>
      <c r="IVE3" s="136"/>
      <c r="IVF3" s="136"/>
      <c r="IVG3" s="136"/>
      <c r="IVH3" s="136"/>
      <c r="IVI3" s="136"/>
      <c r="IVJ3" s="136"/>
      <c r="IVK3" s="136"/>
      <c r="IVL3" s="136"/>
      <c r="IVM3" s="136"/>
      <c r="IVN3" s="136"/>
      <c r="IVO3" s="136"/>
      <c r="IVP3" s="136"/>
      <c r="IVQ3" s="136"/>
      <c r="IVR3" s="136"/>
      <c r="IVS3" s="136"/>
      <c r="IVT3" s="136"/>
      <c r="IVU3" s="136"/>
      <c r="IVV3" s="136"/>
      <c r="IVW3" s="136"/>
      <c r="IVX3" s="136"/>
      <c r="IVY3" s="136"/>
      <c r="IVZ3" s="136"/>
      <c r="IWA3" s="136"/>
      <c r="IWB3" s="136"/>
      <c r="IWC3" s="136"/>
      <c r="IWD3" s="136"/>
      <c r="IWE3" s="136"/>
      <c r="IWF3" s="136"/>
      <c r="IWG3" s="136"/>
      <c r="IWH3" s="136"/>
      <c r="IWI3" s="136"/>
      <c r="IWJ3" s="136"/>
      <c r="IWK3" s="136"/>
      <c r="IWL3" s="136"/>
      <c r="IWM3" s="136"/>
      <c r="IWN3" s="136"/>
      <c r="IWO3" s="136"/>
      <c r="IWP3" s="136"/>
      <c r="IWQ3" s="136"/>
      <c r="IWR3" s="136"/>
      <c r="IWS3" s="136"/>
      <c r="IWT3" s="136"/>
      <c r="IWU3" s="136"/>
      <c r="IWV3" s="136"/>
      <c r="IWW3" s="136"/>
      <c r="IWX3" s="136"/>
      <c r="IWY3" s="136"/>
      <c r="IWZ3" s="136"/>
      <c r="IXA3" s="136"/>
      <c r="IXB3" s="136"/>
      <c r="IXC3" s="136"/>
      <c r="IXD3" s="136"/>
      <c r="IXE3" s="136"/>
      <c r="IXF3" s="136"/>
      <c r="IXG3" s="136"/>
      <c r="IXH3" s="136"/>
      <c r="IXI3" s="136"/>
      <c r="IXJ3" s="136"/>
      <c r="IXK3" s="136"/>
      <c r="IXL3" s="136"/>
      <c r="IXM3" s="136"/>
      <c r="IXN3" s="136"/>
      <c r="IXO3" s="136"/>
      <c r="IXP3" s="136"/>
      <c r="IXQ3" s="136"/>
      <c r="IXR3" s="136"/>
      <c r="IXS3" s="136"/>
      <c r="IXT3" s="136"/>
      <c r="IXU3" s="136"/>
      <c r="IXV3" s="136"/>
      <c r="IXW3" s="136"/>
      <c r="IXX3" s="136"/>
      <c r="IXY3" s="136"/>
      <c r="IXZ3" s="136"/>
      <c r="IYA3" s="136"/>
      <c r="IYB3" s="136"/>
      <c r="IYC3" s="136"/>
      <c r="IYD3" s="136"/>
      <c r="IYE3" s="136"/>
      <c r="IYF3" s="136"/>
      <c r="IYG3" s="136"/>
      <c r="IYH3" s="136"/>
      <c r="IYI3" s="136"/>
      <c r="IYJ3" s="136"/>
      <c r="IYK3" s="136"/>
      <c r="IYL3" s="136"/>
      <c r="IYM3" s="136"/>
      <c r="IYN3" s="136"/>
      <c r="IYO3" s="136"/>
      <c r="IYP3" s="136"/>
      <c r="IYQ3" s="136"/>
      <c r="IYR3" s="136"/>
      <c r="IYS3" s="136"/>
      <c r="IYT3" s="136"/>
      <c r="IYU3" s="136"/>
      <c r="IYV3" s="136"/>
      <c r="IYW3" s="136"/>
      <c r="IYX3" s="136"/>
      <c r="IYY3" s="136"/>
      <c r="IYZ3" s="136"/>
      <c r="IZA3" s="136"/>
      <c r="IZB3" s="136"/>
      <c r="IZC3" s="136"/>
      <c r="IZD3" s="136"/>
      <c r="IZE3" s="136"/>
      <c r="IZF3" s="136"/>
      <c r="IZG3" s="136"/>
      <c r="IZH3" s="136"/>
      <c r="IZI3" s="136"/>
      <c r="IZJ3" s="136"/>
      <c r="IZK3" s="136"/>
      <c r="IZL3" s="136"/>
      <c r="IZM3" s="136"/>
      <c r="IZN3" s="136"/>
      <c r="IZO3" s="136"/>
      <c r="IZP3" s="136"/>
      <c r="IZQ3" s="136"/>
      <c r="IZR3" s="136"/>
      <c r="IZS3" s="136"/>
      <c r="IZT3" s="136"/>
      <c r="IZU3" s="136"/>
      <c r="IZV3" s="136"/>
      <c r="IZW3" s="136"/>
      <c r="IZX3" s="136"/>
      <c r="IZY3" s="136"/>
      <c r="IZZ3" s="136"/>
      <c r="JAA3" s="136"/>
      <c r="JAB3" s="136"/>
      <c r="JAC3" s="136"/>
      <c r="JAD3" s="136"/>
      <c r="JAE3" s="136"/>
      <c r="JAF3" s="136"/>
      <c r="JAG3" s="136"/>
      <c r="JAH3" s="136"/>
      <c r="JAI3" s="136"/>
      <c r="JAJ3" s="136"/>
      <c r="JAK3" s="136"/>
      <c r="JAL3" s="136"/>
      <c r="JAM3" s="136"/>
      <c r="JAN3" s="136"/>
      <c r="JAO3" s="136"/>
      <c r="JAP3" s="136"/>
      <c r="JAQ3" s="136"/>
      <c r="JAR3" s="136"/>
      <c r="JAS3" s="136"/>
      <c r="JAT3" s="136"/>
      <c r="JAU3" s="136"/>
      <c r="JAV3" s="136"/>
      <c r="JAW3" s="136"/>
      <c r="JAX3" s="136"/>
      <c r="JAY3" s="136"/>
      <c r="JAZ3" s="136"/>
      <c r="JBA3" s="136"/>
      <c r="JBB3" s="136"/>
      <c r="JBC3" s="136"/>
      <c r="JBD3" s="136"/>
      <c r="JBE3" s="136"/>
      <c r="JBF3" s="136"/>
      <c r="JBG3" s="136"/>
      <c r="JBH3" s="136"/>
      <c r="JBI3" s="136"/>
      <c r="JBJ3" s="136"/>
      <c r="JBK3" s="136"/>
      <c r="JBL3" s="136"/>
      <c r="JBM3" s="136"/>
      <c r="JBN3" s="136"/>
      <c r="JBO3" s="136"/>
      <c r="JBP3" s="136"/>
      <c r="JBQ3" s="136"/>
      <c r="JBR3" s="136"/>
      <c r="JBS3" s="136"/>
      <c r="JBT3" s="136"/>
      <c r="JBU3" s="136"/>
      <c r="JBV3" s="136"/>
      <c r="JBW3" s="136"/>
      <c r="JBX3" s="136"/>
      <c r="JBY3" s="136"/>
      <c r="JBZ3" s="136"/>
      <c r="JCA3" s="136"/>
      <c r="JCB3" s="136"/>
      <c r="JCC3" s="136"/>
      <c r="JCD3" s="136"/>
      <c r="JCE3" s="136"/>
      <c r="JCF3" s="136"/>
      <c r="JCG3" s="136"/>
      <c r="JCH3" s="136"/>
      <c r="JCI3" s="136"/>
      <c r="JCJ3" s="136"/>
      <c r="JCK3" s="136"/>
      <c r="JCL3" s="136"/>
      <c r="JCM3" s="136"/>
      <c r="JCN3" s="136"/>
      <c r="JCO3" s="136"/>
      <c r="JCP3" s="136"/>
      <c r="JCQ3" s="136"/>
      <c r="JCR3" s="136"/>
      <c r="JCS3" s="136"/>
      <c r="JCT3" s="136"/>
      <c r="JCU3" s="136"/>
      <c r="JCV3" s="136"/>
      <c r="JCW3" s="136"/>
      <c r="JCX3" s="136"/>
      <c r="JCY3" s="136"/>
      <c r="JCZ3" s="136"/>
      <c r="JDA3" s="136"/>
      <c r="JDB3" s="136"/>
      <c r="JDC3" s="136"/>
      <c r="JDD3" s="136"/>
      <c r="JDE3" s="136"/>
      <c r="JDF3" s="136"/>
      <c r="JDG3" s="136"/>
      <c r="JDH3" s="136"/>
      <c r="JDI3" s="136"/>
      <c r="JDJ3" s="136"/>
      <c r="JDK3" s="136"/>
      <c r="JDL3" s="136"/>
      <c r="JDM3" s="136"/>
      <c r="JDN3" s="136"/>
      <c r="JDO3" s="136"/>
      <c r="JDP3" s="136"/>
      <c r="JDQ3" s="136"/>
      <c r="JDR3" s="136"/>
      <c r="JDS3" s="136"/>
      <c r="JDT3" s="136"/>
      <c r="JDU3" s="136"/>
      <c r="JDV3" s="136"/>
      <c r="JDW3" s="136"/>
      <c r="JDX3" s="136"/>
      <c r="JDY3" s="136"/>
      <c r="JDZ3" s="136"/>
      <c r="JEA3" s="136"/>
      <c r="JEB3" s="136"/>
      <c r="JEC3" s="136"/>
      <c r="JED3" s="136"/>
      <c r="JEE3" s="136"/>
      <c r="JEF3" s="136"/>
      <c r="JEG3" s="136"/>
      <c r="JEH3" s="136"/>
      <c r="JEI3" s="136"/>
      <c r="JEJ3" s="136"/>
      <c r="JEK3" s="136"/>
      <c r="JEL3" s="136"/>
      <c r="JEM3" s="136"/>
      <c r="JEN3" s="136"/>
      <c r="JEO3" s="136"/>
      <c r="JEP3" s="136"/>
      <c r="JEQ3" s="136"/>
      <c r="JER3" s="136"/>
      <c r="JES3" s="136"/>
      <c r="JET3" s="136"/>
      <c r="JEU3" s="136"/>
      <c r="JEV3" s="136"/>
      <c r="JEW3" s="136"/>
      <c r="JEX3" s="136"/>
      <c r="JEY3" s="136"/>
      <c r="JEZ3" s="136"/>
      <c r="JFA3" s="136"/>
      <c r="JFB3" s="136"/>
      <c r="JFC3" s="136"/>
      <c r="JFD3" s="136"/>
      <c r="JFE3" s="136"/>
      <c r="JFF3" s="136"/>
      <c r="JFG3" s="136"/>
      <c r="JFH3" s="136"/>
      <c r="JFI3" s="136"/>
      <c r="JFJ3" s="136"/>
      <c r="JFK3" s="136"/>
      <c r="JFL3" s="136"/>
      <c r="JFM3" s="136"/>
      <c r="JFN3" s="136"/>
      <c r="JFO3" s="136"/>
      <c r="JFP3" s="136"/>
      <c r="JFQ3" s="136"/>
      <c r="JFR3" s="136"/>
      <c r="JFS3" s="136"/>
      <c r="JFT3" s="136"/>
      <c r="JFU3" s="136"/>
      <c r="JFV3" s="136"/>
      <c r="JFW3" s="136"/>
      <c r="JFX3" s="136"/>
      <c r="JFY3" s="136"/>
      <c r="JFZ3" s="136"/>
      <c r="JGA3" s="136"/>
      <c r="JGB3" s="136"/>
      <c r="JGC3" s="136"/>
      <c r="JGD3" s="136"/>
      <c r="JGE3" s="136"/>
      <c r="JGF3" s="136"/>
      <c r="JGG3" s="136"/>
      <c r="JGH3" s="136"/>
      <c r="JGI3" s="136"/>
      <c r="JGJ3" s="136"/>
      <c r="JGK3" s="136"/>
      <c r="JGL3" s="136"/>
      <c r="JGM3" s="136"/>
      <c r="JGN3" s="136"/>
      <c r="JGO3" s="136"/>
      <c r="JGP3" s="136"/>
      <c r="JGQ3" s="136"/>
      <c r="JGR3" s="136"/>
      <c r="JGS3" s="136"/>
      <c r="JGT3" s="136"/>
      <c r="JGU3" s="136"/>
      <c r="JGV3" s="136"/>
      <c r="JGW3" s="136"/>
      <c r="JGX3" s="136"/>
      <c r="JGY3" s="136"/>
      <c r="JGZ3" s="136"/>
      <c r="JHA3" s="136"/>
      <c r="JHB3" s="136"/>
      <c r="JHC3" s="136"/>
      <c r="JHD3" s="136"/>
      <c r="JHE3" s="136"/>
      <c r="JHF3" s="136"/>
      <c r="JHG3" s="136"/>
      <c r="JHH3" s="136"/>
      <c r="JHI3" s="136"/>
      <c r="JHJ3" s="136"/>
      <c r="JHK3" s="136"/>
      <c r="JHL3" s="136"/>
      <c r="JHM3" s="136"/>
      <c r="JHN3" s="136"/>
      <c r="JHO3" s="136"/>
      <c r="JHP3" s="136"/>
      <c r="JHQ3" s="136"/>
      <c r="JHR3" s="136"/>
      <c r="JHS3" s="136"/>
      <c r="JHT3" s="136"/>
      <c r="JHU3" s="136"/>
      <c r="JHV3" s="136"/>
      <c r="JHW3" s="136"/>
      <c r="JHX3" s="136"/>
      <c r="JHY3" s="136"/>
      <c r="JHZ3" s="136"/>
      <c r="JIA3" s="136"/>
      <c r="JIB3" s="136"/>
      <c r="JIC3" s="136"/>
      <c r="JID3" s="136"/>
      <c r="JIE3" s="136"/>
      <c r="JIF3" s="136"/>
      <c r="JIG3" s="136"/>
      <c r="JIH3" s="136"/>
      <c r="JII3" s="136"/>
      <c r="JIJ3" s="136"/>
      <c r="JIK3" s="136"/>
      <c r="JIL3" s="136"/>
      <c r="JIM3" s="136"/>
      <c r="JIN3" s="136"/>
      <c r="JIO3" s="136"/>
      <c r="JIP3" s="136"/>
      <c r="JIQ3" s="136"/>
      <c r="JIR3" s="136"/>
      <c r="JIS3" s="136"/>
      <c r="JIT3" s="136"/>
      <c r="JIU3" s="136"/>
      <c r="JIV3" s="136"/>
      <c r="JIW3" s="136"/>
      <c r="JIX3" s="136"/>
      <c r="JIY3" s="136"/>
      <c r="JIZ3" s="136"/>
      <c r="JJA3" s="136"/>
      <c r="JJB3" s="136"/>
      <c r="JJC3" s="136"/>
      <c r="JJD3" s="136"/>
      <c r="JJE3" s="136"/>
      <c r="JJF3" s="136"/>
      <c r="JJG3" s="136"/>
      <c r="JJH3" s="136"/>
      <c r="JJI3" s="136"/>
      <c r="JJJ3" s="136"/>
      <c r="JJK3" s="136"/>
      <c r="JJL3" s="136"/>
      <c r="JJM3" s="136"/>
      <c r="JJN3" s="136"/>
      <c r="JJO3" s="136"/>
      <c r="JJP3" s="136"/>
      <c r="JJQ3" s="136"/>
      <c r="JJR3" s="136"/>
      <c r="JJS3" s="136"/>
      <c r="JJT3" s="136"/>
      <c r="JJU3" s="136"/>
      <c r="JJV3" s="136"/>
      <c r="JJW3" s="136"/>
      <c r="JJX3" s="136"/>
      <c r="JJY3" s="136"/>
      <c r="JJZ3" s="136"/>
      <c r="JKA3" s="136"/>
      <c r="JKB3" s="136"/>
      <c r="JKC3" s="136"/>
      <c r="JKD3" s="136"/>
      <c r="JKE3" s="136"/>
      <c r="JKF3" s="136"/>
      <c r="JKG3" s="136"/>
      <c r="JKH3" s="136"/>
      <c r="JKI3" s="136"/>
      <c r="JKJ3" s="136"/>
      <c r="JKK3" s="136"/>
      <c r="JKL3" s="136"/>
      <c r="JKM3" s="136"/>
      <c r="JKN3" s="136"/>
      <c r="JKO3" s="136"/>
      <c r="JKP3" s="136"/>
      <c r="JKQ3" s="136"/>
      <c r="JKR3" s="136"/>
      <c r="JKS3" s="136"/>
      <c r="JKT3" s="136"/>
      <c r="JKU3" s="136"/>
      <c r="JKV3" s="136"/>
      <c r="JKW3" s="136"/>
      <c r="JKX3" s="136"/>
      <c r="JKY3" s="136"/>
      <c r="JKZ3" s="136"/>
      <c r="JLA3" s="136"/>
      <c r="JLB3" s="136"/>
      <c r="JLC3" s="136"/>
      <c r="JLD3" s="136"/>
      <c r="JLE3" s="136"/>
      <c r="JLF3" s="136"/>
      <c r="JLG3" s="136"/>
      <c r="JLH3" s="136"/>
      <c r="JLI3" s="136"/>
      <c r="JLJ3" s="136"/>
      <c r="JLK3" s="136"/>
      <c r="JLL3" s="136"/>
      <c r="JLM3" s="136"/>
      <c r="JLN3" s="136"/>
      <c r="JLO3" s="136"/>
      <c r="JLP3" s="136"/>
      <c r="JLQ3" s="136"/>
      <c r="JLR3" s="136"/>
      <c r="JLS3" s="136"/>
      <c r="JLT3" s="136"/>
      <c r="JLU3" s="136"/>
      <c r="JLV3" s="136"/>
      <c r="JLW3" s="136"/>
      <c r="JLX3" s="136"/>
      <c r="JLY3" s="136"/>
      <c r="JLZ3" s="136"/>
      <c r="JMA3" s="136"/>
      <c r="JMB3" s="136"/>
      <c r="JMC3" s="136"/>
      <c r="JMD3" s="136"/>
      <c r="JME3" s="136"/>
      <c r="JMF3" s="136"/>
      <c r="JMG3" s="136"/>
      <c r="JMH3" s="136"/>
      <c r="JMI3" s="136"/>
      <c r="JMJ3" s="136"/>
      <c r="JMK3" s="136"/>
      <c r="JML3" s="136"/>
      <c r="JMM3" s="136"/>
      <c r="JMN3" s="136"/>
      <c r="JMO3" s="136"/>
      <c r="JMP3" s="136"/>
      <c r="JMQ3" s="136"/>
      <c r="JMR3" s="136"/>
      <c r="JMS3" s="136"/>
      <c r="JMT3" s="136"/>
      <c r="JMU3" s="136"/>
      <c r="JMV3" s="136"/>
      <c r="JMW3" s="136"/>
      <c r="JMX3" s="136"/>
      <c r="JMY3" s="136"/>
      <c r="JMZ3" s="136"/>
      <c r="JNA3" s="136"/>
      <c r="JNB3" s="136"/>
      <c r="JNC3" s="136"/>
      <c r="JND3" s="136"/>
      <c r="JNE3" s="136"/>
      <c r="JNF3" s="136"/>
      <c r="JNG3" s="136"/>
      <c r="JNH3" s="136"/>
      <c r="JNI3" s="136"/>
      <c r="JNJ3" s="136"/>
      <c r="JNK3" s="136"/>
      <c r="JNL3" s="136"/>
      <c r="JNM3" s="136"/>
      <c r="JNN3" s="136"/>
      <c r="JNO3" s="136"/>
      <c r="JNP3" s="136"/>
      <c r="JNQ3" s="136"/>
      <c r="JNR3" s="136"/>
      <c r="JNS3" s="136"/>
      <c r="JNT3" s="136"/>
      <c r="JNU3" s="136"/>
      <c r="JNV3" s="136"/>
      <c r="JNW3" s="136"/>
      <c r="JNX3" s="136"/>
      <c r="JNY3" s="136"/>
      <c r="JNZ3" s="136"/>
      <c r="JOA3" s="136"/>
      <c r="JOB3" s="136"/>
      <c r="JOC3" s="136"/>
      <c r="JOD3" s="136"/>
      <c r="JOE3" s="136"/>
      <c r="JOF3" s="136"/>
      <c r="JOG3" s="136"/>
      <c r="JOH3" s="136"/>
      <c r="JOI3" s="136"/>
      <c r="JOJ3" s="136"/>
      <c r="JOK3" s="136"/>
      <c r="JOL3" s="136"/>
      <c r="JOM3" s="136"/>
      <c r="JON3" s="136"/>
      <c r="JOO3" s="136"/>
      <c r="JOP3" s="136"/>
      <c r="JOQ3" s="136"/>
      <c r="JOR3" s="136"/>
      <c r="JOS3" s="136"/>
      <c r="JOT3" s="136"/>
      <c r="JOU3" s="136"/>
      <c r="JOV3" s="136"/>
      <c r="JOW3" s="136"/>
      <c r="JOX3" s="136"/>
      <c r="JOY3" s="136"/>
      <c r="JOZ3" s="136"/>
      <c r="JPA3" s="136"/>
      <c r="JPB3" s="136"/>
      <c r="JPC3" s="136"/>
      <c r="JPD3" s="136"/>
      <c r="JPE3" s="136"/>
      <c r="JPF3" s="136"/>
      <c r="JPG3" s="136"/>
      <c r="JPH3" s="136"/>
      <c r="JPI3" s="136"/>
      <c r="JPJ3" s="136"/>
      <c r="JPK3" s="136"/>
      <c r="JPL3" s="136"/>
      <c r="JPM3" s="136"/>
      <c r="JPN3" s="136"/>
      <c r="JPO3" s="136"/>
      <c r="JPP3" s="136"/>
      <c r="JPQ3" s="136"/>
      <c r="JPR3" s="136"/>
      <c r="JPS3" s="136"/>
      <c r="JPT3" s="136"/>
      <c r="JPU3" s="136"/>
      <c r="JPV3" s="136"/>
      <c r="JPW3" s="136"/>
      <c r="JPX3" s="136"/>
      <c r="JPY3" s="136"/>
      <c r="JPZ3" s="136"/>
      <c r="JQA3" s="136"/>
      <c r="JQB3" s="136"/>
      <c r="JQC3" s="136"/>
      <c r="JQD3" s="136"/>
      <c r="JQE3" s="136"/>
      <c r="JQF3" s="136"/>
      <c r="JQG3" s="136"/>
      <c r="JQH3" s="136"/>
      <c r="JQI3" s="136"/>
      <c r="JQJ3" s="136"/>
      <c r="JQK3" s="136"/>
      <c r="JQL3" s="136"/>
      <c r="JQM3" s="136"/>
      <c r="JQN3" s="136"/>
      <c r="JQO3" s="136"/>
      <c r="JQP3" s="136"/>
      <c r="JQQ3" s="136"/>
      <c r="JQR3" s="136"/>
      <c r="JQS3" s="136"/>
      <c r="JQT3" s="136"/>
      <c r="JQU3" s="136"/>
      <c r="JQV3" s="136"/>
      <c r="JQW3" s="136"/>
      <c r="JQX3" s="136"/>
      <c r="JQY3" s="136"/>
      <c r="JQZ3" s="136"/>
      <c r="JRA3" s="136"/>
      <c r="JRB3" s="136"/>
      <c r="JRC3" s="136"/>
      <c r="JRD3" s="136"/>
      <c r="JRE3" s="136"/>
      <c r="JRF3" s="136"/>
      <c r="JRG3" s="136"/>
      <c r="JRH3" s="136"/>
      <c r="JRI3" s="136"/>
      <c r="JRJ3" s="136"/>
      <c r="JRK3" s="136"/>
      <c r="JRL3" s="136"/>
      <c r="JRM3" s="136"/>
      <c r="JRN3" s="136"/>
      <c r="JRO3" s="136"/>
      <c r="JRP3" s="136"/>
      <c r="JRQ3" s="136"/>
      <c r="JRR3" s="136"/>
      <c r="JRS3" s="136"/>
      <c r="JRT3" s="136"/>
      <c r="JRU3" s="136"/>
      <c r="JRV3" s="136"/>
      <c r="JRW3" s="136"/>
      <c r="JRX3" s="136"/>
      <c r="JRY3" s="136"/>
      <c r="JRZ3" s="136"/>
      <c r="JSA3" s="136"/>
      <c r="JSB3" s="136"/>
      <c r="JSC3" s="136"/>
      <c r="JSD3" s="136"/>
      <c r="JSE3" s="136"/>
      <c r="JSF3" s="136"/>
      <c r="JSG3" s="136"/>
      <c r="JSH3" s="136"/>
      <c r="JSI3" s="136"/>
      <c r="JSJ3" s="136"/>
      <c r="JSK3" s="136"/>
      <c r="JSL3" s="136"/>
      <c r="JSM3" s="136"/>
      <c r="JSN3" s="136"/>
      <c r="JSO3" s="136"/>
      <c r="JSP3" s="136"/>
      <c r="JSQ3" s="136"/>
      <c r="JSR3" s="136"/>
      <c r="JSS3" s="136"/>
      <c r="JST3" s="136"/>
      <c r="JSU3" s="136"/>
      <c r="JSV3" s="136"/>
      <c r="JSW3" s="136"/>
      <c r="JSX3" s="136"/>
      <c r="JSY3" s="136"/>
      <c r="JSZ3" s="136"/>
      <c r="JTA3" s="136"/>
      <c r="JTB3" s="136"/>
      <c r="JTC3" s="136"/>
      <c r="JTD3" s="136"/>
      <c r="JTE3" s="136"/>
      <c r="JTF3" s="136"/>
      <c r="JTG3" s="136"/>
      <c r="JTH3" s="136"/>
      <c r="JTI3" s="136"/>
      <c r="JTJ3" s="136"/>
      <c r="JTK3" s="136"/>
      <c r="JTL3" s="136"/>
      <c r="JTM3" s="136"/>
      <c r="JTN3" s="136"/>
      <c r="JTO3" s="136"/>
      <c r="JTP3" s="136"/>
      <c r="JTQ3" s="136"/>
      <c r="JTR3" s="136"/>
      <c r="JTS3" s="136"/>
      <c r="JTT3" s="136"/>
      <c r="JTU3" s="136"/>
      <c r="JTV3" s="136"/>
      <c r="JTW3" s="136"/>
      <c r="JTX3" s="136"/>
      <c r="JTY3" s="136"/>
      <c r="JTZ3" s="136"/>
      <c r="JUA3" s="136"/>
      <c r="JUB3" s="136"/>
      <c r="JUC3" s="136"/>
      <c r="JUD3" s="136"/>
      <c r="JUE3" s="136"/>
      <c r="JUF3" s="136"/>
      <c r="JUG3" s="136"/>
      <c r="JUH3" s="136"/>
      <c r="JUI3" s="136"/>
      <c r="JUJ3" s="136"/>
      <c r="JUK3" s="136"/>
      <c r="JUL3" s="136"/>
      <c r="JUM3" s="136"/>
      <c r="JUN3" s="136"/>
      <c r="JUO3" s="136"/>
      <c r="JUP3" s="136"/>
      <c r="JUQ3" s="136"/>
      <c r="JUR3" s="136"/>
      <c r="JUS3" s="136"/>
      <c r="JUT3" s="136"/>
      <c r="JUU3" s="136"/>
      <c r="JUV3" s="136"/>
      <c r="JUW3" s="136"/>
      <c r="JUX3" s="136"/>
      <c r="JUY3" s="136"/>
      <c r="JUZ3" s="136"/>
      <c r="JVA3" s="136"/>
      <c r="JVB3" s="136"/>
      <c r="JVC3" s="136"/>
      <c r="JVD3" s="136"/>
      <c r="JVE3" s="136"/>
      <c r="JVF3" s="136"/>
      <c r="JVG3" s="136"/>
      <c r="JVH3" s="136"/>
      <c r="JVI3" s="136"/>
      <c r="JVJ3" s="136"/>
      <c r="JVK3" s="136"/>
      <c r="JVL3" s="136"/>
      <c r="JVM3" s="136"/>
      <c r="JVN3" s="136"/>
      <c r="JVO3" s="136"/>
      <c r="JVP3" s="136"/>
      <c r="JVQ3" s="136"/>
      <c r="JVR3" s="136"/>
      <c r="JVS3" s="136"/>
      <c r="JVT3" s="136"/>
      <c r="JVU3" s="136"/>
      <c r="JVV3" s="136"/>
      <c r="JVW3" s="136"/>
      <c r="JVX3" s="136"/>
      <c r="JVY3" s="136"/>
      <c r="JVZ3" s="136"/>
      <c r="JWA3" s="136"/>
      <c r="JWB3" s="136"/>
      <c r="JWC3" s="136"/>
      <c r="JWD3" s="136"/>
      <c r="JWE3" s="136"/>
      <c r="JWF3" s="136"/>
      <c r="JWG3" s="136"/>
      <c r="JWH3" s="136"/>
      <c r="JWI3" s="136"/>
      <c r="JWJ3" s="136"/>
      <c r="JWK3" s="136"/>
      <c r="JWL3" s="136"/>
      <c r="JWM3" s="136"/>
      <c r="JWN3" s="136"/>
      <c r="JWO3" s="136"/>
      <c r="JWP3" s="136"/>
      <c r="JWQ3" s="136"/>
      <c r="JWR3" s="136"/>
      <c r="JWS3" s="136"/>
      <c r="JWT3" s="136"/>
      <c r="JWU3" s="136"/>
      <c r="JWV3" s="136"/>
      <c r="JWW3" s="136"/>
      <c r="JWX3" s="136"/>
      <c r="JWY3" s="136"/>
      <c r="JWZ3" s="136"/>
      <c r="JXA3" s="136"/>
      <c r="JXB3" s="136"/>
      <c r="JXC3" s="136"/>
      <c r="JXD3" s="136"/>
      <c r="JXE3" s="136"/>
      <c r="JXF3" s="136"/>
      <c r="JXG3" s="136"/>
      <c r="JXH3" s="136"/>
      <c r="JXI3" s="136"/>
      <c r="JXJ3" s="136"/>
      <c r="JXK3" s="136"/>
      <c r="JXL3" s="136"/>
      <c r="JXM3" s="136"/>
      <c r="JXN3" s="136"/>
      <c r="JXO3" s="136"/>
      <c r="JXP3" s="136"/>
      <c r="JXQ3" s="136"/>
      <c r="JXR3" s="136"/>
      <c r="JXS3" s="136"/>
      <c r="JXT3" s="136"/>
      <c r="JXU3" s="136"/>
      <c r="JXV3" s="136"/>
      <c r="JXW3" s="136"/>
      <c r="JXX3" s="136"/>
      <c r="JXY3" s="136"/>
      <c r="JXZ3" s="136"/>
      <c r="JYA3" s="136"/>
      <c r="JYB3" s="136"/>
      <c r="JYC3" s="136"/>
      <c r="JYD3" s="136"/>
      <c r="JYE3" s="136"/>
      <c r="JYF3" s="136"/>
      <c r="JYG3" s="136"/>
      <c r="JYH3" s="136"/>
      <c r="JYI3" s="136"/>
      <c r="JYJ3" s="136"/>
      <c r="JYK3" s="136"/>
      <c r="JYL3" s="136"/>
      <c r="JYM3" s="136"/>
      <c r="JYN3" s="136"/>
      <c r="JYO3" s="136"/>
      <c r="JYP3" s="136"/>
      <c r="JYQ3" s="136"/>
      <c r="JYR3" s="136"/>
      <c r="JYS3" s="136"/>
      <c r="JYT3" s="136"/>
      <c r="JYU3" s="136"/>
      <c r="JYV3" s="136"/>
      <c r="JYW3" s="136"/>
      <c r="JYX3" s="136"/>
      <c r="JYY3" s="136"/>
      <c r="JYZ3" s="136"/>
      <c r="JZA3" s="136"/>
      <c r="JZB3" s="136"/>
      <c r="JZC3" s="136"/>
      <c r="JZD3" s="136"/>
      <c r="JZE3" s="136"/>
      <c r="JZF3" s="136"/>
      <c r="JZG3" s="136"/>
      <c r="JZH3" s="136"/>
      <c r="JZI3" s="136"/>
      <c r="JZJ3" s="136"/>
      <c r="JZK3" s="136"/>
      <c r="JZL3" s="136"/>
      <c r="JZM3" s="136"/>
      <c r="JZN3" s="136"/>
      <c r="JZO3" s="136"/>
      <c r="JZP3" s="136"/>
      <c r="JZQ3" s="136"/>
      <c r="JZR3" s="136"/>
      <c r="JZS3" s="136"/>
      <c r="JZT3" s="136"/>
      <c r="JZU3" s="136"/>
      <c r="JZV3" s="136"/>
      <c r="JZW3" s="136"/>
      <c r="JZX3" s="136"/>
      <c r="JZY3" s="136"/>
      <c r="JZZ3" s="136"/>
      <c r="KAA3" s="136"/>
      <c r="KAB3" s="136"/>
      <c r="KAC3" s="136"/>
      <c r="KAD3" s="136"/>
      <c r="KAE3" s="136"/>
      <c r="KAF3" s="136"/>
      <c r="KAG3" s="136"/>
      <c r="KAH3" s="136"/>
      <c r="KAI3" s="136"/>
      <c r="KAJ3" s="136"/>
      <c r="KAK3" s="136"/>
      <c r="KAL3" s="136"/>
      <c r="KAM3" s="136"/>
      <c r="KAN3" s="136"/>
      <c r="KAO3" s="136"/>
      <c r="KAP3" s="136"/>
      <c r="KAQ3" s="136"/>
      <c r="KAR3" s="136"/>
      <c r="KAS3" s="136"/>
      <c r="KAT3" s="136"/>
      <c r="KAU3" s="136"/>
      <c r="KAV3" s="136"/>
      <c r="KAW3" s="136"/>
      <c r="KAX3" s="136"/>
      <c r="KAY3" s="136"/>
      <c r="KAZ3" s="136"/>
      <c r="KBA3" s="136"/>
      <c r="KBB3" s="136"/>
      <c r="KBC3" s="136"/>
      <c r="KBD3" s="136"/>
      <c r="KBE3" s="136"/>
      <c r="KBF3" s="136"/>
      <c r="KBG3" s="136"/>
      <c r="KBH3" s="136"/>
      <c r="KBI3" s="136"/>
      <c r="KBJ3" s="136"/>
      <c r="KBK3" s="136"/>
      <c r="KBL3" s="136"/>
      <c r="KBM3" s="136"/>
      <c r="KBN3" s="136"/>
      <c r="KBO3" s="136"/>
      <c r="KBP3" s="136"/>
      <c r="KBQ3" s="136"/>
      <c r="KBR3" s="136"/>
      <c r="KBS3" s="136"/>
      <c r="KBT3" s="136"/>
      <c r="KBU3" s="136"/>
      <c r="KBV3" s="136"/>
      <c r="KBW3" s="136"/>
      <c r="KBX3" s="136"/>
      <c r="KBY3" s="136"/>
      <c r="KBZ3" s="136"/>
      <c r="KCA3" s="136"/>
      <c r="KCB3" s="136"/>
      <c r="KCC3" s="136"/>
      <c r="KCD3" s="136"/>
      <c r="KCE3" s="136"/>
      <c r="KCF3" s="136"/>
      <c r="KCG3" s="136"/>
      <c r="KCH3" s="136"/>
      <c r="KCI3" s="136"/>
      <c r="KCJ3" s="136"/>
      <c r="KCK3" s="136"/>
      <c r="KCL3" s="136"/>
      <c r="KCM3" s="136"/>
      <c r="KCN3" s="136"/>
      <c r="KCO3" s="136"/>
      <c r="KCP3" s="136"/>
      <c r="KCQ3" s="136"/>
      <c r="KCR3" s="136"/>
      <c r="KCS3" s="136"/>
      <c r="KCT3" s="136"/>
      <c r="KCU3" s="136"/>
      <c r="KCV3" s="136"/>
      <c r="KCW3" s="136"/>
      <c r="KCX3" s="136"/>
      <c r="KCY3" s="136"/>
      <c r="KCZ3" s="136"/>
      <c r="KDA3" s="136"/>
      <c r="KDB3" s="136"/>
      <c r="KDC3" s="136"/>
      <c r="KDD3" s="136"/>
      <c r="KDE3" s="136"/>
      <c r="KDF3" s="136"/>
      <c r="KDG3" s="136"/>
      <c r="KDH3" s="136"/>
      <c r="KDI3" s="136"/>
      <c r="KDJ3" s="136"/>
      <c r="KDK3" s="136"/>
      <c r="KDL3" s="136"/>
      <c r="KDM3" s="136"/>
      <c r="KDN3" s="136"/>
      <c r="KDO3" s="136"/>
      <c r="KDP3" s="136"/>
      <c r="KDQ3" s="136"/>
      <c r="KDR3" s="136"/>
      <c r="KDS3" s="136"/>
      <c r="KDT3" s="136"/>
      <c r="KDU3" s="136"/>
      <c r="KDV3" s="136"/>
      <c r="KDW3" s="136"/>
      <c r="KDX3" s="136"/>
      <c r="KDY3" s="136"/>
      <c r="KDZ3" s="136"/>
      <c r="KEA3" s="136"/>
      <c r="KEB3" s="136"/>
      <c r="KEC3" s="136"/>
      <c r="KED3" s="136"/>
      <c r="KEE3" s="136"/>
      <c r="KEF3" s="136"/>
      <c r="KEG3" s="136"/>
      <c r="KEH3" s="136"/>
      <c r="KEI3" s="136"/>
      <c r="KEJ3" s="136"/>
      <c r="KEK3" s="136"/>
      <c r="KEL3" s="136"/>
      <c r="KEM3" s="136"/>
      <c r="KEN3" s="136"/>
      <c r="KEO3" s="136"/>
      <c r="KEP3" s="136"/>
      <c r="KEQ3" s="136"/>
      <c r="KER3" s="136"/>
      <c r="KES3" s="136"/>
      <c r="KET3" s="136"/>
      <c r="KEU3" s="136"/>
      <c r="KEV3" s="136"/>
      <c r="KEW3" s="136"/>
      <c r="KEX3" s="136"/>
      <c r="KEY3" s="136"/>
      <c r="KEZ3" s="136"/>
      <c r="KFA3" s="136"/>
      <c r="KFB3" s="136"/>
      <c r="KFC3" s="136"/>
      <c r="KFD3" s="136"/>
      <c r="KFE3" s="136"/>
      <c r="KFF3" s="136"/>
      <c r="KFG3" s="136"/>
      <c r="KFH3" s="136"/>
      <c r="KFI3" s="136"/>
      <c r="KFJ3" s="136"/>
      <c r="KFK3" s="136"/>
      <c r="KFL3" s="136"/>
      <c r="KFM3" s="136"/>
      <c r="KFN3" s="136"/>
      <c r="KFO3" s="136"/>
      <c r="KFP3" s="136"/>
      <c r="KFQ3" s="136"/>
      <c r="KFR3" s="136"/>
      <c r="KFS3" s="136"/>
      <c r="KFT3" s="136"/>
      <c r="KFU3" s="136"/>
      <c r="KFV3" s="136"/>
      <c r="KFW3" s="136"/>
      <c r="KFX3" s="136"/>
      <c r="KFY3" s="136"/>
      <c r="KFZ3" s="136"/>
      <c r="KGA3" s="136"/>
      <c r="KGB3" s="136"/>
      <c r="KGC3" s="136"/>
      <c r="KGD3" s="136"/>
      <c r="KGE3" s="136"/>
      <c r="KGF3" s="136"/>
      <c r="KGG3" s="136"/>
      <c r="KGH3" s="136"/>
      <c r="KGI3" s="136"/>
      <c r="KGJ3" s="136"/>
      <c r="KGK3" s="136"/>
      <c r="KGL3" s="136"/>
      <c r="KGM3" s="136"/>
      <c r="KGN3" s="136"/>
      <c r="KGO3" s="136"/>
      <c r="KGP3" s="136"/>
      <c r="KGQ3" s="136"/>
      <c r="KGR3" s="136"/>
      <c r="KGS3" s="136"/>
      <c r="KGT3" s="136"/>
      <c r="KGU3" s="136"/>
      <c r="KGV3" s="136"/>
      <c r="KGW3" s="136"/>
      <c r="KGX3" s="136"/>
      <c r="KGY3" s="136"/>
      <c r="KGZ3" s="136"/>
      <c r="KHA3" s="136"/>
      <c r="KHB3" s="136"/>
      <c r="KHC3" s="136"/>
      <c r="KHD3" s="136"/>
      <c r="KHE3" s="136"/>
      <c r="KHF3" s="136"/>
      <c r="KHG3" s="136"/>
      <c r="KHH3" s="136"/>
      <c r="KHI3" s="136"/>
      <c r="KHJ3" s="136"/>
      <c r="KHK3" s="136"/>
      <c r="KHL3" s="136"/>
      <c r="KHM3" s="136"/>
      <c r="KHN3" s="136"/>
      <c r="KHO3" s="136"/>
      <c r="KHP3" s="136"/>
      <c r="KHQ3" s="136"/>
      <c r="KHR3" s="136"/>
      <c r="KHS3" s="136"/>
      <c r="KHT3" s="136"/>
      <c r="KHU3" s="136"/>
      <c r="KHV3" s="136"/>
      <c r="KHW3" s="136"/>
      <c r="KHX3" s="136"/>
      <c r="KHY3" s="136"/>
      <c r="KHZ3" s="136"/>
      <c r="KIA3" s="136"/>
      <c r="KIB3" s="136"/>
      <c r="KIC3" s="136"/>
      <c r="KID3" s="136"/>
      <c r="KIE3" s="136"/>
      <c r="KIF3" s="136"/>
      <c r="KIG3" s="136"/>
      <c r="KIH3" s="136"/>
      <c r="KII3" s="136"/>
      <c r="KIJ3" s="136"/>
      <c r="KIK3" s="136"/>
      <c r="KIL3" s="136"/>
      <c r="KIM3" s="136"/>
      <c r="KIN3" s="136"/>
      <c r="KIO3" s="136"/>
      <c r="KIP3" s="136"/>
      <c r="KIQ3" s="136"/>
      <c r="KIR3" s="136"/>
      <c r="KIS3" s="136"/>
      <c r="KIT3" s="136"/>
      <c r="KIU3" s="136"/>
      <c r="KIV3" s="136"/>
      <c r="KIW3" s="136"/>
      <c r="KIX3" s="136"/>
      <c r="KIY3" s="136"/>
      <c r="KIZ3" s="136"/>
      <c r="KJA3" s="136"/>
      <c r="KJB3" s="136"/>
      <c r="KJC3" s="136"/>
      <c r="KJD3" s="136"/>
      <c r="KJE3" s="136"/>
      <c r="KJF3" s="136"/>
      <c r="KJG3" s="136"/>
      <c r="KJH3" s="136"/>
      <c r="KJI3" s="136"/>
      <c r="KJJ3" s="136"/>
      <c r="KJK3" s="136"/>
      <c r="KJL3" s="136"/>
      <c r="KJM3" s="136"/>
      <c r="KJN3" s="136"/>
      <c r="KJO3" s="136"/>
      <c r="KJP3" s="136"/>
      <c r="KJQ3" s="136"/>
      <c r="KJR3" s="136"/>
      <c r="KJS3" s="136"/>
      <c r="KJT3" s="136"/>
      <c r="KJU3" s="136"/>
      <c r="KJV3" s="136"/>
      <c r="KJW3" s="136"/>
      <c r="KJX3" s="136"/>
      <c r="KJY3" s="136"/>
      <c r="KJZ3" s="136"/>
      <c r="KKA3" s="136"/>
      <c r="KKB3" s="136"/>
      <c r="KKC3" s="136"/>
      <c r="KKD3" s="136"/>
      <c r="KKE3" s="136"/>
      <c r="KKF3" s="136"/>
      <c r="KKG3" s="136"/>
      <c r="KKH3" s="136"/>
      <c r="KKI3" s="136"/>
      <c r="KKJ3" s="136"/>
      <c r="KKK3" s="136"/>
      <c r="KKL3" s="136"/>
      <c r="KKM3" s="136"/>
      <c r="KKN3" s="136"/>
      <c r="KKO3" s="136"/>
      <c r="KKP3" s="136"/>
      <c r="KKQ3" s="136"/>
      <c r="KKR3" s="136"/>
      <c r="KKS3" s="136"/>
      <c r="KKT3" s="136"/>
      <c r="KKU3" s="136"/>
      <c r="KKV3" s="136"/>
      <c r="KKW3" s="136"/>
      <c r="KKX3" s="136"/>
      <c r="KKY3" s="136"/>
      <c r="KKZ3" s="136"/>
      <c r="KLA3" s="136"/>
      <c r="KLB3" s="136"/>
      <c r="KLC3" s="136"/>
      <c r="KLD3" s="136"/>
      <c r="KLE3" s="136"/>
      <c r="KLF3" s="136"/>
      <c r="KLG3" s="136"/>
      <c r="KLH3" s="136"/>
      <c r="KLI3" s="136"/>
      <c r="KLJ3" s="136"/>
      <c r="KLK3" s="136"/>
      <c r="KLL3" s="136"/>
      <c r="KLM3" s="136"/>
      <c r="KLN3" s="136"/>
      <c r="KLO3" s="136"/>
      <c r="KLP3" s="136"/>
      <c r="KLQ3" s="136"/>
      <c r="KLR3" s="136"/>
      <c r="KLS3" s="136"/>
      <c r="KLT3" s="136"/>
      <c r="KLU3" s="136"/>
      <c r="KLV3" s="136"/>
      <c r="KLW3" s="136"/>
      <c r="KLX3" s="136"/>
      <c r="KLY3" s="136"/>
      <c r="KLZ3" s="136"/>
      <c r="KMA3" s="136"/>
      <c r="KMB3" s="136"/>
      <c r="KMC3" s="136"/>
      <c r="KMD3" s="136"/>
      <c r="KME3" s="136"/>
      <c r="KMF3" s="136"/>
      <c r="KMG3" s="136"/>
      <c r="KMH3" s="136"/>
      <c r="KMI3" s="136"/>
      <c r="KMJ3" s="136"/>
      <c r="KMK3" s="136"/>
      <c r="KML3" s="136"/>
      <c r="KMM3" s="136"/>
      <c r="KMN3" s="136"/>
      <c r="KMO3" s="136"/>
      <c r="KMP3" s="136"/>
      <c r="KMQ3" s="136"/>
      <c r="KMR3" s="136"/>
      <c r="KMS3" s="136"/>
      <c r="KMT3" s="136"/>
      <c r="KMU3" s="136"/>
      <c r="KMV3" s="136"/>
      <c r="KMW3" s="136"/>
      <c r="KMX3" s="136"/>
      <c r="KMY3" s="136"/>
      <c r="KMZ3" s="136"/>
      <c r="KNA3" s="136"/>
      <c r="KNB3" s="136"/>
      <c r="KNC3" s="136"/>
      <c r="KND3" s="136"/>
      <c r="KNE3" s="136"/>
      <c r="KNF3" s="136"/>
      <c r="KNG3" s="136"/>
      <c r="KNH3" s="136"/>
      <c r="KNI3" s="136"/>
      <c r="KNJ3" s="136"/>
      <c r="KNK3" s="136"/>
      <c r="KNL3" s="136"/>
      <c r="KNM3" s="136"/>
      <c r="KNN3" s="136"/>
      <c r="KNO3" s="136"/>
      <c r="KNP3" s="136"/>
      <c r="KNQ3" s="136"/>
      <c r="KNR3" s="136"/>
      <c r="KNS3" s="136"/>
      <c r="KNT3" s="136"/>
      <c r="KNU3" s="136"/>
      <c r="KNV3" s="136"/>
      <c r="KNW3" s="136"/>
      <c r="KNX3" s="136"/>
      <c r="KNY3" s="136"/>
      <c r="KNZ3" s="136"/>
      <c r="KOA3" s="136"/>
      <c r="KOB3" s="136"/>
      <c r="KOC3" s="136"/>
      <c r="KOD3" s="136"/>
      <c r="KOE3" s="136"/>
      <c r="KOF3" s="136"/>
      <c r="KOG3" s="136"/>
      <c r="KOH3" s="136"/>
      <c r="KOI3" s="136"/>
      <c r="KOJ3" s="136"/>
      <c r="KOK3" s="136"/>
      <c r="KOL3" s="136"/>
      <c r="KOM3" s="136"/>
      <c r="KON3" s="136"/>
      <c r="KOO3" s="136"/>
      <c r="KOP3" s="136"/>
      <c r="KOQ3" s="136"/>
      <c r="KOR3" s="136"/>
      <c r="KOS3" s="136"/>
      <c r="KOT3" s="136"/>
      <c r="KOU3" s="136"/>
      <c r="KOV3" s="136"/>
      <c r="KOW3" s="136"/>
      <c r="KOX3" s="136"/>
      <c r="KOY3" s="136"/>
      <c r="KOZ3" s="136"/>
      <c r="KPA3" s="136"/>
      <c r="KPB3" s="136"/>
      <c r="KPC3" s="136"/>
      <c r="KPD3" s="136"/>
      <c r="KPE3" s="136"/>
      <c r="KPF3" s="136"/>
      <c r="KPG3" s="136"/>
      <c r="KPH3" s="136"/>
      <c r="KPI3" s="136"/>
      <c r="KPJ3" s="136"/>
      <c r="KPK3" s="136"/>
      <c r="KPL3" s="136"/>
      <c r="KPM3" s="136"/>
      <c r="KPN3" s="136"/>
      <c r="KPO3" s="136"/>
      <c r="KPP3" s="136"/>
      <c r="KPQ3" s="136"/>
      <c r="KPR3" s="136"/>
      <c r="KPS3" s="136"/>
      <c r="KPT3" s="136"/>
      <c r="KPU3" s="136"/>
      <c r="KPV3" s="136"/>
      <c r="KPW3" s="136"/>
      <c r="KPX3" s="136"/>
      <c r="KPY3" s="136"/>
      <c r="KPZ3" s="136"/>
      <c r="KQA3" s="136"/>
      <c r="KQB3" s="136"/>
      <c r="KQC3" s="136"/>
      <c r="KQD3" s="136"/>
      <c r="KQE3" s="136"/>
      <c r="KQF3" s="136"/>
      <c r="KQG3" s="136"/>
      <c r="KQH3" s="136"/>
      <c r="KQI3" s="136"/>
      <c r="KQJ3" s="136"/>
      <c r="KQK3" s="136"/>
      <c r="KQL3" s="136"/>
      <c r="KQM3" s="136"/>
      <c r="KQN3" s="136"/>
      <c r="KQO3" s="136"/>
      <c r="KQP3" s="136"/>
      <c r="KQQ3" s="136"/>
      <c r="KQR3" s="136"/>
      <c r="KQS3" s="136"/>
      <c r="KQT3" s="136"/>
      <c r="KQU3" s="136"/>
      <c r="KQV3" s="136"/>
      <c r="KQW3" s="136"/>
      <c r="KQX3" s="136"/>
      <c r="KQY3" s="136"/>
      <c r="KQZ3" s="136"/>
      <c r="KRA3" s="136"/>
      <c r="KRB3" s="136"/>
      <c r="KRC3" s="136"/>
      <c r="KRD3" s="136"/>
      <c r="KRE3" s="136"/>
      <c r="KRF3" s="136"/>
      <c r="KRG3" s="136"/>
      <c r="KRH3" s="136"/>
      <c r="KRI3" s="136"/>
      <c r="KRJ3" s="136"/>
      <c r="KRK3" s="136"/>
      <c r="KRL3" s="136"/>
      <c r="KRM3" s="136"/>
      <c r="KRN3" s="136"/>
      <c r="KRO3" s="136"/>
      <c r="KRP3" s="136"/>
      <c r="KRQ3" s="136"/>
      <c r="KRR3" s="136"/>
      <c r="KRS3" s="136"/>
      <c r="KRT3" s="136"/>
      <c r="KRU3" s="136"/>
      <c r="KRV3" s="136"/>
      <c r="KRW3" s="136"/>
      <c r="KRX3" s="136"/>
      <c r="KRY3" s="136"/>
      <c r="KRZ3" s="136"/>
      <c r="KSA3" s="136"/>
      <c r="KSB3" s="136"/>
      <c r="KSC3" s="136"/>
      <c r="KSD3" s="136"/>
      <c r="KSE3" s="136"/>
      <c r="KSF3" s="136"/>
      <c r="KSG3" s="136"/>
      <c r="KSH3" s="136"/>
      <c r="KSI3" s="136"/>
      <c r="KSJ3" s="136"/>
      <c r="KSK3" s="136"/>
      <c r="KSL3" s="136"/>
      <c r="KSM3" s="136"/>
      <c r="KSN3" s="136"/>
      <c r="KSO3" s="136"/>
      <c r="KSP3" s="136"/>
      <c r="KSQ3" s="136"/>
      <c r="KSR3" s="136"/>
      <c r="KSS3" s="136"/>
      <c r="KST3" s="136"/>
      <c r="KSU3" s="136"/>
      <c r="KSV3" s="136"/>
      <c r="KSW3" s="136"/>
      <c r="KSX3" s="136"/>
      <c r="KSY3" s="136"/>
      <c r="KSZ3" s="136"/>
      <c r="KTA3" s="136"/>
      <c r="KTB3" s="136"/>
      <c r="KTC3" s="136"/>
      <c r="KTD3" s="136"/>
      <c r="KTE3" s="136"/>
      <c r="KTF3" s="136"/>
      <c r="KTG3" s="136"/>
      <c r="KTH3" s="136"/>
      <c r="KTI3" s="136"/>
      <c r="KTJ3" s="136"/>
      <c r="KTK3" s="136"/>
      <c r="KTL3" s="136"/>
      <c r="KTM3" s="136"/>
      <c r="KTN3" s="136"/>
      <c r="KTO3" s="136"/>
      <c r="KTP3" s="136"/>
      <c r="KTQ3" s="136"/>
      <c r="KTR3" s="136"/>
      <c r="KTS3" s="136"/>
      <c r="KTT3" s="136"/>
      <c r="KTU3" s="136"/>
      <c r="KTV3" s="136"/>
      <c r="KTW3" s="136"/>
      <c r="KTX3" s="136"/>
      <c r="KTY3" s="136"/>
      <c r="KTZ3" s="136"/>
      <c r="KUA3" s="136"/>
      <c r="KUB3" s="136"/>
      <c r="KUC3" s="136"/>
      <c r="KUD3" s="136"/>
      <c r="KUE3" s="136"/>
      <c r="KUF3" s="136"/>
      <c r="KUG3" s="136"/>
      <c r="KUH3" s="136"/>
      <c r="KUI3" s="136"/>
      <c r="KUJ3" s="136"/>
      <c r="KUK3" s="136"/>
      <c r="KUL3" s="136"/>
      <c r="KUM3" s="136"/>
      <c r="KUN3" s="136"/>
      <c r="KUO3" s="136"/>
      <c r="KUP3" s="136"/>
      <c r="KUQ3" s="136"/>
      <c r="KUR3" s="136"/>
      <c r="KUS3" s="136"/>
      <c r="KUT3" s="136"/>
      <c r="KUU3" s="136"/>
      <c r="KUV3" s="136"/>
      <c r="KUW3" s="136"/>
      <c r="KUX3" s="136"/>
      <c r="KUY3" s="136"/>
      <c r="KUZ3" s="136"/>
      <c r="KVA3" s="136"/>
      <c r="KVB3" s="136"/>
      <c r="KVC3" s="136"/>
      <c r="KVD3" s="136"/>
      <c r="KVE3" s="136"/>
      <c r="KVF3" s="136"/>
      <c r="KVG3" s="136"/>
      <c r="KVH3" s="136"/>
      <c r="KVI3" s="136"/>
      <c r="KVJ3" s="136"/>
      <c r="KVK3" s="136"/>
      <c r="KVL3" s="136"/>
      <c r="KVM3" s="136"/>
      <c r="KVN3" s="136"/>
      <c r="KVO3" s="136"/>
      <c r="KVP3" s="136"/>
      <c r="KVQ3" s="136"/>
      <c r="KVR3" s="136"/>
      <c r="KVS3" s="136"/>
      <c r="KVT3" s="136"/>
      <c r="KVU3" s="136"/>
      <c r="KVV3" s="136"/>
      <c r="KVW3" s="136"/>
      <c r="KVX3" s="136"/>
      <c r="KVY3" s="136"/>
      <c r="KVZ3" s="136"/>
      <c r="KWA3" s="136"/>
      <c r="KWB3" s="136"/>
      <c r="KWC3" s="136"/>
      <c r="KWD3" s="136"/>
      <c r="KWE3" s="136"/>
      <c r="KWF3" s="136"/>
      <c r="KWG3" s="136"/>
      <c r="KWH3" s="136"/>
      <c r="KWI3" s="136"/>
      <c r="KWJ3" s="136"/>
      <c r="KWK3" s="136"/>
      <c r="KWL3" s="136"/>
      <c r="KWM3" s="136"/>
      <c r="KWN3" s="136"/>
      <c r="KWO3" s="136"/>
      <c r="KWP3" s="136"/>
      <c r="KWQ3" s="136"/>
      <c r="KWR3" s="136"/>
      <c r="KWS3" s="136"/>
      <c r="KWT3" s="136"/>
      <c r="KWU3" s="136"/>
      <c r="KWV3" s="136"/>
      <c r="KWW3" s="136"/>
      <c r="KWX3" s="136"/>
      <c r="KWY3" s="136"/>
      <c r="KWZ3" s="136"/>
      <c r="KXA3" s="136"/>
      <c r="KXB3" s="136"/>
      <c r="KXC3" s="136"/>
      <c r="KXD3" s="136"/>
      <c r="KXE3" s="136"/>
      <c r="KXF3" s="136"/>
      <c r="KXG3" s="136"/>
      <c r="KXH3" s="136"/>
      <c r="KXI3" s="136"/>
      <c r="KXJ3" s="136"/>
      <c r="KXK3" s="136"/>
      <c r="KXL3" s="136"/>
      <c r="KXM3" s="136"/>
      <c r="KXN3" s="136"/>
      <c r="KXO3" s="136"/>
      <c r="KXP3" s="136"/>
      <c r="KXQ3" s="136"/>
      <c r="KXR3" s="136"/>
      <c r="KXS3" s="136"/>
      <c r="KXT3" s="136"/>
      <c r="KXU3" s="136"/>
      <c r="KXV3" s="136"/>
      <c r="KXW3" s="136"/>
      <c r="KXX3" s="136"/>
      <c r="KXY3" s="136"/>
      <c r="KXZ3" s="136"/>
      <c r="KYA3" s="136"/>
      <c r="KYB3" s="136"/>
      <c r="KYC3" s="136"/>
      <c r="KYD3" s="136"/>
      <c r="KYE3" s="136"/>
      <c r="KYF3" s="136"/>
      <c r="KYG3" s="136"/>
      <c r="KYH3" s="136"/>
      <c r="KYI3" s="136"/>
      <c r="KYJ3" s="136"/>
      <c r="KYK3" s="136"/>
      <c r="KYL3" s="136"/>
      <c r="KYM3" s="136"/>
      <c r="KYN3" s="136"/>
      <c r="KYO3" s="136"/>
      <c r="KYP3" s="136"/>
      <c r="KYQ3" s="136"/>
      <c r="KYR3" s="136"/>
      <c r="KYS3" s="136"/>
      <c r="KYT3" s="136"/>
      <c r="KYU3" s="136"/>
      <c r="KYV3" s="136"/>
      <c r="KYW3" s="136"/>
      <c r="KYX3" s="136"/>
      <c r="KYY3" s="136"/>
      <c r="KYZ3" s="136"/>
      <c r="KZA3" s="136"/>
      <c r="KZB3" s="136"/>
      <c r="KZC3" s="136"/>
      <c r="KZD3" s="136"/>
      <c r="KZE3" s="136"/>
      <c r="KZF3" s="136"/>
      <c r="KZG3" s="136"/>
      <c r="KZH3" s="136"/>
      <c r="KZI3" s="136"/>
      <c r="KZJ3" s="136"/>
      <c r="KZK3" s="136"/>
      <c r="KZL3" s="136"/>
      <c r="KZM3" s="136"/>
      <c r="KZN3" s="136"/>
      <c r="KZO3" s="136"/>
      <c r="KZP3" s="136"/>
      <c r="KZQ3" s="136"/>
      <c r="KZR3" s="136"/>
      <c r="KZS3" s="136"/>
      <c r="KZT3" s="136"/>
      <c r="KZU3" s="136"/>
      <c r="KZV3" s="136"/>
      <c r="KZW3" s="136"/>
      <c r="KZX3" s="136"/>
      <c r="KZY3" s="136"/>
      <c r="KZZ3" s="136"/>
      <c r="LAA3" s="136"/>
      <c r="LAB3" s="136"/>
      <c r="LAC3" s="136"/>
      <c r="LAD3" s="136"/>
      <c r="LAE3" s="136"/>
      <c r="LAF3" s="136"/>
      <c r="LAG3" s="136"/>
      <c r="LAH3" s="136"/>
      <c r="LAI3" s="136"/>
      <c r="LAJ3" s="136"/>
      <c r="LAK3" s="136"/>
      <c r="LAL3" s="136"/>
      <c r="LAM3" s="136"/>
      <c r="LAN3" s="136"/>
      <c r="LAO3" s="136"/>
      <c r="LAP3" s="136"/>
      <c r="LAQ3" s="136"/>
      <c r="LAR3" s="136"/>
      <c r="LAS3" s="136"/>
      <c r="LAT3" s="136"/>
      <c r="LAU3" s="136"/>
      <c r="LAV3" s="136"/>
      <c r="LAW3" s="136"/>
      <c r="LAX3" s="136"/>
      <c r="LAY3" s="136"/>
      <c r="LAZ3" s="136"/>
      <c r="LBA3" s="136"/>
      <c r="LBB3" s="136"/>
      <c r="LBC3" s="136"/>
      <c r="LBD3" s="136"/>
      <c r="LBE3" s="136"/>
      <c r="LBF3" s="136"/>
      <c r="LBG3" s="136"/>
      <c r="LBH3" s="136"/>
      <c r="LBI3" s="136"/>
      <c r="LBJ3" s="136"/>
      <c r="LBK3" s="136"/>
      <c r="LBL3" s="136"/>
      <c r="LBM3" s="136"/>
      <c r="LBN3" s="136"/>
      <c r="LBO3" s="136"/>
      <c r="LBP3" s="136"/>
      <c r="LBQ3" s="136"/>
      <c r="LBR3" s="136"/>
      <c r="LBS3" s="136"/>
      <c r="LBT3" s="136"/>
      <c r="LBU3" s="136"/>
      <c r="LBV3" s="136"/>
      <c r="LBW3" s="136"/>
      <c r="LBX3" s="136"/>
      <c r="LBY3" s="136"/>
      <c r="LBZ3" s="136"/>
      <c r="LCA3" s="136"/>
      <c r="LCB3" s="136"/>
      <c r="LCC3" s="136"/>
      <c r="LCD3" s="136"/>
      <c r="LCE3" s="136"/>
      <c r="LCF3" s="136"/>
      <c r="LCG3" s="136"/>
      <c r="LCH3" s="136"/>
      <c r="LCI3" s="136"/>
      <c r="LCJ3" s="136"/>
      <c r="LCK3" s="136"/>
      <c r="LCL3" s="136"/>
      <c r="LCM3" s="136"/>
      <c r="LCN3" s="136"/>
      <c r="LCO3" s="136"/>
      <c r="LCP3" s="136"/>
      <c r="LCQ3" s="136"/>
      <c r="LCR3" s="136"/>
      <c r="LCS3" s="136"/>
      <c r="LCT3" s="136"/>
      <c r="LCU3" s="136"/>
      <c r="LCV3" s="136"/>
      <c r="LCW3" s="136"/>
      <c r="LCX3" s="136"/>
      <c r="LCY3" s="136"/>
      <c r="LCZ3" s="136"/>
      <c r="LDA3" s="136"/>
      <c r="LDB3" s="136"/>
      <c r="LDC3" s="136"/>
      <c r="LDD3" s="136"/>
      <c r="LDE3" s="136"/>
      <c r="LDF3" s="136"/>
      <c r="LDG3" s="136"/>
      <c r="LDH3" s="136"/>
      <c r="LDI3" s="136"/>
      <c r="LDJ3" s="136"/>
      <c r="LDK3" s="136"/>
      <c r="LDL3" s="136"/>
      <c r="LDM3" s="136"/>
      <c r="LDN3" s="136"/>
      <c r="LDO3" s="136"/>
      <c r="LDP3" s="136"/>
      <c r="LDQ3" s="136"/>
      <c r="LDR3" s="136"/>
      <c r="LDS3" s="136"/>
      <c r="LDT3" s="136"/>
      <c r="LDU3" s="136"/>
      <c r="LDV3" s="136"/>
      <c r="LDW3" s="136"/>
      <c r="LDX3" s="136"/>
      <c r="LDY3" s="136"/>
      <c r="LDZ3" s="136"/>
      <c r="LEA3" s="136"/>
      <c r="LEB3" s="136"/>
      <c r="LEC3" s="136"/>
      <c r="LED3" s="136"/>
      <c r="LEE3" s="136"/>
      <c r="LEF3" s="136"/>
      <c r="LEG3" s="136"/>
      <c r="LEH3" s="136"/>
      <c r="LEI3" s="136"/>
      <c r="LEJ3" s="136"/>
      <c r="LEK3" s="136"/>
      <c r="LEL3" s="136"/>
      <c r="LEM3" s="136"/>
      <c r="LEN3" s="136"/>
      <c r="LEO3" s="136"/>
      <c r="LEP3" s="136"/>
      <c r="LEQ3" s="136"/>
      <c r="LER3" s="136"/>
      <c r="LES3" s="136"/>
      <c r="LET3" s="136"/>
      <c r="LEU3" s="136"/>
      <c r="LEV3" s="136"/>
      <c r="LEW3" s="136"/>
      <c r="LEX3" s="136"/>
      <c r="LEY3" s="136"/>
      <c r="LEZ3" s="136"/>
      <c r="LFA3" s="136"/>
      <c r="LFB3" s="136"/>
      <c r="LFC3" s="136"/>
      <c r="LFD3" s="136"/>
      <c r="LFE3" s="136"/>
      <c r="LFF3" s="136"/>
      <c r="LFG3" s="136"/>
      <c r="LFH3" s="136"/>
      <c r="LFI3" s="136"/>
      <c r="LFJ3" s="136"/>
      <c r="LFK3" s="136"/>
      <c r="LFL3" s="136"/>
      <c r="LFM3" s="136"/>
      <c r="LFN3" s="136"/>
      <c r="LFO3" s="136"/>
      <c r="LFP3" s="136"/>
      <c r="LFQ3" s="136"/>
      <c r="LFR3" s="136"/>
      <c r="LFS3" s="136"/>
      <c r="LFT3" s="136"/>
      <c r="LFU3" s="136"/>
      <c r="LFV3" s="136"/>
      <c r="LFW3" s="136"/>
      <c r="LFX3" s="136"/>
      <c r="LFY3" s="136"/>
      <c r="LFZ3" s="136"/>
      <c r="LGA3" s="136"/>
      <c r="LGB3" s="136"/>
      <c r="LGC3" s="136"/>
      <c r="LGD3" s="136"/>
      <c r="LGE3" s="136"/>
      <c r="LGF3" s="136"/>
      <c r="LGG3" s="136"/>
      <c r="LGH3" s="136"/>
      <c r="LGI3" s="136"/>
      <c r="LGJ3" s="136"/>
      <c r="LGK3" s="136"/>
      <c r="LGL3" s="136"/>
      <c r="LGM3" s="136"/>
      <c r="LGN3" s="136"/>
      <c r="LGO3" s="136"/>
      <c r="LGP3" s="136"/>
      <c r="LGQ3" s="136"/>
      <c r="LGR3" s="136"/>
      <c r="LGS3" s="136"/>
      <c r="LGT3" s="136"/>
      <c r="LGU3" s="136"/>
      <c r="LGV3" s="136"/>
      <c r="LGW3" s="136"/>
      <c r="LGX3" s="136"/>
      <c r="LGY3" s="136"/>
      <c r="LGZ3" s="136"/>
      <c r="LHA3" s="136"/>
      <c r="LHB3" s="136"/>
      <c r="LHC3" s="136"/>
      <c r="LHD3" s="136"/>
      <c r="LHE3" s="136"/>
      <c r="LHF3" s="136"/>
      <c r="LHG3" s="136"/>
      <c r="LHH3" s="136"/>
      <c r="LHI3" s="136"/>
      <c r="LHJ3" s="136"/>
      <c r="LHK3" s="136"/>
      <c r="LHL3" s="136"/>
      <c r="LHM3" s="136"/>
      <c r="LHN3" s="136"/>
      <c r="LHO3" s="136"/>
      <c r="LHP3" s="136"/>
      <c r="LHQ3" s="136"/>
      <c r="LHR3" s="136"/>
      <c r="LHS3" s="136"/>
      <c r="LHT3" s="136"/>
      <c r="LHU3" s="136"/>
      <c r="LHV3" s="136"/>
      <c r="LHW3" s="136"/>
      <c r="LHX3" s="136"/>
      <c r="LHY3" s="136"/>
      <c r="LHZ3" s="136"/>
      <c r="LIA3" s="136"/>
      <c r="LIB3" s="136"/>
      <c r="LIC3" s="136"/>
      <c r="LID3" s="136"/>
      <c r="LIE3" s="136"/>
      <c r="LIF3" s="136"/>
      <c r="LIG3" s="136"/>
      <c r="LIH3" s="136"/>
      <c r="LII3" s="136"/>
      <c r="LIJ3" s="136"/>
      <c r="LIK3" s="136"/>
      <c r="LIL3" s="136"/>
      <c r="LIM3" s="136"/>
      <c r="LIN3" s="136"/>
      <c r="LIO3" s="136"/>
      <c r="LIP3" s="136"/>
      <c r="LIQ3" s="136"/>
      <c r="LIR3" s="136"/>
      <c r="LIS3" s="136"/>
      <c r="LIT3" s="136"/>
      <c r="LIU3" s="136"/>
      <c r="LIV3" s="136"/>
      <c r="LIW3" s="136"/>
      <c r="LIX3" s="136"/>
      <c r="LIY3" s="136"/>
      <c r="LIZ3" s="136"/>
      <c r="LJA3" s="136"/>
      <c r="LJB3" s="136"/>
      <c r="LJC3" s="136"/>
      <c r="LJD3" s="136"/>
      <c r="LJE3" s="136"/>
      <c r="LJF3" s="136"/>
      <c r="LJG3" s="136"/>
      <c r="LJH3" s="136"/>
      <c r="LJI3" s="136"/>
      <c r="LJJ3" s="136"/>
      <c r="LJK3" s="136"/>
      <c r="LJL3" s="136"/>
      <c r="LJM3" s="136"/>
      <c r="LJN3" s="136"/>
      <c r="LJO3" s="136"/>
      <c r="LJP3" s="136"/>
      <c r="LJQ3" s="136"/>
      <c r="LJR3" s="136"/>
      <c r="LJS3" s="136"/>
      <c r="LJT3" s="136"/>
      <c r="LJU3" s="136"/>
      <c r="LJV3" s="136"/>
      <c r="LJW3" s="136"/>
      <c r="LJX3" s="136"/>
      <c r="LJY3" s="136"/>
      <c r="LJZ3" s="136"/>
      <c r="LKA3" s="136"/>
      <c r="LKB3" s="136"/>
      <c r="LKC3" s="136"/>
      <c r="LKD3" s="136"/>
      <c r="LKE3" s="136"/>
      <c r="LKF3" s="136"/>
      <c r="LKG3" s="136"/>
      <c r="LKH3" s="136"/>
      <c r="LKI3" s="136"/>
      <c r="LKJ3" s="136"/>
      <c r="LKK3" s="136"/>
      <c r="LKL3" s="136"/>
      <c r="LKM3" s="136"/>
      <c r="LKN3" s="136"/>
      <c r="LKO3" s="136"/>
      <c r="LKP3" s="136"/>
      <c r="LKQ3" s="136"/>
      <c r="LKR3" s="136"/>
      <c r="LKS3" s="136"/>
      <c r="LKT3" s="136"/>
      <c r="LKU3" s="136"/>
      <c r="LKV3" s="136"/>
      <c r="LKW3" s="136"/>
      <c r="LKX3" s="136"/>
      <c r="LKY3" s="136"/>
      <c r="LKZ3" s="136"/>
      <c r="LLA3" s="136"/>
      <c r="LLB3" s="136"/>
      <c r="LLC3" s="136"/>
      <c r="LLD3" s="136"/>
      <c r="LLE3" s="136"/>
      <c r="LLF3" s="136"/>
      <c r="LLG3" s="136"/>
      <c r="LLH3" s="136"/>
      <c r="LLI3" s="136"/>
      <c r="LLJ3" s="136"/>
      <c r="LLK3" s="136"/>
      <c r="LLL3" s="136"/>
      <c r="LLM3" s="136"/>
      <c r="LLN3" s="136"/>
      <c r="LLO3" s="136"/>
      <c r="LLP3" s="136"/>
      <c r="LLQ3" s="136"/>
      <c r="LLR3" s="136"/>
      <c r="LLS3" s="136"/>
      <c r="LLT3" s="136"/>
      <c r="LLU3" s="136"/>
      <c r="LLV3" s="136"/>
      <c r="LLW3" s="136"/>
      <c r="LLX3" s="136"/>
      <c r="LLY3" s="136"/>
      <c r="LLZ3" s="136"/>
      <c r="LMA3" s="136"/>
      <c r="LMB3" s="136"/>
      <c r="LMC3" s="136"/>
      <c r="LMD3" s="136"/>
      <c r="LME3" s="136"/>
      <c r="LMF3" s="136"/>
      <c r="LMG3" s="136"/>
      <c r="LMH3" s="136"/>
      <c r="LMI3" s="136"/>
      <c r="LMJ3" s="136"/>
      <c r="LMK3" s="136"/>
      <c r="LML3" s="136"/>
      <c r="LMM3" s="136"/>
      <c r="LMN3" s="136"/>
      <c r="LMO3" s="136"/>
      <c r="LMP3" s="136"/>
      <c r="LMQ3" s="136"/>
      <c r="LMR3" s="136"/>
      <c r="LMS3" s="136"/>
      <c r="LMT3" s="136"/>
      <c r="LMU3" s="136"/>
      <c r="LMV3" s="136"/>
      <c r="LMW3" s="136"/>
      <c r="LMX3" s="136"/>
      <c r="LMY3" s="136"/>
      <c r="LMZ3" s="136"/>
      <c r="LNA3" s="136"/>
      <c r="LNB3" s="136"/>
      <c r="LNC3" s="136"/>
      <c r="LND3" s="136"/>
      <c r="LNE3" s="136"/>
      <c r="LNF3" s="136"/>
      <c r="LNG3" s="136"/>
      <c r="LNH3" s="136"/>
      <c r="LNI3" s="136"/>
      <c r="LNJ3" s="136"/>
      <c r="LNK3" s="136"/>
      <c r="LNL3" s="136"/>
      <c r="LNM3" s="136"/>
      <c r="LNN3" s="136"/>
      <c r="LNO3" s="136"/>
      <c r="LNP3" s="136"/>
      <c r="LNQ3" s="136"/>
      <c r="LNR3" s="136"/>
      <c r="LNS3" s="136"/>
      <c r="LNT3" s="136"/>
      <c r="LNU3" s="136"/>
      <c r="LNV3" s="136"/>
      <c r="LNW3" s="136"/>
      <c r="LNX3" s="136"/>
      <c r="LNY3" s="136"/>
      <c r="LNZ3" s="136"/>
      <c r="LOA3" s="136"/>
      <c r="LOB3" s="136"/>
      <c r="LOC3" s="136"/>
      <c r="LOD3" s="136"/>
      <c r="LOE3" s="136"/>
      <c r="LOF3" s="136"/>
      <c r="LOG3" s="136"/>
      <c r="LOH3" s="136"/>
      <c r="LOI3" s="136"/>
      <c r="LOJ3" s="136"/>
      <c r="LOK3" s="136"/>
      <c r="LOL3" s="136"/>
      <c r="LOM3" s="136"/>
      <c r="LON3" s="136"/>
      <c r="LOO3" s="136"/>
      <c r="LOP3" s="136"/>
      <c r="LOQ3" s="136"/>
      <c r="LOR3" s="136"/>
      <c r="LOS3" s="136"/>
      <c r="LOT3" s="136"/>
      <c r="LOU3" s="136"/>
      <c r="LOV3" s="136"/>
      <c r="LOW3" s="136"/>
      <c r="LOX3" s="136"/>
      <c r="LOY3" s="136"/>
      <c r="LOZ3" s="136"/>
      <c r="LPA3" s="136"/>
      <c r="LPB3" s="136"/>
      <c r="LPC3" s="136"/>
      <c r="LPD3" s="136"/>
      <c r="LPE3" s="136"/>
      <c r="LPF3" s="136"/>
      <c r="LPG3" s="136"/>
      <c r="LPH3" s="136"/>
      <c r="LPI3" s="136"/>
      <c r="LPJ3" s="136"/>
      <c r="LPK3" s="136"/>
      <c r="LPL3" s="136"/>
      <c r="LPM3" s="136"/>
      <c r="LPN3" s="136"/>
      <c r="LPO3" s="136"/>
      <c r="LPP3" s="136"/>
      <c r="LPQ3" s="136"/>
      <c r="LPR3" s="136"/>
      <c r="LPS3" s="136"/>
      <c r="LPT3" s="136"/>
      <c r="LPU3" s="136"/>
      <c r="LPV3" s="136"/>
      <c r="LPW3" s="136"/>
      <c r="LPX3" s="136"/>
      <c r="LPY3" s="136"/>
      <c r="LPZ3" s="136"/>
      <c r="LQA3" s="136"/>
      <c r="LQB3" s="136"/>
      <c r="LQC3" s="136"/>
      <c r="LQD3" s="136"/>
      <c r="LQE3" s="136"/>
      <c r="LQF3" s="136"/>
      <c r="LQG3" s="136"/>
      <c r="LQH3" s="136"/>
      <c r="LQI3" s="136"/>
      <c r="LQJ3" s="136"/>
      <c r="LQK3" s="136"/>
      <c r="LQL3" s="136"/>
      <c r="LQM3" s="136"/>
      <c r="LQN3" s="136"/>
      <c r="LQO3" s="136"/>
      <c r="LQP3" s="136"/>
      <c r="LQQ3" s="136"/>
      <c r="LQR3" s="136"/>
      <c r="LQS3" s="136"/>
      <c r="LQT3" s="136"/>
      <c r="LQU3" s="136"/>
      <c r="LQV3" s="136"/>
      <c r="LQW3" s="136"/>
      <c r="LQX3" s="136"/>
      <c r="LQY3" s="136"/>
      <c r="LQZ3" s="136"/>
      <c r="LRA3" s="136"/>
      <c r="LRB3" s="136"/>
      <c r="LRC3" s="136"/>
      <c r="LRD3" s="136"/>
      <c r="LRE3" s="136"/>
      <c r="LRF3" s="136"/>
      <c r="LRG3" s="136"/>
      <c r="LRH3" s="136"/>
      <c r="LRI3" s="136"/>
      <c r="LRJ3" s="136"/>
      <c r="LRK3" s="136"/>
      <c r="LRL3" s="136"/>
      <c r="LRM3" s="136"/>
      <c r="LRN3" s="136"/>
      <c r="LRO3" s="136"/>
      <c r="LRP3" s="136"/>
      <c r="LRQ3" s="136"/>
      <c r="LRR3" s="136"/>
      <c r="LRS3" s="136"/>
      <c r="LRT3" s="136"/>
      <c r="LRU3" s="136"/>
      <c r="LRV3" s="136"/>
      <c r="LRW3" s="136"/>
      <c r="LRX3" s="136"/>
      <c r="LRY3" s="136"/>
      <c r="LRZ3" s="136"/>
      <c r="LSA3" s="136"/>
      <c r="LSB3" s="136"/>
      <c r="LSC3" s="136"/>
      <c r="LSD3" s="136"/>
      <c r="LSE3" s="136"/>
      <c r="LSF3" s="136"/>
      <c r="LSG3" s="136"/>
      <c r="LSH3" s="136"/>
      <c r="LSI3" s="136"/>
      <c r="LSJ3" s="136"/>
      <c r="LSK3" s="136"/>
      <c r="LSL3" s="136"/>
      <c r="LSM3" s="136"/>
      <c r="LSN3" s="136"/>
      <c r="LSO3" s="136"/>
      <c r="LSP3" s="136"/>
      <c r="LSQ3" s="136"/>
      <c r="LSR3" s="136"/>
      <c r="LSS3" s="136"/>
      <c r="LST3" s="136"/>
      <c r="LSU3" s="136"/>
      <c r="LSV3" s="136"/>
      <c r="LSW3" s="136"/>
      <c r="LSX3" s="136"/>
      <c r="LSY3" s="136"/>
      <c r="LSZ3" s="136"/>
      <c r="LTA3" s="136"/>
      <c r="LTB3" s="136"/>
      <c r="LTC3" s="136"/>
      <c r="LTD3" s="136"/>
      <c r="LTE3" s="136"/>
      <c r="LTF3" s="136"/>
      <c r="LTG3" s="136"/>
      <c r="LTH3" s="136"/>
      <c r="LTI3" s="136"/>
      <c r="LTJ3" s="136"/>
      <c r="LTK3" s="136"/>
      <c r="LTL3" s="136"/>
      <c r="LTM3" s="136"/>
      <c r="LTN3" s="136"/>
      <c r="LTO3" s="136"/>
      <c r="LTP3" s="136"/>
      <c r="LTQ3" s="136"/>
      <c r="LTR3" s="136"/>
      <c r="LTS3" s="136"/>
      <c r="LTT3" s="136"/>
      <c r="LTU3" s="136"/>
      <c r="LTV3" s="136"/>
      <c r="LTW3" s="136"/>
      <c r="LTX3" s="136"/>
      <c r="LTY3" s="136"/>
      <c r="LTZ3" s="136"/>
      <c r="LUA3" s="136"/>
      <c r="LUB3" s="136"/>
      <c r="LUC3" s="136"/>
      <c r="LUD3" s="136"/>
      <c r="LUE3" s="136"/>
      <c r="LUF3" s="136"/>
      <c r="LUG3" s="136"/>
      <c r="LUH3" s="136"/>
      <c r="LUI3" s="136"/>
      <c r="LUJ3" s="136"/>
      <c r="LUK3" s="136"/>
      <c r="LUL3" s="136"/>
      <c r="LUM3" s="136"/>
      <c r="LUN3" s="136"/>
      <c r="LUO3" s="136"/>
      <c r="LUP3" s="136"/>
      <c r="LUQ3" s="136"/>
      <c r="LUR3" s="136"/>
      <c r="LUS3" s="136"/>
      <c r="LUT3" s="136"/>
      <c r="LUU3" s="136"/>
      <c r="LUV3" s="136"/>
      <c r="LUW3" s="136"/>
      <c r="LUX3" s="136"/>
      <c r="LUY3" s="136"/>
      <c r="LUZ3" s="136"/>
      <c r="LVA3" s="136"/>
      <c r="LVB3" s="136"/>
      <c r="LVC3" s="136"/>
      <c r="LVD3" s="136"/>
      <c r="LVE3" s="136"/>
      <c r="LVF3" s="136"/>
      <c r="LVG3" s="136"/>
      <c r="LVH3" s="136"/>
      <c r="LVI3" s="136"/>
      <c r="LVJ3" s="136"/>
      <c r="LVK3" s="136"/>
      <c r="LVL3" s="136"/>
      <c r="LVM3" s="136"/>
      <c r="LVN3" s="136"/>
      <c r="LVO3" s="136"/>
      <c r="LVP3" s="136"/>
      <c r="LVQ3" s="136"/>
      <c r="LVR3" s="136"/>
      <c r="LVS3" s="136"/>
      <c r="LVT3" s="136"/>
      <c r="LVU3" s="136"/>
      <c r="LVV3" s="136"/>
      <c r="LVW3" s="136"/>
      <c r="LVX3" s="136"/>
      <c r="LVY3" s="136"/>
      <c r="LVZ3" s="136"/>
      <c r="LWA3" s="136"/>
      <c r="LWB3" s="136"/>
      <c r="LWC3" s="136"/>
      <c r="LWD3" s="136"/>
      <c r="LWE3" s="136"/>
      <c r="LWF3" s="136"/>
      <c r="LWG3" s="136"/>
      <c r="LWH3" s="136"/>
      <c r="LWI3" s="136"/>
      <c r="LWJ3" s="136"/>
      <c r="LWK3" s="136"/>
      <c r="LWL3" s="136"/>
      <c r="LWM3" s="136"/>
      <c r="LWN3" s="136"/>
      <c r="LWO3" s="136"/>
      <c r="LWP3" s="136"/>
      <c r="LWQ3" s="136"/>
      <c r="LWR3" s="136"/>
      <c r="LWS3" s="136"/>
      <c r="LWT3" s="136"/>
      <c r="LWU3" s="136"/>
      <c r="LWV3" s="136"/>
      <c r="LWW3" s="136"/>
      <c r="LWX3" s="136"/>
      <c r="LWY3" s="136"/>
      <c r="LWZ3" s="136"/>
      <c r="LXA3" s="136"/>
      <c r="LXB3" s="136"/>
      <c r="LXC3" s="136"/>
      <c r="LXD3" s="136"/>
      <c r="LXE3" s="136"/>
      <c r="LXF3" s="136"/>
      <c r="LXG3" s="136"/>
      <c r="LXH3" s="136"/>
      <c r="LXI3" s="136"/>
      <c r="LXJ3" s="136"/>
      <c r="LXK3" s="136"/>
      <c r="LXL3" s="136"/>
      <c r="LXM3" s="136"/>
      <c r="LXN3" s="136"/>
      <c r="LXO3" s="136"/>
      <c r="LXP3" s="136"/>
      <c r="LXQ3" s="136"/>
      <c r="LXR3" s="136"/>
      <c r="LXS3" s="136"/>
      <c r="LXT3" s="136"/>
      <c r="LXU3" s="136"/>
      <c r="LXV3" s="136"/>
      <c r="LXW3" s="136"/>
      <c r="LXX3" s="136"/>
      <c r="LXY3" s="136"/>
      <c r="LXZ3" s="136"/>
      <c r="LYA3" s="136"/>
      <c r="LYB3" s="136"/>
      <c r="LYC3" s="136"/>
      <c r="LYD3" s="136"/>
      <c r="LYE3" s="136"/>
      <c r="LYF3" s="136"/>
      <c r="LYG3" s="136"/>
      <c r="LYH3" s="136"/>
      <c r="LYI3" s="136"/>
      <c r="LYJ3" s="136"/>
      <c r="LYK3" s="136"/>
      <c r="LYL3" s="136"/>
      <c r="LYM3" s="136"/>
      <c r="LYN3" s="136"/>
      <c r="LYO3" s="136"/>
      <c r="LYP3" s="136"/>
      <c r="LYQ3" s="136"/>
      <c r="LYR3" s="136"/>
      <c r="LYS3" s="136"/>
      <c r="LYT3" s="136"/>
      <c r="LYU3" s="136"/>
      <c r="LYV3" s="136"/>
      <c r="LYW3" s="136"/>
      <c r="LYX3" s="136"/>
      <c r="LYY3" s="136"/>
      <c r="LYZ3" s="136"/>
      <c r="LZA3" s="136"/>
      <c r="LZB3" s="136"/>
      <c r="LZC3" s="136"/>
      <c r="LZD3" s="136"/>
      <c r="LZE3" s="136"/>
      <c r="LZF3" s="136"/>
      <c r="LZG3" s="136"/>
      <c r="LZH3" s="136"/>
      <c r="LZI3" s="136"/>
      <c r="LZJ3" s="136"/>
      <c r="LZK3" s="136"/>
      <c r="LZL3" s="136"/>
      <c r="LZM3" s="136"/>
      <c r="LZN3" s="136"/>
      <c r="LZO3" s="136"/>
      <c r="LZP3" s="136"/>
      <c r="LZQ3" s="136"/>
      <c r="LZR3" s="136"/>
      <c r="LZS3" s="136"/>
      <c r="LZT3" s="136"/>
      <c r="LZU3" s="136"/>
      <c r="LZV3" s="136"/>
      <c r="LZW3" s="136"/>
      <c r="LZX3" s="136"/>
      <c r="LZY3" s="136"/>
      <c r="LZZ3" s="136"/>
      <c r="MAA3" s="136"/>
      <c r="MAB3" s="136"/>
      <c r="MAC3" s="136"/>
      <c r="MAD3" s="136"/>
      <c r="MAE3" s="136"/>
      <c r="MAF3" s="136"/>
      <c r="MAG3" s="136"/>
      <c r="MAH3" s="136"/>
      <c r="MAI3" s="136"/>
      <c r="MAJ3" s="136"/>
      <c r="MAK3" s="136"/>
      <c r="MAL3" s="136"/>
      <c r="MAM3" s="136"/>
      <c r="MAN3" s="136"/>
      <c r="MAO3" s="136"/>
      <c r="MAP3" s="136"/>
      <c r="MAQ3" s="136"/>
      <c r="MAR3" s="136"/>
      <c r="MAS3" s="136"/>
      <c r="MAT3" s="136"/>
      <c r="MAU3" s="136"/>
      <c r="MAV3" s="136"/>
      <c r="MAW3" s="136"/>
      <c r="MAX3" s="136"/>
      <c r="MAY3" s="136"/>
      <c r="MAZ3" s="136"/>
      <c r="MBA3" s="136"/>
      <c r="MBB3" s="136"/>
      <c r="MBC3" s="136"/>
      <c r="MBD3" s="136"/>
      <c r="MBE3" s="136"/>
      <c r="MBF3" s="136"/>
      <c r="MBG3" s="136"/>
      <c r="MBH3" s="136"/>
      <c r="MBI3" s="136"/>
      <c r="MBJ3" s="136"/>
      <c r="MBK3" s="136"/>
      <c r="MBL3" s="136"/>
      <c r="MBM3" s="136"/>
      <c r="MBN3" s="136"/>
      <c r="MBO3" s="136"/>
      <c r="MBP3" s="136"/>
      <c r="MBQ3" s="136"/>
      <c r="MBR3" s="136"/>
      <c r="MBS3" s="136"/>
      <c r="MBT3" s="136"/>
      <c r="MBU3" s="136"/>
      <c r="MBV3" s="136"/>
      <c r="MBW3" s="136"/>
      <c r="MBX3" s="136"/>
      <c r="MBY3" s="136"/>
      <c r="MBZ3" s="136"/>
      <c r="MCA3" s="136"/>
      <c r="MCB3" s="136"/>
      <c r="MCC3" s="136"/>
      <c r="MCD3" s="136"/>
      <c r="MCE3" s="136"/>
      <c r="MCF3" s="136"/>
      <c r="MCG3" s="136"/>
      <c r="MCH3" s="136"/>
      <c r="MCI3" s="136"/>
      <c r="MCJ3" s="136"/>
      <c r="MCK3" s="136"/>
      <c r="MCL3" s="136"/>
      <c r="MCM3" s="136"/>
      <c r="MCN3" s="136"/>
      <c r="MCO3" s="136"/>
      <c r="MCP3" s="136"/>
      <c r="MCQ3" s="136"/>
      <c r="MCR3" s="136"/>
      <c r="MCS3" s="136"/>
      <c r="MCT3" s="136"/>
      <c r="MCU3" s="136"/>
      <c r="MCV3" s="136"/>
      <c r="MCW3" s="136"/>
      <c r="MCX3" s="136"/>
      <c r="MCY3" s="136"/>
      <c r="MCZ3" s="136"/>
      <c r="MDA3" s="136"/>
      <c r="MDB3" s="136"/>
      <c r="MDC3" s="136"/>
      <c r="MDD3" s="136"/>
      <c r="MDE3" s="136"/>
      <c r="MDF3" s="136"/>
      <c r="MDG3" s="136"/>
      <c r="MDH3" s="136"/>
      <c r="MDI3" s="136"/>
      <c r="MDJ3" s="136"/>
      <c r="MDK3" s="136"/>
      <c r="MDL3" s="136"/>
      <c r="MDM3" s="136"/>
      <c r="MDN3" s="136"/>
      <c r="MDO3" s="136"/>
      <c r="MDP3" s="136"/>
      <c r="MDQ3" s="136"/>
      <c r="MDR3" s="136"/>
      <c r="MDS3" s="136"/>
      <c r="MDT3" s="136"/>
      <c r="MDU3" s="136"/>
      <c r="MDV3" s="136"/>
      <c r="MDW3" s="136"/>
      <c r="MDX3" s="136"/>
      <c r="MDY3" s="136"/>
      <c r="MDZ3" s="136"/>
      <c r="MEA3" s="136"/>
      <c r="MEB3" s="136"/>
      <c r="MEC3" s="136"/>
      <c r="MED3" s="136"/>
      <c r="MEE3" s="136"/>
      <c r="MEF3" s="136"/>
      <c r="MEG3" s="136"/>
      <c r="MEH3" s="136"/>
      <c r="MEI3" s="136"/>
      <c r="MEJ3" s="136"/>
      <c r="MEK3" s="136"/>
      <c r="MEL3" s="136"/>
      <c r="MEM3" s="136"/>
      <c r="MEN3" s="136"/>
      <c r="MEO3" s="136"/>
      <c r="MEP3" s="136"/>
      <c r="MEQ3" s="136"/>
      <c r="MER3" s="136"/>
      <c r="MES3" s="136"/>
      <c r="MET3" s="136"/>
      <c r="MEU3" s="136"/>
      <c r="MEV3" s="136"/>
      <c r="MEW3" s="136"/>
      <c r="MEX3" s="136"/>
      <c r="MEY3" s="136"/>
      <c r="MEZ3" s="136"/>
      <c r="MFA3" s="136"/>
      <c r="MFB3" s="136"/>
      <c r="MFC3" s="136"/>
      <c r="MFD3" s="136"/>
      <c r="MFE3" s="136"/>
      <c r="MFF3" s="136"/>
      <c r="MFG3" s="136"/>
      <c r="MFH3" s="136"/>
      <c r="MFI3" s="136"/>
      <c r="MFJ3" s="136"/>
      <c r="MFK3" s="136"/>
      <c r="MFL3" s="136"/>
      <c r="MFM3" s="136"/>
      <c r="MFN3" s="136"/>
      <c r="MFO3" s="136"/>
      <c r="MFP3" s="136"/>
      <c r="MFQ3" s="136"/>
      <c r="MFR3" s="136"/>
      <c r="MFS3" s="136"/>
      <c r="MFT3" s="136"/>
      <c r="MFU3" s="136"/>
      <c r="MFV3" s="136"/>
      <c r="MFW3" s="136"/>
      <c r="MFX3" s="136"/>
      <c r="MFY3" s="136"/>
      <c r="MFZ3" s="136"/>
      <c r="MGA3" s="136"/>
      <c r="MGB3" s="136"/>
      <c r="MGC3" s="136"/>
      <c r="MGD3" s="136"/>
      <c r="MGE3" s="136"/>
      <c r="MGF3" s="136"/>
      <c r="MGG3" s="136"/>
      <c r="MGH3" s="136"/>
      <c r="MGI3" s="136"/>
      <c r="MGJ3" s="136"/>
      <c r="MGK3" s="136"/>
      <c r="MGL3" s="136"/>
      <c r="MGM3" s="136"/>
      <c r="MGN3" s="136"/>
      <c r="MGO3" s="136"/>
      <c r="MGP3" s="136"/>
      <c r="MGQ3" s="136"/>
      <c r="MGR3" s="136"/>
      <c r="MGS3" s="136"/>
      <c r="MGT3" s="136"/>
      <c r="MGU3" s="136"/>
      <c r="MGV3" s="136"/>
      <c r="MGW3" s="136"/>
      <c r="MGX3" s="136"/>
      <c r="MGY3" s="136"/>
      <c r="MGZ3" s="136"/>
      <c r="MHA3" s="136"/>
      <c r="MHB3" s="136"/>
      <c r="MHC3" s="136"/>
      <c r="MHD3" s="136"/>
      <c r="MHE3" s="136"/>
      <c r="MHF3" s="136"/>
      <c r="MHG3" s="136"/>
      <c r="MHH3" s="136"/>
      <c r="MHI3" s="136"/>
      <c r="MHJ3" s="136"/>
      <c r="MHK3" s="136"/>
      <c r="MHL3" s="136"/>
      <c r="MHM3" s="136"/>
      <c r="MHN3" s="136"/>
      <c r="MHO3" s="136"/>
      <c r="MHP3" s="136"/>
      <c r="MHQ3" s="136"/>
      <c r="MHR3" s="136"/>
      <c r="MHS3" s="136"/>
      <c r="MHT3" s="136"/>
      <c r="MHU3" s="136"/>
      <c r="MHV3" s="136"/>
      <c r="MHW3" s="136"/>
      <c r="MHX3" s="136"/>
      <c r="MHY3" s="136"/>
      <c r="MHZ3" s="136"/>
      <c r="MIA3" s="136"/>
      <c r="MIB3" s="136"/>
      <c r="MIC3" s="136"/>
      <c r="MID3" s="136"/>
      <c r="MIE3" s="136"/>
      <c r="MIF3" s="136"/>
      <c r="MIG3" s="136"/>
      <c r="MIH3" s="136"/>
      <c r="MII3" s="136"/>
      <c r="MIJ3" s="136"/>
      <c r="MIK3" s="136"/>
      <c r="MIL3" s="136"/>
      <c r="MIM3" s="136"/>
      <c r="MIN3" s="136"/>
      <c r="MIO3" s="136"/>
      <c r="MIP3" s="136"/>
      <c r="MIQ3" s="136"/>
      <c r="MIR3" s="136"/>
      <c r="MIS3" s="136"/>
      <c r="MIT3" s="136"/>
      <c r="MIU3" s="136"/>
      <c r="MIV3" s="136"/>
      <c r="MIW3" s="136"/>
      <c r="MIX3" s="136"/>
      <c r="MIY3" s="136"/>
      <c r="MIZ3" s="136"/>
      <c r="MJA3" s="136"/>
      <c r="MJB3" s="136"/>
      <c r="MJC3" s="136"/>
      <c r="MJD3" s="136"/>
      <c r="MJE3" s="136"/>
      <c r="MJF3" s="136"/>
      <c r="MJG3" s="136"/>
      <c r="MJH3" s="136"/>
      <c r="MJI3" s="136"/>
      <c r="MJJ3" s="136"/>
      <c r="MJK3" s="136"/>
      <c r="MJL3" s="136"/>
      <c r="MJM3" s="136"/>
      <c r="MJN3" s="136"/>
      <c r="MJO3" s="136"/>
      <c r="MJP3" s="136"/>
      <c r="MJQ3" s="136"/>
      <c r="MJR3" s="136"/>
      <c r="MJS3" s="136"/>
      <c r="MJT3" s="136"/>
      <c r="MJU3" s="136"/>
      <c r="MJV3" s="136"/>
      <c r="MJW3" s="136"/>
      <c r="MJX3" s="136"/>
      <c r="MJY3" s="136"/>
      <c r="MJZ3" s="136"/>
      <c r="MKA3" s="136"/>
      <c r="MKB3" s="136"/>
      <c r="MKC3" s="136"/>
      <c r="MKD3" s="136"/>
      <c r="MKE3" s="136"/>
      <c r="MKF3" s="136"/>
      <c r="MKG3" s="136"/>
      <c r="MKH3" s="136"/>
      <c r="MKI3" s="136"/>
      <c r="MKJ3" s="136"/>
      <c r="MKK3" s="136"/>
      <c r="MKL3" s="136"/>
      <c r="MKM3" s="136"/>
      <c r="MKN3" s="136"/>
      <c r="MKO3" s="136"/>
      <c r="MKP3" s="136"/>
      <c r="MKQ3" s="136"/>
      <c r="MKR3" s="136"/>
      <c r="MKS3" s="136"/>
      <c r="MKT3" s="136"/>
      <c r="MKU3" s="136"/>
      <c r="MKV3" s="136"/>
      <c r="MKW3" s="136"/>
      <c r="MKX3" s="136"/>
      <c r="MKY3" s="136"/>
      <c r="MKZ3" s="136"/>
      <c r="MLA3" s="136"/>
      <c r="MLB3" s="136"/>
      <c r="MLC3" s="136"/>
      <c r="MLD3" s="136"/>
      <c r="MLE3" s="136"/>
      <c r="MLF3" s="136"/>
      <c r="MLG3" s="136"/>
      <c r="MLH3" s="136"/>
      <c r="MLI3" s="136"/>
      <c r="MLJ3" s="136"/>
      <c r="MLK3" s="136"/>
      <c r="MLL3" s="136"/>
      <c r="MLM3" s="136"/>
      <c r="MLN3" s="136"/>
      <c r="MLO3" s="136"/>
      <c r="MLP3" s="136"/>
      <c r="MLQ3" s="136"/>
      <c r="MLR3" s="136"/>
      <c r="MLS3" s="136"/>
      <c r="MLT3" s="136"/>
      <c r="MLU3" s="136"/>
      <c r="MLV3" s="136"/>
      <c r="MLW3" s="136"/>
      <c r="MLX3" s="136"/>
      <c r="MLY3" s="136"/>
      <c r="MLZ3" s="136"/>
      <c r="MMA3" s="136"/>
      <c r="MMB3" s="136"/>
      <c r="MMC3" s="136"/>
      <c r="MMD3" s="136"/>
      <c r="MME3" s="136"/>
      <c r="MMF3" s="136"/>
      <c r="MMG3" s="136"/>
      <c r="MMH3" s="136"/>
      <c r="MMI3" s="136"/>
      <c r="MMJ3" s="136"/>
      <c r="MMK3" s="136"/>
      <c r="MML3" s="136"/>
      <c r="MMM3" s="136"/>
      <c r="MMN3" s="136"/>
      <c r="MMO3" s="136"/>
      <c r="MMP3" s="136"/>
      <c r="MMQ3" s="136"/>
      <c r="MMR3" s="136"/>
      <c r="MMS3" s="136"/>
      <c r="MMT3" s="136"/>
      <c r="MMU3" s="136"/>
      <c r="MMV3" s="136"/>
      <c r="MMW3" s="136"/>
      <c r="MMX3" s="136"/>
      <c r="MMY3" s="136"/>
      <c r="MMZ3" s="136"/>
      <c r="MNA3" s="136"/>
      <c r="MNB3" s="136"/>
      <c r="MNC3" s="136"/>
      <c r="MND3" s="136"/>
      <c r="MNE3" s="136"/>
      <c r="MNF3" s="136"/>
      <c r="MNG3" s="136"/>
      <c r="MNH3" s="136"/>
      <c r="MNI3" s="136"/>
      <c r="MNJ3" s="136"/>
      <c r="MNK3" s="136"/>
      <c r="MNL3" s="136"/>
      <c r="MNM3" s="136"/>
      <c r="MNN3" s="136"/>
      <c r="MNO3" s="136"/>
      <c r="MNP3" s="136"/>
      <c r="MNQ3" s="136"/>
      <c r="MNR3" s="136"/>
      <c r="MNS3" s="136"/>
      <c r="MNT3" s="136"/>
      <c r="MNU3" s="136"/>
      <c r="MNV3" s="136"/>
      <c r="MNW3" s="136"/>
      <c r="MNX3" s="136"/>
      <c r="MNY3" s="136"/>
      <c r="MNZ3" s="136"/>
      <c r="MOA3" s="136"/>
      <c r="MOB3" s="136"/>
      <c r="MOC3" s="136"/>
      <c r="MOD3" s="136"/>
      <c r="MOE3" s="136"/>
      <c r="MOF3" s="136"/>
      <c r="MOG3" s="136"/>
      <c r="MOH3" s="136"/>
      <c r="MOI3" s="136"/>
      <c r="MOJ3" s="136"/>
      <c r="MOK3" s="136"/>
      <c r="MOL3" s="136"/>
      <c r="MOM3" s="136"/>
      <c r="MON3" s="136"/>
      <c r="MOO3" s="136"/>
      <c r="MOP3" s="136"/>
      <c r="MOQ3" s="136"/>
      <c r="MOR3" s="136"/>
      <c r="MOS3" s="136"/>
      <c r="MOT3" s="136"/>
      <c r="MOU3" s="136"/>
      <c r="MOV3" s="136"/>
      <c r="MOW3" s="136"/>
      <c r="MOX3" s="136"/>
      <c r="MOY3" s="136"/>
      <c r="MOZ3" s="136"/>
      <c r="MPA3" s="136"/>
      <c r="MPB3" s="136"/>
      <c r="MPC3" s="136"/>
      <c r="MPD3" s="136"/>
      <c r="MPE3" s="136"/>
      <c r="MPF3" s="136"/>
      <c r="MPG3" s="136"/>
      <c r="MPH3" s="136"/>
      <c r="MPI3" s="136"/>
      <c r="MPJ3" s="136"/>
      <c r="MPK3" s="136"/>
      <c r="MPL3" s="136"/>
      <c r="MPM3" s="136"/>
      <c r="MPN3" s="136"/>
      <c r="MPO3" s="136"/>
      <c r="MPP3" s="136"/>
      <c r="MPQ3" s="136"/>
      <c r="MPR3" s="136"/>
      <c r="MPS3" s="136"/>
      <c r="MPT3" s="136"/>
      <c r="MPU3" s="136"/>
      <c r="MPV3" s="136"/>
      <c r="MPW3" s="136"/>
      <c r="MPX3" s="136"/>
      <c r="MPY3" s="136"/>
      <c r="MPZ3" s="136"/>
      <c r="MQA3" s="136"/>
      <c r="MQB3" s="136"/>
      <c r="MQC3" s="136"/>
      <c r="MQD3" s="136"/>
      <c r="MQE3" s="136"/>
      <c r="MQF3" s="136"/>
      <c r="MQG3" s="136"/>
      <c r="MQH3" s="136"/>
      <c r="MQI3" s="136"/>
      <c r="MQJ3" s="136"/>
      <c r="MQK3" s="136"/>
      <c r="MQL3" s="136"/>
      <c r="MQM3" s="136"/>
      <c r="MQN3" s="136"/>
      <c r="MQO3" s="136"/>
      <c r="MQP3" s="136"/>
      <c r="MQQ3" s="136"/>
      <c r="MQR3" s="136"/>
      <c r="MQS3" s="136"/>
      <c r="MQT3" s="136"/>
      <c r="MQU3" s="136"/>
      <c r="MQV3" s="136"/>
      <c r="MQW3" s="136"/>
      <c r="MQX3" s="136"/>
      <c r="MQY3" s="136"/>
      <c r="MQZ3" s="136"/>
      <c r="MRA3" s="136"/>
      <c r="MRB3" s="136"/>
      <c r="MRC3" s="136"/>
      <c r="MRD3" s="136"/>
      <c r="MRE3" s="136"/>
      <c r="MRF3" s="136"/>
      <c r="MRG3" s="136"/>
      <c r="MRH3" s="136"/>
      <c r="MRI3" s="136"/>
      <c r="MRJ3" s="136"/>
      <c r="MRK3" s="136"/>
      <c r="MRL3" s="136"/>
      <c r="MRM3" s="136"/>
      <c r="MRN3" s="136"/>
      <c r="MRO3" s="136"/>
      <c r="MRP3" s="136"/>
      <c r="MRQ3" s="136"/>
      <c r="MRR3" s="136"/>
      <c r="MRS3" s="136"/>
      <c r="MRT3" s="136"/>
      <c r="MRU3" s="136"/>
      <c r="MRV3" s="136"/>
      <c r="MRW3" s="136"/>
      <c r="MRX3" s="136"/>
      <c r="MRY3" s="136"/>
      <c r="MRZ3" s="136"/>
      <c r="MSA3" s="136"/>
      <c r="MSB3" s="136"/>
      <c r="MSC3" s="136"/>
      <c r="MSD3" s="136"/>
      <c r="MSE3" s="136"/>
      <c r="MSF3" s="136"/>
      <c r="MSG3" s="136"/>
      <c r="MSH3" s="136"/>
      <c r="MSI3" s="136"/>
      <c r="MSJ3" s="136"/>
      <c r="MSK3" s="136"/>
      <c r="MSL3" s="136"/>
      <c r="MSM3" s="136"/>
      <c r="MSN3" s="136"/>
      <c r="MSO3" s="136"/>
      <c r="MSP3" s="136"/>
      <c r="MSQ3" s="136"/>
      <c r="MSR3" s="136"/>
      <c r="MSS3" s="136"/>
      <c r="MST3" s="136"/>
      <c r="MSU3" s="136"/>
      <c r="MSV3" s="136"/>
      <c r="MSW3" s="136"/>
      <c r="MSX3" s="136"/>
      <c r="MSY3" s="136"/>
      <c r="MSZ3" s="136"/>
      <c r="MTA3" s="136"/>
      <c r="MTB3" s="136"/>
      <c r="MTC3" s="136"/>
      <c r="MTD3" s="136"/>
      <c r="MTE3" s="136"/>
      <c r="MTF3" s="136"/>
      <c r="MTG3" s="136"/>
      <c r="MTH3" s="136"/>
      <c r="MTI3" s="136"/>
      <c r="MTJ3" s="136"/>
      <c r="MTK3" s="136"/>
      <c r="MTL3" s="136"/>
      <c r="MTM3" s="136"/>
      <c r="MTN3" s="136"/>
      <c r="MTO3" s="136"/>
      <c r="MTP3" s="136"/>
      <c r="MTQ3" s="136"/>
      <c r="MTR3" s="136"/>
      <c r="MTS3" s="136"/>
      <c r="MTT3" s="136"/>
      <c r="MTU3" s="136"/>
      <c r="MTV3" s="136"/>
      <c r="MTW3" s="136"/>
      <c r="MTX3" s="136"/>
      <c r="MTY3" s="136"/>
      <c r="MTZ3" s="136"/>
      <c r="MUA3" s="136"/>
      <c r="MUB3" s="136"/>
      <c r="MUC3" s="136"/>
      <c r="MUD3" s="136"/>
      <c r="MUE3" s="136"/>
      <c r="MUF3" s="136"/>
      <c r="MUG3" s="136"/>
      <c r="MUH3" s="136"/>
      <c r="MUI3" s="136"/>
      <c r="MUJ3" s="136"/>
      <c r="MUK3" s="136"/>
      <c r="MUL3" s="136"/>
      <c r="MUM3" s="136"/>
      <c r="MUN3" s="136"/>
      <c r="MUO3" s="136"/>
      <c r="MUP3" s="136"/>
      <c r="MUQ3" s="136"/>
      <c r="MUR3" s="136"/>
      <c r="MUS3" s="136"/>
      <c r="MUT3" s="136"/>
      <c r="MUU3" s="136"/>
      <c r="MUV3" s="136"/>
      <c r="MUW3" s="136"/>
      <c r="MUX3" s="136"/>
      <c r="MUY3" s="136"/>
      <c r="MUZ3" s="136"/>
      <c r="MVA3" s="136"/>
      <c r="MVB3" s="136"/>
      <c r="MVC3" s="136"/>
      <c r="MVD3" s="136"/>
      <c r="MVE3" s="136"/>
      <c r="MVF3" s="136"/>
      <c r="MVG3" s="136"/>
      <c r="MVH3" s="136"/>
      <c r="MVI3" s="136"/>
      <c r="MVJ3" s="136"/>
      <c r="MVK3" s="136"/>
      <c r="MVL3" s="136"/>
      <c r="MVM3" s="136"/>
      <c r="MVN3" s="136"/>
      <c r="MVO3" s="136"/>
      <c r="MVP3" s="136"/>
      <c r="MVQ3" s="136"/>
      <c r="MVR3" s="136"/>
      <c r="MVS3" s="136"/>
      <c r="MVT3" s="136"/>
      <c r="MVU3" s="136"/>
      <c r="MVV3" s="136"/>
      <c r="MVW3" s="136"/>
      <c r="MVX3" s="136"/>
      <c r="MVY3" s="136"/>
      <c r="MVZ3" s="136"/>
      <c r="MWA3" s="136"/>
      <c r="MWB3" s="136"/>
      <c r="MWC3" s="136"/>
      <c r="MWD3" s="136"/>
      <c r="MWE3" s="136"/>
      <c r="MWF3" s="136"/>
      <c r="MWG3" s="136"/>
      <c r="MWH3" s="136"/>
      <c r="MWI3" s="136"/>
      <c r="MWJ3" s="136"/>
      <c r="MWK3" s="136"/>
      <c r="MWL3" s="136"/>
      <c r="MWM3" s="136"/>
      <c r="MWN3" s="136"/>
      <c r="MWO3" s="136"/>
      <c r="MWP3" s="136"/>
      <c r="MWQ3" s="136"/>
      <c r="MWR3" s="136"/>
      <c r="MWS3" s="136"/>
      <c r="MWT3" s="136"/>
      <c r="MWU3" s="136"/>
      <c r="MWV3" s="136"/>
      <c r="MWW3" s="136"/>
      <c r="MWX3" s="136"/>
      <c r="MWY3" s="136"/>
      <c r="MWZ3" s="136"/>
      <c r="MXA3" s="136"/>
      <c r="MXB3" s="136"/>
      <c r="MXC3" s="136"/>
      <c r="MXD3" s="136"/>
      <c r="MXE3" s="136"/>
      <c r="MXF3" s="136"/>
      <c r="MXG3" s="136"/>
      <c r="MXH3" s="136"/>
      <c r="MXI3" s="136"/>
      <c r="MXJ3" s="136"/>
      <c r="MXK3" s="136"/>
      <c r="MXL3" s="136"/>
      <c r="MXM3" s="136"/>
      <c r="MXN3" s="136"/>
      <c r="MXO3" s="136"/>
      <c r="MXP3" s="136"/>
      <c r="MXQ3" s="136"/>
      <c r="MXR3" s="136"/>
      <c r="MXS3" s="136"/>
      <c r="MXT3" s="136"/>
      <c r="MXU3" s="136"/>
      <c r="MXV3" s="136"/>
      <c r="MXW3" s="136"/>
      <c r="MXX3" s="136"/>
      <c r="MXY3" s="136"/>
      <c r="MXZ3" s="136"/>
      <c r="MYA3" s="136"/>
      <c r="MYB3" s="136"/>
      <c r="MYC3" s="136"/>
      <c r="MYD3" s="136"/>
      <c r="MYE3" s="136"/>
      <c r="MYF3" s="136"/>
      <c r="MYG3" s="136"/>
      <c r="MYH3" s="136"/>
      <c r="MYI3" s="136"/>
      <c r="MYJ3" s="136"/>
      <c r="MYK3" s="136"/>
      <c r="MYL3" s="136"/>
      <c r="MYM3" s="136"/>
      <c r="MYN3" s="136"/>
      <c r="MYO3" s="136"/>
      <c r="MYP3" s="136"/>
      <c r="MYQ3" s="136"/>
      <c r="MYR3" s="136"/>
      <c r="MYS3" s="136"/>
      <c r="MYT3" s="136"/>
      <c r="MYU3" s="136"/>
      <c r="MYV3" s="136"/>
      <c r="MYW3" s="136"/>
      <c r="MYX3" s="136"/>
      <c r="MYY3" s="136"/>
      <c r="MYZ3" s="136"/>
      <c r="MZA3" s="136"/>
      <c r="MZB3" s="136"/>
      <c r="MZC3" s="136"/>
      <c r="MZD3" s="136"/>
      <c r="MZE3" s="136"/>
      <c r="MZF3" s="136"/>
      <c r="MZG3" s="136"/>
      <c r="MZH3" s="136"/>
      <c r="MZI3" s="136"/>
      <c r="MZJ3" s="136"/>
      <c r="MZK3" s="136"/>
      <c r="MZL3" s="136"/>
      <c r="MZM3" s="136"/>
      <c r="MZN3" s="136"/>
      <c r="MZO3" s="136"/>
      <c r="MZP3" s="136"/>
      <c r="MZQ3" s="136"/>
      <c r="MZR3" s="136"/>
      <c r="MZS3" s="136"/>
      <c r="MZT3" s="136"/>
      <c r="MZU3" s="136"/>
      <c r="MZV3" s="136"/>
      <c r="MZW3" s="136"/>
      <c r="MZX3" s="136"/>
      <c r="MZY3" s="136"/>
      <c r="MZZ3" s="136"/>
      <c r="NAA3" s="136"/>
      <c r="NAB3" s="136"/>
      <c r="NAC3" s="136"/>
      <c r="NAD3" s="136"/>
      <c r="NAE3" s="136"/>
      <c r="NAF3" s="136"/>
      <c r="NAG3" s="136"/>
      <c r="NAH3" s="136"/>
      <c r="NAI3" s="136"/>
      <c r="NAJ3" s="136"/>
      <c r="NAK3" s="136"/>
      <c r="NAL3" s="136"/>
      <c r="NAM3" s="136"/>
      <c r="NAN3" s="136"/>
      <c r="NAO3" s="136"/>
      <c r="NAP3" s="136"/>
      <c r="NAQ3" s="136"/>
      <c r="NAR3" s="136"/>
      <c r="NAS3" s="136"/>
      <c r="NAT3" s="136"/>
      <c r="NAU3" s="136"/>
      <c r="NAV3" s="136"/>
      <c r="NAW3" s="136"/>
      <c r="NAX3" s="136"/>
      <c r="NAY3" s="136"/>
      <c r="NAZ3" s="136"/>
      <c r="NBA3" s="136"/>
      <c r="NBB3" s="136"/>
      <c r="NBC3" s="136"/>
      <c r="NBD3" s="136"/>
      <c r="NBE3" s="136"/>
      <c r="NBF3" s="136"/>
      <c r="NBG3" s="136"/>
      <c r="NBH3" s="136"/>
      <c r="NBI3" s="136"/>
      <c r="NBJ3" s="136"/>
      <c r="NBK3" s="136"/>
      <c r="NBL3" s="136"/>
      <c r="NBM3" s="136"/>
      <c r="NBN3" s="136"/>
      <c r="NBO3" s="136"/>
      <c r="NBP3" s="136"/>
      <c r="NBQ3" s="136"/>
      <c r="NBR3" s="136"/>
      <c r="NBS3" s="136"/>
      <c r="NBT3" s="136"/>
      <c r="NBU3" s="136"/>
      <c r="NBV3" s="136"/>
      <c r="NBW3" s="136"/>
      <c r="NBX3" s="136"/>
      <c r="NBY3" s="136"/>
      <c r="NBZ3" s="136"/>
      <c r="NCA3" s="136"/>
      <c r="NCB3" s="136"/>
      <c r="NCC3" s="136"/>
      <c r="NCD3" s="136"/>
      <c r="NCE3" s="136"/>
      <c r="NCF3" s="136"/>
      <c r="NCG3" s="136"/>
      <c r="NCH3" s="136"/>
      <c r="NCI3" s="136"/>
      <c r="NCJ3" s="136"/>
      <c r="NCK3" s="136"/>
      <c r="NCL3" s="136"/>
      <c r="NCM3" s="136"/>
      <c r="NCN3" s="136"/>
      <c r="NCO3" s="136"/>
      <c r="NCP3" s="136"/>
      <c r="NCQ3" s="136"/>
      <c r="NCR3" s="136"/>
      <c r="NCS3" s="136"/>
      <c r="NCT3" s="136"/>
      <c r="NCU3" s="136"/>
      <c r="NCV3" s="136"/>
      <c r="NCW3" s="136"/>
      <c r="NCX3" s="136"/>
      <c r="NCY3" s="136"/>
      <c r="NCZ3" s="136"/>
      <c r="NDA3" s="136"/>
      <c r="NDB3" s="136"/>
      <c r="NDC3" s="136"/>
      <c r="NDD3" s="136"/>
      <c r="NDE3" s="136"/>
      <c r="NDF3" s="136"/>
      <c r="NDG3" s="136"/>
      <c r="NDH3" s="136"/>
      <c r="NDI3" s="136"/>
      <c r="NDJ3" s="136"/>
      <c r="NDK3" s="136"/>
      <c r="NDL3" s="136"/>
      <c r="NDM3" s="136"/>
      <c r="NDN3" s="136"/>
      <c r="NDO3" s="136"/>
      <c r="NDP3" s="136"/>
      <c r="NDQ3" s="136"/>
      <c r="NDR3" s="136"/>
      <c r="NDS3" s="136"/>
      <c r="NDT3" s="136"/>
      <c r="NDU3" s="136"/>
      <c r="NDV3" s="136"/>
      <c r="NDW3" s="136"/>
      <c r="NDX3" s="136"/>
      <c r="NDY3" s="136"/>
      <c r="NDZ3" s="136"/>
      <c r="NEA3" s="136"/>
      <c r="NEB3" s="136"/>
      <c r="NEC3" s="136"/>
      <c r="NED3" s="136"/>
      <c r="NEE3" s="136"/>
      <c r="NEF3" s="136"/>
      <c r="NEG3" s="136"/>
      <c r="NEH3" s="136"/>
      <c r="NEI3" s="136"/>
      <c r="NEJ3" s="136"/>
      <c r="NEK3" s="136"/>
      <c r="NEL3" s="136"/>
      <c r="NEM3" s="136"/>
      <c r="NEN3" s="136"/>
      <c r="NEO3" s="136"/>
      <c r="NEP3" s="136"/>
      <c r="NEQ3" s="136"/>
      <c r="NER3" s="136"/>
      <c r="NES3" s="136"/>
      <c r="NET3" s="136"/>
      <c r="NEU3" s="136"/>
      <c r="NEV3" s="136"/>
      <c r="NEW3" s="136"/>
      <c r="NEX3" s="136"/>
      <c r="NEY3" s="136"/>
      <c r="NEZ3" s="136"/>
      <c r="NFA3" s="136"/>
      <c r="NFB3" s="136"/>
      <c r="NFC3" s="136"/>
      <c r="NFD3" s="136"/>
      <c r="NFE3" s="136"/>
      <c r="NFF3" s="136"/>
      <c r="NFG3" s="136"/>
      <c r="NFH3" s="136"/>
      <c r="NFI3" s="136"/>
      <c r="NFJ3" s="136"/>
      <c r="NFK3" s="136"/>
      <c r="NFL3" s="136"/>
      <c r="NFM3" s="136"/>
      <c r="NFN3" s="136"/>
      <c r="NFO3" s="136"/>
      <c r="NFP3" s="136"/>
      <c r="NFQ3" s="136"/>
      <c r="NFR3" s="136"/>
      <c r="NFS3" s="136"/>
      <c r="NFT3" s="136"/>
      <c r="NFU3" s="136"/>
      <c r="NFV3" s="136"/>
      <c r="NFW3" s="136"/>
      <c r="NFX3" s="136"/>
      <c r="NFY3" s="136"/>
      <c r="NFZ3" s="136"/>
      <c r="NGA3" s="136"/>
      <c r="NGB3" s="136"/>
      <c r="NGC3" s="136"/>
      <c r="NGD3" s="136"/>
      <c r="NGE3" s="136"/>
      <c r="NGF3" s="136"/>
      <c r="NGG3" s="136"/>
      <c r="NGH3" s="136"/>
      <c r="NGI3" s="136"/>
      <c r="NGJ3" s="136"/>
      <c r="NGK3" s="136"/>
      <c r="NGL3" s="136"/>
      <c r="NGM3" s="136"/>
      <c r="NGN3" s="136"/>
      <c r="NGO3" s="136"/>
      <c r="NGP3" s="136"/>
      <c r="NGQ3" s="136"/>
      <c r="NGR3" s="136"/>
      <c r="NGS3" s="136"/>
      <c r="NGT3" s="136"/>
      <c r="NGU3" s="136"/>
      <c r="NGV3" s="136"/>
      <c r="NGW3" s="136"/>
      <c r="NGX3" s="136"/>
      <c r="NGY3" s="136"/>
      <c r="NGZ3" s="136"/>
      <c r="NHA3" s="136"/>
      <c r="NHB3" s="136"/>
      <c r="NHC3" s="136"/>
      <c r="NHD3" s="136"/>
      <c r="NHE3" s="136"/>
      <c r="NHF3" s="136"/>
      <c r="NHG3" s="136"/>
      <c r="NHH3" s="136"/>
      <c r="NHI3" s="136"/>
      <c r="NHJ3" s="136"/>
      <c r="NHK3" s="136"/>
      <c r="NHL3" s="136"/>
      <c r="NHM3" s="136"/>
      <c r="NHN3" s="136"/>
      <c r="NHO3" s="136"/>
      <c r="NHP3" s="136"/>
      <c r="NHQ3" s="136"/>
      <c r="NHR3" s="136"/>
      <c r="NHS3" s="136"/>
      <c r="NHT3" s="136"/>
      <c r="NHU3" s="136"/>
      <c r="NHV3" s="136"/>
      <c r="NHW3" s="136"/>
      <c r="NHX3" s="136"/>
      <c r="NHY3" s="136"/>
      <c r="NHZ3" s="136"/>
      <c r="NIA3" s="136"/>
      <c r="NIB3" s="136"/>
      <c r="NIC3" s="136"/>
      <c r="NID3" s="136"/>
      <c r="NIE3" s="136"/>
      <c r="NIF3" s="136"/>
      <c r="NIG3" s="136"/>
      <c r="NIH3" s="136"/>
      <c r="NII3" s="136"/>
      <c r="NIJ3" s="136"/>
      <c r="NIK3" s="136"/>
      <c r="NIL3" s="136"/>
      <c r="NIM3" s="136"/>
      <c r="NIN3" s="136"/>
      <c r="NIO3" s="136"/>
      <c r="NIP3" s="136"/>
      <c r="NIQ3" s="136"/>
      <c r="NIR3" s="136"/>
      <c r="NIS3" s="136"/>
      <c r="NIT3" s="136"/>
      <c r="NIU3" s="136"/>
      <c r="NIV3" s="136"/>
      <c r="NIW3" s="136"/>
      <c r="NIX3" s="136"/>
      <c r="NIY3" s="136"/>
      <c r="NIZ3" s="136"/>
      <c r="NJA3" s="136"/>
      <c r="NJB3" s="136"/>
      <c r="NJC3" s="136"/>
      <c r="NJD3" s="136"/>
      <c r="NJE3" s="136"/>
      <c r="NJF3" s="136"/>
      <c r="NJG3" s="136"/>
      <c r="NJH3" s="136"/>
      <c r="NJI3" s="136"/>
      <c r="NJJ3" s="136"/>
      <c r="NJK3" s="136"/>
      <c r="NJL3" s="136"/>
      <c r="NJM3" s="136"/>
      <c r="NJN3" s="136"/>
      <c r="NJO3" s="136"/>
      <c r="NJP3" s="136"/>
      <c r="NJQ3" s="136"/>
      <c r="NJR3" s="136"/>
      <c r="NJS3" s="136"/>
      <c r="NJT3" s="136"/>
      <c r="NJU3" s="136"/>
      <c r="NJV3" s="136"/>
      <c r="NJW3" s="136"/>
      <c r="NJX3" s="136"/>
      <c r="NJY3" s="136"/>
      <c r="NJZ3" s="136"/>
      <c r="NKA3" s="136"/>
      <c r="NKB3" s="136"/>
      <c r="NKC3" s="136"/>
      <c r="NKD3" s="136"/>
      <c r="NKE3" s="136"/>
      <c r="NKF3" s="136"/>
      <c r="NKG3" s="136"/>
      <c r="NKH3" s="136"/>
      <c r="NKI3" s="136"/>
      <c r="NKJ3" s="136"/>
      <c r="NKK3" s="136"/>
      <c r="NKL3" s="136"/>
      <c r="NKM3" s="136"/>
      <c r="NKN3" s="136"/>
      <c r="NKO3" s="136"/>
      <c r="NKP3" s="136"/>
      <c r="NKQ3" s="136"/>
      <c r="NKR3" s="136"/>
      <c r="NKS3" s="136"/>
      <c r="NKT3" s="136"/>
      <c r="NKU3" s="136"/>
      <c r="NKV3" s="136"/>
      <c r="NKW3" s="136"/>
      <c r="NKX3" s="136"/>
      <c r="NKY3" s="136"/>
      <c r="NKZ3" s="136"/>
      <c r="NLA3" s="136"/>
      <c r="NLB3" s="136"/>
      <c r="NLC3" s="136"/>
      <c r="NLD3" s="136"/>
      <c r="NLE3" s="136"/>
      <c r="NLF3" s="136"/>
      <c r="NLG3" s="136"/>
      <c r="NLH3" s="136"/>
      <c r="NLI3" s="136"/>
      <c r="NLJ3" s="136"/>
      <c r="NLK3" s="136"/>
      <c r="NLL3" s="136"/>
      <c r="NLM3" s="136"/>
      <c r="NLN3" s="136"/>
      <c r="NLO3" s="136"/>
      <c r="NLP3" s="136"/>
      <c r="NLQ3" s="136"/>
      <c r="NLR3" s="136"/>
      <c r="NLS3" s="136"/>
      <c r="NLT3" s="136"/>
      <c r="NLU3" s="136"/>
      <c r="NLV3" s="136"/>
      <c r="NLW3" s="136"/>
      <c r="NLX3" s="136"/>
      <c r="NLY3" s="136"/>
      <c r="NLZ3" s="136"/>
      <c r="NMA3" s="136"/>
      <c r="NMB3" s="136"/>
      <c r="NMC3" s="136"/>
      <c r="NMD3" s="136"/>
      <c r="NME3" s="136"/>
      <c r="NMF3" s="136"/>
      <c r="NMG3" s="136"/>
      <c r="NMH3" s="136"/>
      <c r="NMI3" s="136"/>
      <c r="NMJ3" s="136"/>
      <c r="NMK3" s="136"/>
      <c r="NML3" s="136"/>
      <c r="NMM3" s="136"/>
      <c r="NMN3" s="136"/>
      <c r="NMO3" s="136"/>
      <c r="NMP3" s="136"/>
      <c r="NMQ3" s="136"/>
      <c r="NMR3" s="136"/>
      <c r="NMS3" s="136"/>
      <c r="NMT3" s="136"/>
      <c r="NMU3" s="136"/>
      <c r="NMV3" s="136"/>
      <c r="NMW3" s="136"/>
      <c r="NMX3" s="136"/>
      <c r="NMY3" s="136"/>
      <c r="NMZ3" s="136"/>
      <c r="NNA3" s="136"/>
      <c r="NNB3" s="136"/>
      <c r="NNC3" s="136"/>
      <c r="NND3" s="136"/>
      <c r="NNE3" s="136"/>
      <c r="NNF3" s="136"/>
      <c r="NNG3" s="136"/>
      <c r="NNH3" s="136"/>
      <c r="NNI3" s="136"/>
      <c r="NNJ3" s="136"/>
      <c r="NNK3" s="136"/>
      <c r="NNL3" s="136"/>
      <c r="NNM3" s="136"/>
      <c r="NNN3" s="136"/>
      <c r="NNO3" s="136"/>
      <c r="NNP3" s="136"/>
      <c r="NNQ3" s="136"/>
      <c r="NNR3" s="136"/>
      <c r="NNS3" s="136"/>
      <c r="NNT3" s="136"/>
      <c r="NNU3" s="136"/>
      <c r="NNV3" s="136"/>
      <c r="NNW3" s="136"/>
      <c r="NNX3" s="136"/>
      <c r="NNY3" s="136"/>
      <c r="NNZ3" s="136"/>
      <c r="NOA3" s="136"/>
      <c r="NOB3" s="136"/>
      <c r="NOC3" s="136"/>
      <c r="NOD3" s="136"/>
      <c r="NOE3" s="136"/>
      <c r="NOF3" s="136"/>
      <c r="NOG3" s="136"/>
      <c r="NOH3" s="136"/>
      <c r="NOI3" s="136"/>
      <c r="NOJ3" s="136"/>
      <c r="NOK3" s="136"/>
      <c r="NOL3" s="136"/>
      <c r="NOM3" s="136"/>
      <c r="NON3" s="136"/>
      <c r="NOO3" s="136"/>
      <c r="NOP3" s="136"/>
      <c r="NOQ3" s="136"/>
      <c r="NOR3" s="136"/>
      <c r="NOS3" s="136"/>
      <c r="NOT3" s="136"/>
      <c r="NOU3" s="136"/>
      <c r="NOV3" s="136"/>
      <c r="NOW3" s="136"/>
      <c r="NOX3" s="136"/>
      <c r="NOY3" s="136"/>
      <c r="NOZ3" s="136"/>
      <c r="NPA3" s="136"/>
      <c r="NPB3" s="136"/>
      <c r="NPC3" s="136"/>
      <c r="NPD3" s="136"/>
      <c r="NPE3" s="136"/>
      <c r="NPF3" s="136"/>
      <c r="NPG3" s="136"/>
      <c r="NPH3" s="136"/>
      <c r="NPI3" s="136"/>
      <c r="NPJ3" s="136"/>
      <c r="NPK3" s="136"/>
      <c r="NPL3" s="136"/>
      <c r="NPM3" s="136"/>
      <c r="NPN3" s="136"/>
      <c r="NPO3" s="136"/>
      <c r="NPP3" s="136"/>
      <c r="NPQ3" s="136"/>
      <c r="NPR3" s="136"/>
      <c r="NPS3" s="136"/>
      <c r="NPT3" s="136"/>
      <c r="NPU3" s="136"/>
      <c r="NPV3" s="136"/>
      <c r="NPW3" s="136"/>
      <c r="NPX3" s="136"/>
      <c r="NPY3" s="136"/>
      <c r="NPZ3" s="136"/>
      <c r="NQA3" s="136"/>
      <c r="NQB3" s="136"/>
      <c r="NQC3" s="136"/>
      <c r="NQD3" s="136"/>
      <c r="NQE3" s="136"/>
      <c r="NQF3" s="136"/>
      <c r="NQG3" s="136"/>
      <c r="NQH3" s="136"/>
      <c r="NQI3" s="136"/>
      <c r="NQJ3" s="136"/>
      <c r="NQK3" s="136"/>
      <c r="NQL3" s="136"/>
      <c r="NQM3" s="136"/>
      <c r="NQN3" s="136"/>
      <c r="NQO3" s="136"/>
      <c r="NQP3" s="136"/>
      <c r="NQQ3" s="136"/>
      <c r="NQR3" s="136"/>
      <c r="NQS3" s="136"/>
      <c r="NQT3" s="136"/>
      <c r="NQU3" s="136"/>
      <c r="NQV3" s="136"/>
      <c r="NQW3" s="136"/>
      <c r="NQX3" s="136"/>
      <c r="NQY3" s="136"/>
      <c r="NQZ3" s="136"/>
      <c r="NRA3" s="136"/>
      <c r="NRB3" s="136"/>
      <c r="NRC3" s="136"/>
      <c r="NRD3" s="136"/>
      <c r="NRE3" s="136"/>
      <c r="NRF3" s="136"/>
      <c r="NRG3" s="136"/>
      <c r="NRH3" s="136"/>
      <c r="NRI3" s="136"/>
      <c r="NRJ3" s="136"/>
      <c r="NRK3" s="136"/>
      <c r="NRL3" s="136"/>
      <c r="NRM3" s="136"/>
      <c r="NRN3" s="136"/>
      <c r="NRO3" s="136"/>
      <c r="NRP3" s="136"/>
      <c r="NRQ3" s="136"/>
      <c r="NRR3" s="136"/>
      <c r="NRS3" s="136"/>
      <c r="NRT3" s="136"/>
      <c r="NRU3" s="136"/>
      <c r="NRV3" s="136"/>
      <c r="NRW3" s="136"/>
      <c r="NRX3" s="136"/>
      <c r="NRY3" s="136"/>
      <c r="NRZ3" s="136"/>
      <c r="NSA3" s="136"/>
      <c r="NSB3" s="136"/>
      <c r="NSC3" s="136"/>
      <c r="NSD3" s="136"/>
      <c r="NSE3" s="136"/>
      <c r="NSF3" s="136"/>
      <c r="NSG3" s="136"/>
      <c r="NSH3" s="136"/>
      <c r="NSI3" s="136"/>
      <c r="NSJ3" s="136"/>
      <c r="NSK3" s="136"/>
      <c r="NSL3" s="136"/>
      <c r="NSM3" s="136"/>
      <c r="NSN3" s="136"/>
      <c r="NSO3" s="136"/>
      <c r="NSP3" s="136"/>
      <c r="NSQ3" s="136"/>
      <c r="NSR3" s="136"/>
      <c r="NSS3" s="136"/>
      <c r="NST3" s="136"/>
      <c r="NSU3" s="136"/>
      <c r="NSV3" s="136"/>
      <c r="NSW3" s="136"/>
      <c r="NSX3" s="136"/>
      <c r="NSY3" s="136"/>
      <c r="NSZ3" s="136"/>
      <c r="NTA3" s="136"/>
      <c r="NTB3" s="136"/>
      <c r="NTC3" s="136"/>
      <c r="NTD3" s="136"/>
      <c r="NTE3" s="136"/>
      <c r="NTF3" s="136"/>
      <c r="NTG3" s="136"/>
      <c r="NTH3" s="136"/>
      <c r="NTI3" s="136"/>
      <c r="NTJ3" s="136"/>
      <c r="NTK3" s="136"/>
      <c r="NTL3" s="136"/>
      <c r="NTM3" s="136"/>
      <c r="NTN3" s="136"/>
      <c r="NTO3" s="136"/>
      <c r="NTP3" s="136"/>
      <c r="NTQ3" s="136"/>
      <c r="NTR3" s="136"/>
      <c r="NTS3" s="136"/>
      <c r="NTT3" s="136"/>
      <c r="NTU3" s="136"/>
      <c r="NTV3" s="136"/>
      <c r="NTW3" s="136"/>
      <c r="NTX3" s="136"/>
      <c r="NTY3" s="136"/>
      <c r="NTZ3" s="136"/>
      <c r="NUA3" s="136"/>
      <c r="NUB3" s="136"/>
      <c r="NUC3" s="136"/>
      <c r="NUD3" s="136"/>
      <c r="NUE3" s="136"/>
      <c r="NUF3" s="136"/>
      <c r="NUG3" s="136"/>
      <c r="NUH3" s="136"/>
      <c r="NUI3" s="136"/>
      <c r="NUJ3" s="136"/>
      <c r="NUK3" s="136"/>
      <c r="NUL3" s="136"/>
      <c r="NUM3" s="136"/>
      <c r="NUN3" s="136"/>
      <c r="NUO3" s="136"/>
      <c r="NUP3" s="136"/>
      <c r="NUQ3" s="136"/>
      <c r="NUR3" s="136"/>
      <c r="NUS3" s="136"/>
      <c r="NUT3" s="136"/>
      <c r="NUU3" s="136"/>
      <c r="NUV3" s="136"/>
      <c r="NUW3" s="136"/>
      <c r="NUX3" s="136"/>
      <c r="NUY3" s="136"/>
      <c r="NUZ3" s="136"/>
      <c r="NVA3" s="136"/>
      <c r="NVB3" s="136"/>
      <c r="NVC3" s="136"/>
      <c r="NVD3" s="136"/>
      <c r="NVE3" s="136"/>
      <c r="NVF3" s="136"/>
      <c r="NVG3" s="136"/>
      <c r="NVH3" s="136"/>
      <c r="NVI3" s="136"/>
      <c r="NVJ3" s="136"/>
      <c r="NVK3" s="136"/>
      <c r="NVL3" s="136"/>
      <c r="NVM3" s="136"/>
      <c r="NVN3" s="136"/>
      <c r="NVO3" s="136"/>
      <c r="NVP3" s="136"/>
      <c r="NVQ3" s="136"/>
      <c r="NVR3" s="136"/>
      <c r="NVS3" s="136"/>
      <c r="NVT3" s="136"/>
      <c r="NVU3" s="136"/>
      <c r="NVV3" s="136"/>
      <c r="NVW3" s="136"/>
      <c r="NVX3" s="136"/>
      <c r="NVY3" s="136"/>
      <c r="NVZ3" s="136"/>
      <c r="NWA3" s="136"/>
      <c r="NWB3" s="136"/>
      <c r="NWC3" s="136"/>
      <c r="NWD3" s="136"/>
      <c r="NWE3" s="136"/>
      <c r="NWF3" s="136"/>
      <c r="NWG3" s="136"/>
      <c r="NWH3" s="136"/>
      <c r="NWI3" s="136"/>
      <c r="NWJ3" s="136"/>
      <c r="NWK3" s="136"/>
      <c r="NWL3" s="136"/>
      <c r="NWM3" s="136"/>
      <c r="NWN3" s="136"/>
      <c r="NWO3" s="136"/>
      <c r="NWP3" s="136"/>
      <c r="NWQ3" s="136"/>
      <c r="NWR3" s="136"/>
      <c r="NWS3" s="136"/>
      <c r="NWT3" s="136"/>
      <c r="NWU3" s="136"/>
      <c r="NWV3" s="136"/>
      <c r="NWW3" s="136"/>
      <c r="NWX3" s="136"/>
      <c r="NWY3" s="136"/>
      <c r="NWZ3" s="136"/>
      <c r="NXA3" s="136"/>
      <c r="NXB3" s="136"/>
      <c r="NXC3" s="136"/>
      <c r="NXD3" s="136"/>
      <c r="NXE3" s="136"/>
      <c r="NXF3" s="136"/>
      <c r="NXG3" s="136"/>
      <c r="NXH3" s="136"/>
      <c r="NXI3" s="136"/>
      <c r="NXJ3" s="136"/>
      <c r="NXK3" s="136"/>
      <c r="NXL3" s="136"/>
      <c r="NXM3" s="136"/>
      <c r="NXN3" s="136"/>
      <c r="NXO3" s="136"/>
      <c r="NXP3" s="136"/>
      <c r="NXQ3" s="136"/>
      <c r="NXR3" s="136"/>
      <c r="NXS3" s="136"/>
      <c r="NXT3" s="136"/>
      <c r="NXU3" s="136"/>
      <c r="NXV3" s="136"/>
      <c r="NXW3" s="136"/>
      <c r="NXX3" s="136"/>
      <c r="NXY3" s="136"/>
      <c r="NXZ3" s="136"/>
      <c r="NYA3" s="136"/>
      <c r="NYB3" s="136"/>
      <c r="NYC3" s="136"/>
      <c r="NYD3" s="136"/>
      <c r="NYE3" s="136"/>
      <c r="NYF3" s="136"/>
      <c r="NYG3" s="136"/>
      <c r="NYH3" s="136"/>
      <c r="NYI3" s="136"/>
      <c r="NYJ3" s="136"/>
      <c r="NYK3" s="136"/>
      <c r="NYL3" s="136"/>
      <c r="NYM3" s="136"/>
      <c r="NYN3" s="136"/>
      <c r="NYO3" s="136"/>
      <c r="NYP3" s="136"/>
      <c r="NYQ3" s="136"/>
      <c r="NYR3" s="136"/>
      <c r="NYS3" s="136"/>
      <c r="NYT3" s="136"/>
      <c r="NYU3" s="136"/>
      <c r="NYV3" s="136"/>
      <c r="NYW3" s="136"/>
      <c r="NYX3" s="136"/>
      <c r="NYY3" s="136"/>
      <c r="NYZ3" s="136"/>
      <c r="NZA3" s="136"/>
      <c r="NZB3" s="136"/>
      <c r="NZC3" s="136"/>
      <c r="NZD3" s="136"/>
      <c r="NZE3" s="136"/>
      <c r="NZF3" s="136"/>
      <c r="NZG3" s="136"/>
      <c r="NZH3" s="136"/>
      <c r="NZI3" s="136"/>
      <c r="NZJ3" s="136"/>
      <c r="NZK3" s="136"/>
      <c r="NZL3" s="136"/>
      <c r="NZM3" s="136"/>
      <c r="NZN3" s="136"/>
      <c r="NZO3" s="136"/>
      <c r="NZP3" s="136"/>
      <c r="NZQ3" s="136"/>
      <c r="NZR3" s="136"/>
      <c r="NZS3" s="136"/>
      <c r="NZT3" s="136"/>
      <c r="NZU3" s="136"/>
      <c r="NZV3" s="136"/>
      <c r="NZW3" s="136"/>
      <c r="NZX3" s="136"/>
      <c r="NZY3" s="136"/>
      <c r="NZZ3" s="136"/>
      <c r="OAA3" s="136"/>
      <c r="OAB3" s="136"/>
      <c r="OAC3" s="136"/>
      <c r="OAD3" s="136"/>
      <c r="OAE3" s="136"/>
      <c r="OAF3" s="136"/>
      <c r="OAG3" s="136"/>
      <c r="OAH3" s="136"/>
      <c r="OAI3" s="136"/>
      <c r="OAJ3" s="136"/>
      <c r="OAK3" s="136"/>
      <c r="OAL3" s="136"/>
      <c r="OAM3" s="136"/>
      <c r="OAN3" s="136"/>
      <c r="OAO3" s="136"/>
      <c r="OAP3" s="136"/>
      <c r="OAQ3" s="136"/>
      <c r="OAR3" s="136"/>
      <c r="OAS3" s="136"/>
      <c r="OAT3" s="136"/>
      <c r="OAU3" s="136"/>
      <c r="OAV3" s="136"/>
      <c r="OAW3" s="136"/>
      <c r="OAX3" s="136"/>
      <c r="OAY3" s="136"/>
      <c r="OAZ3" s="136"/>
      <c r="OBA3" s="136"/>
      <c r="OBB3" s="136"/>
      <c r="OBC3" s="136"/>
      <c r="OBD3" s="136"/>
      <c r="OBE3" s="136"/>
      <c r="OBF3" s="136"/>
      <c r="OBG3" s="136"/>
      <c r="OBH3" s="136"/>
      <c r="OBI3" s="136"/>
      <c r="OBJ3" s="136"/>
      <c r="OBK3" s="136"/>
      <c r="OBL3" s="136"/>
      <c r="OBM3" s="136"/>
      <c r="OBN3" s="136"/>
      <c r="OBO3" s="136"/>
      <c r="OBP3" s="136"/>
      <c r="OBQ3" s="136"/>
      <c r="OBR3" s="136"/>
      <c r="OBS3" s="136"/>
      <c r="OBT3" s="136"/>
      <c r="OBU3" s="136"/>
      <c r="OBV3" s="136"/>
      <c r="OBW3" s="136"/>
      <c r="OBX3" s="136"/>
      <c r="OBY3" s="136"/>
      <c r="OBZ3" s="136"/>
      <c r="OCA3" s="136"/>
      <c r="OCB3" s="136"/>
      <c r="OCC3" s="136"/>
      <c r="OCD3" s="136"/>
      <c r="OCE3" s="136"/>
      <c r="OCF3" s="136"/>
      <c r="OCG3" s="136"/>
      <c r="OCH3" s="136"/>
      <c r="OCI3" s="136"/>
      <c r="OCJ3" s="136"/>
      <c r="OCK3" s="136"/>
      <c r="OCL3" s="136"/>
      <c r="OCM3" s="136"/>
      <c r="OCN3" s="136"/>
      <c r="OCO3" s="136"/>
      <c r="OCP3" s="136"/>
      <c r="OCQ3" s="136"/>
      <c r="OCR3" s="136"/>
      <c r="OCS3" s="136"/>
      <c r="OCT3" s="136"/>
      <c r="OCU3" s="136"/>
      <c r="OCV3" s="136"/>
      <c r="OCW3" s="136"/>
      <c r="OCX3" s="136"/>
      <c r="OCY3" s="136"/>
      <c r="OCZ3" s="136"/>
      <c r="ODA3" s="136"/>
      <c r="ODB3" s="136"/>
      <c r="ODC3" s="136"/>
      <c r="ODD3" s="136"/>
      <c r="ODE3" s="136"/>
      <c r="ODF3" s="136"/>
      <c r="ODG3" s="136"/>
      <c r="ODH3" s="136"/>
      <c r="ODI3" s="136"/>
      <c r="ODJ3" s="136"/>
      <c r="ODK3" s="136"/>
      <c r="ODL3" s="136"/>
      <c r="ODM3" s="136"/>
      <c r="ODN3" s="136"/>
      <c r="ODO3" s="136"/>
      <c r="ODP3" s="136"/>
      <c r="ODQ3" s="136"/>
      <c r="ODR3" s="136"/>
      <c r="ODS3" s="136"/>
      <c r="ODT3" s="136"/>
      <c r="ODU3" s="136"/>
      <c r="ODV3" s="136"/>
      <c r="ODW3" s="136"/>
      <c r="ODX3" s="136"/>
      <c r="ODY3" s="136"/>
      <c r="ODZ3" s="136"/>
      <c r="OEA3" s="136"/>
      <c r="OEB3" s="136"/>
      <c r="OEC3" s="136"/>
      <c r="OED3" s="136"/>
      <c r="OEE3" s="136"/>
      <c r="OEF3" s="136"/>
      <c r="OEG3" s="136"/>
      <c r="OEH3" s="136"/>
      <c r="OEI3" s="136"/>
      <c r="OEJ3" s="136"/>
      <c r="OEK3" s="136"/>
      <c r="OEL3" s="136"/>
      <c r="OEM3" s="136"/>
      <c r="OEN3" s="136"/>
      <c r="OEO3" s="136"/>
      <c r="OEP3" s="136"/>
      <c r="OEQ3" s="136"/>
      <c r="OER3" s="136"/>
      <c r="OES3" s="136"/>
      <c r="OET3" s="136"/>
      <c r="OEU3" s="136"/>
      <c r="OEV3" s="136"/>
      <c r="OEW3" s="136"/>
      <c r="OEX3" s="136"/>
      <c r="OEY3" s="136"/>
      <c r="OEZ3" s="136"/>
      <c r="OFA3" s="136"/>
      <c r="OFB3" s="136"/>
      <c r="OFC3" s="136"/>
      <c r="OFD3" s="136"/>
      <c r="OFE3" s="136"/>
      <c r="OFF3" s="136"/>
      <c r="OFG3" s="136"/>
      <c r="OFH3" s="136"/>
      <c r="OFI3" s="136"/>
      <c r="OFJ3" s="136"/>
      <c r="OFK3" s="136"/>
      <c r="OFL3" s="136"/>
      <c r="OFM3" s="136"/>
      <c r="OFN3" s="136"/>
      <c r="OFO3" s="136"/>
      <c r="OFP3" s="136"/>
      <c r="OFQ3" s="136"/>
      <c r="OFR3" s="136"/>
      <c r="OFS3" s="136"/>
      <c r="OFT3" s="136"/>
      <c r="OFU3" s="136"/>
      <c r="OFV3" s="136"/>
      <c r="OFW3" s="136"/>
      <c r="OFX3" s="136"/>
      <c r="OFY3" s="136"/>
      <c r="OFZ3" s="136"/>
      <c r="OGA3" s="136"/>
      <c r="OGB3" s="136"/>
      <c r="OGC3" s="136"/>
      <c r="OGD3" s="136"/>
      <c r="OGE3" s="136"/>
      <c r="OGF3" s="136"/>
      <c r="OGG3" s="136"/>
      <c r="OGH3" s="136"/>
      <c r="OGI3" s="136"/>
      <c r="OGJ3" s="136"/>
      <c r="OGK3" s="136"/>
      <c r="OGL3" s="136"/>
      <c r="OGM3" s="136"/>
      <c r="OGN3" s="136"/>
      <c r="OGO3" s="136"/>
      <c r="OGP3" s="136"/>
      <c r="OGQ3" s="136"/>
      <c r="OGR3" s="136"/>
      <c r="OGS3" s="136"/>
      <c r="OGT3" s="136"/>
      <c r="OGU3" s="136"/>
      <c r="OGV3" s="136"/>
      <c r="OGW3" s="136"/>
      <c r="OGX3" s="136"/>
      <c r="OGY3" s="136"/>
      <c r="OGZ3" s="136"/>
      <c r="OHA3" s="136"/>
      <c r="OHB3" s="136"/>
      <c r="OHC3" s="136"/>
      <c r="OHD3" s="136"/>
      <c r="OHE3" s="136"/>
      <c r="OHF3" s="136"/>
      <c r="OHG3" s="136"/>
      <c r="OHH3" s="136"/>
      <c r="OHI3" s="136"/>
      <c r="OHJ3" s="136"/>
      <c r="OHK3" s="136"/>
      <c r="OHL3" s="136"/>
      <c r="OHM3" s="136"/>
      <c r="OHN3" s="136"/>
      <c r="OHO3" s="136"/>
      <c r="OHP3" s="136"/>
      <c r="OHQ3" s="136"/>
      <c r="OHR3" s="136"/>
      <c r="OHS3" s="136"/>
      <c r="OHT3" s="136"/>
      <c r="OHU3" s="136"/>
      <c r="OHV3" s="136"/>
      <c r="OHW3" s="136"/>
      <c r="OHX3" s="136"/>
      <c r="OHY3" s="136"/>
      <c r="OHZ3" s="136"/>
      <c r="OIA3" s="136"/>
      <c r="OIB3" s="136"/>
      <c r="OIC3" s="136"/>
      <c r="OID3" s="136"/>
      <c r="OIE3" s="136"/>
      <c r="OIF3" s="136"/>
      <c r="OIG3" s="136"/>
      <c r="OIH3" s="136"/>
      <c r="OII3" s="136"/>
      <c r="OIJ3" s="136"/>
      <c r="OIK3" s="136"/>
      <c r="OIL3" s="136"/>
      <c r="OIM3" s="136"/>
      <c r="OIN3" s="136"/>
      <c r="OIO3" s="136"/>
      <c r="OIP3" s="136"/>
      <c r="OIQ3" s="136"/>
      <c r="OIR3" s="136"/>
      <c r="OIS3" s="136"/>
      <c r="OIT3" s="136"/>
      <c r="OIU3" s="136"/>
      <c r="OIV3" s="136"/>
      <c r="OIW3" s="136"/>
      <c r="OIX3" s="136"/>
      <c r="OIY3" s="136"/>
      <c r="OIZ3" s="136"/>
      <c r="OJA3" s="136"/>
      <c r="OJB3" s="136"/>
      <c r="OJC3" s="136"/>
      <c r="OJD3" s="136"/>
      <c r="OJE3" s="136"/>
      <c r="OJF3" s="136"/>
      <c r="OJG3" s="136"/>
      <c r="OJH3" s="136"/>
      <c r="OJI3" s="136"/>
      <c r="OJJ3" s="136"/>
      <c r="OJK3" s="136"/>
      <c r="OJL3" s="136"/>
      <c r="OJM3" s="136"/>
      <c r="OJN3" s="136"/>
      <c r="OJO3" s="136"/>
      <c r="OJP3" s="136"/>
      <c r="OJQ3" s="136"/>
      <c r="OJR3" s="136"/>
      <c r="OJS3" s="136"/>
      <c r="OJT3" s="136"/>
      <c r="OJU3" s="136"/>
      <c r="OJV3" s="136"/>
      <c r="OJW3" s="136"/>
      <c r="OJX3" s="136"/>
      <c r="OJY3" s="136"/>
      <c r="OJZ3" s="136"/>
      <c r="OKA3" s="136"/>
      <c r="OKB3" s="136"/>
      <c r="OKC3" s="136"/>
      <c r="OKD3" s="136"/>
      <c r="OKE3" s="136"/>
      <c r="OKF3" s="136"/>
      <c r="OKG3" s="136"/>
      <c r="OKH3" s="136"/>
      <c r="OKI3" s="136"/>
      <c r="OKJ3" s="136"/>
      <c r="OKK3" s="136"/>
      <c r="OKL3" s="136"/>
      <c r="OKM3" s="136"/>
      <c r="OKN3" s="136"/>
      <c r="OKO3" s="136"/>
      <c r="OKP3" s="136"/>
      <c r="OKQ3" s="136"/>
      <c r="OKR3" s="136"/>
      <c r="OKS3" s="136"/>
      <c r="OKT3" s="136"/>
      <c r="OKU3" s="136"/>
      <c r="OKV3" s="136"/>
      <c r="OKW3" s="136"/>
      <c r="OKX3" s="136"/>
      <c r="OKY3" s="136"/>
      <c r="OKZ3" s="136"/>
      <c r="OLA3" s="136"/>
      <c r="OLB3" s="136"/>
      <c r="OLC3" s="136"/>
      <c r="OLD3" s="136"/>
      <c r="OLE3" s="136"/>
      <c r="OLF3" s="136"/>
      <c r="OLG3" s="136"/>
      <c r="OLH3" s="136"/>
      <c r="OLI3" s="136"/>
      <c r="OLJ3" s="136"/>
      <c r="OLK3" s="136"/>
      <c r="OLL3" s="136"/>
      <c r="OLM3" s="136"/>
      <c r="OLN3" s="136"/>
      <c r="OLO3" s="136"/>
      <c r="OLP3" s="136"/>
      <c r="OLQ3" s="136"/>
      <c r="OLR3" s="136"/>
      <c r="OLS3" s="136"/>
      <c r="OLT3" s="136"/>
      <c r="OLU3" s="136"/>
      <c r="OLV3" s="136"/>
      <c r="OLW3" s="136"/>
      <c r="OLX3" s="136"/>
      <c r="OLY3" s="136"/>
      <c r="OLZ3" s="136"/>
      <c r="OMA3" s="136"/>
      <c r="OMB3" s="136"/>
      <c r="OMC3" s="136"/>
      <c r="OMD3" s="136"/>
      <c r="OME3" s="136"/>
      <c r="OMF3" s="136"/>
      <c r="OMG3" s="136"/>
      <c r="OMH3" s="136"/>
      <c r="OMI3" s="136"/>
      <c r="OMJ3" s="136"/>
      <c r="OMK3" s="136"/>
      <c r="OML3" s="136"/>
      <c r="OMM3" s="136"/>
      <c r="OMN3" s="136"/>
      <c r="OMO3" s="136"/>
      <c r="OMP3" s="136"/>
      <c r="OMQ3" s="136"/>
      <c r="OMR3" s="136"/>
      <c r="OMS3" s="136"/>
      <c r="OMT3" s="136"/>
      <c r="OMU3" s="136"/>
      <c r="OMV3" s="136"/>
      <c r="OMW3" s="136"/>
      <c r="OMX3" s="136"/>
      <c r="OMY3" s="136"/>
      <c r="OMZ3" s="136"/>
      <c r="ONA3" s="136"/>
      <c r="ONB3" s="136"/>
      <c r="ONC3" s="136"/>
      <c r="OND3" s="136"/>
      <c r="ONE3" s="136"/>
      <c r="ONF3" s="136"/>
      <c r="ONG3" s="136"/>
      <c r="ONH3" s="136"/>
      <c r="ONI3" s="136"/>
      <c r="ONJ3" s="136"/>
      <c r="ONK3" s="136"/>
      <c r="ONL3" s="136"/>
      <c r="ONM3" s="136"/>
      <c r="ONN3" s="136"/>
      <c r="ONO3" s="136"/>
      <c r="ONP3" s="136"/>
      <c r="ONQ3" s="136"/>
      <c r="ONR3" s="136"/>
      <c r="ONS3" s="136"/>
      <c r="ONT3" s="136"/>
      <c r="ONU3" s="136"/>
      <c r="ONV3" s="136"/>
      <c r="ONW3" s="136"/>
      <c r="ONX3" s="136"/>
      <c r="ONY3" s="136"/>
      <c r="ONZ3" s="136"/>
      <c r="OOA3" s="136"/>
      <c r="OOB3" s="136"/>
      <c r="OOC3" s="136"/>
      <c r="OOD3" s="136"/>
      <c r="OOE3" s="136"/>
      <c r="OOF3" s="136"/>
      <c r="OOG3" s="136"/>
      <c r="OOH3" s="136"/>
      <c r="OOI3" s="136"/>
      <c r="OOJ3" s="136"/>
      <c r="OOK3" s="136"/>
      <c r="OOL3" s="136"/>
      <c r="OOM3" s="136"/>
      <c r="OON3" s="136"/>
      <c r="OOO3" s="136"/>
      <c r="OOP3" s="136"/>
      <c r="OOQ3" s="136"/>
      <c r="OOR3" s="136"/>
      <c r="OOS3" s="136"/>
      <c r="OOT3" s="136"/>
      <c r="OOU3" s="136"/>
      <c r="OOV3" s="136"/>
      <c r="OOW3" s="136"/>
      <c r="OOX3" s="136"/>
      <c r="OOY3" s="136"/>
      <c r="OOZ3" s="136"/>
      <c r="OPA3" s="136"/>
      <c r="OPB3" s="136"/>
      <c r="OPC3" s="136"/>
      <c r="OPD3" s="136"/>
      <c r="OPE3" s="136"/>
      <c r="OPF3" s="136"/>
      <c r="OPG3" s="136"/>
      <c r="OPH3" s="136"/>
      <c r="OPI3" s="136"/>
      <c r="OPJ3" s="136"/>
      <c r="OPK3" s="136"/>
      <c r="OPL3" s="136"/>
      <c r="OPM3" s="136"/>
      <c r="OPN3" s="136"/>
      <c r="OPO3" s="136"/>
      <c r="OPP3" s="136"/>
      <c r="OPQ3" s="136"/>
      <c r="OPR3" s="136"/>
      <c r="OPS3" s="136"/>
      <c r="OPT3" s="136"/>
      <c r="OPU3" s="136"/>
      <c r="OPV3" s="136"/>
      <c r="OPW3" s="136"/>
      <c r="OPX3" s="136"/>
      <c r="OPY3" s="136"/>
      <c r="OPZ3" s="136"/>
      <c r="OQA3" s="136"/>
      <c r="OQB3" s="136"/>
      <c r="OQC3" s="136"/>
      <c r="OQD3" s="136"/>
      <c r="OQE3" s="136"/>
      <c r="OQF3" s="136"/>
      <c r="OQG3" s="136"/>
      <c r="OQH3" s="136"/>
      <c r="OQI3" s="136"/>
      <c r="OQJ3" s="136"/>
      <c r="OQK3" s="136"/>
      <c r="OQL3" s="136"/>
      <c r="OQM3" s="136"/>
      <c r="OQN3" s="136"/>
      <c r="OQO3" s="136"/>
      <c r="OQP3" s="136"/>
      <c r="OQQ3" s="136"/>
      <c r="OQR3" s="136"/>
      <c r="OQS3" s="136"/>
      <c r="OQT3" s="136"/>
      <c r="OQU3" s="136"/>
      <c r="OQV3" s="136"/>
      <c r="OQW3" s="136"/>
      <c r="OQX3" s="136"/>
      <c r="OQY3" s="136"/>
      <c r="OQZ3" s="136"/>
      <c r="ORA3" s="136"/>
      <c r="ORB3" s="136"/>
      <c r="ORC3" s="136"/>
      <c r="ORD3" s="136"/>
      <c r="ORE3" s="136"/>
      <c r="ORF3" s="136"/>
      <c r="ORG3" s="136"/>
      <c r="ORH3" s="136"/>
      <c r="ORI3" s="136"/>
      <c r="ORJ3" s="136"/>
      <c r="ORK3" s="136"/>
      <c r="ORL3" s="136"/>
      <c r="ORM3" s="136"/>
      <c r="ORN3" s="136"/>
      <c r="ORO3" s="136"/>
      <c r="ORP3" s="136"/>
      <c r="ORQ3" s="136"/>
      <c r="ORR3" s="136"/>
      <c r="ORS3" s="136"/>
      <c r="ORT3" s="136"/>
      <c r="ORU3" s="136"/>
      <c r="ORV3" s="136"/>
      <c r="ORW3" s="136"/>
      <c r="ORX3" s="136"/>
      <c r="ORY3" s="136"/>
      <c r="ORZ3" s="136"/>
      <c r="OSA3" s="136"/>
      <c r="OSB3" s="136"/>
      <c r="OSC3" s="136"/>
      <c r="OSD3" s="136"/>
      <c r="OSE3" s="136"/>
      <c r="OSF3" s="136"/>
      <c r="OSG3" s="136"/>
      <c r="OSH3" s="136"/>
      <c r="OSI3" s="136"/>
      <c r="OSJ3" s="136"/>
      <c r="OSK3" s="136"/>
      <c r="OSL3" s="136"/>
      <c r="OSM3" s="136"/>
      <c r="OSN3" s="136"/>
      <c r="OSO3" s="136"/>
      <c r="OSP3" s="136"/>
      <c r="OSQ3" s="136"/>
      <c r="OSR3" s="136"/>
      <c r="OSS3" s="136"/>
      <c r="OST3" s="136"/>
      <c r="OSU3" s="136"/>
      <c r="OSV3" s="136"/>
      <c r="OSW3" s="136"/>
      <c r="OSX3" s="136"/>
      <c r="OSY3" s="136"/>
      <c r="OSZ3" s="136"/>
      <c r="OTA3" s="136"/>
      <c r="OTB3" s="136"/>
      <c r="OTC3" s="136"/>
      <c r="OTD3" s="136"/>
      <c r="OTE3" s="136"/>
      <c r="OTF3" s="136"/>
      <c r="OTG3" s="136"/>
      <c r="OTH3" s="136"/>
      <c r="OTI3" s="136"/>
      <c r="OTJ3" s="136"/>
      <c r="OTK3" s="136"/>
      <c r="OTL3" s="136"/>
      <c r="OTM3" s="136"/>
      <c r="OTN3" s="136"/>
      <c r="OTO3" s="136"/>
      <c r="OTP3" s="136"/>
      <c r="OTQ3" s="136"/>
      <c r="OTR3" s="136"/>
      <c r="OTS3" s="136"/>
      <c r="OTT3" s="136"/>
      <c r="OTU3" s="136"/>
      <c r="OTV3" s="136"/>
      <c r="OTW3" s="136"/>
      <c r="OTX3" s="136"/>
      <c r="OTY3" s="136"/>
      <c r="OTZ3" s="136"/>
      <c r="OUA3" s="136"/>
      <c r="OUB3" s="136"/>
      <c r="OUC3" s="136"/>
      <c r="OUD3" s="136"/>
      <c r="OUE3" s="136"/>
      <c r="OUF3" s="136"/>
      <c r="OUG3" s="136"/>
      <c r="OUH3" s="136"/>
      <c r="OUI3" s="136"/>
      <c r="OUJ3" s="136"/>
      <c r="OUK3" s="136"/>
      <c r="OUL3" s="136"/>
      <c r="OUM3" s="136"/>
      <c r="OUN3" s="136"/>
      <c r="OUO3" s="136"/>
      <c r="OUP3" s="136"/>
      <c r="OUQ3" s="136"/>
      <c r="OUR3" s="136"/>
      <c r="OUS3" s="136"/>
      <c r="OUT3" s="136"/>
      <c r="OUU3" s="136"/>
      <c r="OUV3" s="136"/>
      <c r="OUW3" s="136"/>
      <c r="OUX3" s="136"/>
      <c r="OUY3" s="136"/>
      <c r="OUZ3" s="136"/>
      <c r="OVA3" s="136"/>
      <c r="OVB3" s="136"/>
      <c r="OVC3" s="136"/>
      <c r="OVD3" s="136"/>
      <c r="OVE3" s="136"/>
      <c r="OVF3" s="136"/>
      <c r="OVG3" s="136"/>
      <c r="OVH3" s="136"/>
      <c r="OVI3" s="136"/>
      <c r="OVJ3" s="136"/>
      <c r="OVK3" s="136"/>
      <c r="OVL3" s="136"/>
      <c r="OVM3" s="136"/>
      <c r="OVN3" s="136"/>
      <c r="OVO3" s="136"/>
      <c r="OVP3" s="136"/>
      <c r="OVQ3" s="136"/>
      <c r="OVR3" s="136"/>
      <c r="OVS3" s="136"/>
      <c r="OVT3" s="136"/>
      <c r="OVU3" s="136"/>
      <c r="OVV3" s="136"/>
      <c r="OVW3" s="136"/>
      <c r="OVX3" s="136"/>
      <c r="OVY3" s="136"/>
      <c r="OVZ3" s="136"/>
      <c r="OWA3" s="136"/>
      <c r="OWB3" s="136"/>
      <c r="OWC3" s="136"/>
      <c r="OWD3" s="136"/>
      <c r="OWE3" s="136"/>
      <c r="OWF3" s="136"/>
      <c r="OWG3" s="136"/>
      <c r="OWH3" s="136"/>
      <c r="OWI3" s="136"/>
      <c r="OWJ3" s="136"/>
      <c r="OWK3" s="136"/>
      <c r="OWL3" s="136"/>
      <c r="OWM3" s="136"/>
      <c r="OWN3" s="136"/>
      <c r="OWO3" s="136"/>
      <c r="OWP3" s="136"/>
      <c r="OWQ3" s="136"/>
      <c r="OWR3" s="136"/>
      <c r="OWS3" s="136"/>
      <c r="OWT3" s="136"/>
      <c r="OWU3" s="136"/>
      <c r="OWV3" s="136"/>
      <c r="OWW3" s="136"/>
      <c r="OWX3" s="136"/>
      <c r="OWY3" s="136"/>
      <c r="OWZ3" s="136"/>
      <c r="OXA3" s="136"/>
      <c r="OXB3" s="136"/>
      <c r="OXC3" s="136"/>
      <c r="OXD3" s="136"/>
      <c r="OXE3" s="136"/>
      <c r="OXF3" s="136"/>
      <c r="OXG3" s="136"/>
      <c r="OXH3" s="136"/>
      <c r="OXI3" s="136"/>
      <c r="OXJ3" s="136"/>
      <c r="OXK3" s="136"/>
      <c r="OXL3" s="136"/>
      <c r="OXM3" s="136"/>
      <c r="OXN3" s="136"/>
      <c r="OXO3" s="136"/>
      <c r="OXP3" s="136"/>
      <c r="OXQ3" s="136"/>
      <c r="OXR3" s="136"/>
      <c r="OXS3" s="136"/>
      <c r="OXT3" s="136"/>
      <c r="OXU3" s="136"/>
      <c r="OXV3" s="136"/>
      <c r="OXW3" s="136"/>
      <c r="OXX3" s="136"/>
      <c r="OXY3" s="136"/>
      <c r="OXZ3" s="136"/>
      <c r="OYA3" s="136"/>
      <c r="OYB3" s="136"/>
      <c r="OYC3" s="136"/>
      <c r="OYD3" s="136"/>
      <c r="OYE3" s="136"/>
      <c r="OYF3" s="136"/>
      <c r="OYG3" s="136"/>
      <c r="OYH3" s="136"/>
      <c r="OYI3" s="136"/>
      <c r="OYJ3" s="136"/>
      <c r="OYK3" s="136"/>
      <c r="OYL3" s="136"/>
      <c r="OYM3" s="136"/>
      <c r="OYN3" s="136"/>
      <c r="OYO3" s="136"/>
      <c r="OYP3" s="136"/>
      <c r="OYQ3" s="136"/>
      <c r="OYR3" s="136"/>
      <c r="OYS3" s="136"/>
      <c r="OYT3" s="136"/>
      <c r="OYU3" s="136"/>
      <c r="OYV3" s="136"/>
      <c r="OYW3" s="136"/>
      <c r="OYX3" s="136"/>
      <c r="OYY3" s="136"/>
      <c r="OYZ3" s="136"/>
      <c r="OZA3" s="136"/>
      <c r="OZB3" s="136"/>
      <c r="OZC3" s="136"/>
      <c r="OZD3" s="136"/>
      <c r="OZE3" s="136"/>
      <c r="OZF3" s="136"/>
      <c r="OZG3" s="136"/>
      <c r="OZH3" s="136"/>
      <c r="OZI3" s="136"/>
      <c r="OZJ3" s="136"/>
      <c r="OZK3" s="136"/>
      <c r="OZL3" s="136"/>
      <c r="OZM3" s="136"/>
      <c r="OZN3" s="136"/>
      <c r="OZO3" s="136"/>
      <c r="OZP3" s="136"/>
      <c r="OZQ3" s="136"/>
      <c r="OZR3" s="136"/>
      <c r="OZS3" s="136"/>
      <c r="OZT3" s="136"/>
      <c r="OZU3" s="136"/>
      <c r="OZV3" s="136"/>
      <c r="OZW3" s="136"/>
      <c r="OZX3" s="136"/>
      <c r="OZY3" s="136"/>
      <c r="OZZ3" s="136"/>
      <c r="PAA3" s="136"/>
      <c r="PAB3" s="136"/>
      <c r="PAC3" s="136"/>
      <c r="PAD3" s="136"/>
      <c r="PAE3" s="136"/>
      <c r="PAF3" s="136"/>
      <c r="PAG3" s="136"/>
      <c r="PAH3" s="136"/>
      <c r="PAI3" s="136"/>
      <c r="PAJ3" s="136"/>
      <c r="PAK3" s="136"/>
      <c r="PAL3" s="136"/>
      <c r="PAM3" s="136"/>
      <c r="PAN3" s="136"/>
      <c r="PAO3" s="136"/>
      <c r="PAP3" s="136"/>
      <c r="PAQ3" s="136"/>
      <c r="PAR3" s="136"/>
      <c r="PAS3" s="136"/>
      <c r="PAT3" s="136"/>
      <c r="PAU3" s="136"/>
      <c r="PAV3" s="136"/>
      <c r="PAW3" s="136"/>
      <c r="PAX3" s="136"/>
      <c r="PAY3" s="136"/>
      <c r="PAZ3" s="136"/>
      <c r="PBA3" s="136"/>
      <c r="PBB3" s="136"/>
      <c r="PBC3" s="136"/>
      <c r="PBD3" s="136"/>
      <c r="PBE3" s="136"/>
      <c r="PBF3" s="136"/>
      <c r="PBG3" s="136"/>
      <c r="PBH3" s="136"/>
      <c r="PBI3" s="136"/>
      <c r="PBJ3" s="136"/>
      <c r="PBK3" s="136"/>
      <c r="PBL3" s="136"/>
      <c r="PBM3" s="136"/>
      <c r="PBN3" s="136"/>
      <c r="PBO3" s="136"/>
      <c r="PBP3" s="136"/>
      <c r="PBQ3" s="136"/>
      <c r="PBR3" s="136"/>
      <c r="PBS3" s="136"/>
      <c r="PBT3" s="136"/>
      <c r="PBU3" s="136"/>
      <c r="PBV3" s="136"/>
      <c r="PBW3" s="136"/>
      <c r="PBX3" s="136"/>
      <c r="PBY3" s="136"/>
      <c r="PBZ3" s="136"/>
      <c r="PCA3" s="136"/>
      <c r="PCB3" s="136"/>
      <c r="PCC3" s="136"/>
      <c r="PCD3" s="136"/>
      <c r="PCE3" s="136"/>
      <c r="PCF3" s="136"/>
      <c r="PCG3" s="136"/>
      <c r="PCH3" s="136"/>
      <c r="PCI3" s="136"/>
      <c r="PCJ3" s="136"/>
      <c r="PCK3" s="136"/>
      <c r="PCL3" s="136"/>
      <c r="PCM3" s="136"/>
      <c r="PCN3" s="136"/>
      <c r="PCO3" s="136"/>
      <c r="PCP3" s="136"/>
      <c r="PCQ3" s="136"/>
      <c r="PCR3" s="136"/>
      <c r="PCS3" s="136"/>
      <c r="PCT3" s="136"/>
      <c r="PCU3" s="136"/>
      <c r="PCV3" s="136"/>
      <c r="PCW3" s="136"/>
      <c r="PCX3" s="136"/>
      <c r="PCY3" s="136"/>
      <c r="PCZ3" s="136"/>
      <c r="PDA3" s="136"/>
      <c r="PDB3" s="136"/>
      <c r="PDC3" s="136"/>
      <c r="PDD3" s="136"/>
      <c r="PDE3" s="136"/>
      <c r="PDF3" s="136"/>
      <c r="PDG3" s="136"/>
      <c r="PDH3" s="136"/>
      <c r="PDI3" s="136"/>
      <c r="PDJ3" s="136"/>
      <c r="PDK3" s="136"/>
      <c r="PDL3" s="136"/>
      <c r="PDM3" s="136"/>
      <c r="PDN3" s="136"/>
      <c r="PDO3" s="136"/>
      <c r="PDP3" s="136"/>
      <c r="PDQ3" s="136"/>
      <c r="PDR3" s="136"/>
      <c r="PDS3" s="136"/>
      <c r="PDT3" s="136"/>
      <c r="PDU3" s="136"/>
      <c r="PDV3" s="136"/>
      <c r="PDW3" s="136"/>
      <c r="PDX3" s="136"/>
      <c r="PDY3" s="136"/>
      <c r="PDZ3" s="136"/>
      <c r="PEA3" s="136"/>
      <c r="PEB3" s="136"/>
      <c r="PEC3" s="136"/>
      <c r="PED3" s="136"/>
      <c r="PEE3" s="136"/>
      <c r="PEF3" s="136"/>
      <c r="PEG3" s="136"/>
      <c r="PEH3" s="136"/>
      <c r="PEI3" s="136"/>
      <c r="PEJ3" s="136"/>
      <c r="PEK3" s="136"/>
      <c r="PEL3" s="136"/>
      <c r="PEM3" s="136"/>
      <c r="PEN3" s="136"/>
      <c r="PEO3" s="136"/>
      <c r="PEP3" s="136"/>
      <c r="PEQ3" s="136"/>
      <c r="PER3" s="136"/>
      <c r="PES3" s="136"/>
      <c r="PET3" s="136"/>
      <c r="PEU3" s="136"/>
      <c r="PEV3" s="136"/>
      <c r="PEW3" s="136"/>
      <c r="PEX3" s="136"/>
      <c r="PEY3" s="136"/>
      <c r="PEZ3" s="136"/>
      <c r="PFA3" s="136"/>
      <c r="PFB3" s="136"/>
      <c r="PFC3" s="136"/>
      <c r="PFD3" s="136"/>
      <c r="PFE3" s="136"/>
      <c r="PFF3" s="136"/>
      <c r="PFG3" s="136"/>
      <c r="PFH3" s="136"/>
      <c r="PFI3" s="136"/>
      <c r="PFJ3" s="136"/>
      <c r="PFK3" s="136"/>
      <c r="PFL3" s="136"/>
      <c r="PFM3" s="136"/>
      <c r="PFN3" s="136"/>
      <c r="PFO3" s="136"/>
      <c r="PFP3" s="136"/>
      <c r="PFQ3" s="136"/>
      <c r="PFR3" s="136"/>
      <c r="PFS3" s="136"/>
      <c r="PFT3" s="136"/>
      <c r="PFU3" s="136"/>
      <c r="PFV3" s="136"/>
      <c r="PFW3" s="136"/>
      <c r="PFX3" s="136"/>
      <c r="PFY3" s="136"/>
      <c r="PFZ3" s="136"/>
      <c r="PGA3" s="136"/>
      <c r="PGB3" s="136"/>
      <c r="PGC3" s="136"/>
      <c r="PGD3" s="136"/>
      <c r="PGE3" s="136"/>
      <c r="PGF3" s="136"/>
      <c r="PGG3" s="136"/>
      <c r="PGH3" s="136"/>
      <c r="PGI3" s="136"/>
      <c r="PGJ3" s="136"/>
      <c r="PGK3" s="136"/>
      <c r="PGL3" s="136"/>
      <c r="PGM3" s="136"/>
      <c r="PGN3" s="136"/>
      <c r="PGO3" s="136"/>
      <c r="PGP3" s="136"/>
      <c r="PGQ3" s="136"/>
      <c r="PGR3" s="136"/>
      <c r="PGS3" s="136"/>
      <c r="PGT3" s="136"/>
      <c r="PGU3" s="136"/>
      <c r="PGV3" s="136"/>
      <c r="PGW3" s="136"/>
      <c r="PGX3" s="136"/>
      <c r="PGY3" s="136"/>
      <c r="PGZ3" s="136"/>
      <c r="PHA3" s="136"/>
      <c r="PHB3" s="136"/>
      <c r="PHC3" s="136"/>
      <c r="PHD3" s="136"/>
      <c r="PHE3" s="136"/>
      <c r="PHF3" s="136"/>
      <c r="PHG3" s="136"/>
      <c r="PHH3" s="136"/>
      <c r="PHI3" s="136"/>
      <c r="PHJ3" s="136"/>
      <c r="PHK3" s="136"/>
      <c r="PHL3" s="136"/>
      <c r="PHM3" s="136"/>
      <c r="PHN3" s="136"/>
      <c r="PHO3" s="136"/>
      <c r="PHP3" s="136"/>
      <c r="PHQ3" s="136"/>
      <c r="PHR3" s="136"/>
      <c r="PHS3" s="136"/>
      <c r="PHT3" s="136"/>
      <c r="PHU3" s="136"/>
      <c r="PHV3" s="136"/>
      <c r="PHW3" s="136"/>
      <c r="PHX3" s="136"/>
      <c r="PHY3" s="136"/>
      <c r="PHZ3" s="136"/>
      <c r="PIA3" s="136"/>
      <c r="PIB3" s="136"/>
      <c r="PIC3" s="136"/>
      <c r="PID3" s="136"/>
      <c r="PIE3" s="136"/>
      <c r="PIF3" s="136"/>
      <c r="PIG3" s="136"/>
      <c r="PIH3" s="136"/>
      <c r="PII3" s="136"/>
      <c r="PIJ3" s="136"/>
      <c r="PIK3" s="136"/>
      <c r="PIL3" s="136"/>
      <c r="PIM3" s="136"/>
      <c r="PIN3" s="136"/>
      <c r="PIO3" s="136"/>
      <c r="PIP3" s="136"/>
      <c r="PIQ3" s="136"/>
      <c r="PIR3" s="136"/>
      <c r="PIS3" s="136"/>
      <c r="PIT3" s="136"/>
      <c r="PIU3" s="136"/>
      <c r="PIV3" s="136"/>
      <c r="PIW3" s="136"/>
      <c r="PIX3" s="136"/>
      <c r="PIY3" s="136"/>
      <c r="PIZ3" s="136"/>
      <c r="PJA3" s="136"/>
      <c r="PJB3" s="136"/>
      <c r="PJC3" s="136"/>
      <c r="PJD3" s="136"/>
      <c r="PJE3" s="136"/>
      <c r="PJF3" s="136"/>
      <c r="PJG3" s="136"/>
      <c r="PJH3" s="136"/>
      <c r="PJI3" s="136"/>
      <c r="PJJ3" s="136"/>
      <c r="PJK3" s="136"/>
      <c r="PJL3" s="136"/>
      <c r="PJM3" s="136"/>
      <c r="PJN3" s="136"/>
      <c r="PJO3" s="136"/>
      <c r="PJP3" s="136"/>
      <c r="PJQ3" s="136"/>
      <c r="PJR3" s="136"/>
      <c r="PJS3" s="136"/>
      <c r="PJT3" s="136"/>
      <c r="PJU3" s="136"/>
      <c r="PJV3" s="136"/>
      <c r="PJW3" s="136"/>
      <c r="PJX3" s="136"/>
      <c r="PJY3" s="136"/>
      <c r="PJZ3" s="136"/>
      <c r="PKA3" s="136"/>
      <c r="PKB3" s="136"/>
      <c r="PKC3" s="136"/>
      <c r="PKD3" s="136"/>
      <c r="PKE3" s="136"/>
      <c r="PKF3" s="136"/>
      <c r="PKG3" s="136"/>
      <c r="PKH3" s="136"/>
      <c r="PKI3" s="136"/>
      <c r="PKJ3" s="136"/>
      <c r="PKK3" s="136"/>
      <c r="PKL3" s="136"/>
      <c r="PKM3" s="136"/>
      <c r="PKN3" s="136"/>
      <c r="PKO3" s="136"/>
      <c r="PKP3" s="136"/>
      <c r="PKQ3" s="136"/>
      <c r="PKR3" s="136"/>
      <c r="PKS3" s="136"/>
      <c r="PKT3" s="136"/>
      <c r="PKU3" s="136"/>
      <c r="PKV3" s="136"/>
      <c r="PKW3" s="136"/>
      <c r="PKX3" s="136"/>
      <c r="PKY3" s="136"/>
      <c r="PKZ3" s="136"/>
      <c r="PLA3" s="136"/>
      <c r="PLB3" s="136"/>
      <c r="PLC3" s="136"/>
      <c r="PLD3" s="136"/>
      <c r="PLE3" s="136"/>
      <c r="PLF3" s="136"/>
      <c r="PLG3" s="136"/>
      <c r="PLH3" s="136"/>
      <c r="PLI3" s="136"/>
      <c r="PLJ3" s="136"/>
      <c r="PLK3" s="136"/>
      <c r="PLL3" s="136"/>
      <c r="PLM3" s="136"/>
      <c r="PLN3" s="136"/>
      <c r="PLO3" s="136"/>
      <c r="PLP3" s="136"/>
      <c r="PLQ3" s="136"/>
      <c r="PLR3" s="136"/>
      <c r="PLS3" s="136"/>
      <c r="PLT3" s="136"/>
      <c r="PLU3" s="136"/>
      <c r="PLV3" s="136"/>
      <c r="PLW3" s="136"/>
      <c r="PLX3" s="136"/>
      <c r="PLY3" s="136"/>
      <c r="PLZ3" s="136"/>
      <c r="PMA3" s="136"/>
      <c r="PMB3" s="136"/>
      <c r="PMC3" s="136"/>
      <c r="PMD3" s="136"/>
      <c r="PME3" s="136"/>
      <c r="PMF3" s="136"/>
      <c r="PMG3" s="136"/>
      <c r="PMH3" s="136"/>
      <c r="PMI3" s="136"/>
      <c r="PMJ3" s="136"/>
      <c r="PMK3" s="136"/>
      <c r="PML3" s="136"/>
      <c r="PMM3" s="136"/>
      <c r="PMN3" s="136"/>
      <c r="PMO3" s="136"/>
      <c r="PMP3" s="136"/>
      <c r="PMQ3" s="136"/>
      <c r="PMR3" s="136"/>
      <c r="PMS3" s="136"/>
      <c r="PMT3" s="136"/>
      <c r="PMU3" s="136"/>
      <c r="PMV3" s="136"/>
      <c r="PMW3" s="136"/>
      <c r="PMX3" s="136"/>
      <c r="PMY3" s="136"/>
      <c r="PMZ3" s="136"/>
      <c r="PNA3" s="136"/>
      <c r="PNB3" s="136"/>
      <c r="PNC3" s="136"/>
      <c r="PND3" s="136"/>
      <c r="PNE3" s="136"/>
      <c r="PNF3" s="136"/>
      <c r="PNG3" s="136"/>
      <c r="PNH3" s="136"/>
      <c r="PNI3" s="136"/>
      <c r="PNJ3" s="136"/>
      <c r="PNK3" s="136"/>
      <c r="PNL3" s="136"/>
      <c r="PNM3" s="136"/>
      <c r="PNN3" s="136"/>
      <c r="PNO3" s="136"/>
      <c r="PNP3" s="136"/>
      <c r="PNQ3" s="136"/>
      <c r="PNR3" s="136"/>
      <c r="PNS3" s="136"/>
      <c r="PNT3" s="136"/>
      <c r="PNU3" s="136"/>
      <c r="PNV3" s="136"/>
      <c r="PNW3" s="136"/>
      <c r="PNX3" s="136"/>
      <c r="PNY3" s="136"/>
      <c r="PNZ3" s="136"/>
      <c r="POA3" s="136"/>
      <c r="POB3" s="136"/>
      <c r="POC3" s="136"/>
      <c r="POD3" s="136"/>
      <c r="POE3" s="136"/>
      <c r="POF3" s="136"/>
      <c r="POG3" s="136"/>
      <c r="POH3" s="136"/>
      <c r="POI3" s="136"/>
      <c r="POJ3" s="136"/>
      <c r="POK3" s="136"/>
      <c r="POL3" s="136"/>
      <c r="POM3" s="136"/>
      <c r="PON3" s="136"/>
      <c r="POO3" s="136"/>
      <c r="POP3" s="136"/>
      <c r="POQ3" s="136"/>
      <c r="POR3" s="136"/>
      <c r="POS3" s="136"/>
      <c r="POT3" s="136"/>
      <c r="POU3" s="136"/>
      <c r="POV3" s="136"/>
      <c r="POW3" s="136"/>
      <c r="POX3" s="136"/>
      <c r="POY3" s="136"/>
      <c r="POZ3" s="136"/>
      <c r="PPA3" s="136"/>
      <c r="PPB3" s="136"/>
      <c r="PPC3" s="136"/>
      <c r="PPD3" s="136"/>
      <c r="PPE3" s="136"/>
      <c r="PPF3" s="136"/>
      <c r="PPG3" s="136"/>
      <c r="PPH3" s="136"/>
      <c r="PPI3" s="136"/>
      <c r="PPJ3" s="136"/>
      <c r="PPK3" s="136"/>
      <c r="PPL3" s="136"/>
      <c r="PPM3" s="136"/>
      <c r="PPN3" s="136"/>
      <c r="PPO3" s="136"/>
      <c r="PPP3" s="136"/>
      <c r="PPQ3" s="136"/>
      <c r="PPR3" s="136"/>
      <c r="PPS3" s="136"/>
      <c r="PPT3" s="136"/>
      <c r="PPU3" s="136"/>
      <c r="PPV3" s="136"/>
      <c r="PPW3" s="136"/>
      <c r="PPX3" s="136"/>
      <c r="PPY3" s="136"/>
      <c r="PPZ3" s="136"/>
      <c r="PQA3" s="136"/>
      <c r="PQB3" s="136"/>
      <c r="PQC3" s="136"/>
      <c r="PQD3" s="136"/>
      <c r="PQE3" s="136"/>
      <c r="PQF3" s="136"/>
      <c r="PQG3" s="136"/>
      <c r="PQH3" s="136"/>
      <c r="PQI3" s="136"/>
      <c r="PQJ3" s="136"/>
      <c r="PQK3" s="136"/>
      <c r="PQL3" s="136"/>
      <c r="PQM3" s="136"/>
      <c r="PQN3" s="136"/>
      <c r="PQO3" s="136"/>
      <c r="PQP3" s="136"/>
      <c r="PQQ3" s="136"/>
      <c r="PQR3" s="136"/>
      <c r="PQS3" s="136"/>
      <c r="PQT3" s="136"/>
      <c r="PQU3" s="136"/>
      <c r="PQV3" s="136"/>
      <c r="PQW3" s="136"/>
      <c r="PQX3" s="136"/>
      <c r="PQY3" s="136"/>
      <c r="PQZ3" s="136"/>
      <c r="PRA3" s="136"/>
      <c r="PRB3" s="136"/>
      <c r="PRC3" s="136"/>
      <c r="PRD3" s="136"/>
      <c r="PRE3" s="136"/>
      <c r="PRF3" s="136"/>
      <c r="PRG3" s="136"/>
      <c r="PRH3" s="136"/>
      <c r="PRI3" s="136"/>
      <c r="PRJ3" s="136"/>
      <c r="PRK3" s="136"/>
      <c r="PRL3" s="136"/>
      <c r="PRM3" s="136"/>
      <c r="PRN3" s="136"/>
      <c r="PRO3" s="136"/>
      <c r="PRP3" s="136"/>
      <c r="PRQ3" s="136"/>
      <c r="PRR3" s="136"/>
      <c r="PRS3" s="136"/>
      <c r="PRT3" s="136"/>
      <c r="PRU3" s="136"/>
      <c r="PRV3" s="136"/>
      <c r="PRW3" s="136"/>
      <c r="PRX3" s="136"/>
      <c r="PRY3" s="136"/>
      <c r="PRZ3" s="136"/>
      <c r="PSA3" s="136"/>
      <c r="PSB3" s="136"/>
      <c r="PSC3" s="136"/>
      <c r="PSD3" s="136"/>
      <c r="PSE3" s="136"/>
      <c r="PSF3" s="136"/>
      <c r="PSG3" s="136"/>
      <c r="PSH3" s="136"/>
      <c r="PSI3" s="136"/>
      <c r="PSJ3" s="136"/>
      <c r="PSK3" s="136"/>
      <c r="PSL3" s="136"/>
      <c r="PSM3" s="136"/>
      <c r="PSN3" s="136"/>
      <c r="PSO3" s="136"/>
      <c r="PSP3" s="136"/>
      <c r="PSQ3" s="136"/>
      <c r="PSR3" s="136"/>
      <c r="PSS3" s="136"/>
      <c r="PST3" s="136"/>
      <c r="PSU3" s="136"/>
      <c r="PSV3" s="136"/>
      <c r="PSW3" s="136"/>
      <c r="PSX3" s="136"/>
      <c r="PSY3" s="136"/>
      <c r="PSZ3" s="136"/>
      <c r="PTA3" s="136"/>
      <c r="PTB3" s="136"/>
      <c r="PTC3" s="136"/>
      <c r="PTD3" s="136"/>
      <c r="PTE3" s="136"/>
      <c r="PTF3" s="136"/>
      <c r="PTG3" s="136"/>
      <c r="PTH3" s="136"/>
      <c r="PTI3" s="136"/>
      <c r="PTJ3" s="136"/>
      <c r="PTK3" s="136"/>
      <c r="PTL3" s="136"/>
      <c r="PTM3" s="136"/>
      <c r="PTN3" s="136"/>
      <c r="PTO3" s="136"/>
      <c r="PTP3" s="136"/>
      <c r="PTQ3" s="136"/>
      <c r="PTR3" s="136"/>
      <c r="PTS3" s="136"/>
      <c r="PTT3" s="136"/>
      <c r="PTU3" s="136"/>
      <c r="PTV3" s="136"/>
      <c r="PTW3" s="136"/>
      <c r="PTX3" s="136"/>
      <c r="PTY3" s="136"/>
      <c r="PTZ3" s="136"/>
      <c r="PUA3" s="136"/>
      <c r="PUB3" s="136"/>
      <c r="PUC3" s="136"/>
      <c r="PUD3" s="136"/>
      <c r="PUE3" s="136"/>
      <c r="PUF3" s="136"/>
      <c r="PUG3" s="136"/>
      <c r="PUH3" s="136"/>
      <c r="PUI3" s="136"/>
      <c r="PUJ3" s="136"/>
      <c r="PUK3" s="136"/>
      <c r="PUL3" s="136"/>
      <c r="PUM3" s="136"/>
      <c r="PUN3" s="136"/>
      <c r="PUO3" s="136"/>
      <c r="PUP3" s="136"/>
      <c r="PUQ3" s="136"/>
      <c r="PUR3" s="136"/>
      <c r="PUS3" s="136"/>
      <c r="PUT3" s="136"/>
      <c r="PUU3" s="136"/>
      <c r="PUV3" s="136"/>
      <c r="PUW3" s="136"/>
      <c r="PUX3" s="136"/>
      <c r="PUY3" s="136"/>
      <c r="PUZ3" s="136"/>
      <c r="PVA3" s="136"/>
      <c r="PVB3" s="136"/>
      <c r="PVC3" s="136"/>
      <c r="PVD3" s="136"/>
      <c r="PVE3" s="136"/>
      <c r="PVF3" s="136"/>
      <c r="PVG3" s="136"/>
      <c r="PVH3" s="136"/>
      <c r="PVI3" s="136"/>
      <c r="PVJ3" s="136"/>
      <c r="PVK3" s="136"/>
      <c r="PVL3" s="136"/>
      <c r="PVM3" s="136"/>
      <c r="PVN3" s="136"/>
      <c r="PVO3" s="136"/>
      <c r="PVP3" s="136"/>
      <c r="PVQ3" s="136"/>
      <c r="PVR3" s="136"/>
      <c r="PVS3" s="136"/>
      <c r="PVT3" s="136"/>
      <c r="PVU3" s="136"/>
      <c r="PVV3" s="136"/>
      <c r="PVW3" s="136"/>
      <c r="PVX3" s="136"/>
      <c r="PVY3" s="136"/>
      <c r="PVZ3" s="136"/>
      <c r="PWA3" s="136"/>
      <c r="PWB3" s="136"/>
      <c r="PWC3" s="136"/>
      <c r="PWD3" s="136"/>
      <c r="PWE3" s="136"/>
      <c r="PWF3" s="136"/>
      <c r="PWG3" s="136"/>
      <c r="PWH3" s="136"/>
      <c r="PWI3" s="136"/>
      <c r="PWJ3" s="136"/>
      <c r="PWK3" s="136"/>
      <c r="PWL3" s="136"/>
      <c r="PWM3" s="136"/>
      <c r="PWN3" s="136"/>
      <c r="PWO3" s="136"/>
      <c r="PWP3" s="136"/>
      <c r="PWQ3" s="136"/>
      <c r="PWR3" s="136"/>
      <c r="PWS3" s="136"/>
      <c r="PWT3" s="136"/>
      <c r="PWU3" s="136"/>
      <c r="PWV3" s="136"/>
      <c r="PWW3" s="136"/>
      <c r="PWX3" s="136"/>
      <c r="PWY3" s="136"/>
      <c r="PWZ3" s="136"/>
      <c r="PXA3" s="136"/>
      <c r="PXB3" s="136"/>
      <c r="PXC3" s="136"/>
      <c r="PXD3" s="136"/>
      <c r="PXE3" s="136"/>
      <c r="PXF3" s="136"/>
      <c r="PXG3" s="136"/>
      <c r="PXH3" s="136"/>
      <c r="PXI3" s="136"/>
      <c r="PXJ3" s="136"/>
      <c r="PXK3" s="136"/>
      <c r="PXL3" s="136"/>
      <c r="PXM3" s="136"/>
      <c r="PXN3" s="136"/>
      <c r="PXO3" s="136"/>
      <c r="PXP3" s="136"/>
      <c r="PXQ3" s="136"/>
      <c r="PXR3" s="136"/>
      <c r="PXS3" s="136"/>
      <c r="PXT3" s="136"/>
      <c r="PXU3" s="136"/>
      <c r="PXV3" s="136"/>
      <c r="PXW3" s="136"/>
      <c r="PXX3" s="136"/>
      <c r="PXY3" s="136"/>
      <c r="PXZ3" s="136"/>
      <c r="PYA3" s="136"/>
      <c r="PYB3" s="136"/>
      <c r="PYC3" s="136"/>
      <c r="PYD3" s="136"/>
      <c r="PYE3" s="136"/>
      <c r="PYF3" s="136"/>
      <c r="PYG3" s="136"/>
      <c r="PYH3" s="136"/>
      <c r="PYI3" s="136"/>
      <c r="PYJ3" s="136"/>
      <c r="PYK3" s="136"/>
      <c r="PYL3" s="136"/>
      <c r="PYM3" s="136"/>
      <c r="PYN3" s="136"/>
      <c r="PYO3" s="136"/>
      <c r="PYP3" s="136"/>
      <c r="PYQ3" s="136"/>
      <c r="PYR3" s="136"/>
      <c r="PYS3" s="136"/>
      <c r="PYT3" s="136"/>
      <c r="PYU3" s="136"/>
      <c r="PYV3" s="136"/>
      <c r="PYW3" s="136"/>
      <c r="PYX3" s="136"/>
      <c r="PYY3" s="136"/>
      <c r="PYZ3" s="136"/>
      <c r="PZA3" s="136"/>
      <c r="PZB3" s="136"/>
      <c r="PZC3" s="136"/>
      <c r="PZD3" s="136"/>
      <c r="PZE3" s="136"/>
      <c r="PZF3" s="136"/>
      <c r="PZG3" s="136"/>
      <c r="PZH3" s="136"/>
      <c r="PZI3" s="136"/>
      <c r="PZJ3" s="136"/>
      <c r="PZK3" s="136"/>
      <c r="PZL3" s="136"/>
      <c r="PZM3" s="136"/>
      <c r="PZN3" s="136"/>
      <c r="PZO3" s="136"/>
      <c r="PZP3" s="136"/>
      <c r="PZQ3" s="136"/>
      <c r="PZR3" s="136"/>
      <c r="PZS3" s="136"/>
      <c r="PZT3" s="136"/>
      <c r="PZU3" s="136"/>
      <c r="PZV3" s="136"/>
      <c r="PZW3" s="136"/>
      <c r="PZX3" s="136"/>
      <c r="PZY3" s="136"/>
      <c r="PZZ3" s="136"/>
      <c r="QAA3" s="136"/>
      <c r="QAB3" s="136"/>
      <c r="QAC3" s="136"/>
      <c r="QAD3" s="136"/>
      <c r="QAE3" s="136"/>
      <c r="QAF3" s="136"/>
      <c r="QAG3" s="136"/>
      <c r="QAH3" s="136"/>
      <c r="QAI3" s="136"/>
      <c r="QAJ3" s="136"/>
      <c r="QAK3" s="136"/>
      <c r="QAL3" s="136"/>
      <c r="QAM3" s="136"/>
      <c r="QAN3" s="136"/>
      <c r="QAO3" s="136"/>
      <c r="QAP3" s="136"/>
      <c r="QAQ3" s="136"/>
      <c r="QAR3" s="136"/>
      <c r="QAS3" s="136"/>
      <c r="QAT3" s="136"/>
      <c r="QAU3" s="136"/>
      <c r="QAV3" s="136"/>
      <c r="QAW3" s="136"/>
      <c r="QAX3" s="136"/>
      <c r="QAY3" s="136"/>
      <c r="QAZ3" s="136"/>
      <c r="QBA3" s="136"/>
      <c r="QBB3" s="136"/>
      <c r="QBC3" s="136"/>
      <c r="QBD3" s="136"/>
      <c r="QBE3" s="136"/>
      <c r="QBF3" s="136"/>
      <c r="QBG3" s="136"/>
      <c r="QBH3" s="136"/>
      <c r="QBI3" s="136"/>
      <c r="QBJ3" s="136"/>
      <c r="QBK3" s="136"/>
      <c r="QBL3" s="136"/>
      <c r="QBM3" s="136"/>
      <c r="QBN3" s="136"/>
      <c r="QBO3" s="136"/>
      <c r="QBP3" s="136"/>
      <c r="QBQ3" s="136"/>
      <c r="QBR3" s="136"/>
      <c r="QBS3" s="136"/>
      <c r="QBT3" s="136"/>
      <c r="QBU3" s="136"/>
      <c r="QBV3" s="136"/>
      <c r="QBW3" s="136"/>
      <c r="QBX3" s="136"/>
      <c r="QBY3" s="136"/>
      <c r="QBZ3" s="136"/>
      <c r="QCA3" s="136"/>
      <c r="QCB3" s="136"/>
      <c r="QCC3" s="136"/>
      <c r="QCD3" s="136"/>
      <c r="QCE3" s="136"/>
      <c r="QCF3" s="136"/>
      <c r="QCG3" s="136"/>
      <c r="QCH3" s="136"/>
      <c r="QCI3" s="136"/>
      <c r="QCJ3" s="136"/>
      <c r="QCK3" s="136"/>
      <c r="QCL3" s="136"/>
      <c r="QCM3" s="136"/>
      <c r="QCN3" s="136"/>
      <c r="QCO3" s="136"/>
      <c r="QCP3" s="136"/>
      <c r="QCQ3" s="136"/>
      <c r="QCR3" s="136"/>
      <c r="QCS3" s="136"/>
      <c r="QCT3" s="136"/>
      <c r="QCU3" s="136"/>
      <c r="QCV3" s="136"/>
      <c r="QCW3" s="136"/>
      <c r="QCX3" s="136"/>
      <c r="QCY3" s="136"/>
      <c r="QCZ3" s="136"/>
      <c r="QDA3" s="136"/>
      <c r="QDB3" s="136"/>
      <c r="QDC3" s="136"/>
      <c r="QDD3" s="136"/>
      <c r="QDE3" s="136"/>
      <c r="QDF3" s="136"/>
      <c r="QDG3" s="136"/>
      <c r="QDH3" s="136"/>
      <c r="QDI3" s="136"/>
      <c r="QDJ3" s="136"/>
      <c r="QDK3" s="136"/>
      <c r="QDL3" s="136"/>
      <c r="QDM3" s="136"/>
      <c r="QDN3" s="136"/>
      <c r="QDO3" s="136"/>
      <c r="QDP3" s="136"/>
      <c r="QDQ3" s="136"/>
      <c r="QDR3" s="136"/>
      <c r="QDS3" s="136"/>
      <c r="QDT3" s="136"/>
      <c r="QDU3" s="136"/>
      <c r="QDV3" s="136"/>
      <c r="QDW3" s="136"/>
      <c r="QDX3" s="136"/>
      <c r="QDY3" s="136"/>
      <c r="QDZ3" s="136"/>
      <c r="QEA3" s="136"/>
      <c r="QEB3" s="136"/>
      <c r="QEC3" s="136"/>
      <c r="QED3" s="136"/>
      <c r="QEE3" s="136"/>
      <c r="QEF3" s="136"/>
      <c r="QEG3" s="136"/>
      <c r="QEH3" s="136"/>
      <c r="QEI3" s="136"/>
      <c r="QEJ3" s="136"/>
      <c r="QEK3" s="136"/>
      <c r="QEL3" s="136"/>
      <c r="QEM3" s="136"/>
      <c r="QEN3" s="136"/>
      <c r="QEO3" s="136"/>
      <c r="QEP3" s="136"/>
      <c r="QEQ3" s="136"/>
      <c r="QER3" s="136"/>
      <c r="QES3" s="136"/>
      <c r="QET3" s="136"/>
      <c r="QEU3" s="136"/>
      <c r="QEV3" s="136"/>
      <c r="QEW3" s="136"/>
      <c r="QEX3" s="136"/>
      <c r="QEY3" s="136"/>
      <c r="QEZ3" s="136"/>
      <c r="QFA3" s="136"/>
      <c r="QFB3" s="136"/>
      <c r="QFC3" s="136"/>
      <c r="QFD3" s="136"/>
      <c r="QFE3" s="136"/>
      <c r="QFF3" s="136"/>
      <c r="QFG3" s="136"/>
      <c r="QFH3" s="136"/>
      <c r="QFI3" s="136"/>
      <c r="QFJ3" s="136"/>
      <c r="QFK3" s="136"/>
      <c r="QFL3" s="136"/>
      <c r="QFM3" s="136"/>
      <c r="QFN3" s="136"/>
      <c r="QFO3" s="136"/>
      <c r="QFP3" s="136"/>
      <c r="QFQ3" s="136"/>
      <c r="QFR3" s="136"/>
      <c r="QFS3" s="136"/>
      <c r="QFT3" s="136"/>
      <c r="QFU3" s="136"/>
      <c r="QFV3" s="136"/>
      <c r="QFW3" s="136"/>
      <c r="QFX3" s="136"/>
      <c r="QFY3" s="136"/>
      <c r="QFZ3" s="136"/>
      <c r="QGA3" s="136"/>
      <c r="QGB3" s="136"/>
      <c r="QGC3" s="136"/>
      <c r="QGD3" s="136"/>
      <c r="QGE3" s="136"/>
      <c r="QGF3" s="136"/>
      <c r="QGG3" s="136"/>
      <c r="QGH3" s="136"/>
      <c r="QGI3" s="136"/>
      <c r="QGJ3" s="136"/>
      <c r="QGK3" s="136"/>
      <c r="QGL3" s="136"/>
      <c r="QGM3" s="136"/>
      <c r="QGN3" s="136"/>
      <c r="QGO3" s="136"/>
      <c r="QGP3" s="136"/>
      <c r="QGQ3" s="136"/>
      <c r="QGR3" s="136"/>
      <c r="QGS3" s="136"/>
      <c r="QGT3" s="136"/>
      <c r="QGU3" s="136"/>
      <c r="QGV3" s="136"/>
      <c r="QGW3" s="136"/>
      <c r="QGX3" s="136"/>
      <c r="QGY3" s="136"/>
      <c r="QGZ3" s="136"/>
      <c r="QHA3" s="136"/>
      <c r="QHB3" s="136"/>
      <c r="QHC3" s="136"/>
      <c r="QHD3" s="136"/>
      <c r="QHE3" s="136"/>
      <c r="QHF3" s="136"/>
      <c r="QHG3" s="136"/>
      <c r="QHH3" s="136"/>
      <c r="QHI3" s="136"/>
      <c r="QHJ3" s="136"/>
      <c r="QHK3" s="136"/>
      <c r="QHL3" s="136"/>
      <c r="QHM3" s="136"/>
      <c r="QHN3" s="136"/>
      <c r="QHO3" s="136"/>
      <c r="QHP3" s="136"/>
      <c r="QHQ3" s="136"/>
      <c r="QHR3" s="136"/>
      <c r="QHS3" s="136"/>
      <c r="QHT3" s="136"/>
      <c r="QHU3" s="136"/>
      <c r="QHV3" s="136"/>
      <c r="QHW3" s="136"/>
      <c r="QHX3" s="136"/>
      <c r="QHY3" s="136"/>
      <c r="QHZ3" s="136"/>
      <c r="QIA3" s="136"/>
      <c r="QIB3" s="136"/>
      <c r="QIC3" s="136"/>
      <c r="QID3" s="136"/>
      <c r="QIE3" s="136"/>
      <c r="QIF3" s="136"/>
      <c r="QIG3" s="136"/>
      <c r="QIH3" s="136"/>
      <c r="QII3" s="136"/>
      <c r="QIJ3" s="136"/>
      <c r="QIK3" s="136"/>
      <c r="QIL3" s="136"/>
      <c r="QIM3" s="136"/>
      <c r="QIN3" s="136"/>
      <c r="QIO3" s="136"/>
      <c r="QIP3" s="136"/>
      <c r="QIQ3" s="136"/>
      <c r="QIR3" s="136"/>
      <c r="QIS3" s="136"/>
      <c r="QIT3" s="136"/>
      <c r="QIU3" s="136"/>
      <c r="QIV3" s="136"/>
      <c r="QIW3" s="136"/>
      <c r="QIX3" s="136"/>
      <c r="QIY3" s="136"/>
      <c r="QIZ3" s="136"/>
      <c r="QJA3" s="136"/>
      <c r="QJB3" s="136"/>
      <c r="QJC3" s="136"/>
      <c r="QJD3" s="136"/>
      <c r="QJE3" s="136"/>
      <c r="QJF3" s="136"/>
      <c r="QJG3" s="136"/>
      <c r="QJH3" s="136"/>
      <c r="QJI3" s="136"/>
      <c r="QJJ3" s="136"/>
      <c r="QJK3" s="136"/>
      <c r="QJL3" s="136"/>
      <c r="QJM3" s="136"/>
      <c r="QJN3" s="136"/>
      <c r="QJO3" s="136"/>
      <c r="QJP3" s="136"/>
      <c r="QJQ3" s="136"/>
      <c r="QJR3" s="136"/>
      <c r="QJS3" s="136"/>
      <c r="QJT3" s="136"/>
      <c r="QJU3" s="136"/>
      <c r="QJV3" s="136"/>
      <c r="QJW3" s="136"/>
      <c r="QJX3" s="136"/>
      <c r="QJY3" s="136"/>
      <c r="QJZ3" s="136"/>
      <c r="QKA3" s="136"/>
      <c r="QKB3" s="136"/>
      <c r="QKC3" s="136"/>
      <c r="QKD3" s="136"/>
      <c r="QKE3" s="136"/>
      <c r="QKF3" s="136"/>
      <c r="QKG3" s="136"/>
      <c r="QKH3" s="136"/>
      <c r="QKI3" s="136"/>
      <c r="QKJ3" s="136"/>
      <c r="QKK3" s="136"/>
      <c r="QKL3" s="136"/>
      <c r="QKM3" s="136"/>
      <c r="QKN3" s="136"/>
      <c r="QKO3" s="136"/>
      <c r="QKP3" s="136"/>
      <c r="QKQ3" s="136"/>
      <c r="QKR3" s="136"/>
      <c r="QKS3" s="136"/>
      <c r="QKT3" s="136"/>
      <c r="QKU3" s="136"/>
      <c r="QKV3" s="136"/>
      <c r="QKW3" s="136"/>
      <c r="QKX3" s="136"/>
      <c r="QKY3" s="136"/>
      <c r="QKZ3" s="136"/>
      <c r="QLA3" s="136"/>
      <c r="QLB3" s="136"/>
      <c r="QLC3" s="136"/>
      <c r="QLD3" s="136"/>
      <c r="QLE3" s="136"/>
      <c r="QLF3" s="136"/>
      <c r="QLG3" s="136"/>
      <c r="QLH3" s="136"/>
      <c r="QLI3" s="136"/>
      <c r="QLJ3" s="136"/>
      <c r="QLK3" s="136"/>
      <c r="QLL3" s="136"/>
      <c r="QLM3" s="136"/>
      <c r="QLN3" s="136"/>
      <c r="QLO3" s="136"/>
      <c r="QLP3" s="136"/>
      <c r="QLQ3" s="136"/>
      <c r="QLR3" s="136"/>
      <c r="QLS3" s="136"/>
      <c r="QLT3" s="136"/>
      <c r="QLU3" s="136"/>
      <c r="QLV3" s="136"/>
      <c r="QLW3" s="136"/>
      <c r="QLX3" s="136"/>
      <c r="QLY3" s="136"/>
      <c r="QLZ3" s="136"/>
      <c r="QMA3" s="136"/>
      <c r="QMB3" s="136"/>
      <c r="QMC3" s="136"/>
      <c r="QMD3" s="136"/>
      <c r="QME3" s="136"/>
      <c r="QMF3" s="136"/>
      <c r="QMG3" s="136"/>
      <c r="QMH3" s="136"/>
      <c r="QMI3" s="136"/>
      <c r="QMJ3" s="136"/>
      <c r="QMK3" s="136"/>
      <c r="QML3" s="136"/>
      <c r="QMM3" s="136"/>
      <c r="QMN3" s="136"/>
      <c r="QMO3" s="136"/>
      <c r="QMP3" s="136"/>
      <c r="QMQ3" s="136"/>
      <c r="QMR3" s="136"/>
      <c r="QMS3" s="136"/>
      <c r="QMT3" s="136"/>
      <c r="QMU3" s="136"/>
      <c r="QMV3" s="136"/>
      <c r="QMW3" s="136"/>
      <c r="QMX3" s="136"/>
      <c r="QMY3" s="136"/>
      <c r="QMZ3" s="136"/>
      <c r="QNA3" s="136"/>
      <c r="QNB3" s="136"/>
      <c r="QNC3" s="136"/>
      <c r="QND3" s="136"/>
      <c r="QNE3" s="136"/>
      <c r="QNF3" s="136"/>
      <c r="QNG3" s="136"/>
      <c r="QNH3" s="136"/>
      <c r="QNI3" s="136"/>
      <c r="QNJ3" s="136"/>
      <c r="QNK3" s="136"/>
      <c r="QNL3" s="136"/>
      <c r="QNM3" s="136"/>
      <c r="QNN3" s="136"/>
      <c r="QNO3" s="136"/>
      <c r="QNP3" s="136"/>
      <c r="QNQ3" s="136"/>
      <c r="QNR3" s="136"/>
      <c r="QNS3" s="136"/>
      <c r="QNT3" s="136"/>
      <c r="QNU3" s="136"/>
      <c r="QNV3" s="136"/>
      <c r="QNW3" s="136"/>
      <c r="QNX3" s="136"/>
      <c r="QNY3" s="136"/>
      <c r="QNZ3" s="136"/>
      <c r="QOA3" s="136"/>
      <c r="QOB3" s="136"/>
      <c r="QOC3" s="136"/>
      <c r="QOD3" s="136"/>
      <c r="QOE3" s="136"/>
      <c r="QOF3" s="136"/>
      <c r="QOG3" s="136"/>
      <c r="QOH3" s="136"/>
      <c r="QOI3" s="136"/>
      <c r="QOJ3" s="136"/>
      <c r="QOK3" s="136"/>
      <c r="QOL3" s="136"/>
      <c r="QOM3" s="136"/>
      <c r="QON3" s="136"/>
      <c r="QOO3" s="136"/>
      <c r="QOP3" s="136"/>
      <c r="QOQ3" s="136"/>
      <c r="QOR3" s="136"/>
      <c r="QOS3" s="136"/>
      <c r="QOT3" s="136"/>
      <c r="QOU3" s="136"/>
      <c r="QOV3" s="136"/>
      <c r="QOW3" s="136"/>
      <c r="QOX3" s="136"/>
      <c r="QOY3" s="136"/>
      <c r="QOZ3" s="136"/>
      <c r="QPA3" s="136"/>
      <c r="QPB3" s="136"/>
      <c r="QPC3" s="136"/>
      <c r="QPD3" s="136"/>
      <c r="QPE3" s="136"/>
      <c r="QPF3" s="136"/>
      <c r="QPG3" s="136"/>
      <c r="QPH3" s="136"/>
      <c r="QPI3" s="136"/>
      <c r="QPJ3" s="136"/>
      <c r="QPK3" s="136"/>
      <c r="QPL3" s="136"/>
      <c r="QPM3" s="136"/>
      <c r="QPN3" s="136"/>
      <c r="QPO3" s="136"/>
      <c r="QPP3" s="136"/>
      <c r="QPQ3" s="136"/>
      <c r="QPR3" s="136"/>
      <c r="QPS3" s="136"/>
      <c r="QPT3" s="136"/>
      <c r="QPU3" s="136"/>
      <c r="QPV3" s="136"/>
      <c r="QPW3" s="136"/>
      <c r="QPX3" s="136"/>
      <c r="QPY3" s="136"/>
      <c r="QPZ3" s="136"/>
      <c r="QQA3" s="136"/>
      <c r="QQB3" s="136"/>
      <c r="QQC3" s="136"/>
      <c r="QQD3" s="136"/>
      <c r="QQE3" s="136"/>
      <c r="QQF3" s="136"/>
      <c r="QQG3" s="136"/>
      <c r="QQH3" s="136"/>
      <c r="QQI3" s="136"/>
      <c r="QQJ3" s="136"/>
      <c r="QQK3" s="136"/>
      <c r="QQL3" s="136"/>
      <c r="QQM3" s="136"/>
      <c r="QQN3" s="136"/>
      <c r="QQO3" s="136"/>
      <c r="QQP3" s="136"/>
      <c r="QQQ3" s="136"/>
      <c r="QQR3" s="136"/>
      <c r="QQS3" s="136"/>
      <c r="QQT3" s="136"/>
      <c r="QQU3" s="136"/>
      <c r="QQV3" s="136"/>
      <c r="QQW3" s="136"/>
      <c r="QQX3" s="136"/>
      <c r="QQY3" s="136"/>
      <c r="QQZ3" s="136"/>
      <c r="QRA3" s="136"/>
      <c r="QRB3" s="136"/>
      <c r="QRC3" s="136"/>
      <c r="QRD3" s="136"/>
      <c r="QRE3" s="136"/>
      <c r="QRF3" s="136"/>
      <c r="QRG3" s="136"/>
      <c r="QRH3" s="136"/>
      <c r="QRI3" s="136"/>
      <c r="QRJ3" s="136"/>
      <c r="QRK3" s="136"/>
      <c r="QRL3" s="136"/>
      <c r="QRM3" s="136"/>
      <c r="QRN3" s="136"/>
      <c r="QRO3" s="136"/>
      <c r="QRP3" s="136"/>
      <c r="QRQ3" s="136"/>
      <c r="QRR3" s="136"/>
      <c r="QRS3" s="136"/>
      <c r="QRT3" s="136"/>
      <c r="QRU3" s="136"/>
      <c r="QRV3" s="136"/>
      <c r="QRW3" s="136"/>
      <c r="QRX3" s="136"/>
      <c r="QRY3" s="136"/>
      <c r="QRZ3" s="136"/>
      <c r="QSA3" s="136"/>
      <c r="QSB3" s="136"/>
      <c r="QSC3" s="136"/>
      <c r="QSD3" s="136"/>
      <c r="QSE3" s="136"/>
      <c r="QSF3" s="136"/>
      <c r="QSG3" s="136"/>
      <c r="QSH3" s="136"/>
      <c r="QSI3" s="136"/>
      <c r="QSJ3" s="136"/>
      <c r="QSK3" s="136"/>
      <c r="QSL3" s="136"/>
      <c r="QSM3" s="136"/>
      <c r="QSN3" s="136"/>
      <c r="QSO3" s="136"/>
      <c r="QSP3" s="136"/>
      <c r="QSQ3" s="136"/>
      <c r="QSR3" s="136"/>
      <c r="QSS3" s="136"/>
      <c r="QST3" s="136"/>
      <c r="QSU3" s="136"/>
      <c r="QSV3" s="136"/>
      <c r="QSW3" s="136"/>
      <c r="QSX3" s="136"/>
      <c r="QSY3" s="136"/>
      <c r="QSZ3" s="136"/>
      <c r="QTA3" s="136"/>
      <c r="QTB3" s="136"/>
      <c r="QTC3" s="136"/>
      <c r="QTD3" s="136"/>
      <c r="QTE3" s="136"/>
      <c r="QTF3" s="136"/>
      <c r="QTG3" s="136"/>
      <c r="QTH3" s="136"/>
      <c r="QTI3" s="136"/>
      <c r="QTJ3" s="136"/>
      <c r="QTK3" s="136"/>
      <c r="QTL3" s="136"/>
      <c r="QTM3" s="136"/>
      <c r="QTN3" s="136"/>
      <c r="QTO3" s="136"/>
      <c r="QTP3" s="136"/>
      <c r="QTQ3" s="136"/>
      <c r="QTR3" s="136"/>
      <c r="QTS3" s="136"/>
      <c r="QTT3" s="136"/>
      <c r="QTU3" s="136"/>
      <c r="QTV3" s="136"/>
      <c r="QTW3" s="136"/>
      <c r="QTX3" s="136"/>
      <c r="QTY3" s="136"/>
      <c r="QTZ3" s="136"/>
      <c r="QUA3" s="136"/>
      <c r="QUB3" s="136"/>
      <c r="QUC3" s="136"/>
      <c r="QUD3" s="136"/>
      <c r="QUE3" s="136"/>
      <c r="QUF3" s="136"/>
      <c r="QUG3" s="136"/>
      <c r="QUH3" s="136"/>
      <c r="QUI3" s="136"/>
      <c r="QUJ3" s="136"/>
      <c r="QUK3" s="136"/>
      <c r="QUL3" s="136"/>
      <c r="QUM3" s="136"/>
      <c r="QUN3" s="136"/>
      <c r="QUO3" s="136"/>
      <c r="QUP3" s="136"/>
      <c r="QUQ3" s="136"/>
      <c r="QUR3" s="136"/>
      <c r="QUS3" s="136"/>
      <c r="QUT3" s="136"/>
      <c r="QUU3" s="136"/>
      <c r="QUV3" s="136"/>
      <c r="QUW3" s="136"/>
      <c r="QUX3" s="136"/>
      <c r="QUY3" s="136"/>
      <c r="QUZ3" s="136"/>
      <c r="QVA3" s="136"/>
      <c r="QVB3" s="136"/>
      <c r="QVC3" s="136"/>
      <c r="QVD3" s="136"/>
      <c r="QVE3" s="136"/>
      <c r="QVF3" s="136"/>
      <c r="QVG3" s="136"/>
      <c r="QVH3" s="136"/>
      <c r="QVI3" s="136"/>
      <c r="QVJ3" s="136"/>
      <c r="QVK3" s="136"/>
      <c r="QVL3" s="136"/>
      <c r="QVM3" s="136"/>
      <c r="QVN3" s="136"/>
      <c r="QVO3" s="136"/>
      <c r="QVP3" s="136"/>
      <c r="QVQ3" s="136"/>
      <c r="QVR3" s="136"/>
      <c r="QVS3" s="136"/>
      <c r="QVT3" s="136"/>
      <c r="QVU3" s="136"/>
      <c r="QVV3" s="136"/>
      <c r="QVW3" s="136"/>
      <c r="QVX3" s="136"/>
      <c r="QVY3" s="136"/>
      <c r="QVZ3" s="136"/>
      <c r="QWA3" s="136"/>
      <c r="QWB3" s="136"/>
      <c r="QWC3" s="136"/>
      <c r="QWD3" s="136"/>
      <c r="QWE3" s="136"/>
      <c r="QWF3" s="136"/>
      <c r="QWG3" s="136"/>
      <c r="QWH3" s="136"/>
      <c r="QWI3" s="136"/>
      <c r="QWJ3" s="136"/>
      <c r="QWK3" s="136"/>
      <c r="QWL3" s="136"/>
      <c r="QWM3" s="136"/>
      <c r="QWN3" s="136"/>
      <c r="QWO3" s="136"/>
      <c r="QWP3" s="136"/>
      <c r="QWQ3" s="136"/>
      <c r="QWR3" s="136"/>
      <c r="QWS3" s="136"/>
      <c r="QWT3" s="136"/>
      <c r="QWU3" s="136"/>
      <c r="QWV3" s="136"/>
      <c r="QWW3" s="136"/>
      <c r="QWX3" s="136"/>
      <c r="QWY3" s="136"/>
      <c r="QWZ3" s="136"/>
      <c r="QXA3" s="136"/>
      <c r="QXB3" s="136"/>
      <c r="QXC3" s="136"/>
      <c r="QXD3" s="136"/>
      <c r="QXE3" s="136"/>
      <c r="QXF3" s="136"/>
      <c r="QXG3" s="136"/>
      <c r="QXH3" s="136"/>
      <c r="QXI3" s="136"/>
      <c r="QXJ3" s="136"/>
      <c r="QXK3" s="136"/>
      <c r="QXL3" s="136"/>
      <c r="QXM3" s="136"/>
      <c r="QXN3" s="136"/>
      <c r="QXO3" s="136"/>
      <c r="QXP3" s="136"/>
      <c r="QXQ3" s="136"/>
      <c r="QXR3" s="136"/>
      <c r="QXS3" s="136"/>
      <c r="QXT3" s="136"/>
      <c r="QXU3" s="136"/>
      <c r="QXV3" s="136"/>
      <c r="QXW3" s="136"/>
      <c r="QXX3" s="136"/>
      <c r="QXY3" s="136"/>
      <c r="QXZ3" s="136"/>
      <c r="QYA3" s="136"/>
      <c r="QYB3" s="136"/>
      <c r="QYC3" s="136"/>
      <c r="QYD3" s="136"/>
      <c r="QYE3" s="136"/>
      <c r="QYF3" s="136"/>
      <c r="QYG3" s="136"/>
      <c r="QYH3" s="136"/>
      <c r="QYI3" s="136"/>
      <c r="QYJ3" s="136"/>
      <c r="QYK3" s="136"/>
      <c r="QYL3" s="136"/>
      <c r="QYM3" s="136"/>
      <c r="QYN3" s="136"/>
      <c r="QYO3" s="136"/>
      <c r="QYP3" s="136"/>
      <c r="QYQ3" s="136"/>
      <c r="QYR3" s="136"/>
      <c r="QYS3" s="136"/>
      <c r="QYT3" s="136"/>
      <c r="QYU3" s="136"/>
      <c r="QYV3" s="136"/>
      <c r="QYW3" s="136"/>
      <c r="QYX3" s="136"/>
      <c r="QYY3" s="136"/>
      <c r="QYZ3" s="136"/>
      <c r="QZA3" s="136"/>
      <c r="QZB3" s="136"/>
      <c r="QZC3" s="136"/>
      <c r="QZD3" s="136"/>
      <c r="QZE3" s="136"/>
      <c r="QZF3" s="136"/>
      <c r="QZG3" s="136"/>
      <c r="QZH3" s="136"/>
      <c r="QZI3" s="136"/>
      <c r="QZJ3" s="136"/>
      <c r="QZK3" s="136"/>
      <c r="QZL3" s="136"/>
      <c r="QZM3" s="136"/>
      <c r="QZN3" s="136"/>
      <c r="QZO3" s="136"/>
      <c r="QZP3" s="136"/>
      <c r="QZQ3" s="136"/>
      <c r="QZR3" s="136"/>
      <c r="QZS3" s="136"/>
      <c r="QZT3" s="136"/>
      <c r="QZU3" s="136"/>
      <c r="QZV3" s="136"/>
      <c r="QZW3" s="136"/>
      <c r="QZX3" s="136"/>
      <c r="QZY3" s="136"/>
      <c r="QZZ3" s="136"/>
      <c r="RAA3" s="136"/>
      <c r="RAB3" s="136"/>
      <c r="RAC3" s="136"/>
      <c r="RAD3" s="136"/>
      <c r="RAE3" s="136"/>
      <c r="RAF3" s="136"/>
      <c r="RAG3" s="136"/>
      <c r="RAH3" s="136"/>
      <c r="RAI3" s="136"/>
      <c r="RAJ3" s="136"/>
      <c r="RAK3" s="136"/>
      <c r="RAL3" s="136"/>
      <c r="RAM3" s="136"/>
      <c r="RAN3" s="136"/>
      <c r="RAO3" s="136"/>
      <c r="RAP3" s="136"/>
      <c r="RAQ3" s="136"/>
      <c r="RAR3" s="136"/>
      <c r="RAS3" s="136"/>
      <c r="RAT3" s="136"/>
      <c r="RAU3" s="136"/>
      <c r="RAV3" s="136"/>
      <c r="RAW3" s="136"/>
      <c r="RAX3" s="136"/>
      <c r="RAY3" s="136"/>
      <c r="RAZ3" s="136"/>
      <c r="RBA3" s="136"/>
      <c r="RBB3" s="136"/>
      <c r="RBC3" s="136"/>
      <c r="RBD3" s="136"/>
      <c r="RBE3" s="136"/>
      <c r="RBF3" s="136"/>
      <c r="RBG3" s="136"/>
      <c r="RBH3" s="136"/>
      <c r="RBI3" s="136"/>
      <c r="RBJ3" s="136"/>
      <c r="RBK3" s="136"/>
      <c r="RBL3" s="136"/>
      <c r="RBM3" s="136"/>
      <c r="RBN3" s="136"/>
      <c r="RBO3" s="136"/>
      <c r="RBP3" s="136"/>
      <c r="RBQ3" s="136"/>
      <c r="RBR3" s="136"/>
      <c r="RBS3" s="136"/>
      <c r="RBT3" s="136"/>
      <c r="RBU3" s="136"/>
      <c r="RBV3" s="136"/>
      <c r="RBW3" s="136"/>
      <c r="RBX3" s="136"/>
      <c r="RBY3" s="136"/>
      <c r="RBZ3" s="136"/>
      <c r="RCA3" s="136"/>
      <c r="RCB3" s="136"/>
      <c r="RCC3" s="136"/>
      <c r="RCD3" s="136"/>
      <c r="RCE3" s="136"/>
      <c r="RCF3" s="136"/>
      <c r="RCG3" s="136"/>
      <c r="RCH3" s="136"/>
      <c r="RCI3" s="136"/>
      <c r="RCJ3" s="136"/>
      <c r="RCK3" s="136"/>
      <c r="RCL3" s="136"/>
      <c r="RCM3" s="136"/>
      <c r="RCN3" s="136"/>
      <c r="RCO3" s="136"/>
      <c r="RCP3" s="136"/>
      <c r="RCQ3" s="136"/>
      <c r="RCR3" s="136"/>
      <c r="RCS3" s="136"/>
      <c r="RCT3" s="136"/>
      <c r="RCU3" s="136"/>
      <c r="RCV3" s="136"/>
      <c r="RCW3" s="136"/>
      <c r="RCX3" s="136"/>
      <c r="RCY3" s="136"/>
      <c r="RCZ3" s="136"/>
      <c r="RDA3" s="136"/>
      <c r="RDB3" s="136"/>
      <c r="RDC3" s="136"/>
      <c r="RDD3" s="136"/>
      <c r="RDE3" s="136"/>
      <c r="RDF3" s="136"/>
      <c r="RDG3" s="136"/>
      <c r="RDH3" s="136"/>
      <c r="RDI3" s="136"/>
      <c r="RDJ3" s="136"/>
      <c r="RDK3" s="136"/>
      <c r="RDL3" s="136"/>
      <c r="RDM3" s="136"/>
      <c r="RDN3" s="136"/>
      <c r="RDO3" s="136"/>
      <c r="RDP3" s="136"/>
      <c r="RDQ3" s="136"/>
      <c r="RDR3" s="136"/>
      <c r="RDS3" s="136"/>
      <c r="RDT3" s="136"/>
      <c r="RDU3" s="136"/>
      <c r="RDV3" s="136"/>
      <c r="RDW3" s="136"/>
      <c r="RDX3" s="136"/>
      <c r="RDY3" s="136"/>
      <c r="RDZ3" s="136"/>
      <c r="REA3" s="136"/>
      <c r="REB3" s="136"/>
      <c r="REC3" s="136"/>
      <c r="RED3" s="136"/>
      <c r="REE3" s="136"/>
      <c r="REF3" s="136"/>
      <c r="REG3" s="136"/>
      <c r="REH3" s="136"/>
      <c r="REI3" s="136"/>
      <c r="REJ3" s="136"/>
      <c r="REK3" s="136"/>
      <c r="REL3" s="136"/>
      <c r="REM3" s="136"/>
      <c r="REN3" s="136"/>
      <c r="REO3" s="136"/>
      <c r="REP3" s="136"/>
      <c r="REQ3" s="136"/>
      <c r="RER3" s="136"/>
      <c r="RES3" s="136"/>
      <c r="RET3" s="136"/>
      <c r="REU3" s="136"/>
      <c r="REV3" s="136"/>
      <c r="REW3" s="136"/>
      <c r="REX3" s="136"/>
      <c r="REY3" s="136"/>
      <c r="REZ3" s="136"/>
      <c r="RFA3" s="136"/>
      <c r="RFB3" s="136"/>
      <c r="RFC3" s="136"/>
      <c r="RFD3" s="136"/>
      <c r="RFE3" s="136"/>
      <c r="RFF3" s="136"/>
      <c r="RFG3" s="136"/>
      <c r="RFH3" s="136"/>
      <c r="RFI3" s="136"/>
      <c r="RFJ3" s="136"/>
      <c r="RFK3" s="136"/>
      <c r="RFL3" s="136"/>
      <c r="RFM3" s="136"/>
      <c r="RFN3" s="136"/>
      <c r="RFO3" s="136"/>
      <c r="RFP3" s="136"/>
      <c r="RFQ3" s="136"/>
      <c r="RFR3" s="136"/>
      <c r="RFS3" s="136"/>
      <c r="RFT3" s="136"/>
      <c r="RFU3" s="136"/>
      <c r="RFV3" s="136"/>
      <c r="RFW3" s="136"/>
      <c r="RFX3" s="136"/>
      <c r="RFY3" s="136"/>
      <c r="RFZ3" s="136"/>
      <c r="RGA3" s="136"/>
      <c r="RGB3" s="136"/>
      <c r="RGC3" s="136"/>
      <c r="RGD3" s="136"/>
      <c r="RGE3" s="136"/>
      <c r="RGF3" s="136"/>
      <c r="RGG3" s="136"/>
      <c r="RGH3" s="136"/>
      <c r="RGI3" s="136"/>
      <c r="RGJ3" s="136"/>
      <c r="RGK3" s="136"/>
      <c r="RGL3" s="136"/>
      <c r="RGM3" s="136"/>
      <c r="RGN3" s="136"/>
      <c r="RGO3" s="136"/>
      <c r="RGP3" s="136"/>
      <c r="RGQ3" s="136"/>
      <c r="RGR3" s="136"/>
      <c r="RGS3" s="136"/>
      <c r="RGT3" s="136"/>
      <c r="RGU3" s="136"/>
      <c r="RGV3" s="136"/>
      <c r="RGW3" s="136"/>
      <c r="RGX3" s="136"/>
      <c r="RGY3" s="136"/>
      <c r="RGZ3" s="136"/>
      <c r="RHA3" s="136"/>
      <c r="RHB3" s="136"/>
      <c r="RHC3" s="136"/>
      <c r="RHD3" s="136"/>
      <c r="RHE3" s="136"/>
      <c r="RHF3" s="136"/>
      <c r="RHG3" s="136"/>
      <c r="RHH3" s="136"/>
      <c r="RHI3" s="136"/>
      <c r="RHJ3" s="136"/>
      <c r="RHK3" s="136"/>
      <c r="RHL3" s="136"/>
      <c r="RHM3" s="136"/>
      <c r="RHN3" s="136"/>
      <c r="RHO3" s="136"/>
      <c r="RHP3" s="136"/>
      <c r="RHQ3" s="136"/>
      <c r="RHR3" s="136"/>
      <c r="RHS3" s="136"/>
      <c r="RHT3" s="136"/>
      <c r="RHU3" s="136"/>
      <c r="RHV3" s="136"/>
      <c r="RHW3" s="136"/>
      <c r="RHX3" s="136"/>
      <c r="RHY3" s="136"/>
      <c r="RHZ3" s="136"/>
      <c r="RIA3" s="136"/>
      <c r="RIB3" s="136"/>
      <c r="RIC3" s="136"/>
      <c r="RID3" s="136"/>
      <c r="RIE3" s="136"/>
      <c r="RIF3" s="136"/>
      <c r="RIG3" s="136"/>
      <c r="RIH3" s="136"/>
      <c r="RII3" s="136"/>
      <c r="RIJ3" s="136"/>
      <c r="RIK3" s="136"/>
      <c r="RIL3" s="136"/>
      <c r="RIM3" s="136"/>
      <c r="RIN3" s="136"/>
      <c r="RIO3" s="136"/>
      <c r="RIP3" s="136"/>
      <c r="RIQ3" s="136"/>
      <c r="RIR3" s="136"/>
      <c r="RIS3" s="136"/>
      <c r="RIT3" s="136"/>
      <c r="RIU3" s="136"/>
      <c r="RIV3" s="136"/>
      <c r="RIW3" s="136"/>
      <c r="RIX3" s="136"/>
      <c r="RIY3" s="136"/>
      <c r="RIZ3" s="136"/>
      <c r="RJA3" s="136"/>
      <c r="RJB3" s="136"/>
      <c r="RJC3" s="136"/>
      <c r="RJD3" s="136"/>
      <c r="RJE3" s="136"/>
      <c r="RJF3" s="136"/>
      <c r="RJG3" s="136"/>
      <c r="RJH3" s="136"/>
      <c r="RJI3" s="136"/>
      <c r="RJJ3" s="136"/>
      <c r="RJK3" s="136"/>
      <c r="RJL3" s="136"/>
      <c r="RJM3" s="136"/>
      <c r="RJN3" s="136"/>
      <c r="RJO3" s="136"/>
      <c r="RJP3" s="136"/>
      <c r="RJQ3" s="136"/>
      <c r="RJR3" s="136"/>
      <c r="RJS3" s="136"/>
      <c r="RJT3" s="136"/>
      <c r="RJU3" s="136"/>
      <c r="RJV3" s="136"/>
      <c r="RJW3" s="136"/>
      <c r="RJX3" s="136"/>
      <c r="RJY3" s="136"/>
      <c r="RJZ3" s="136"/>
      <c r="RKA3" s="136"/>
      <c r="RKB3" s="136"/>
      <c r="RKC3" s="136"/>
      <c r="RKD3" s="136"/>
      <c r="RKE3" s="136"/>
      <c r="RKF3" s="136"/>
      <c r="RKG3" s="136"/>
      <c r="RKH3" s="136"/>
      <c r="RKI3" s="136"/>
      <c r="RKJ3" s="136"/>
      <c r="RKK3" s="136"/>
      <c r="RKL3" s="136"/>
      <c r="RKM3" s="136"/>
      <c r="RKN3" s="136"/>
      <c r="RKO3" s="136"/>
      <c r="RKP3" s="136"/>
      <c r="RKQ3" s="136"/>
      <c r="RKR3" s="136"/>
      <c r="RKS3" s="136"/>
      <c r="RKT3" s="136"/>
      <c r="RKU3" s="136"/>
      <c r="RKV3" s="136"/>
      <c r="RKW3" s="136"/>
      <c r="RKX3" s="136"/>
      <c r="RKY3" s="136"/>
      <c r="RKZ3" s="136"/>
      <c r="RLA3" s="136"/>
      <c r="RLB3" s="136"/>
      <c r="RLC3" s="136"/>
      <c r="RLD3" s="136"/>
      <c r="RLE3" s="136"/>
      <c r="RLF3" s="136"/>
      <c r="RLG3" s="136"/>
      <c r="RLH3" s="136"/>
      <c r="RLI3" s="136"/>
      <c r="RLJ3" s="136"/>
      <c r="RLK3" s="136"/>
      <c r="RLL3" s="136"/>
      <c r="RLM3" s="136"/>
      <c r="RLN3" s="136"/>
      <c r="RLO3" s="136"/>
      <c r="RLP3" s="136"/>
      <c r="RLQ3" s="136"/>
      <c r="RLR3" s="136"/>
      <c r="RLS3" s="136"/>
      <c r="RLT3" s="136"/>
      <c r="RLU3" s="136"/>
      <c r="RLV3" s="136"/>
      <c r="RLW3" s="136"/>
      <c r="RLX3" s="136"/>
      <c r="RLY3" s="136"/>
      <c r="RLZ3" s="136"/>
      <c r="RMA3" s="136"/>
      <c r="RMB3" s="136"/>
      <c r="RMC3" s="136"/>
      <c r="RMD3" s="136"/>
      <c r="RME3" s="136"/>
      <c r="RMF3" s="136"/>
      <c r="RMG3" s="136"/>
      <c r="RMH3" s="136"/>
      <c r="RMI3" s="136"/>
      <c r="RMJ3" s="136"/>
      <c r="RMK3" s="136"/>
      <c r="RML3" s="136"/>
      <c r="RMM3" s="136"/>
      <c r="RMN3" s="136"/>
      <c r="RMO3" s="136"/>
      <c r="RMP3" s="136"/>
      <c r="RMQ3" s="136"/>
      <c r="RMR3" s="136"/>
      <c r="RMS3" s="136"/>
      <c r="RMT3" s="136"/>
      <c r="RMU3" s="136"/>
      <c r="RMV3" s="136"/>
      <c r="RMW3" s="136"/>
      <c r="RMX3" s="136"/>
      <c r="RMY3" s="136"/>
      <c r="RMZ3" s="136"/>
      <c r="RNA3" s="136"/>
      <c r="RNB3" s="136"/>
      <c r="RNC3" s="136"/>
      <c r="RND3" s="136"/>
      <c r="RNE3" s="136"/>
      <c r="RNF3" s="136"/>
      <c r="RNG3" s="136"/>
      <c r="RNH3" s="136"/>
      <c r="RNI3" s="136"/>
      <c r="RNJ3" s="136"/>
      <c r="RNK3" s="136"/>
      <c r="RNL3" s="136"/>
      <c r="RNM3" s="136"/>
      <c r="RNN3" s="136"/>
      <c r="RNO3" s="136"/>
      <c r="RNP3" s="136"/>
      <c r="RNQ3" s="136"/>
      <c r="RNR3" s="136"/>
      <c r="RNS3" s="136"/>
      <c r="RNT3" s="136"/>
      <c r="RNU3" s="136"/>
      <c r="RNV3" s="136"/>
      <c r="RNW3" s="136"/>
      <c r="RNX3" s="136"/>
      <c r="RNY3" s="136"/>
      <c r="RNZ3" s="136"/>
      <c r="ROA3" s="136"/>
      <c r="ROB3" s="136"/>
      <c r="ROC3" s="136"/>
      <c r="ROD3" s="136"/>
      <c r="ROE3" s="136"/>
      <c r="ROF3" s="136"/>
      <c r="ROG3" s="136"/>
      <c r="ROH3" s="136"/>
      <c r="ROI3" s="136"/>
      <c r="ROJ3" s="136"/>
      <c r="ROK3" s="136"/>
      <c r="ROL3" s="136"/>
      <c r="ROM3" s="136"/>
      <c r="RON3" s="136"/>
      <c r="ROO3" s="136"/>
      <c r="ROP3" s="136"/>
      <c r="ROQ3" s="136"/>
      <c r="ROR3" s="136"/>
      <c r="ROS3" s="136"/>
      <c r="ROT3" s="136"/>
      <c r="ROU3" s="136"/>
      <c r="ROV3" s="136"/>
      <c r="ROW3" s="136"/>
      <c r="ROX3" s="136"/>
      <c r="ROY3" s="136"/>
      <c r="ROZ3" s="136"/>
      <c r="RPA3" s="136"/>
      <c r="RPB3" s="136"/>
      <c r="RPC3" s="136"/>
      <c r="RPD3" s="136"/>
      <c r="RPE3" s="136"/>
      <c r="RPF3" s="136"/>
      <c r="RPG3" s="136"/>
      <c r="RPH3" s="136"/>
      <c r="RPI3" s="136"/>
      <c r="RPJ3" s="136"/>
      <c r="RPK3" s="136"/>
      <c r="RPL3" s="136"/>
      <c r="RPM3" s="136"/>
      <c r="RPN3" s="136"/>
      <c r="RPO3" s="136"/>
      <c r="RPP3" s="136"/>
      <c r="RPQ3" s="136"/>
      <c r="RPR3" s="136"/>
      <c r="RPS3" s="136"/>
      <c r="RPT3" s="136"/>
      <c r="RPU3" s="136"/>
      <c r="RPV3" s="136"/>
      <c r="RPW3" s="136"/>
      <c r="RPX3" s="136"/>
      <c r="RPY3" s="136"/>
      <c r="RPZ3" s="136"/>
      <c r="RQA3" s="136"/>
      <c r="RQB3" s="136"/>
      <c r="RQC3" s="136"/>
      <c r="RQD3" s="136"/>
      <c r="RQE3" s="136"/>
      <c r="RQF3" s="136"/>
      <c r="RQG3" s="136"/>
      <c r="RQH3" s="136"/>
      <c r="RQI3" s="136"/>
      <c r="RQJ3" s="136"/>
      <c r="RQK3" s="136"/>
      <c r="RQL3" s="136"/>
      <c r="RQM3" s="136"/>
      <c r="RQN3" s="136"/>
      <c r="RQO3" s="136"/>
      <c r="RQP3" s="136"/>
      <c r="RQQ3" s="136"/>
      <c r="RQR3" s="136"/>
      <c r="RQS3" s="136"/>
      <c r="RQT3" s="136"/>
      <c r="RQU3" s="136"/>
      <c r="RQV3" s="136"/>
      <c r="RQW3" s="136"/>
      <c r="RQX3" s="136"/>
      <c r="RQY3" s="136"/>
      <c r="RQZ3" s="136"/>
      <c r="RRA3" s="136"/>
      <c r="RRB3" s="136"/>
      <c r="RRC3" s="136"/>
      <c r="RRD3" s="136"/>
      <c r="RRE3" s="136"/>
      <c r="RRF3" s="136"/>
      <c r="RRG3" s="136"/>
      <c r="RRH3" s="136"/>
      <c r="RRI3" s="136"/>
      <c r="RRJ3" s="136"/>
      <c r="RRK3" s="136"/>
      <c r="RRL3" s="136"/>
      <c r="RRM3" s="136"/>
      <c r="RRN3" s="136"/>
      <c r="RRO3" s="136"/>
      <c r="RRP3" s="136"/>
      <c r="RRQ3" s="136"/>
      <c r="RRR3" s="136"/>
      <c r="RRS3" s="136"/>
      <c r="RRT3" s="136"/>
      <c r="RRU3" s="136"/>
      <c r="RRV3" s="136"/>
      <c r="RRW3" s="136"/>
      <c r="RRX3" s="136"/>
      <c r="RRY3" s="136"/>
      <c r="RRZ3" s="136"/>
      <c r="RSA3" s="136"/>
      <c r="RSB3" s="136"/>
      <c r="RSC3" s="136"/>
      <c r="RSD3" s="136"/>
      <c r="RSE3" s="136"/>
      <c r="RSF3" s="136"/>
      <c r="RSG3" s="136"/>
      <c r="RSH3" s="136"/>
      <c r="RSI3" s="136"/>
      <c r="RSJ3" s="136"/>
      <c r="RSK3" s="136"/>
      <c r="RSL3" s="136"/>
      <c r="RSM3" s="136"/>
      <c r="RSN3" s="136"/>
      <c r="RSO3" s="136"/>
      <c r="RSP3" s="136"/>
      <c r="RSQ3" s="136"/>
      <c r="RSR3" s="136"/>
      <c r="RSS3" s="136"/>
      <c r="RST3" s="136"/>
      <c r="RSU3" s="136"/>
      <c r="RSV3" s="136"/>
      <c r="RSW3" s="136"/>
      <c r="RSX3" s="136"/>
      <c r="RSY3" s="136"/>
      <c r="RSZ3" s="136"/>
      <c r="RTA3" s="136"/>
      <c r="RTB3" s="136"/>
      <c r="RTC3" s="136"/>
      <c r="RTD3" s="136"/>
      <c r="RTE3" s="136"/>
      <c r="RTF3" s="136"/>
      <c r="RTG3" s="136"/>
      <c r="RTH3" s="136"/>
      <c r="RTI3" s="136"/>
      <c r="RTJ3" s="136"/>
      <c r="RTK3" s="136"/>
      <c r="RTL3" s="136"/>
      <c r="RTM3" s="136"/>
      <c r="RTN3" s="136"/>
      <c r="RTO3" s="136"/>
      <c r="RTP3" s="136"/>
      <c r="RTQ3" s="136"/>
      <c r="RTR3" s="136"/>
      <c r="RTS3" s="136"/>
      <c r="RTT3" s="136"/>
      <c r="RTU3" s="136"/>
      <c r="RTV3" s="136"/>
      <c r="RTW3" s="136"/>
      <c r="RTX3" s="136"/>
      <c r="RTY3" s="136"/>
      <c r="RTZ3" s="136"/>
      <c r="RUA3" s="136"/>
      <c r="RUB3" s="136"/>
      <c r="RUC3" s="136"/>
      <c r="RUD3" s="136"/>
      <c r="RUE3" s="136"/>
      <c r="RUF3" s="136"/>
      <c r="RUG3" s="136"/>
      <c r="RUH3" s="136"/>
      <c r="RUI3" s="136"/>
      <c r="RUJ3" s="136"/>
      <c r="RUK3" s="136"/>
      <c r="RUL3" s="136"/>
      <c r="RUM3" s="136"/>
      <c r="RUN3" s="136"/>
      <c r="RUO3" s="136"/>
      <c r="RUP3" s="136"/>
      <c r="RUQ3" s="136"/>
      <c r="RUR3" s="136"/>
      <c r="RUS3" s="136"/>
      <c r="RUT3" s="136"/>
      <c r="RUU3" s="136"/>
      <c r="RUV3" s="136"/>
      <c r="RUW3" s="136"/>
      <c r="RUX3" s="136"/>
      <c r="RUY3" s="136"/>
      <c r="RUZ3" s="136"/>
      <c r="RVA3" s="136"/>
      <c r="RVB3" s="136"/>
      <c r="RVC3" s="136"/>
      <c r="RVD3" s="136"/>
      <c r="RVE3" s="136"/>
      <c r="RVF3" s="136"/>
      <c r="RVG3" s="136"/>
      <c r="RVH3" s="136"/>
      <c r="RVI3" s="136"/>
      <c r="RVJ3" s="136"/>
      <c r="RVK3" s="136"/>
      <c r="RVL3" s="136"/>
      <c r="RVM3" s="136"/>
      <c r="RVN3" s="136"/>
      <c r="RVO3" s="136"/>
      <c r="RVP3" s="136"/>
      <c r="RVQ3" s="136"/>
      <c r="RVR3" s="136"/>
      <c r="RVS3" s="136"/>
      <c r="RVT3" s="136"/>
      <c r="RVU3" s="136"/>
      <c r="RVV3" s="136"/>
      <c r="RVW3" s="136"/>
      <c r="RVX3" s="136"/>
      <c r="RVY3" s="136"/>
      <c r="RVZ3" s="136"/>
      <c r="RWA3" s="136"/>
      <c r="RWB3" s="136"/>
      <c r="RWC3" s="136"/>
      <c r="RWD3" s="136"/>
      <c r="RWE3" s="136"/>
      <c r="RWF3" s="136"/>
      <c r="RWG3" s="136"/>
      <c r="RWH3" s="136"/>
      <c r="RWI3" s="136"/>
      <c r="RWJ3" s="136"/>
      <c r="RWK3" s="136"/>
      <c r="RWL3" s="136"/>
      <c r="RWM3" s="136"/>
      <c r="RWN3" s="136"/>
      <c r="RWO3" s="136"/>
      <c r="RWP3" s="136"/>
      <c r="RWQ3" s="136"/>
      <c r="RWR3" s="136"/>
      <c r="RWS3" s="136"/>
      <c r="RWT3" s="136"/>
      <c r="RWU3" s="136"/>
      <c r="RWV3" s="136"/>
      <c r="RWW3" s="136"/>
      <c r="RWX3" s="136"/>
      <c r="RWY3" s="136"/>
      <c r="RWZ3" s="136"/>
      <c r="RXA3" s="136"/>
      <c r="RXB3" s="136"/>
      <c r="RXC3" s="136"/>
      <c r="RXD3" s="136"/>
      <c r="RXE3" s="136"/>
      <c r="RXF3" s="136"/>
      <c r="RXG3" s="136"/>
      <c r="RXH3" s="136"/>
      <c r="RXI3" s="136"/>
      <c r="RXJ3" s="136"/>
      <c r="RXK3" s="136"/>
      <c r="RXL3" s="136"/>
      <c r="RXM3" s="136"/>
      <c r="RXN3" s="136"/>
      <c r="RXO3" s="136"/>
      <c r="RXP3" s="136"/>
      <c r="RXQ3" s="136"/>
      <c r="RXR3" s="136"/>
      <c r="RXS3" s="136"/>
      <c r="RXT3" s="136"/>
      <c r="RXU3" s="136"/>
      <c r="RXV3" s="136"/>
      <c r="RXW3" s="136"/>
      <c r="RXX3" s="136"/>
      <c r="RXY3" s="136"/>
      <c r="RXZ3" s="136"/>
      <c r="RYA3" s="136"/>
      <c r="RYB3" s="136"/>
      <c r="RYC3" s="136"/>
      <c r="RYD3" s="136"/>
      <c r="RYE3" s="136"/>
      <c r="RYF3" s="136"/>
      <c r="RYG3" s="136"/>
      <c r="RYH3" s="136"/>
      <c r="RYI3" s="136"/>
      <c r="RYJ3" s="136"/>
      <c r="RYK3" s="136"/>
      <c r="RYL3" s="136"/>
      <c r="RYM3" s="136"/>
      <c r="RYN3" s="136"/>
      <c r="RYO3" s="136"/>
      <c r="RYP3" s="136"/>
      <c r="RYQ3" s="136"/>
      <c r="RYR3" s="136"/>
      <c r="RYS3" s="136"/>
      <c r="RYT3" s="136"/>
      <c r="RYU3" s="136"/>
      <c r="RYV3" s="136"/>
      <c r="RYW3" s="136"/>
      <c r="RYX3" s="136"/>
      <c r="RYY3" s="136"/>
      <c r="RYZ3" s="136"/>
      <c r="RZA3" s="136"/>
      <c r="RZB3" s="136"/>
      <c r="RZC3" s="136"/>
      <c r="RZD3" s="136"/>
      <c r="RZE3" s="136"/>
      <c r="RZF3" s="136"/>
      <c r="RZG3" s="136"/>
      <c r="RZH3" s="136"/>
      <c r="RZI3" s="136"/>
      <c r="RZJ3" s="136"/>
      <c r="RZK3" s="136"/>
      <c r="RZL3" s="136"/>
      <c r="RZM3" s="136"/>
      <c r="RZN3" s="136"/>
      <c r="RZO3" s="136"/>
      <c r="RZP3" s="136"/>
      <c r="RZQ3" s="136"/>
      <c r="RZR3" s="136"/>
      <c r="RZS3" s="136"/>
      <c r="RZT3" s="136"/>
      <c r="RZU3" s="136"/>
      <c r="RZV3" s="136"/>
      <c r="RZW3" s="136"/>
      <c r="RZX3" s="136"/>
      <c r="RZY3" s="136"/>
      <c r="RZZ3" s="136"/>
      <c r="SAA3" s="136"/>
      <c r="SAB3" s="136"/>
      <c r="SAC3" s="136"/>
      <c r="SAD3" s="136"/>
      <c r="SAE3" s="136"/>
      <c r="SAF3" s="136"/>
      <c r="SAG3" s="136"/>
      <c r="SAH3" s="136"/>
      <c r="SAI3" s="136"/>
      <c r="SAJ3" s="136"/>
      <c r="SAK3" s="136"/>
      <c r="SAL3" s="136"/>
      <c r="SAM3" s="136"/>
      <c r="SAN3" s="136"/>
      <c r="SAO3" s="136"/>
      <c r="SAP3" s="136"/>
      <c r="SAQ3" s="136"/>
      <c r="SAR3" s="136"/>
      <c r="SAS3" s="136"/>
      <c r="SAT3" s="136"/>
      <c r="SAU3" s="136"/>
      <c r="SAV3" s="136"/>
      <c r="SAW3" s="136"/>
      <c r="SAX3" s="136"/>
      <c r="SAY3" s="136"/>
      <c r="SAZ3" s="136"/>
      <c r="SBA3" s="136"/>
      <c r="SBB3" s="136"/>
      <c r="SBC3" s="136"/>
      <c r="SBD3" s="136"/>
      <c r="SBE3" s="136"/>
      <c r="SBF3" s="136"/>
      <c r="SBG3" s="136"/>
      <c r="SBH3" s="136"/>
      <c r="SBI3" s="136"/>
      <c r="SBJ3" s="136"/>
      <c r="SBK3" s="136"/>
      <c r="SBL3" s="136"/>
      <c r="SBM3" s="136"/>
      <c r="SBN3" s="136"/>
      <c r="SBO3" s="136"/>
      <c r="SBP3" s="136"/>
      <c r="SBQ3" s="136"/>
      <c r="SBR3" s="136"/>
      <c r="SBS3" s="136"/>
      <c r="SBT3" s="136"/>
      <c r="SBU3" s="136"/>
      <c r="SBV3" s="136"/>
      <c r="SBW3" s="136"/>
      <c r="SBX3" s="136"/>
      <c r="SBY3" s="136"/>
      <c r="SBZ3" s="136"/>
      <c r="SCA3" s="136"/>
      <c r="SCB3" s="136"/>
      <c r="SCC3" s="136"/>
      <c r="SCD3" s="136"/>
      <c r="SCE3" s="136"/>
      <c r="SCF3" s="136"/>
      <c r="SCG3" s="136"/>
      <c r="SCH3" s="136"/>
      <c r="SCI3" s="136"/>
      <c r="SCJ3" s="136"/>
      <c r="SCK3" s="136"/>
      <c r="SCL3" s="136"/>
      <c r="SCM3" s="136"/>
      <c r="SCN3" s="136"/>
      <c r="SCO3" s="136"/>
      <c r="SCP3" s="136"/>
      <c r="SCQ3" s="136"/>
      <c r="SCR3" s="136"/>
      <c r="SCS3" s="136"/>
      <c r="SCT3" s="136"/>
      <c r="SCU3" s="136"/>
      <c r="SCV3" s="136"/>
      <c r="SCW3" s="136"/>
      <c r="SCX3" s="136"/>
      <c r="SCY3" s="136"/>
      <c r="SCZ3" s="136"/>
      <c r="SDA3" s="136"/>
      <c r="SDB3" s="136"/>
      <c r="SDC3" s="136"/>
      <c r="SDD3" s="136"/>
      <c r="SDE3" s="136"/>
      <c r="SDF3" s="136"/>
      <c r="SDG3" s="136"/>
      <c r="SDH3" s="136"/>
      <c r="SDI3" s="136"/>
      <c r="SDJ3" s="136"/>
      <c r="SDK3" s="136"/>
      <c r="SDL3" s="136"/>
      <c r="SDM3" s="136"/>
      <c r="SDN3" s="136"/>
      <c r="SDO3" s="136"/>
      <c r="SDP3" s="136"/>
      <c r="SDQ3" s="136"/>
      <c r="SDR3" s="136"/>
      <c r="SDS3" s="136"/>
      <c r="SDT3" s="136"/>
      <c r="SDU3" s="136"/>
      <c r="SDV3" s="136"/>
      <c r="SDW3" s="136"/>
      <c r="SDX3" s="136"/>
      <c r="SDY3" s="136"/>
      <c r="SDZ3" s="136"/>
      <c r="SEA3" s="136"/>
      <c r="SEB3" s="136"/>
      <c r="SEC3" s="136"/>
      <c r="SED3" s="136"/>
      <c r="SEE3" s="136"/>
      <c r="SEF3" s="136"/>
      <c r="SEG3" s="136"/>
      <c r="SEH3" s="136"/>
      <c r="SEI3" s="136"/>
      <c r="SEJ3" s="136"/>
      <c r="SEK3" s="136"/>
      <c r="SEL3" s="136"/>
      <c r="SEM3" s="136"/>
      <c r="SEN3" s="136"/>
      <c r="SEO3" s="136"/>
      <c r="SEP3" s="136"/>
      <c r="SEQ3" s="136"/>
      <c r="SER3" s="136"/>
      <c r="SES3" s="136"/>
      <c r="SET3" s="136"/>
      <c r="SEU3" s="136"/>
      <c r="SEV3" s="136"/>
      <c r="SEW3" s="136"/>
      <c r="SEX3" s="136"/>
      <c r="SEY3" s="136"/>
      <c r="SEZ3" s="136"/>
      <c r="SFA3" s="136"/>
      <c r="SFB3" s="136"/>
      <c r="SFC3" s="136"/>
      <c r="SFD3" s="136"/>
      <c r="SFE3" s="136"/>
      <c r="SFF3" s="136"/>
      <c r="SFG3" s="136"/>
      <c r="SFH3" s="136"/>
      <c r="SFI3" s="136"/>
      <c r="SFJ3" s="136"/>
      <c r="SFK3" s="136"/>
      <c r="SFL3" s="136"/>
      <c r="SFM3" s="136"/>
      <c r="SFN3" s="136"/>
      <c r="SFO3" s="136"/>
      <c r="SFP3" s="136"/>
      <c r="SFQ3" s="136"/>
      <c r="SFR3" s="136"/>
      <c r="SFS3" s="136"/>
      <c r="SFT3" s="136"/>
      <c r="SFU3" s="136"/>
      <c r="SFV3" s="136"/>
      <c r="SFW3" s="136"/>
      <c r="SFX3" s="136"/>
      <c r="SFY3" s="136"/>
      <c r="SFZ3" s="136"/>
      <c r="SGA3" s="136"/>
      <c r="SGB3" s="136"/>
      <c r="SGC3" s="136"/>
      <c r="SGD3" s="136"/>
      <c r="SGE3" s="136"/>
      <c r="SGF3" s="136"/>
      <c r="SGG3" s="136"/>
      <c r="SGH3" s="136"/>
      <c r="SGI3" s="136"/>
      <c r="SGJ3" s="136"/>
      <c r="SGK3" s="136"/>
      <c r="SGL3" s="136"/>
      <c r="SGM3" s="136"/>
      <c r="SGN3" s="136"/>
      <c r="SGO3" s="136"/>
      <c r="SGP3" s="136"/>
      <c r="SGQ3" s="136"/>
      <c r="SGR3" s="136"/>
      <c r="SGS3" s="136"/>
      <c r="SGT3" s="136"/>
      <c r="SGU3" s="136"/>
      <c r="SGV3" s="136"/>
      <c r="SGW3" s="136"/>
      <c r="SGX3" s="136"/>
      <c r="SGY3" s="136"/>
      <c r="SGZ3" s="136"/>
      <c r="SHA3" s="136"/>
      <c r="SHB3" s="136"/>
      <c r="SHC3" s="136"/>
      <c r="SHD3" s="136"/>
      <c r="SHE3" s="136"/>
      <c r="SHF3" s="136"/>
      <c r="SHG3" s="136"/>
      <c r="SHH3" s="136"/>
      <c r="SHI3" s="136"/>
      <c r="SHJ3" s="136"/>
      <c r="SHK3" s="136"/>
      <c r="SHL3" s="136"/>
      <c r="SHM3" s="136"/>
      <c r="SHN3" s="136"/>
      <c r="SHO3" s="136"/>
      <c r="SHP3" s="136"/>
      <c r="SHQ3" s="136"/>
      <c r="SHR3" s="136"/>
      <c r="SHS3" s="136"/>
      <c r="SHT3" s="136"/>
      <c r="SHU3" s="136"/>
      <c r="SHV3" s="136"/>
      <c r="SHW3" s="136"/>
      <c r="SHX3" s="136"/>
      <c r="SHY3" s="136"/>
      <c r="SHZ3" s="136"/>
      <c r="SIA3" s="136"/>
      <c r="SIB3" s="136"/>
      <c r="SIC3" s="136"/>
      <c r="SID3" s="136"/>
      <c r="SIE3" s="136"/>
      <c r="SIF3" s="136"/>
      <c r="SIG3" s="136"/>
      <c r="SIH3" s="136"/>
      <c r="SII3" s="136"/>
      <c r="SIJ3" s="136"/>
      <c r="SIK3" s="136"/>
      <c r="SIL3" s="136"/>
      <c r="SIM3" s="136"/>
      <c r="SIN3" s="136"/>
      <c r="SIO3" s="136"/>
      <c r="SIP3" s="136"/>
      <c r="SIQ3" s="136"/>
      <c r="SIR3" s="136"/>
      <c r="SIS3" s="136"/>
      <c r="SIT3" s="136"/>
      <c r="SIU3" s="136"/>
      <c r="SIV3" s="136"/>
      <c r="SIW3" s="136"/>
      <c r="SIX3" s="136"/>
      <c r="SIY3" s="136"/>
      <c r="SIZ3" s="136"/>
      <c r="SJA3" s="136"/>
      <c r="SJB3" s="136"/>
      <c r="SJC3" s="136"/>
      <c r="SJD3" s="136"/>
      <c r="SJE3" s="136"/>
      <c r="SJF3" s="136"/>
      <c r="SJG3" s="136"/>
      <c r="SJH3" s="136"/>
      <c r="SJI3" s="136"/>
      <c r="SJJ3" s="136"/>
      <c r="SJK3" s="136"/>
      <c r="SJL3" s="136"/>
      <c r="SJM3" s="136"/>
      <c r="SJN3" s="136"/>
      <c r="SJO3" s="136"/>
      <c r="SJP3" s="136"/>
      <c r="SJQ3" s="136"/>
      <c r="SJR3" s="136"/>
      <c r="SJS3" s="136"/>
      <c r="SJT3" s="136"/>
      <c r="SJU3" s="136"/>
      <c r="SJV3" s="136"/>
      <c r="SJW3" s="136"/>
      <c r="SJX3" s="136"/>
      <c r="SJY3" s="136"/>
      <c r="SJZ3" s="136"/>
      <c r="SKA3" s="136"/>
      <c r="SKB3" s="136"/>
      <c r="SKC3" s="136"/>
      <c r="SKD3" s="136"/>
      <c r="SKE3" s="136"/>
      <c r="SKF3" s="136"/>
      <c r="SKG3" s="136"/>
      <c r="SKH3" s="136"/>
      <c r="SKI3" s="136"/>
      <c r="SKJ3" s="136"/>
      <c r="SKK3" s="136"/>
      <c r="SKL3" s="136"/>
      <c r="SKM3" s="136"/>
      <c r="SKN3" s="136"/>
      <c r="SKO3" s="136"/>
      <c r="SKP3" s="136"/>
      <c r="SKQ3" s="136"/>
      <c r="SKR3" s="136"/>
      <c r="SKS3" s="136"/>
      <c r="SKT3" s="136"/>
      <c r="SKU3" s="136"/>
      <c r="SKV3" s="136"/>
      <c r="SKW3" s="136"/>
      <c r="SKX3" s="136"/>
      <c r="SKY3" s="136"/>
      <c r="SKZ3" s="136"/>
      <c r="SLA3" s="136"/>
      <c r="SLB3" s="136"/>
      <c r="SLC3" s="136"/>
      <c r="SLD3" s="136"/>
      <c r="SLE3" s="136"/>
      <c r="SLF3" s="136"/>
      <c r="SLG3" s="136"/>
      <c r="SLH3" s="136"/>
      <c r="SLI3" s="136"/>
      <c r="SLJ3" s="136"/>
      <c r="SLK3" s="136"/>
      <c r="SLL3" s="136"/>
      <c r="SLM3" s="136"/>
      <c r="SLN3" s="136"/>
      <c r="SLO3" s="136"/>
      <c r="SLP3" s="136"/>
      <c r="SLQ3" s="136"/>
      <c r="SLR3" s="136"/>
      <c r="SLS3" s="136"/>
      <c r="SLT3" s="136"/>
      <c r="SLU3" s="136"/>
      <c r="SLV3" s="136"/>
      <c r="SLW3" s="136"/>
      <c r="SLX3" s="136"/>
      <c r="SLY3" s="136"/>
      <c r="SLZ3" s="136"/>
      <c r="SMA3" s="136"/>
      <c r="SMB3" s="136"/>
      <c r="SMC3" s="136"/>
      <c r="SMD3" s="136"/>
      <c r="SME3" s="136"/>
      <c r="SMF3" s="136"/>
      <c r="SMG3" s="136"/>
      <c r="SMH3" s="136"/>
      <c r="SMI3" s="136"/>
      <c r="SMJ3" s="136"/>
      <c r="SMK3" s="136"/>
      <c r="SML3" s="136"/>
      <c r="SMM3" s="136"/>
      <c r="SMN3" s="136"/>
      <c r="SMO3" s="136"/>
      <c r="SMP3" s="136"/>
      <c r="SMQ3" s="136"/>
      <c r="SMR3" s="136"/>
      <c r="SMS3" s="136"/>
      <c r="SMT3" s="136"/>
      <c r="SMU3" s="136"/>
      <c r="SMV3" s="136"/>
      <c r="SMW3" s="136"/>
      <c r="SMX3" s="136"/>
      <c r="SMY3" s="136"/>
      <c r="SMZ3" s="136"/>
      <c r="SNA3" s="136"/>
      <c r="SNB3" s="136"/>
      <c r="SNC3" s="136"/>
      <c r="SND3" s="136"/>
      <c r="SNE3" s="136"/>
      <c r="SNF3" s="136"/>
      <c r="SNG3" s="136"/>
      <c r="SNH3" s="136"/>
      <c r="SNI3" s="136"/>
      <c r="SNJ3" s="136"/>
      <c r="SNK3" s="136"/>
      <c r="SNL3" s="136"/>
      <c r="SNM3" s="136"/>
      <c r="SNN3" s="136"/>
      <c r="SNO3" s="136"/>
      <c r="SNP3" s="136"/>
      <c r="SNQ3" s="136"/>
      <c r="SNR3" s="136"/>
      <c r="SNS3" s="136"/>
      <c r="SNT3" s="136"/>
      <c r="SNU3" s="136"/>
      <c r="SNV3" s="136"/>
      <c r="SNW3" s="136"/>
      <c r="SNX3" s="136"/>
      <c r="SNY3" s="136"/>
      <c r="SNZ3" s="136"/>
      <c r="SOA3" s="136"/>
      <c r="SOB3" s="136"/>
      <c r="SOC3" s="136"/>
      <c r="SOD3" s="136"/>
      <c r="SOE3" s="136"/>
      <c r="SOF3" s="136"/>
      <c r="SOG3" s="136"/>
      <c r="SOH3" s="136"/>
      <c r="SOI3" s="136"/>
      <c r="SOJ3" s="136"/>
      <c r="SOK3" s="136"/>
      <c r="SOL3" s="136"/>
      <c r="SOM3" s="136"/>
      <c r="SON3" s="136"/>
      <c r="SOO3" s="136"/>
      <c r="SOP3" s="136"/>
      <c r="SOQ3" s="136"/>
      <c r="SOR3" s="136"/>
      <c r="SOS3" s="136"/>
      <c r="SOT3" s="136"/>
      <c r="SOU3" s="136"/>
      <c r="SOV3" s="136"/>
      <c r="SOW3" s="136"/>
      <c r="SOX3" s="136"/>
      <c r="SOY3" s="136"/>
      <c r="SOZ3" s="136"/>
      <c r="SPA3" s="136"/>
      <c r="SPB3" s="136"/>
      <c r="SPC3" s="136"/>
      <c r="SPD3" s="136"/>
      <c r="SPE3" s="136"/>
      <c r="SPF3" s="136"/>
      <c r="SPG3" s="136"/>
      <c r="SPH3" s="136"/>
      <c r="SPI3" s="136"/>
      <c r="SPJ3" s="136"/>
      <c r="SPK3" s="136"/>
      <c r="SPL3" s="136"/>
      <c r="SPM3" s="136"/>
      <c r="SPN3" s="136"/>
      <c r="SPO3" s="136"/>
      <c r="SPP3" s="136"/>
      <c r="SPQ3" s="136"/>
      <c r="SPR3" s="136"/>
      <c r="SPS3" s="136"/>
      <c r="SPT3" s="136"/>
      <c r="SPU3" s="136"/>
      <c r="SPV3" s="136"/>
      <c r="SPW3" s="136"/>
      <c r="SPX3" s="136"/>
      <c r="SPY3" s="136"/>
      <c r="SPZ3" s="136"/>
      <c r="SQA3" s="136"/>
      <c r="SQB3" s="136"/>
      <c r="SQC3" s="136"/>
      <c r="SQD3" s="136"/>
      <c r="SQE3" s="136"/>
      <c r="SQF3" s="136"/>
      <c r="SQG3" s="136"/>
      <c r="SQH3" s="136"/>
      <c r="SQI3" s="136"/>
      <c r="SQJ3" s="136"/>
      <c r="SQK3" s="136"/>
      <c r="SQL3" s="136"/>
      <c r="SQM3" s="136"/>
      <c r="SQN3" s="136"/>
      <c r="SQO3" s="136"/>
      <c r="SQP3" s="136"/>
      <c r="SQQ3" s="136"/>
      <c r="SQR3" s="136"/>
      <c r="SQS3" s="136"/>
      <c r="SQT3" s="136"/>
      <c r="SQU3" s="136"/>
      <c r="SQV3" s="136"/>
      <c r="SQW3" s="136"/>
      <c r="SQX3" s="136"/>
      <c r="SQY3" s="136"/>
      <c r="SQZ3" s="136"/>
      <c r="SRA3" s="136"/>
      <c r="SRB3" s="136"/>
      <c r="SRC3" s="136"/>
      <c r="SRD3" s="136"/>
      <c r="SRE3" s="136"/>
      <c r="SRF3" s="136"/>
      <c r="SRG3" s="136"/>
      <c r="SRH3" s="136"/>
      <c r="SRI3" s="136"/>
      <c r="SRJ3" s="136"/>
      <c r="SRK3" s="136"/>
      <c r="SRL3" s="136"/>
      <c r="SRM3" s="136"/>
      <c r="SRN3" s="136"/>
      <c r="SRO3" s="136"/>
      <c r="SRP3" s="136"/>
      <c r="SRQ3" s="136"/>
      <c r="SRR3" s="136"/>
      <c r="SRS3" s="136"/>
      <c r="SRT3" s="136"/>
      <c r="SRU3" s="136"/>
      <c r="SRV3" s="136"/>
      <c r="SRW3" s="136"/>
      <c r="SRX3" s="136"/>
      <c r="SRY3" s="136"/>
      <c r="SRZ3" s="136"/>
      <c r="SSA3" s="136"/>
      <c r="SSB3" s="136"/>
      <c r="SSC3" s="136"/>
      <c r="SSD3" s="136"/>
      <c r="SSE3" s="136"/>
      <c r="SSF3" s="136"/>
      <c r="SSG3" s="136"/>
      <c r="SSH3" s="136"/>
      <c r="SSI3" s="136"/>
      <c r="SSJ3" s="136"/>
      <c r="SSK3" s="136"/>
      <c r="SSL3" s="136"/>
      <c r="SSM3" s="136"/>
      <c r="SSN3" s="136"/>
      <c r="SSO3" s="136"/>
      <c r="SSP3" s="136"/>
      <c r="SSQ3" s="136"/>
      <c r="SSR3" s="136"/>
      <c r="SSS3" s="136"/>
      <c r="SST3" s="136"/>
      <c r="SSU3" s="136"/>
      <c r="SSV3" s="136"/>
      <c r="SSW3" s="136"/>
      <c r="SSX3" s="136"/>
      <c r="SSY3" s="136"/>
      <c r="SSZ3" s="136"/>
      <c r="STA3" s="136"/>
      <c r="STB3" s="136"/>
      <c r="STC3" s="136"/>
      <c r="STD3" s="136"/>
      <c r="STE3" s="136"/>
      <c r="STF3" s="136"/>
      <c r="STG3" s="136"/>
      <c r="STH3" s="136"/>
      <c r="STI3" s="136"/>
      <c r="STJ3" s="136"/>
      <c r="STK3" s="136"/>
      <c r="STL3" s="136"/>
      <c r="STM3" s="136"/>
      <c r="STN3" s="136"/>
      <c r="STO3" s="136"/>
      <c r="STP3" s="136"/>
      <c r="STQ3" s="136"/>
      <c r="STR3" s="136"/>
      <c r="STS3" s="136"/>
      <c r="STT3" s="136"/>
      <c r="STU3" s="136"/>
      <c r="STV3" s="136"/>
      <c r="STW3" s="136"/>
      <c r="STX3" s="136"/>
      <c r="STY3" s="136"/>
      <c r="STZ3" s="136"/>
      <c r="SUA3" s="136"/>
      <c r="SUB3" s="136"/>
      <c r="SUC3" s="136"/>
      <c r="SUD3" s="136"/>
      <c r="SUE3" s="136"/>
      <c r="SUF3" s="136"/>
      <c r="SUG3" s="136"/>
      <c r="SUH3" s="136"/>
      <c r="SUI3" s="136"/>
      <c r="SUJ3" s="136"/>
      <c r="SUK3" s="136"/>
      <c r="SUL3" s="136"/>
      <c r="SUM3" s="136"/>
      <c r="SUN3" s="136"/>
      <c r="SUO3" s="136"/>
      <c r="SUP3" s="136"/>
      <c r="SUQ3" s="136"/>
      <c r="SUR3" s="136"/>
      <c r="SUS3" s="136"/>
      <c r="SUT3" s="136"/>
      <c r="SUU3" s="136"/>
      <c r="SUV3" s="136"/>
      <c r="SUW3" s="136"/>
      <c r="SUX3" s="136"/>
      <c r="SUY3" s="136"/>
      <c r="SUZ3" s="136"/>
      <c r="SVA3" s="136"/>
      <c r="SVB3" s="136"/>
      <c r="SVC3" s="136"/>
      <c r="SVD3" s="136"/>
      <c r="SVE3" s="136"/>
      <c r="SVF3" s="136"/>
      <c r="SVG3" s="136"/>
      <c r="SVH3" s="136"/>
      <c r="SVI3" s="136"/>
      <c r="SVJ3" s="136"/>
      <c r="SVK3" s="136"/>
      <c r="SVL3" s="136"/>
      <c r="SVM3" s="136"/>
      <c r="SVN3" s="136"/>
      <c r="SVO3" s="136"/>
      <c r="SVP3" s="136"/>
      <c r="SVQ3" s="136"/>
      <c r="SVR3" s="136"/>
      <c r="SVS3" s="136"/>
      <c r="SVT3" s="136"/>
      <c r="SVU3" s="136"/>
      <c r="SVV3" s="136"/>
      <c r="SVW3" s="136"/>
      <c r="SVX3" s="136"/>
      <c r="SVY3" s="136"/>
      <c r="SVZ3" s="136"/>
      <c r="SWA3" s="136"/>
      <c r="SWB3" s="136"/>
      <c r="SWC3" s="136"/>
      <c r="SWD3" s="136"/>
      <c r="SWE3" s="136"/>
      <c r="SWF3" s="136"/>
      <c r="SWG3" s="136"/>
      <c r="SWH3" s="136"/>
      <c r="SWI3" s="136"/>
      <c r="SWJ3" s="136"/>
      <c r="SWK3" s="136"/>
      <c r="SWL3" s="136"/>
      <c r="SWM3" s="136"/>
      <c r="SWN3" s="136"/>
      <c r="SWO3" s="136"/>
      <c r="SWP3" s="136"/>
      <c r="SWQ3" s="136"/>
      <c r="SWR3" s="136"/>
      <c r="SWS3" s="136"/>
      <c r="SWT3" s="136"/>
      <c r="SWU3" s="136"/>
      <c r="SWV3" s="136"/>
      <c r="SWW3" s="136"/>
      <c r="SWX3" s="136"/>
      <c r="SWY3" s="136"/>
      <c r="SWZ3" s="136"/>
      <c r="SXA3" s="136"/>
      <c r="SXB3" s="136"/>
      <c r="SXC3" s="136"/>
      <c r="SXD3" s="136"/>
      <c r="SXE3" s="136"/>
      <c r="SXF3" s="136"/>
      <c r="SXG3" s="136"/>
      <c r="SXH3" s="136"/>
      <c r="SXI3" s="136"/>
      <c r="SXJ3" s="136"/>
      <c r="SXK3" s="136"/>
      <c r="SXL3" s="136"/>
      <c r="SXM3" s="136"/>
      <c r="SXN3" s="136"/>
      <c r="SXO3" s="136"/>
      <c r="SXP3" s="136"/>
      <c r="SXQ3" s="136"/>
      <c r="SXR3" s="136"/>
      <c r="SXS3" s="136"/>
      <c r="SXT3" s="136"/>
      <c r="SXU3" s="136"/>
      <c r="SXV3" s="136"/>
      <c r="SXW3" s="136"/>
      <c r="SXX3" s="136"/>
      <c r="SXY3" s="136"/>
      <c r="SXZ3" s="136"/>
      <c r="SYA3" s="136"/>
      <c r="SYB3" s="136"/>
      <c r="SYC3" s="136"/>
      <c r="SYD3" s="136"/>
      <c r="SYE3" s="136"/>
      <c r="SYF3" s="136"/>
      <c r="SYG3" s="136"/>
      <c r="SYH3" s="136"/>
      <c r="SYI3" s="136"/>
      <c r="SYJ3" s="136"/>
      <c r="SYK3" s="136"/>
      <c r="SYL3" s="136"/>
      <c r="SYM3" s="136"/>
      <c r="SYN3" s="136"/>
      <c r="SYO3" s="136"/>
      <c r="SYP3" s="136"/>
      <c r="SYQ3" s="136"/>
      <c r="SYR3" s="136"/>
      <c r="SYS3" s="136"/>
      <c r="SYT3" s="136"/>
      <c r="SYU3" s="136"/>
      <c r="SYV3" s="136"/>
      <c r="SYW3" s="136"/>
      <c r="SYX3" s="136"/>
      <c r="SYY3" s="136"/>
      <c r="SYZ3" s="136"/>
      <c r="SZA3" s="136"/>
      <c r="SZB3" s="136"/>
      <c r="SZC3" s="136"/>
      <c r="SZD3" s="136"/>
      <c r="SZE3" s="136"/>
      <c r="SZF3" s="136"/>
      <c r="SZG3" s="136"/>
      <c r="SZH3" s="136"/>
      <c r="SZI3" s="136"/>
      <c r="SZJ3" s="136"/>
      <c r="SZK3" s="136"/>
      <c r="SZL3" s="136"/>
      <c r="SZM3" s="136"/>
      <c r="SZN3" s="136"/>
      <c r="SZO3" s="136"/>
      <c r="SZP3" s="136"/>
      <c r="SZQ3" s="136"/>
      <c r="SZR3" s="136"/>
      <c r="SZS3" s="136"/>
      <c r="SZT3" s="136"/>
      <c r="SZU3" s="136"/>
      <c r="SZV3" s="136"/>
      <c r="SZW3" s="136"/>
      <c r="SZX3" s="136"/>
      <c r="SZY3" s="136"/>
      <c r="SZZ3" s="136"/>
      <c r="TAA3" s="136"/>
      <c r="TAB3" s="136"/>
      <c r="TAC3" s="136"/>
      <c r="TAD3" s="136"/>
      <c r="TAE3" s="136"/>
      <c r="TAF3" s="136"/>
      <c r="TAG3" s="136"/>
      <c r="TAH3" s="136"/>
      <c r="TAI3" s="136"/>
      <c r="TAJ3" s="136"/>
      <c r="TAK3" s="136"/>
      <c r="TAL3" s="136"/>
      <c r="TAM3" s="136"/>
      <c r="TAN3" s="136"/>
      <c r="TAO3" s="136"/>
      <c r="TAP3" s="136"/>
      <c r="TAQ3" s="136"/>
      <c r="TAR3" s="136"/>
      <c r="TAS3" s="136"/>
      <c r="TAT3" s="136"/>
      <c r="TAU3" s="136"/>
      <c r="TAV3" s="136"/>
      <c r="TAW3" s="136"/>
      <c r="TAX3" s="136"/>
      <c r="TAY3" s="136"/>
      <c r="TAZ3" s="136"/>
      <c r="TBA3" s="136"/>
      <c r="TBB3" s="136"/>
      <c r="TBC3" s="136"/>
      <c r="TBD3" s="136"/>
      <c r="TBE3" s="136"/>
      <c r="TBF3" s="136"/>
      <c r="TBG3" s="136"/>
      <c r="TBH3" s="136"/>
      <c r="TBI3" s="136"/>
      <c r="TBJ3" s="136"/>
      <c r="TBK3" s="136"/>
      <c r="TBL3" s="136"/>
      <c r="TBM3" s="136"/>
      <c r="TBN3" s="136"/>
      <c r="TBO3" s="136"/>
      <c r="TBP3" s="136"/>
      <c r="TBQ3" s="136"/>
      <c r="TBR3" s="136"/>
      <c r="TBS3" s="136"/>
      <c r="TBT3" s="136"/>
      <c r="TBU3" s="136"/>
      <c r="TBV3" s="136"/>
      <c r="TBW3" s="136"/>
      <c r="TBX3" s="136"/>
      <c r="TBY3" s="136"/>
      <c r="TBZ3" s="136"/>
      <c r="TCA3" s="136"/>
      <c r="TCB3" s="136"/>
      <c r="TCC3" s="136"/>
      <c r="TCD3" s="136"/>
      <c r="TCE3" s="136"/>
      <c r="TCF3" s="136"/>
      <c r="TCG3" s="136"/>
      <c r="TCH3" s="136"/>
      <c r="TCI3" s="136"/>
      <c r="TCJ3" s="136"/>
      <c r="TCK3" s="136"/>
      <c r="TCL3" s="136"/>
      <c r="TCM3" s="136"/>
      <c r="TCN3" s="136"/>
      <c r="TCO3" s="136"/>
      <c r="TCP3" s="136"/>
      <c r="TCQ3" s="136"/>
      <c r="TCR3" s="136"/>
      <c r="TCS3" s="136"/>
      <c r="TCT3" s="136"/>
      <c r="TCU3" s="136"/>
      <c r="TCV3" s="136"/>
      <c r="TCW3" s="136"/>
      <c r="TCX3" s="136"/>
      <c r="TCY3" s="136"/>
      <c r="TCZ3" s="136"/>
      <c r="TDA3" s="136"/>
      <c r="TDB3" s="136"/>
      <c r="TDC3" s="136"/>
      <c r="TDD3" s="136"/>
      <c r="TDE3" s="136"/>
      <c r="TDF3" s="136"/>
      <c r="TDG3" s="136"/>
      <c r="TDH3" s="136"/>
      <c r="TDI3" s="136"/>
      <c r="TDJ3" s="136"/>
      <c r="TDK3" s="136"/>
      <c r="TDL3" s="136"/>
      <c r="TDM3" s="136"/>
      <c r="TDN3" s="136"/>
      <c r="TDO3" s="136"/>
      <c r="TDP3" s="136"/>
      <c r="TDQ3" s="136"/>
      <c r="TDR3" s="136"/>
      <c r="TDS3" s="136"/>
      <c r="TDT3" s="136"/>
      <c r="TDU3" s="136"/>
      <c r="TDV3" s="136"/>
      <c r="TDW3" s="136"/>
      <c r="TDX3" s="136"/>
      <c r="TDY3" s="136"/>
      <c r="TDZ3" s="136"/>
      <c r="TEA3" s="136"/>
      <c r="TEB3" s="136"/>
      <c r="TEC3" s="136"/>
      <c r="TED3" s="136"/>
      <c r="TEE3" s="136"/>
      <c r="TEF3" s="136"/>
      <c r="TEG3" s="136"/>
      <c r="TEH3" s="136"/>
      <c r="TEI3" s="136"/>
      <c r="TEJ3" s="136"/>
      <c r="TEK3" s="136"/>
      <c r="TEL3" s="136"/>
      <c r="TEM3" s="136"/>
      <c r="TEN3" s="136"/>
      <c r="TEO3" s="136"/>
      <c r="TEP3" s="136"/>
      <c r="TEQ3" s="136"/>
      <c r="TER3" s="136"/>
      <c r="TES3" s="136"/>
      <c r="TET3" s="136"/>
      <c r="TEU3" s="136"/>
      <c r="TEV3" s="136"/>
      <c r="TEW3" s="136"/>
      <c r="TEX3" s="136"/>
      <c r="TEY3" s="136"/>
      <c r="TEZ3" s="136"/>
      <c r="TFA3" s="136"/>
      <c r="TFB3" s="136"/>
      <c r="TFC3" s="136"/>
      <c r="TFD3" s="136"/>
      <c r="TFE3" s="136"/>
      <c r="TFF3" s="136"/>
      <c r="TFG3" s="136"/>
      <c r="TFH3" s="136"/>
      <c r="TFI3" s="136"/>
      <c r="TFJ3" s="136"/>
      <c r="TFK3" s="136"/>
      <c r="TFL3" s="136"/>
      <c r="TFM3" s="136"/>
      <c r="TFN3" s="136"/>
      <c r="TFO3" s="136"/>
      <c r="TFP3" s="136"/>
      <c r="TFQ3" s="136"/>
      <c r="TFR3" s="136"/>
      <c r="TFS3" s="136"/>
      <c r="TFT3" s="136"/>
      <c r="TFU3" s="136"/>
      <c r="TFV3" s="136"/>
      <c r="TFW3" s="136"/>
      <c r="TFX3" s="136"/>
      <c r="TFY3" s="136"/>
      <c r="TFZ3" s="136"/>
      <c r="TGA3" s="136"/>
      <c r="TGB3" s="136"/>
      <c r="TGC3" s="136"/>
      <c r="TGD3" s="136"/>
      <c r="TGE3" s="136"/>
      <c r="TGF3" s="136"/>
      <c r="TGG3" s="136"/>
      <c r="TGH3" s="136"/>
      <c r="TGI3" s="136"/>
      <c r="TGJ3" s="136"/>
      <c r="TGK3" s="136"/>
      <c r="TGL3" s="136"/>
      <c r="TGM3" s="136"/>
      <c r="TGN3" s="136"/>
      <c r="TGO3" s="136"/>
      <c r="TGP3" s="136"/>
      <c r="TGQ3" s="136"/>
      <c r="TGR3" s="136"/>
      <c r="TGS3" s="136"/>
      <c r="TGT3" s="136"/>
      <c r="TGU3" s="136"/>
      <c r="TGV3" s="136"/>
      <c r="TGW3" s="136"/>
      <c r="TGX3" s="136"/>
      <c r="TGY3" s="136"/>
      <c r="TGZ3" s="136"/>
      <c r="THA3" s="136"/>
      <c r="THB3" s="136"/>
      <c r="THC3" s="136"/>
      <c r="THD3" s="136"/>
      <c r="THE3" s="136"/>
      <c r="THF3" s="136"/>
      <c r="THG3" s="136"/>
      <c r="THH3" s="136"/>
      <c r="THI3" s="136"/>
      <c r="THJ3" s="136"/>
      <c r="THK3" s="136"/>
      <c r="THL3" s="136"/>
      <c r="THM3" s="136"/>
      <c r="THN3" s="136"/>
      <c r="THO3" s="136"/>
      <c r="THP3" s="136"/>
      <c r="THQ3" s="136"/>
      <c r="THR3" s="136"/>
      <c r="THS3" s="136"/>
      <c r="THT3" s="136"/>
      <c r="THU3" s="136"/>
      <c r="THV3" s="136"/>
      <c r="THW3" s="136"/>
      <c r="THX3" s="136"/>
      <c r="THY3" s="136"/>
      <c r="THZ3" s="136"/>
      <c r="TIA3" s="136"/>
      <c r="TIB3" s="136"/>
      <c r="TIC3" s="136"/>
      <c r="TID3" s="136"/>
      <c r="TIE3" s="136"/>
      <c r="TIF3" s="136"/>
      <c r="TIG3" s="136"/>
      <c r="TIH3" s="136"/>
      <c r="TII3" s="136"/>
      <c r="TIJ3" s="136"/>
      <c r="TIK3" s="136"/>
      <c r="TIL3" s="136"/>
      <c r="TIM3" s="136"/>
      <c r="TIN3" s="136"/>
      <c r="TIO3" s="136"/>
      <c r="TIP3" s="136"/>
      <c r="TIQ3" s="136"/>
      <c r="TIR3" s="136"/>
      <c r="TIS3" s="136"/>
      <c r="TIT3" s="136"/>
      <c r="TIU3" s="136"/>
      <c r="TIV3" s="136"/>
      <c r="TIW3" s="136"/>
      <c r="TIX3" s="136"/>
      <c r="TIY3" s="136"/>
      <c r="TIZ3" s="136"/>
      <c r="TJA3" s="136"/>
      <c r="TJB3" s="136"/>
      <c r="TJC3" s="136"/>
      <c r="TJD3" s="136"/>
      <c r="TJE3" s="136"/>
      <c r="TJF3" s="136"/>
      <c r="TJG3" s="136"/>
      <c r="TJH3" s="136"/>
      <c r="TJI3" s="136"/>
      <c r="TJJ3" s="136"/>
      <c r="TJK3" s="136"/>
      <c r="TJL3" s="136"/>
      <c r="TJM3" s="136"/>
      <c r="TJN3" s="136"/>
      <c r="TJO3" s="136"/>
      <c r="TJP3" s="136"/>
      <c r="TJQ3" s="136"/>
      <c r="TJR3" s="136"/>
      <c r="TJS3" s="136"/>
      <c r="TJT3" s="136"/>
      <c r="TJU3" s="136"/>
      <c r="TJV3" s="136"/>
      <c r="TJW3" s="136"/>
      <c r="TJX3" s="136"/>
      <c r="TJY3" s="136"/>
      <c r="TJZ3" s="136"/>
      <c r="TKA3" s="136"/>
      <c r="TKB3" s="136"/>
      <c r="TKC3" s="136"/>
      <c r="TKD3" s="136"/>
      <c r="TKE3" s="136"/>
      <c r="TKF3" s="136"/>
      <c r="TKG3" s="136"/>
      <c r="TKH3" s="136"/>
      <c r="TKI3" s="136"/>
      <c r="TKJ3" s="136"/>
      <c r="TKK3" s="136"/>
      <c r="TKL3" s="136"/>
      <c r="TKM3" s="136"/>
      <c r="TKN3" s="136"/>
      <c r="TKO3" s="136"/>
      <c r="TKP3" s="136"/>
      <c r="TKQ3" s="136"/>
      <c r="TKR3" s="136"/>
      <c r="TKS3" s="136"/>
      <c r="TKT3" s="136"/>
      <c r="TKU3" s="136"/>
      <c r="TKV3" s="136"/>
      <c r="TKW3" s="136"/>
      <c r="TKX3" s="136"/>
      <c r="TKY3" s="136"/>
      <c r="TKZ3" s="136"/>
      <c r="TLA3" s="136"/>
      <c r="TLB3" s="136"/>
      <c r="TLC3" s="136"/>
      <c r="TLD3" s="136"/>
      <c r="TLE3" s="136"/>
      <c r="TLF3" s="136"/>
      <c r="TLG3" s="136"/>
      <c r="TLH3" s="136"/>
      <c r="TLI3" s="136"/>
      <c r="TLJ3" s="136"/>
      <c r="TLK3" s="136"/>
      <c r="TLL3" s="136"/>
      <c r="TLM3" s="136"/>
      <c r="TLN3" s="136"/>
      <c r="TLO3" s="136"/>
      <c r="TLP3" s="136"/>
      <c r="TLQ3" s="136"/>
      <c r="TLR3" s="136"/>
      <c r="TLS3" s="136"/>
      <c r="TLT3" s="136"/>
      <c r="TLU3" s="136"/>
      <c r="TLV3" s="136"/>
      <c r="TLW3" s="136"/>
      <c r="TLX3" s="136"/>
      <c r="TLY3" s="136"/>
      <c r="TLZ3" s="136"/>
      <c r="TMA3" s="136"/>
      <c r="TMB3" s="136"/>
      <c r="TMC3" s="136"/>
      <c r="TMD3" s="136"/>
      <c r="TME3" s="136"/>
      <c r="TMF3" s="136"/>
      <c r="TMG3" s="136"/>
      <c r="TMH3" s="136"/>
      <c r="TMI3" s="136"/>
      <c r="TMJ3" s="136"/>
      <c r="TMK3" s="136"/>
      <c r="TML3" s="136"/>
      <c r="TMM3" s="136"/>
      <c r="TMN3" s="136"/>
      <c r="TMO3" s="136"/>
      <c r="TMP3" s="136"/>
      <c r="TMQ3" s="136"/>
      <c r="TMR3" s="136"/>
      <c r="TMS3" s="136"/>
      <c r="TMT3" s="136"/>
      <c r="TMU3" s="136"/>
      <c r="TMV3" s="136"/>
      <c r="TMW3" s="136"/>
      <c r="TMX3" s="136"/>
      <c r="TMY3" s="136"/>
      <c r="TMZ3" s="136"/>
      <c r="TNA3" s="136"/>
      <c r="TNB3" s="136"/>
      <c r="TNC3" s="136"/>
      <c r="TND3" s="136"/>
      <c r="TNE3" s="136"/>
      <c r="TNF3" s="136"/>
      <c r="TNG3" s="136"/>
      <c r="TNH3" s="136"/>
      <c r="TNI3" s="136"/>
      <c r="TNJ3" s="136"/>
      <c r="TNK3" s="136"/>
      <c r="TNL3" s="136"/>
      <c r="TNM3" s="136"/>
      <c r="TNN3" s="136"/>
      <c r="TNO3" s="136"/>
      <c r="TNP3" s="136"/>
      <c r="TNQ3" s="136"/>
      <c r="TNR3" s="136"/>
      <c r="TNS3" s="136"/>
      <c r="TNT3" s="136"/>
      <c r="TNU3" s="136"/>
      <c r="TNV3" s="136"/>
      <c r="TNW3" s="136"/>
      <c r="TNX3" s="136"/>
      <c r="TNY3" s="136"/>
      <c r="TNZ3" s="136"/>
      <c r="TOA3" s="136"/>
      <c r="TOB3" s="136"/>
      <c r="TOC3" s="136"/>
      <c r="TOD3" s="136"/>
      <c r="TOE3" s="136"/>
      <c r="TOF3" s="136"/>
      <c r="TOG3" s="136"/>
      <c r="TOH3" s="136"/>
      <c r="TOI3" s="136"/>
      <c r="TOJ3" s="136"/>
      <c r="TOK3" s="136"/>
      <c r="TOL3" s="136"/>
      <c r="TOM3" s="136"/>
      <c r="TON3" s="136"/>
      <c r="TOO3" s="136"/>
      <c r="TOP3" s="136"/>
      <c r="TOQ3" s="136"/>
      <c r="TOR3" s="136"/>
      <c r="TOS3" s="136"/>
      <c r="TOT3" s="136"/>
      <c r="TOU3" s="136"/>
      <c r="TOV3" s="136"/>
      <c r="TOW3" s="136"/>
      <c r="TOX3" s="136"/>
      <c r="TOY3" s="136"/>
      <c r="TOZ3" s="136"/>
      <c r="TPA3" s="136"/>
      <c r="TPB3" s="136"/>
      <c r="TPC3" s="136"/>
      <c r="TPD3" s="136"/>
      <c r="TPE3" s="136"/>
      <c r="TPF3" s="136"/>
      <c r="TPG3" s="136"/>
      <c r="TPH3" s="136"/>
      <c r="TPI3" s="136"/>
      <c r="TPJ3" s="136"/>
      <c r="TPK3" s="136"/>
      <c r="TPL3" s="136"/>
      <c r="TPM3" s="136"/>
      <c r="TPN3" s="136"/>
      <c r="TPO3" s="136"/>
      <c r="TPP3" s="136"/>
      <c r="TPQ3" s="136"/>
      <c r="TPR3" s="136"/>
      <c r="TPS3" s="136"/>
      <c r="TPT3" s="136"/>
      <c r="TPU3" s="136"/>
      <c r="TPV3" s="136"/>
      <c r="TPW3" s="136"/>
      <c r="TPX3" s="136"/>
      <c r="TPY3" s="136"/>
      <c r="TPZ3" s="136"/>
      <c r="TQA3" s="136"/>
      <c r="TQB3" s="136"/>
      <c r="TQC3" s="136"/>
      <c r="TQD3" s="136"/>
      <c r="TQE3" s="136"/>
      <c r="TQF3" s="136"/>
      <c r="TQG3" s="136"/>
      <c r="TQH3" s="136"/>
      <c r="TQI3" s="136"/>
      <c r="TQJ3" s="136"/>
      <c r="TQK3" s="136"/>
      <c r="TQL3" s="136"/>
      <c r="TQM3" s="136"/>
      <c r="TQN3" s="136"/>
      <c r="TQO3" s="136"/>
      <c r="TQP3" s="136"/>
      <c r="TQQ3" s="136"/>
      <c r="TQR3" s="136"/>
      <c r="TQS3" s="136"/>
      <c r="TQT3" s="136"/>
      <c r="TQU3" s="136"/>
      <c r="TQV3" s="136"/>
      <c r="TQW3" s="136"/>
      <c r="TQX3" s="136"/>
      <c r="TQY3" s="136"/>
      <c r="TQZ3" s="136"/>
      <c r="TRA3" s="136"/>
      <c r="TRB3" s="136"/>
      <c r="TRC3" s="136"/>
      <c r="TRD3" s="136"/>
      <c r="TRE3" s="136"/>
      <c r="TRF3" s="136"/>
      <c r="TRG3" s="136"/>
      <c r="TRH3" s="136"/>
      <c r="TRI3" s="136"/>
      <c r="TRJ3" s="136"/>
      <c r="TRK3" s="136"/>
      <c r="TRL3" s="136"/>
      <c r="TRM3" s="136"/>
      <c r="TRN3" s="136"/>
      <c r="TRO3" s="136"/>
      <c r="TRP3" s="136"/>
      <c r="TRQ3" s="136"/>
      <c r="TRR3" s="136"/>
      <c r="TRS3" s="136"/>
      <c r="TRT3" s="136"/>
      <c r="TRU3" s="136"/>
      <c r="TRV3" s="136"/>
      <c r="TRW3" s="136"/>
      <c r="TRX3" s="136"/>
      <c r="TRY3" s="136"/>
      <c r="TRZ3" s="136"/>
      <c r="TSA3" s="136"/>
      <c r="TSB3" s="136"/>
      <c r="TSC3" s="136"/>
      <c r="TSD3" s="136"/>
      <c r="TSE3" s="136"/>
      <c r="TSF3" s="136"/>
      <c r="TSG3" s="136"/>
      <c r="TSH3" s="136"/>
      <c r="TSI3" s="136"/>
      <c r="TSJ3" s="136"/>
      <c r="TSK3" s="136"/>
      <c r="TSL3" s="136"/>
      <c r="TSM3" s="136"/>
      <c r="TSN3" s="136"/>
      <c r="TSO3" s="136"/>
      <c r="TSP3" s="136"/>
      <c r="TSQ3" s="136"/>
      <c r="TSR3" s="136"/>
      <c r="TSS3" s="136"/>
      <c r="TST3" s="136"/>
      <c r="TSU3" s="136"/>
      <c r="TSV3" s="136"/>
      <c r="TSW3" s="136"/>
      <c r="TSX3" s="136"/>
      <c r="TSY3" s="136"/>
      <c r="TSZ3" s="136"/>
      <c r="TTA3" s="136"/>
      <c r="TTB3" s="136"/>
      <c r="TTC3" s="136"/>
      <c r="TTD3" s="136"/>
      <c r="TTE3" s="136"/>
      <c r="TTF3" s="136"/>
      <c r="TTG3" s="136"/>
      <c r="TTH3" s="136"/>
      <c r="TTI3" s="136"/>
      <c r="TTJ3" s="136"/>
      <c r="TTK3" s="136"/>
      <c r="TTL3" s="136"/>
      <c r="TTM3" s="136"/>
      <c r="TTN3" s="136"/>
      <c r="TTO3" s="136"/>
      <c r="TTP3" s="136"/>
      <c r="TTQ3" s="136"/>
      <c r="TTR3" s="136"/>
      <c r="TTS3" s="136"/>
      <c r="TTT3" s="136"/>
      <c r="TTU3" s="136"/>
      <c r="TTV3" s="136"/>
      <c r="TTW3" s="136"/>
      <c r="TTX3" s="136"/>
      <c r="TTY3" s="136"/>
      <c r="TTZ3" s="136"/>
      <c r="TUA3" s="136"/>
      <c r="TUB3" s="136"/>
      <c r="TUC3" s="136"/>
      <c r="TUD3" s="136"/>
      <c r="TUE3" s="136"/>
      <c r="TUF3" s="136"/>
      <c r="TUG3" s="136"/>
      <c r="TUH3" s="136"/>
      <c r="TUI3" s="136"/>
      <c r="TUJ3" s="136"/>
      <c r="TUK3" s="136"/>
      <c r="TUL3" s="136"/>
      <c r="TUM3" s="136"/>
      <c r="TUN3" s="136"/>
      <c r="TUO3" s="136"/>
      <c r="TUP3" s="136"/>
      <c r="TUQ3" s="136"/>
      <c r="TUR3" s="136"/>
      <c r="TUS3" s="136"/>
      <c r="TUT3" s="136"/>
      <c r="TUU3" s="136"/>
      <c r="TUV3" s="136"/>
      <c r="TUW3" s="136"/>
      <c r="TUX3" s="136"/>
      <c r="TUY3" s="136"/>
      <c r="TUZ3" s="136"/>
      <c r="TVA3" s="136"/>
      <c r="TVB3" s="136"/>
      <c r="TVC3" s="136"/>
      <c r="TVD3" s="136"/>
      <c r="TVE3" s="136"/>
      <c r="TVF3" s="136"/>
      <c r="TVG3" s="136"/>
      <c r="TVH3" s="136"/>
      <c r="TVI3" s="136"/>
      <c r="TVJ3" s="136"/>
      <c r="TVK3" s="136"/>
      <c r="TVL3" s="136"/>
      <c r="TVM3" s="136"/>
      <c r="TVN3" s="136"/>
      <c r="TVO3" s="136"/>
      <c r="TVP3" s="136"/>
      <c r="TVQ3" s="136"/>
      <c r="TVR3" s="136"/>
      <c r="TVS3" s="136"/>
      <c r="TVT3" s="136"/>
      <c r="TVU3" s="136"/>
      <c r="TVV3" s="136"/>
      <c r="TVW3" s="136"/>
      <c r="TVX3" s="136"/>
      <c r="TVY3" s="136"/>
      <c r="TVZ3" s="136"/>
      <c r="TWA3" s="136"/>
      <c r="TWB3" s="136"/>
      <c r="TWC3" s="136"/>
      <c r="TWD3" s="136"/>
      <c r="TWE3" s="136"/>
      <c r="TWF3" s="136"/>
      <c r="TWG3" s="136"/>
      <c r="TWH3" s="136"/>
      <c r="TWI3" s="136"/>
      <c r="TWJ3" s="136"/>
      <c r="TWK3" s="136"/>
      <c r="TWL3" s="136"/>
      <c r="TWM3" s="136"/>
      <c r="TWN3" s="136"/>
      <c r="TWO3" s="136"/>
      <c r="TWP3" s="136"/>
      <c r="TWQ3" s="136"/>
      <c r="TWR3" s="136"/>
      <c r="TWS3" s="136"/>
      <c r="TWT3" s="136"/>
      <c r="TWU3" s="136"/>
      <c r="TWV3" s="136"/>
      <c r="TWW3" s="136"/>
      <c r="TWX3" s="136"/>
      <c r="TWY3" s="136"/>
      <c r="TWZ3" s="136"/>
      <c r="TXA3" s="136"/>
      <c r="TXB3" s="136"/>
      <c r="TXC3" s="136"/>
      <c r="TXD3" s="136"/>
      <c r="TXE3" s="136"/>
      <c r="TXF3" s="136"/>
      <c r="TXG3" s="136"/>
      <c r="TXH3" s="136"/>
      <c r="TXI3" s="136"/>
      <c r="TXJ3" s="136"/>
      <c r="TXK3" s="136"/>
      <c r="TXL3" s="136"/>
      <c r="TXM3" s="136"/>
      <c r="TXN3" s="136"/>
      <c r="TXO3" s="136"/>
      <c r="TXP3" s="136"/>
      <c r="TXQ3" s="136"/>
      <c r="TXR3" s="136"/>
      <c r="TXS3" s="136"/>
      <c r="TXT3" s="136"/>
      <c r="TXU3" s="136"/>
      <c r="TXV3" s="136"/>
      <c r="TXW3" s="136"/>
      <c r="TXX3" s="136"/>
      <c r="TXY3" s="136"/>
      <c r="TXZ3" s="136"/>
      <c r="TYA3" s="136"/>
      <c r="TYB3" s="136"/>
      <c r="TYC3" s="136"/>
      <c r="TYD3" s="136"/>
      <c r="TYE3" s="136"/>
      <c r="TYF3" s="136"/>
      <c r="TYG3" s="136"/>
      <c r="TYH3" s="136"/>
      <c r="TYI3" s="136"/>
      <c r="TYJ3" s="136"/>
      <c r="TYK3" s="136"/>
      <c r="TYL3" s="136"/>
      <c r="TYM3" s="136"/>
      <c r="TYN3" s="136"/>
      <c r="TYO3" s="136"/>
      <c r="TYP3" s="136"/>
      <c r="TYQ3" s="136"/>
      <c r="TYR3" s="136"/>
      <c r="TYS3" s="136"/>
      <c r="TYT3" s="136"/>
      <c r="TYU3" s="136"/>
      <c r="TYV3" s="136"/>
      <c r="TYW3" s="136"/>
      <c r="TYX3" s="136"/>
      <c r="TYY3" s="136"/>
      <c r="TYZ3" s="136"/>
      <c r="TZA3" s="136"/>
      <c r="TZB3" s="136"/>
      <c r="TZC3" s="136"/>
      <c r="TZD3" s="136"/>
      <c r="TZE3" s="136"/>
      <c r="TZF3" s="136"/>
      <c r="TZG3" s="136"/>
      <c r="TZH3" s="136"/>
      <c r="TZI3" s="136"/>
      <c r="TZJ3" s="136"/>
      <c r="TZK3" s="136"/>
      <c r="TZL3" s="136"/>
      <c r="TZM3" s="136"/>
      <c r="TZN3" s="136"/>
      <c r="TZO3" s="136"/>
      <c r="TZP3" s="136"/>
      <c r="TZQ3" s="136"/>
      <c r="TZR3" s="136"/>
      <c r="TZS3" s="136"/>
      <c r="TZT3" s="136"/>
      <c r="TZU3" s="136"/>
      <c r="TZV3" s="136"/>
      <c r="TZW3" s="136"/>
      <c r="TZX3" s="136"/>
      <c r="TZY3" s="136"/>
      <c r="TZZ3" s="136"/>
      <c r="UAA3" s="136"/>
      <c r="UAB3" s="136"/>
      <c r="UAC3" s="136"/>
      <c r="UAD3" s="136"/>
      <c r="UAE3" s="136"/>
      <c r="UAF3" s="136"/>
      <c r="UAG3" s="136"/>
      <c r="UAH3" s="136"/>
      <c r="UAI3" s="136"/>
      <c r="UAJ3" s="136"/>
      <c r="UAK3" s="136"/>
      <c r="UAL3" s="136"/>
      <c r="UAM3" s="136"/>
      <c r="UAN3" s="136"/>
      <c r="UAO3" s="136"/>
      <c r="UAP3" s="136"/>
      <c r="UAQ3" s="136"/>
      <c r="UAR3" s="136"/>
      <c r="UAS3" s="136"/>
      <c r="UAT3" s="136"/>
      <c r="UAU3" s="136"/>
      <c r="UAV3" s="136"/>
      <c r="UAW3" s="136"/>
      <c r="UAX3" s="136"/>
      <c r="UAY3" s="136"/>
      <c r="UAZ3" s="136"/>
      <c r="UBA3" s="136"/>
      <c r="UBB3" s="136"/>
      <c r="UBC3" s="136"/>
      <c r="UBD3" s="136"/>
      <c r="UBE3" s="136"/>
      <c r="UBF3" s="136"/>
      <c r="UBG3" s="136"/>
      <c r="UBH3" s="136"/>
      <c r="UBI3" s="136"/>
      <c r="UBJ3" s="136"/>
      <c r="UBK3" s="136"/>
      <c r="UBL3" s="136"/>
      <c r="UBM3" s="136"/>
      <c r="UBN3" s="136"/>
      <c r="UBO3" s="136"/>
      <c r="UBP3" s="136"/>
      <c r="UBQ3" s="136"/>
      <c r="UBR3" s="136"/>
      <c r="UBS3" s="136"/>
      <c r="UBT3" s="136"/>
      <c r="UBU3" s="136"/>
      <c r="UBV3" s="136"/>
      <c r="UBW3" s="136"/>
      <c r="UBX3" s="136"/>
      <c r="UBY3" s="136"/>
      <c r="UBZ3" s="136"/>
      <c r="UCA3" s="136"/>
      <c r="UCB3" s="136"/>
      <c r="UCC3" s="136"/>
      <c r="UCD3" s="136"/>
      <c r="UCE3" s="136"/>
      <c r="UCF3" s="136"/>
      <c r="UCG3" s="136"/>
      <c r="UCH3" s="136"/>
      <c r="UCI3" s="136"/>
      <c r="UCJ3" s="136"/>
      <c r="UCK3" s="136"/>
      <c r="UCL3" s="136"/>
      <c r="UCM3" s="136"/>
      <c r="UCN3" s="136"/>
      <c r="UCO3" s="136"/>
      <c r="UCP3" s="136"/>
      <c r="UCQ3" s="136"/>
      <c r="UCR3" s="136"/>
      <c r="UCS3" s="136"/>
      <c r="UCT3" s="136"/>
      <c r="UCU3" s="136"/>
      <c r="UCV3" s="136"/>
      <c r="UCW3" s="136"/>
      <c r="UCX3" s="136"/>
      <c r="UCY3" s="136"/>
      <c r="UCZ3" s="136"/>
      <c r="UDA3" s="136"/>
      <c r="UDB3" s="136"/>
      <c r="UDC3" s="136"/>
      <c r="UDD3" s="136"/>
      <c r="UDE3" s="136"/>
      <c r="UDF3" s="136"/>
      <c r="UDG3" s="136"/>
      <c r="UDH3" s="136"/>
      <c r="UDI3" s="136"/>
      <c r="UDJ3" s="136"/>
      <c r="UDK3" s="136"/>
      <c r="UDL3" s="136"/>
      <c r="UDM3" s="136"/>
      <c r="UDN3" s="136"/>
      <c r="UDO3" s="136"/>
      <c r="UDP3" s="136"/>
      <c r="UDQ3" s="136"/>
      <c r="UDR3" s="136"/>
      <c r="UDS3" s="136"/>
      <c r="UDT3" s="136"/>
      <c r="UDU3" s="136"/>
      <c r="UDV3" s="136"/>
      <c r="UDW3" s="136"/>
      <c r="UDX3" s="136"/>
      <c r="UDY3" s="136"/>
      <c r="UDZ3" s="136"/>
      <c r="UEA3" s="136"/>
      <c r="UEB3" s="136"/>
      <c r="UEC3" s="136"/>
      <c r="UED3" s="136"/>
      <c r="UEE3" s="136"/>
      <c r="UEF3" s="136"/>
      <c r="UEG3" s="136"/>
      <c r="UEH3" s="136"/>
      <c r="UEI3" s="136"/>
      <c r="UEJ3" s="136"/>
      <c r="UEK3" s="136"/>
      <c r="UEL3" s="136"/>
      <c r="UEM3" s="136"/>
      <c r="UEN3" s="136"/>
      <c r="UEO3" s="136"/>
      <c r="UEP3" s="136"/>
      <c r="UEQ3" s="136"/>
      <c r="UER3" s="136"/>
      <c r="UES3" s="136"/>
      <c r="UET3" s="136"/>
      <c r="UEU3" s="136"/>
      <c r="UEV3" s="136"/>
      <c r="UEW3" s="136"/>
      <c r="UEX3" s="136"/>
      <c r="UEY3" s="136"/>
      <c r="UEZ3" s="136"/>
      <c r="UFA3" s="136"/>
      <c r="UFB3" s="136"/>
      <c r="UFC3" s="136"/>
      <c r="UFD3" s="136"/>
      <c r="UFE3" s="136"/>
      <c r="UFF3" s="136"/>
      <c r="UFG3" s="136"/>
      <c r="UFH3" s="136"/>
      <c r="UFI3" s="136"/>
      <c r="UFJ3" s="136"/>
      <c r="UFK3" s="136"/>
      <c r="UFL3" s="136"/>
      <c r="UFM3" s="136"/>
      <c r="UFN3" s="136"/>
      <c r="UFO3" s="136"/>
      <c r="UFP3" s="136"/>
      <c r="UFQ3" s="136"/>
      <c r="UFR3" s="136"/>
      <c r="UFS3" s="136"/>
      <c r="UFT3" s="136"/>
      <c r="UFU3" s="136"/>
      <c r="UFV3" s="136"/>
      <c r="UFW3" s="136"/>
      <c r="UFX3" s="136"/>
      <c r="UFY3" s="136"/>
      <c r="UFZ3" s="136"/>
      <c r="UGA3" s="136"/>
      <c r="UGB3" s="136"/>
      <c r="UGC3" s="136"/>
      <c r="UGD3" s="136"/>
      <c r="UGE3" s="136"/>
      <c r="UGF3" s="136"/>
      <c r="UGG3" s="136"/>
      <c r="UGH3" s="136"/>
      <c r="UGI3" s="136"/>
      <c r="UGJ3" s="136"/>
      <c r="UGK3" s="136"/>
      <c r="UGL3" s="136"/>
      <c r="UGM3" s="136"/>
      <c r="UGN3" s="136"/>
      <c r="UGO3" s="136"/>
      <c r="UGP3" s="136"/>
      <c r="UGQ3" s="136"/>
      <c r="UGR3" s="136"/>
      <c r="UGS3" s="136"/>
      <c r="UGT3" s="136"/>
      <c r="UGU3" s="136"/>
      <c r="UGV3" s="136"/>
      <c r="UGW3" s="136"/>
      <c r="UGX3" s="136"/>
      <c r="UGY3" s="136"/>
      <c r="UGZ3" s="136"/>
      <c r="UHA3" s="136"/>
      <c r="UHB3" s="136"/>
      <c r="UHC3" s="136"/>
      <c r="UHD3" s="136"/>
      <c r="UHE3" s="136"/>
      <c r="UHF3" s="136"/>
      <c r="UHG3" s="136"/>
      <c r="UHH3" s="136"/>
      <c r="UHI3" s="136"/>
      <c r="UHJ3" s="136"/>
      <c r="UHK3" s="136"/>
      <c r="UHL3" s="136"/>
      <c r="UHM3" s="136"/>
      <c r="UHN3" s="136"/>
      <c r="UHO3" s="136"/>
      <c r="UHP3" s="136"/>
      <c r="UHQ3" s="136"/>
      <c r="UHR3" s="136"/>
      <c r="UHS3" s="136"/>
      <c r="UHT3" s="136"/>
      <c r="UHU3" s="136"/>
      <c r="UHV3" s="136"/>
      <c r="UHW3" s="136"/>
      <c r="UHX3" s="136"/>
      <c r="UHY3" s="136"/>
      <c r="UHZ3" s="136"/>
      <c r="UIA3" s="136"/>
      <c r="UIB3" s="136"/>
      <c r="UIC3" s="136"/>
      <c r="UID3" s="136"/>
      <c r="UIE3" s="136"/>
      <c r="UIF3" s="136"/>
      <c r="UIG3" s="136"/>
      <c r="UIH3" s="136"/>
      <c r="UII3" s="136"/>
      <c r="UIJ3" s="136"/>
      <c r="UIK3" s="136"/>
      <c r="UIL3" s="136"/>
      <c r="UIM3" s="136"/>
      <c r="UIN3" s="136"/>
      <c r="UIO3" s="136"/>
      <c r="UIP3" s="136"/>
      <c r="UIQ3" s="136"/>
      <c r="UIR3" s="136"/>
      <c r="UIS3" s="136"/>
      <c r="UIT3" s="136"/>
      <c r="UIU3" s="136"/>
      <c r="UIV3" s="136"/>
      <c r="UIW3" s="136"/>
      <c r="UIX3" s="136"/>
      <c r="UIY3" s="136"/>
      <c r="UIZ3" s="136"/>
      <c r="UJA3" s="136"/>
      <c r="UJB3" s="136"/>
      <c r="UJC3" s="136"/>
      <c r="UJD3" s="136"/>
      <c r="UJE3" s="136"/>
      <c r="UJF3" s="136"/>
      <c r="UJG3" s="136"/>
      <c r="UJH3" s="136"/>
      <c r="UJI3" s="136"/>
      <c r="UJJ3" s="136"/>
      <c r="UJK3" s="136"/>
      <c r="UJL3" s="136"/>
      <c r="UJM3" s="136"/>
      <c r="UJN3" s="136"/>
      <c r="UJO3" s="136"/>
      <c r="UJP3" s="136"/>
      <c r="UJQ3" s="136"/>
      <c r="UJR3" s="136"/>
      <c r="UJS3" s="136"/>
      <c r="UJT3" s="136"/>
      <c r="UJU3" s="136"/>
      <c r="UJV3" s="136"/>
      <c r="UJW3" s="136"/>
      <c r="UJX3" s="136"/>
      <c r="UJY3" s="136"/>
      <c r="UJZ3" s="136"/>
      <c r="UKA3" s="136"/>
      <c r="UKB3" s="136"/>
      <c r="UKC3" s="136"/>
      <c r="UKD3" s="136"/>
      <c r="UKE3" s="136"/>
      <c r="UKF3" s="136"/>
      <c r="UKG3" s="136"/>
      <c r="UKH3" s="136"/>
      <c r="UKI3" s="136"/>
      <c r="UKJ3" s="136"/>
      <c r="UKK3" s="136"/>
      <c r="UKL3" s="136"/>
      <c r="UKM3" s="136"/>
      <c r="UKN3" s="136"/>
      <c r="UKO3" s="136"/>
      <c r="UKP3" s="136"/>
      <c r="UKQ3" s="136"/>
      <c r="UKR3" s="136"/>
      <c r="UKS3" s="136"/>
      <c r="UKT3" s="136"/>
      <c r="UKU3" s="136"/>
      <c r="UKV3" s="136"/>
      <c r="UKW3" s="136"/>
      <c r="UKX3" s="136"/>
      <c r="UKY3" s="136"/>
      <c r="UKZ3" s="136"/>
      <c r="ULA3" s="136"/>
      <c r="ULB3" s="136"/>
      <c r="ULC3" s="136"/>
      <c r="ULD3" s="136"/>
      <c r="ULE3" s="136"/>
      <c r="ULF3" s="136"/>
      <c r="ULG3" s="136"/>
      <c r="ULH3" s="136"/>
      <c r="ULI3" s="136"/>
      <c r="ULJ3" s="136"/>
      <c r="ULK3" s="136"/>
      <c r="ULL3" s="136"/>
      <c r="ULM3" s="136"/>
      <c r="ULN3" s="136"/>
      <c r="ULO3" s="136"/>
      <c r="ULP3" s="136"/>
      <c r="ULQ3" s="136"/>
      <c r="ULR3" s="136"/>
      <c r="ULS3" s="136"/>
      <c r="ULT3" s="136"/>
      <c r="ULU3" s="136"/>
      <c r="ULV3" s="136"/>
      <c r="ULW3" s="136"/>
      <c r="ULX3" s="136"/>
      <c r="ULY3" s="136"/>
      <c r="ULZ3" s="136"/>
      <c r="UMA3" s="136"/>
      <c r="UMB3" s="136"/>
      <c r="UMC3" s="136"/>
      <c r="UMD3" s="136"/>
      <c r="UME3" s="136"/>
      <c r="UMF3" s="136"/>
      <c r="UMG3" s="136"/>
      <c r="UMH3" s="136"/>
      <c r="UMI3" s="136"/>
      <c r="UMJ3" s="136"/>
      <c r="UMK3" s="136"/>
      <c r="UML3" s="136"/>
      <c r="UMM3" s="136"/>
      <c r="UMN3" s="136"/>
      <c r="UMO3" s="136"/>
      <c r="UMP3" s="136"/>
      <c r="UMQ3" s="136"/>
      <c r="UMR3" s="136"/>
      <c r="UMS3" s="136"/>
      <c r="UMT3" s="136"/>
      <c r="UMU3" s="136"/>
      <c r="UMV3" s="136"/>
      <c r="UMW3" s="136"/>
      <c r="UMX3" s="136"/>
      <c r="UMY3" s="136"/>
      <c r="UMZ3" s="136"/>
      <c r="UNA3" s="136"/>
      <c r="UNB3" s="136"/>
      <c r="UNC3" s="136"/>
      <c r="UND3" s="136"/>
      <c r="UNE3" s="136"/>
      <c r="UNF3" s="136"/>
      <c r="UNG3" s="136"/>
      <c r="UNH3" s="136"/>
      <c r="UNI3" s="136"/>
      <c r="UNJ3" s="136"/>
      <c r="UNK3" s="136"/>
      <c r="UNL3" s="136"/>
      <c r="UNM3" s="136"/>
      <c r="UNN3" s="136"/>
      <c r="UNO3" s="136"/>
      <c r="UNP3" s="136"/>
      <c r="UNQ3" s="136"/>
      <c r="UNR3" s="136"/>
      <c r="UNS3" s="136"/>
      <c r="UNT3" s="136"/>
      <c r="UNU3" s="136"/>
      <c r="UNV3" s="136"/>
      <c r="UNW3" s="136"/>
      <c r="UNX3" s="136"/>
      <c r="UNY3" s="136"/>
      <c r="UNZ3" s="136"/>
      <c r="UOA3" s="136"/>
      <c r="UOB3" s="136"/>
      <c r="UOC3" s="136"/>
      <c r="UOD3" s="136"/>
      <c r="UOE3" s="136"/>
      <c r="UOF3" s="136"/>
      <c r="UOG3" s="136"/>
      <c r="UOH3" s="136"/>
      <c r="UOI3" s="136"/>
      <c r="UOJ3" s="136"/>
      <c r="UOK3" s="136"/>
      <c r="UOL3" s="136"/>
      <c r="UOM3" s="136"/>
      <c r="UON3" s="136"/>
      <c r="UOO3" s="136"/>
      <c r="UOP3" s="136"/>
      <c r="UOQ3" s="136"/>
      <c r="UOR3" s="136"/>
      <c r="UOS3" s="136"/>
      <c r="UOT3" s="136"/>
      <c r="UOU3" s="136"/>
      <c r="UOV3" s="136"/>
      <c r="UOW3" s="136"/>
      <c r="UOX3" s="136"/>
      <c r="UOY3" s="136"/>
      <c r="UOZ3" s="136"/>
      <c r="UPA3" s="136"/>
      <c r="UPB3" s="136"/>
      <c r="UPC3" s="136"/>
      <c r="UPD3" s="136"/>
      <c r="UPE3" s="136"/>
      <c r="UPF3" s="136"/>
      <c r="UPG3" s="136"/>
      <c r="UPH3" s="136"/>
      <c r="UPI3" s="136"/>
      <c r="UPJ3" s="136"/>
      <c r="UPK3" s="136"/>
      <c r="UPL3" s="136"/>
      <c r="UPM3" s="136"/>
      <c r="UPN3" s="136"/>
      <c r="UPO3" s="136"/>
      <c r="UPP3" s="136"/>
      <c r="UPQ3" s="136"/>
      <c r="UPR3" s="136"/>
      <c r="UPS3" s="136"/>
      <c r="UPT3" s="136"/>
      <c r="UPU3" s="136"/>
      <c r="UPV3" s="136"/>
      <c r="UPW3" s="136"/>
      <c r="UPX3" s="136"/>
      <c r="UPY3" s="136"/>
      <c r="UPZ3" s="136"/>
      <c r="UQA3" s="136"/>
      <c r="UQB3" s="136"/>
      <c r="UQC3" s="136"/>
      <c r="UQD3" s="136"/>
      <c r="UQE3" s="136"/>
      <c r="UQF3" s="136"/>
      <c r="UQG3" s="136"/>
      <c r="UQH3" s="136"/>
      <c r="UQI3" s="136"/>
      <c r="UQJ3" s="136"/>
      <c r="UQK3" s="136"/>
      <c r="UQL3" s="136"/>
      <c r="UQM3" s="136"/>
      <c r="UQN3" s="136"/>
      <c r="UQO3" s="136"/>
      <c r="UQP3" s="136"/>
      <c r="UQQ3" s="136"/>
      <c r="UQR3" s="136"/>
      <c r="UQS3" s="136"/>
      <c r="UQT3" s="136"/>
      <c r="UQU3" s="136"/>
      <c r="UQV3" s="136"/>
      <c r="UQW3" s="136"/>
      <c r="UQX3" s="136"/>
      <c r="UQY3" s="136"/>
      <c r="UQZ3" s="136"/>
      <c r="URA3" s="136"/>
      <c r="URB3" s="136"/>
      <c r="URC3" s="136"/>
      <c r="URD3" s="136"/>
      <c r="URE3" s="136"/>
      <c r="URF3" s="136"/>
      <c r="URG3" s="136"/>
      <c r="URH3" s="136"/>
      <c r="URI3" s="136"/>
      <c r="URJ3" s="136"/>
      <c r="URK3" s="136"/>
      <c r="URL3" s="136"/>
      <c r="URM3" s="136"/>
      <c r="URN3" s="136"/>
      <c r="URO3" s="136"/>
      <c r="URP3" s="136"/>
      <c r="URQ3" s="136"/>
      <c r="URR3" s="136"/>
      <c r="URS3" s="136"/>
      <c r="URT3" s="136"/>
      <c r="URU3" s="136"/>
      <c r="URV3" s="136"/>
      <c r="URW3" s="136"/>
      <c r="URX3" s="136"/>
      <c r="URY3" s="136"/>
      <c r="URZ3" s="136"/>
      <c r="USA3" s="136"/>
      <c r="USB3" s="136"/>
      <c r="USC3" s="136"/>
      <c r="USD3" s="136"/>
      <c r="USE3" s="136"/>
      <c r="USF3" s="136"/>
      <c r="USG3" s="136"/>
      <c r="USH3" s="136"/>
      <c r="USI3" s="136"/>
      <c r="USJ3" s="136"/>
      <c r="USK3" s="136"/>
      <c r="USL3" s="136"/>
      <c r="USM3" s="136"/>
      <c r="USN3" s="136"/>
      <c r="USO3" s="136"/>
      <c r="USP3" s="136"/>
      <c r="USQ3" s="136"/>
      <c r="USR3" s="136"/>
      <c r="USS3" s="136"/>
      <c r="UST3" s="136"/>
      <c r="USU3" s="136"/>
      <c r="USV3" s="136"/>
      <c r="USW3" s="136"/>
      <c r="USX3" s="136"/>
      <c r="USY3" s="136"/>
      <c r="USZ3" s="136"/>
      <c r="UTA3" s="136"/>
      <c r="UTB3" s="136"/>
      <c r="UTC3" s="136"/>
      <c r="UTD3" s="136"/>
      <c r="UTE3" s="136"/>
      <c r="UTF3" s="136"/>
      <c r="UTG3" s="136"/>
      <c r="UTH3" s="136"/>
      <c r="UTI3" s="136"/>
      <c r="UTJ3" s="136"/>
      <c r="UTK3" s="136"/>
      <c r="UTL3" s="136"/>
      <c r="UTM3" s="136"/>
      <c r="UTN3" s="136"/>
      <c r="UTO3" s="136"/>
      <c r="UTP3" s="136"/>
      <c r="UTQ3" s="136"/>
      <c r="UTR3" s="136"/>
      <c r="UTS3" s="136"/>
      <c r="UTT3" s="136"/>
      <c r="UTU3" s="136"/>
      <c r="UTV3" s="136"/>
      <c r="UTW3" s="136"/>
      <c r="UTX3" s="136"/>
      <c r="UTY3" s="136"/>
      <c r="UTZ3" s="136"/>
      <c r="UUA3" s="136"/>
      <c r="UUB3" s="136"/>
      <c r="UUC3" s="136"/>
      <c r="UUD3" s="136"/>
      <c r="UUE3" s="136"/>
      <c r="UUF3" s="136"/>
      <c r="UUG3" s="136"/>
      <c r="UUH3" s="136"/>
      <c r="UUI3" s="136"/>
      <c r="UUJ3" s="136"/>
      <c r="UUK3" s="136"/>
      <c r="UUL3" s="136"/>
      <c r="UUM3" s="136"/>
      <c r="UUN3" s="136"/>
      <c r="UUO3" s="136"/>
      <c r="UUP3" s="136"/>
      <c r="UUQ3" s="136"/>
      <c r="UUR3" s="136"/>
      <c r="UUS3" s="136"/>
      <c r="UUT3" s="136"/>
      <c r="UUU3" s="136"/>
      <c r="UUV3" s="136"/>
      <c r="UUW3" s="136"/>
      <c r="UUX3" s="136"/>
      <c r="UUY3" s="136"/>
      <c r="UUZ3" s="136"/>
      <c r="UVA3" s="136"/>
      <c r="UVB3" s="136"/>
      <c r="UVC3" s="136"/>
      <c r="UVD3" s="136"/>
      <c r="UVE3" s="136"/>
      <c r="UVF3" s="136"/>
      <c r="UVG3" s="136"/>
      <c r="UVH3" s="136"/>
      <c r="UVI3" s="136"/>
      <c r="UVJ3" s="136"/>
      <c r="UVK3" s="136"/>
      <c r="UVL3" s="136"/>
      <c r="UVM3" s="136"/>
      <c r="UVN3" s="136"/>
      <c r="UVO3" s="136"/>
      <c r="UVP3" s="136"/>
      <c r="UVQ3" s="136"/>
      <c r="UVR3" s="136"/>
      <c r="UVS3" s="136"/>
      <c r="UVT3" s="136"/>
      <c r="UVU3" s="136"/>
      <c r="UVV3" s="136"/>
      <c r="UVW3" s="136"/>
      <c r="UVX3" s="136"/>
      <c r="UVY3" s="136"/>
      <c r="UVZ3" s="136"/>
      <c r="UWA3" s="136"/>
      <c r="UWB3" s="136"/>
      <c r="UWC3" s="136"/>
      <c r="UWD3" s="136"/>
      <c r="UWE3" s="136"/>
      <c r="UWF3" s="136"/>
      <c r="UWG3" s="136"/>
      <c r="UWH3" s="136"/>
      <c r="UWI3" s="136"/>
      <c r="UWJ3" s="136"/>
      <c r="UWK3" s="136"/>
      <c r="UWL3" s="136"/>
      <c r="UWM3" s="136"/>
      <c r="UWN3" s="136"/>
      <c r="UWO3" s="136"/>
      <c r="UWP3" s="136"/>
      <c r="UWQ3" s="136"/>
      <c r="UWR3" s="136"/>
      <c r="UWS3" s="136"/>
      <c r="UWT3" s="136"/>
      <c r="UWU3" s="136"/>
      <c r="UWV3" s="136"/>
      <c r="UWW3" s="136"/>
      <c r="UWX3" s="136"/>
      <c r="UWY3" s="136"/>
      <c r="UWZ3" s="136"/>
      <c r="UXA3" s="136"/>
      <c r="UXB3" s="136"/>
      <c r="UXC3" s="136"/>
      <c r="UXD3" s="136"/>
      <c r="UXE3" s="136"/>
      <c r="UXF3" s="136"/>
      <c r="UXG3" s="136"/>
      <c r="UXH3" s="136"/>
      <c r="UXI3" s="136"/>
      <c r="UXJ3" s="136"/>
      <c r="UXK3" s="136"/>
      <c r="UXL3" s="136"/>
      <c r="UXM3" s="136"/>
      <c r="UXN3" s="136"/>
      <c r="UXO3" s="136"/>
      <c r="UXP3" s="136"/>
      <c r="UXQ3" s="136"/>
      <c r="UXR3" s="136"/>
      <c r="UXS3" s="136"/>
      <c r="UXT3" s="136"/>
      <c r="UXU3" s="136"/>
      <c r="UXV3" s="136"/>
      <c r="UXW3" s="136"/>
      <c r="UXX3" s="136"/>
      <c r="UXY3" s="136"/>
      <c r="UXZ3" s="136"/>
      <c r="UYA3" s="136"/>
      <c r="UYB3" s="136"/>
      <c r="UYC3" s="136"/>
      <c r="UYD3" s="136"/>
      <c r="UYE3" s="136"/>
      <c r="UYF3" s="136"/>
      <c r="UYG3" s="136"/>
      <c r="UYH3" s="136"/>
      <c r="UYI3" s="136"/>
      <c r="UYJ3" s="136"/>
      <c r="UYK3" s="136"/>
      <c r="UYL3" s="136"/>
      <c r="UYM3" s="136"/>
      <c r="UYN3" s="136"/>
      <c r="UYO3" s="136"/>
      <c r="UYP3" s="136"/>
      <c r="UYQ3" s="136"/>
      <c r="UYR3" s="136"/>
      <c r="UYS3" s="136"/>
      <c r="UYT3" s="136"/>
      <c r="UYU3" s="136"/>
      <c r="UYV3" s="136"/>
      <c r="UYW3" s="136"/>
      <c r="UYX3" s="136"/>
      <c r="UYY3" s="136"/>
      <c r="UYZ3" s="136"/>
      <c r="UZA3" s="136"/>
      <c r="UZB3" s="136"/>
      <c r="UZC3" s="136"/>
      <c r="UZD3" s="136"/>
      <c r="UZE3" s="136"/>
      <c r="UZF3" s="136"/>
      <c r="UZG3" s="136"/>
      <c r="UZH3" s="136"/>
      <c r="UZI3" s="136"/>
      <c r="UZJ3" s="136"/>
      <c r="UZK3" s="136"/>
      <c r="UZL3" s="136"/>
      <c r="UZM3" s="136"/>
      <c r="UZN3" s="136"/>
      <c r="UZO3" s="136"/>
      <c r="UZP3" s="136"/>
      <c r="UZQ3" s="136"/>
      <c r="UZR3" s="136"/>
      <c r="UZS3" s="136"/>
      <c r="UZT3" s="136"/>
      <c r="UZU3" s="136"/>
      <c r="UZV3" s="136"/>
      <c r="UZW3" s="136"/>
      <c r="UZX3" s="136"/>
      <c r="UZY3" s="136"/>
      <c r="UZZ3" s="136"/>
      <c r="VAA3" s="136"/>
      <c r="VAB3" s="136"/>
      <c r="VAC3" s="136"/>
      <c r="VAD3" s="136"/>
      <c r="VAE3" s="136"/>
      <c r="VAF3" s="136"/>
      <c r="VAG3" s="136"/>
      <c r="VAH3" s="136"/>
      <c r="VAI3" s="136"/>
      <c r="VAJ3" s="136"/>
      <c r="VAK3" s="136"/>
      <c r="VAL3" s="136"/>
      <c r="VAM3" s="136"/>
      <c r="VAN3" s="136"/>
      <c r="VAO3" s="136"/>
      <c r="VAP3" s="136"/>
      <c r="VAQ3" s="136"/>
      <c r="VAR3" s="136"/>
      <c r="VAS3" s="136"/>
      <c r="VAT3" s="136"/>
      <c r="VAU3" s="136"/>
      <c r="VAV3" s="136"/>
      <c r="VAW3" s="136"/>
      <c r="VAX3" s="136"/>
      <c r="VAY3" s="136"/>
      <c r="VAZ3" s="136"/>
      <c r="VBA3" s="136"/>
      <c r="VBB3" s="136"/>
      <c r="VBC3" s="136"/>
      <c r="VBD3" s="136"/>
      <c r="VBE3" s="136"/>
      <c r="VBF3" s="136"/>
      <c r="VBG3" s="136"/>
      <c r="VBH3" s="136"/>
      <c r="VBI3" s="136"/>
      <c r="VBJ3" s="136"/>
      <c r="VBK3" s="136"/>
      <c r="VBL3" s="136"/>
      <c r="VBM3" s="136"/>
      <c r="VBN3" s="136"/>
      <c r="VBO3" s="136"/>
      <c r="VBP3" s="136"/>
      <c r="VBQ3" s="136"/>
      <c r="VBR3" s="136"/>
      <c r="VBS3" s="136"/>
      <c r="VBT3" s="136"/>
      <c r="VBU3" s="136"/>
      <c r="VBV3" s="136"/>
      <c r="VBW3" s="136"/>
      <c r="VBX3" s="136"/>
      <c r="VBY3" s="136"/>
      <c r="VBZ3" s="136"/>
      <c r="VCA3" s="136"/>
      <c r="VCB3" s="136"/>
      <c r="VCC3" s="136"/>
      <c r="VCD3" s="136"/>
      <c r="VCE3" s="136"/>
      <c r="VCF3" s="136"/>
      <c r="VCG3" s="136"/>
      <c r="VCH3" s="136"/>
      <c r="VCI3" s="136"/>
      <c r="VCJ3" s="136"/>
      <c r="VCK3" s="136"/>
      <c r="VCL3" s="136"/>
      <c r="VCM3" s="136"/>
      <c r="VCN3" s="136"/>
      <c r="VCO3" s="136"/>
      <c r="VCP3" s="136"/>
      <c r="VCQ3" s="136"/>
      <c r="VCR3" s="136"/>
      <c r="VCS3" s="136"/>
      <c r="VCT3" s="136"/>
      <c r="VCU3" s="136"/>
      <c r="VCV3" s="136"/>
      <c r="VCW3" s="136"/>
      <c r="VCX3" s="136"/>
      <c r="VCY3" s="136"/>
      <c r="VCZ3" s="136"/>
      <c r="VDA3" s="136"/>
      <c r="VDB3" s="136"/>
      <c r="VDC3" s="136"/>
      <c r="VDD3" s="136"/>
      <c r="VDE3" s="136"/>
      <c r="VDF3" s="136"/>
      <c r="VDG3" s="136"/>
      <c r="VDH3" s="136"/>
      <c r="VDI3" s="136"/>
      <c r="VDJ3" s="136"/>
      <c r="VDK3" s="136"/>
      <c r="VDL3" s="136"/>
      <c r="VDM3" s="136"/>
      <c r="VDN3" s="136"/>
      <c r="VDO3" s="136"/>
      <c r="VDP3" s="136"/>
      <c r="VDQ3" s="136"/>
      <c r="VDR3" s="136"/>
      <c r="VDS3" s="136"/>
      <c r="VDT3" s="136"/>
      <c r="VDU3" s="136"/>
      <c r="VDV3" s="136"/>
      <c r="VDW3" s="136"/>
      <c r="VDX3" s="136"/>
      <c r="VDY3" s="136"/>
      <c r="VDZ3" s="136"/>
      <c r="VEA3" s="136"/>
      <c r="VEB3" s="136"/>
      <c r="VEC3" s="136"/>
      <c r="VED3" s="136"/>
      <c r="VEE3" s="136"/>
      <c r="VEF3" s="136"/>
      <c r="VEG3" s="136"/>
      <c r="VEH3" s="136"/>
      <c r="VEI3" s="136"/>
      <c r="VEJ3" s="136"/>
      <c r="VEK3" s="136"/>
      <c r="VEL3" s="136"/>
      <c r="VEM3" s="136"/>
      <c r="VEN3" s="136"/>
      <c r="VEO3" s="136"/>
      <c r="VEP3" s="136"/>
      <c r="VEQ3" s="136"/>
      <c r="VER3" s="136"/>
      <c r="VES3" s="136"/>
      <c r="VET3" s="136"/>
      <c r="VEU3" s="136"/>
      <c r="VEV3" s="136"/>
      <c r="VEW3" s="136"/>
      <c r="VEX3" s="136"/>
      <c r="VEY3" s="136"/>
      <c r="VEZ3" s="136"/>
      <c r="VFA3" s="136"/>
      <c r="VFB3" s="136"/>
      <c r="VFC3" s="136"/>
      <c r="VFD3" s="136"/>
      <c r="VFE3" s="136"/>
      <c r="VFF3" s="136"/>
      <c r="VFG3" s="136"/>
      <c r="VFH3" s="136"/>
      <c r="VFI3" s="136"/>
      <c r="VFJ3" s="136"/>
      <c r="VFK3" s="136"/>
      <c r="VFL3" s="136"/>
      <c r="VFM3" s="136"/>
      <c r="VFN3" s="136"/>
      <c r="VFO3" s="136"/>
      <c r="VFP3" s="136"/>
      <c r="VFQ3" s="136"/>
      <c r="VFR3" s="136"/>
      <c r="VFS3" s="136"/>
      <c r="VFT3" s="136"/>
      <c r="VFU3" s="136"/>
      <c r="VFV3" s="136"/>
      <c r="VFW3" s="136"/>
      <c r="VFX3" s="136"/>
      <c r="VFY3" s="136"/>
      <c r="VFZ3" s="136"/>
      <c r="VGA3" s="136"/>
      <c r="VGB3" s="136"/>
      <c r="VGC3" s="136"/>
      <c r="VGD3" s="136"/>
      <c r="VGE3" s="136"/>
      <c r="VGF3" s="136"/>
      <c r="VGG3" s="136"/>
      <c r="VGH3" s="136"/>
      <c r="VGI3" s="136"/>
      <c r="VGJ3" s="136"/>
      <c r="VGK3" s="136"/>
      <c r="VGL3" s="136"/>
      <c r="VGM3" s="136"/>
      <c r="VGN3" s="136"/>
      <c r="VGO3" s="136"/>
      <c r="VGP3" s="136"/>
      <c r="VGQ3" s="136"/>
      <c r="VGR3" s="136"/>
      <c r="VGS3" s="136"/>
      <c r="VGT3" s="136"/>
      <c r="VGU3" s="136"/>
      <c r="VGV3" s="136"/>
      <c r="VGW3" s="136"/>
      <c r="VGX3" s="136"/>
      <c r="VGY3" s="136"/>
      <c r="VGZ3" s="136"/>
      <c r="VHA3" s="136"/>
      <c r="VHB3" s="136"/>
      <c r="VHC3" s="136"/>
      <c r="VHD3" s="136"/>
      <c r="VHE3" s="136"/>
      <c r="VHF3" s="136"/>
      <c r="VHG3" s="136"/>
      <c r="VHH3" s="136"/>
      <c r="VHI3" s="136"/>
      <c r="VHJ3" s="136"/>
      <c r="VHK3" s="136"/>
      <c r="VHL3" s="136"/>
      <c r="VHM3" s="136"/>
      <c r="VHN3" s="136"/>
      <c r="VHO3" s="136"/>
      <c r="VHP3" s="136"/>
      <c r="VHQ3" s="136"/>
      <c r="VHR3" s="136"/>
      <c r="VHS3" s="136"/>
      <c r="VHT3" s="136"/>
      <c r="VHU3" s="136"/>
      <c r="VHV3" s="136"/>
      <c r="VHW3" s="136"/>
      <c r="VHX3" s="136"/>
      <c r="VHY3" s="136"/>
      <c r="VHZ3" s="136"/>
      <c r="VIA3" s="136"/>
      <c r="VIB3" s="136"/>
      <c r="VIC3" s="136"/>
      <c r="VID3" s="136"/>
      <c r="VIE3" s="136"/>
      <c r="VIF3" s="136"/>
      <c r="VIG3" s="136"/>
      <c r="VIH3" s="136"/>
      <c r="VII3" s="136"/>
      <c r="VIJ3" s="136"/>
      <c r="VIK3" s="136"/>
      <c r="VIL3" s="136"/>
      <c r="VIM3" s="136"/>
      <c r="VIN3" s="136"/>
      <c r="VIO3" s="136"/>
      <c r="VIP3" s="136"/>
      <c r="VIQ3" s="136"/>
      <c r="VIR3" s="136"/>
      <c r="VIS3" s="136"/>
      <c r="VIT3" s="136"/>
      <c r="VIU3" s="136"/>
      <c r="VIV3" s="136"/>
      <c r="VIW3" s="136"/>
      <c r="VIX3" s="136"/>
      <c r="VIY3" s="136"/>
      <c r="VIZ3" s="136"/>
      <c r="VJA3" s="136"/>
      <c r="VJB3" s="136"/>
      <c r="VJC3" s="136"/>
      <c r="VJD3" s="136"/>
      <c r="VJE3" s="136"/>
      <c r="VJF3" s="136"/>
      <c r="VJG3" s="136"/>
      <c r="VJH3" s="136"/>
      <c r="VJI3" s="136"/>
      <c r="VJJ3" s="136"/>
      <c r="VJK3" s="136"/>
      <c r="VJL3" s="136"/>
      <c r="VJM3" s="136"/>
      <c r="VJN3" s="136"/>
      <c r="VJO3" s="136"/>
      <c r="VJP3" s="136"/>
      <c r="VJQ3" s="136"/>
      <c r="VJR3" s="136"/>
      <c r="VJS3" s="136"/>
      <c r="VJT3" s="136"/>
      <c r="VJU3" s="136"/>
      <c r="VJV3" s="136"/>
      <c r="VJW3" s="136"/>
      <c r="VJX3" s="136"/>
      <c r="VJY3" s="136"/>
      <c r="VJZ3" s="136"/>
      <c r="VKA3" s="136"/>
      <c r="VKB3" s="136"/>
      <c r="VKC3" s="136"/>
      <c r="VKD3" s="136"/>
      <c r="VKE3" s="136"/>
      <c r="VKF3" s="136"/>
      <c r="VKG3" s="136"/>
      <c r="VKH3" s="136"/>
      <c r="VKI3" s="136"/>
      <c r="VKJ3" s="136"/>
      <c r="VKK3" s="136"/>
      <c r="VKL3" s="136"/>
      <c r="VKM3" s="136"/>
      <c r="VKN3" s="136"/>
      <c r="VKO3" s="136"/>
      <c r="VKP3" s="136"/>
      <c r="VKQ3" s="136"/>
      <c r="VKR3" s="136"/>
      <c r="VKS3" s="136"/>
      <c r="VKT3" s="136"/>
      <c r="VKU3" s="136"/>
      <c r="VKV3" s="136"/>
      <c r="VKW3" s="136"/>
      <c r="VKX3" s="136"/>
      <c r="VKY3" s="136"/>
      <c r="VKZ3" s="136"/>
      <c r="VLA3" s="136"/>
      <c r="VLB3" s="136"/>
      <c r="VLC3" s="136"/>
      <c r="VLD3" s="136"/>
      <c r="VLE3" s="136"/>
      <c r="VLF3" s="136"/>
      <c r="VLG3" s="136"/>
      <c r="VLH3" s="136"/>
      <c r="VLI3" s="136"/>
      <c r="VLJ3" s="136"/>
      <c r="VLK3" s="136"/>
      <c r="VLL3" s="136"/>
      <c r="VLM3" s="136"/>
      <c r="VLN3" s="136"/>
      <c r="VLO3" s="136"/>
      <c r="VLP3" s="136"/>
      <c r="VLQ3" s="136"/>
      <c r="VLR3" s="136"/>
      <c r="VLS3" s="136"/>
      <c r="VLT3" s="136"/>
      <c r="VLU3" s="136"/>
      <c r="VLV3" s="136"/>
      <c r="VLW3" s="136"/>
      <c r="VLX3" s="136"/>
      <c r="VLY3" s="136"/>
      <c r="VLZ3" s="136"/>
      <c r="VMA3" s="136"/>
      <c r="VMB3" s="136"/>
      <c r="VMC3" s="136"/>
      <c r="VMD3" s="136"/>
      <c r="VME3" s="136"/>
      <c r="VMF3" s="136"/>
      <c r="VMG3" s="136"/>
      <c r="VMH3" s="136"/>
      <c r="VMI3" s="136"/>
      <c r="VMJ3" s="136"/>
      <c r="VMK3" s="136"/>
      <c r="VML3" s="136"/>
      <c r="VMM3" s="136"/>
      <c r="VMN3" s="136"/>
      <c r="VMO3" s="136"/>
      <c r="VMP3" s="136"/>
      <c r="VMQ3" s="136"/>
      <c r="VMR3" s="136"/>
      <c r="VMS3" s="136"/>
      <c r="VMT3" s="136"/>
      <c r="VMU3" s="136"/>
      <c r="VMV3" s="136"/>
      <c r="VMW3" s="136"/>
      <c r="VMX3" s="136"/>
      <c r="VMY3" s="136"/>
      <c r="VMZ3" s="136"/>
      <c r="VNA3" s="136"/>
      <c r="VNB3" s="136"/>
      <c r="VNC3" s="136"/>
      <c r="VND3" s="136"/>
      <c r="VNE3" s="136"/>
      <c r="VNF3" s="136"/>
      <c r="VNG3" s="136"/>
      <c r="VNH3" s="136"/>
      <c r="VNI3" s="136"/>
      <c r="VNJ3" s="136"/>
      <c r="VNK3" s="136"/>
      <c r="VNL3" s="136"/>
      <c r="VNM3" s="136"/>
      <c r="VNN3" s="136"/>
      <c r="VNO3" s="136"/>
      <c r="VNP3" s="136"/>
      <c r="VNQ3" s="136"/>
      <c r="VNR3" s="136"/>
      <c r="VNS3" s="136"/>
      <c r="VNT3" s="136"/>
      <c r="VNU3" s="136"/>
      <c r="VNV3" s="136"/>
      <c r="VNW3" s="136"/>
      <c r="VNX3" s="136"/>
      <c r="VNY3" s="136"/>
      <c r="VNZ3" s="136"/>
      <c r="VOA3" s="136"/>
      <c r="VOB3" s="136"/>
      <c r="VOC3" s="136"/>
      <c r="VOD3" s="136"/>
      <c r="VOE3" s="136"/>
      <c r="VOF3" s="136"/>
      <c r="VOG3" s="136"/>
      <c r="VOH3" s="136"/>
      <c r="VOI3" s="136"/>
      <c r="VOJ3" s="136"/>
      <c r="VOK3" s="136"/>
      <c r="VOL3" s="136"/>
      <c r="VOM3" s="136"/>
      <c r="VON3" s="136"/>
      <c r="VOO3" s="136"/>
      <c r="VOP3" s="136"/>
      <c r="VOQ3" s="136"/>
      <c r="VOR3" s="136"/>
      <c r="VOS3" s="136"/>
      <c r="VOT3" s="136"/>
      <c r="VOU3" s="136"/>
      <c r="VOV3" s="136"/>
      <c r="VOW3" s="136"/>
      <c r="VOX3" s="136"/>
      <c r="VOY3" s="136"/>
      <c r="VOZ3" s="136"/>
      <c r="VPA3" s="136"/>
      <c r="VPB3" s="136"/>
      <c r="VPC3" s="136"/>
      <c r="VPD3" s="136"/>
      <c r="VPE3" s="136"/>
      <c r="VPF3" s="136"/>
      <c r="VPG3" s="136"/>
      <c r="VPH3" s="136"/>
      <c r="VPI3" s="136"/>
      <c r="VPJ3" s="136"/>
      <c r="VPK3" s="136"/>
      <c r="VPL3" s="136"/>
      <c r="VPM3" s="136"/>
      <c r="VPN3" s="136"/>
      <c r="VPO3" s="136"/>
      <c r="VPP3" s="136"/>
      <c r="VPQ3" s="136"/>
      <c r="VPR3" s="136"/>
      <c r="VPS3" s="136"/>
      <c r="VPT3" s="136"/>
      <c r="VPU3" s="136"/>
      <c r="VPV3" s="136"/>
      <c r="VPW3" s="136"/>
      <c r="VPX3" s="136"/>
      <c r="VPY3" s="136"/>
      <c r="VPZ3" s="136"/>
      <c r="VQA3" s="136"/>
      <c r="VQB3" s="136"/>
      <c r="VQC3" s="136"/>
      <c r="VQD3" s="136"/>
      <c r="VQE3" s="136"/>
      <c r="VQF3" s="136"/>
      <c r="VQG3" s="136"/>
      <c r="VQH3" s="136"/>
      <c r="VQI3" s="136"/>
      <c r="VQJ3" s="136"/>
      <c r="VQK3" s="136"/>
      <c r="VQL3" s="136"/>
      <c r="VQM3" s="136"/>
      <c r="VQN3" s="136"/>
      <c r="VQO3" s="136"/>
      <c r="VQP3" s="136"/>
      <c r="VQQ3" s="136"/>
      <c r="VQR3" s="136"/>
      <c r="VQS3" s="136"/>
      <c r="VQT3" s="136"/>
      <c r="VQU3" s="136"/>
      <c r="VQV3" s="136"/>
      <c r="VQW3" s="136"/>
      <c r="VQX3" s="136"/>
      <c r="VQY3" s="136"/>
      <c r="VQZ3" s="136"/>
      <c r="VRA3" s="136"/>
      <c r="VRB3" s="136"/>
      <c r="VRC3" s="136"/>
      <c r="VRD3" s="136"/>
      <c r="VRE3" s="136"/>
      <c r="VRF3" s="136"/>
      <c r="VRG3" s="136"/>
      <c r="VRH3" s="136"/>
      <c r="VRI3" s="136"/>
      <c r="VRJ3" s="136"/>
      <c r="VRK3" s="136"/>
      <c r="VRL3" s="136"/>
      <c r="VRM3" s="136"/>
      <c r="VRN3" s="136"/>
      <c r="VRO3" s="136"/>
      <c r="VRP3" s="136"/>
      <c r="VRQ3" s="136"/>
      <c r="VRR3" s="136"/>
      <c r="VRS3" s="136"/>
      <c r="VRT3" s="136"/>
      <c r="VRU3" s="136"/>
      <c r="VRV3" s="136"/>
      <c r="VRW3" s="136"/>
      <c r="VRX3" s="136"/>
      <c r="VRY3" s="136"/>
      <c r="VRZ3" s="136"/>
      <c r="VSA3" s="136"/>
      <c r="VSB3" s="136"/>
      <c r="VSC3" s="136"/>
      <c r="VSD3" s="136"/>
      <c r="VSE3" s="136"/>
      <c r="VSF3" s="136"/>
      <c r="VSG3" s="136"/>
      <c r="VSH3" s="136"/>
      <c r="VSI3" s="136"/>
      <c r="VSJ3" s="136"/>
      <c r="VSK3" s="136"/>
      <c r="VSL3" s="136"/>
      <c r="VSM3" s="136"/>
      <c r="VSN3" s="136"/>
      <c r="VSO3" s="136"/>
      <c r="VSP3" s="136"/>
      <c r="VSQ3" s="136"/>
      <c r="VSR3" s="136"/>
      <c r="VSS3" s="136"/>
      <c r="VST3" s="136"/>
      <c r="VSU3" s="136"/>
      <c r="VSV3" s="136"/>
      <c r="VSW3" s="136"/>
      <c r="VSX3" s="136"/>
      <c r="VSY3" s="136"/>
      <c r="VSZ3" s="136"/>
      <c r="VTA3" s="136"/>
      <c r="VTB3" s="136"/>
      <c r="VTC3" s="136"/>
      <c r="VTD3" s="136"/>
      <c r="VTE3" s="136"/>
      <c r="VTF3" s="136"/>
      <c r="VTG3" s="136"/>
      <c r="VTH3" s="136"/>
      <c r="VTI3" s="136"/>
      <c r="VTJ3" s="136"/>
      <c r="VTK3" s="136"/>
      <c r="VTL3" s="136"/>
      <c r="VTM3" s="136"/>
      <c r="VTN3" s="136"/>
      <c r="VTO3" s="136"/>
      <c r="VTP3" s="136"/>
      <c r="VTQ3" s="136"/>
      <c r="VTR3" s="136"/>
      <c r="VTS3" s="136"/>
      <c r="VTT3" s="136"/>
      <c r="VTU3" s="136"/>
      <c r="VTV3" s="136"/>
      <c r="VTW3" s="136"/>
      <c r="VTX3" s="136"/>
      <c r="VTY3" s="136"/>
      <c r="VTZ3" s="136"/>
      <c r="VUA3" s="136"/>
      <c r="VUB3" s="136"/>
      <c r="VUC3" s="136"/>
      <c r="VUD3" s="136"/>
      <c r="VUE3" s="136"/>
      <c r="VUF3" s="136"/>
      <c r="VUG3" s="136"/>
      <c r="VUH3" s="136"/>
      <c r="VUI3" s="136"/>
      <c r="VUJ3" s="136"/>
      <c r="VUK3" s="136"/>
      <c r="VUL3" s="136"/>
      <c r="VUM3" s="136"/>
      <c r="VUN3" s="136"/>
      <c r="VUO3" s="136"/>
      <c r="VUP3" s="136"/>
      <c r="VUQ3" s="136"/>
      <c r="VUR3" s="136"/>
      <c r="VUS3" s="136"/>
      <c r="VUT3" s="136"/>
      <c r="VUU3" s="136"/>
      <c r="VUV3" s="136"/>
      <c r="VUW3" s="136"/>
      <c r="VUX3" s="136"/>
      <c r="VUY3" s="136"/>
      <c r="VUZ3" s="136"/>
      <c r="VVA3" s="136"/>
      <c r="VVB3" s="136"/>
      <c r="VVC3" s="136"/>
      <c r="VVD3" s="136"/>
      <c r="VVE3" s="136"/>
      <c r="VVF3" s="136"/>
      <c r="VVG3" s="136"/>
      <c r="VVH3" s="136"/>
      <c r="VVI3" s="136"/>
      <c r="VVJ3" s="136"/>
      <c r="VVK3" s="136"/>
      <c r="VVL3" s="136"/>
      <c r="VVM3" s="136"/>
      <c r="VVN3" s="136"/>
      <c r="VVO3" s="136"/>
      <c r="VVP3" s="136"/>
      <c r="VVQ3" s="136"/>
      <c r="VVR3" s="136"/>
      <c r="VVS3" s="136"/>
      <c r="VVT3" s="136"/>
      <c r="VVU3" s="136"/>
      <c r="VVV3" s="136"/>
      <c r="VVW3" s="136"/>
      <c r="VVX3" s="136"/>
      <c r="VVY3" s="136"/>
      <c r="VVZ3" s="136"/>
      <c r="VWA3" s="136"/>
      <c r="VWB3" s="136"/>
      <c r="VWC3" s="136"/>
      <c r="VWD3" s="136"/>
      <c r="VWE3" s="136"/>
      <c r="VWF3" s="136"/>
      <c r="VWG3" s="136"/>
      <c r="VWH3" s="136"/>
      <c r="VWI3" s="136"/>
      <c r="VWJ3" s="136"/>
      <c r="VWK3" s="136"/>
      <c r="VWL3" s="136"/>
      <c r="VWM3" s="136"/>
      <c r="VWN3" s="136"/>
      <c r="VWO3" s="136"/>
      <c r="VWP3" s="136"/>
      <c r="VWQ3" s="136"/>
      <c r="VWR3" s="136"/>
      <c r="VWS3" s="136"/>
      <c r="VWT3" s="136"/>
      <c r="VWU3" s="136"/>
      <c r="VWV3" s="136"/>
      <c r="VWW3" s="136"/>
      <c r="VWX3" s="136"/>
      <c r="VWY3" s="136"/>
      <c r="VWZ3" s="136"/>
      <c r="VXA3" s="136"/>
      <c r="VXB3" s="136"/>
      <c r="VXC3" s="136"/>
      <c r="VXD3" s="136"/>
      <c r="VXE3" s="136"/>
      <c r="VXF3" s="136"/>
      <c r="VXG3" s="136"/>
      <c r="VXH3" s="136"/>
      <c r="VXI3" s="136"/>
      <c r="VXJ3" s="136"/>
      <c r="VXK3" s="136"/>
      <c r="VXL3" s="136"/>
      <c r="VXM3" s="136"/>
      <c r="VXN3" s="136"/>
      <c r="VXO3" s="136"/>
      <c r="VXP3" s="136"/>
      <c r="VXQ3" s="136"/>
      <c r="VXR3" s="136"/>
      <c r="VXS3" s="136"/>
      <c r="VXT3" s="136"/>
      <c r="VXU3" s="136"/>
      <c r="VXV3" s="136"/>
      <c r="VXW3" s="136"/>
      <c r="VXX3" s="136"/>
      <c r="VXY3" s="136"/>
      <c r="VXZ3" s="136"/>
      <c r="VYA3" s="136"/>
      <c r="VYB3" s="136"/>
      <c r="VYC3" s="136"/>
      <c r="VYD3" s="136"/>
      <c r="VYE3" s="136"/>
      <c r="VYF3" s="136"/>
      <c r="VYG3" s="136"/>
      <c r="VYH3" s="136"/>
      <c r="VYI3" s="136"/>
      <c r="VYJ3" s="136"/>
      <c r="VYK3" s="136"/>
      <c r="VYL3" s="136"/>
      <c r="VYM3" s="136"/>
      <c r="VYN3" s="136"/>
      <c r="VYO3" s="136"/>
      <c r="VYP3" s="136"/>
      <c r="VYQ3" s="136"/>
      <c r="VYR3" s="136"/>
      <c r="VYS3" s="136"/>
      <c r="VYT3" s="136"/>
      <c r="VYU3" s="136"/>
      <c r="VYV3" s="136"/>
      <c r="VYW3" s="136"/>
      <c r="VYX3" s="136"/>
      <c r="VYY3" s="136"/>
      <c r="VYZ3" s="136"/>
      <c r="VZA3" s="136"/>
      <c r="VZB3" s="136"/>
      <c r="VZC3" s="136"/>
      <c r="VZD3" s="136"/>
      <c r="VZE3" s="136"/>
      <c r="VZF3" s="136"/>
      <c r="VZG3" s="136"/>
      <c r="VZH3" s="136"/>
      <c r="VZI3" s="136"/>
      <c r="VZJ3" s="136"/>
      <c r="VZK3" s="136"/>
      <c r="VZL3" s="136"/>
      <c r="VZM3" s="136"/>
      <c r="VZN3" s="136"/>
      <c r="VZO3" s="136"/>
      <c r="VZP3" s="136"/>
      <c r="VZQ3" s="136"/>
      <c r="VZR3" s="136"/>
      <c r="VZS3" s="136"/>
      <c r="VZT3" s="136"/>
      <c r="VZU3" s="136"/>
      <c r="VZV3" s="136"/>
      <c r="VZW3" s="136"/>
      <c r="VZX3" s="136"/>
      <c r="VZY3" s="136"/>
      <c r="VZZ3" s="136"/>
      <c r="WAA3" s="136"/>
      <c r="WAB3" s="136"/>
      <c r="WAC3" s="136"/>
      <c r="WAD3" s="136"/>
      <c r="WAE3" s="136"/>
      <c r="WAF3" s="136"/>
      <c r="WAG3" s="136"/>
      <c r="WAH3" s="136"/>
      <c r="WAI3" s="136"/>
      <c r="WAJ3" s="136"/>
      <c r="WAK3" s="136"/>
      <c r="WAL3" s="136"/>
      <c r="WAM3" s="136"/>
      <c r="WAN3" s="136"/>
      <c r="WAO3" s="136"/>
      <c r="WAP3" s="136"/>
      <c r="WAQ3" s="136"/>
      <c r="WAR3" s="136"/>
      <c r="WAS3" s="136"/>
      <c r="WAT3" s="136"/>
      <c r="WAU3" s="136"/>
      <c r="WAV3" s="136"/>
      <c r="WAW3" s="136"/>
      <c r="WAX3" s="136"/>
      <c r="WAY3" s="136"/>
      <c r="WAZ3" s="136"/>
      <c r="WBA3" s="136"/>
      <c r="WBB3" s="136"/>
      <c r="WBC3" s="136"/>
      <c r="WBD3" s="136"/>
      <c r="WBE3" s="136"/>
      <c r="WBF3" s="136"/>
      <c r="WBG3" s="136"/>
      <c r="WBH3" s="136"/>
      <c r="WBI3" s="136"/>
      <c r="WBJ3" s="136"/>
      <c r="WBK3" s="136"/>
      <c r="WBL3" s="136"/>
      <c r="WBM3" s="136"/>
      <c r="WBN3" s="136"/>
      <c r="WBO3" s="136"/>
      <c r="WBP3" s="136"/>
      <c r="WBQ3" s="136"/>
      <c r="WBR3" s="136"/>
      <c r="WBS3" s="136"/>
      <c r="WBT3" s="136"/>
      <c r="WBU3" s="136"/>
      <c r="WBV3" s="136"/>
      <c r="WBW3" s="136"/>
      <c r="WBX3" s="136"/>
      <c r="WBY3" s="136"/>
      <c r="WBZ3" s="136"/>
      <c r="WCA3" s="136"/>
      <c r="WCB3" s="136"/>
      <c r="WCC3" s="136"/>
      <c r="WCD3" s="136"/>
      <c r="WCE3" s="136"/>
      <c r="WCF3" s="136"/>
      <c r="WCG3" s="136"/>
      <c r="WCH3" s="136"/>
      <c r="WCI3" s="136"/>
      <c r="WCJ3" s="136"/>
      <c r="WCK3" s="136"/>
      <c r="WCL3" s="136"/>
      <c r="WCM3" s="136"/>
      <c r="WCN3" s="136"/>
      <c r="WCO3" s="136"/>
      <c r="WCP3" s="136"/>
      <c r="WCQ3" s="136"/>
      <c r="WCR3" s="136"/>
      <c r="WCS3" s="136"/>
      <c r="WCT3" s="136"/>
      <c r="WCU3" s="136"/>
      <c r="WCV3" s="136"/>
      <c r="WCW3" s="136"/>
      <c r="WCX3" s="136"/>
      <c r="WCY3" s="136"/>
      <c r="WCZ3" s="136"/>
      <c r="WDA3" s="136"/>
      <c r="WDB3" s="136"/>
      <c r="WDC3" s="136"/>
      <c r="WDD3" s="136"/>
      <c r="WDE3" s="136"/>
      <c r="WDF3" s="136"/>
      <c r="WDG3" s="136"/>
      <c r="WDH3" s="136"/>
      <c r="WDI3" s="136"/>
      <c r="WDJ3" s="136"/>
      <c r="WDK3" s="136"/>
      <c r="WDL3" s="136"/>
      <c r="WDM3" s="136"/>
      <c r="WDN3" s="136"/>
      <c r="WDO3" s="136"/>
      <c r="WDP3" s="136"/>
      <c r="WDQ3" s="136"/>
      <c r="WDR3" s="136"/>
      <c r="WDS3" s="136"/>
      <c r="WDT3" s="136"/>
      <c r="WDU3" s="136"/>
      <c r="WDV3" s="136"/>
      <c r="WDW3" s="136"/>
      <c r="WDX3" s="136"/>
      <c r="WDY3" s="136"/>
      <c r="WDZ3" s="136"/>
      <c r="WEA3" s="136"/>
      <c r="WEB3" s="136"/>
      <c r="WEC3" s="136"/>
      <c r="WED3" s="136"/>
      <c r="WEE3" s="136"/>
      <c r="WEF3" s="136"/>
      <c r="WEG3" s="136"/>
      <c r="WEH3" s="136"/>
      <c r="WEI3" s="136"/>
      <c r="WEJ3" s="136"/>
      <c r="WEK3" s="136"/>
      <c r="WEL3" s="136"/>
      <c r="WEM3" s="136"/>
      <c r="WEN3" s="136"/>
      <c r="WEO3" s="136"/>
      <c r="WEP3" s="136"/>
      <c r="WEQ3" s="136"/>
      <c r="WER3" s="136"/>
      <c r="WES3" s="136"/>
      <c r="WET3" s="136"/>
      <c r="WEU3" s="136"/>
      <c r="WEV3" s="136"/>
      <c r="WEW3" s="136"/>
      <c r="WEX3" s="136"/>
      <c r="WEY3" s="136"/>
      <c r="WEZ3" s="136"/>
      <c r="WFA3" s="136"/>
      <c r="WFB3" s="136"/>
      <c r="WFC3" s="136"/>
      <c r="WFD3" s="136"/>
      <c r="WFE3" s="136"/>
      <c r="WFF3" s="136"/>
      <c r="WFG3" s="136"/>
      <c r="WFH3" s="136"/>
      <c r="WFI3" s="136"/>
      <c r="WFJ3" s="136"/>
      <c r="WFK3" s="136"/>
      <c r="WFL3" s="136"/>
      <c r="WFM3" s="136"/>
      <c r="WFN3" s="136"/>
      <c r="WFO3" s="136"/>
      <c r="WFP3" s="136"/>
      <c r="WFQ3" s="136"/>
      <c r="WFR3" s="136"/>
      <c r="WFS3" s="136"/>
      <c r="WFT3" s="136"/>
      <c r="WFU3" s="136"/>
      <c r="WFV3" s="136"/>
      <c r="WFW3" s="136"/>
      <c r="WFX3" s="136"/>
      <c r="WFY3" s="136"/>
      <c r="WFZ3" s="136"/>
      <c r="WGA3" s="136"/>
      <c r="WGB3" s="136"/>
      <c r="WGC3" s="136"/>
      <c r="WGD3" s="136"/>
      <c r="WGE3" s="136"/>
      <c r="WGF3" s="136"/>
      <c r="WGG3" s="136"/>
      <c r="WGH3" s="136"/>
      <c r="WGI3" s="136"/>
      <c r="WGJ3" s="136"/>
      <c r="WGK3" s="136"/>
      <c r="WGL3" s="136"/>
      <c r="WGM3" s="136"/>
      <c r="WGN3" s="136"/>
      <c r="WGO3" s="136"/>
      <c r="WGP3" s="136"/>
      <c r="WGQ3" s="136"/>
      <c r="WGR3" s="136"/>
      <c r="WGS3" s="136"/>
      <c r="WGT3" s="136"/>
      <c r="WGU3" s="136"/>
      <c r="WGV3" s="136"/>
      <c r="WGW3" s="136"/>
      <c r="WGX3" s="136"/>
      <c r="WGY3" s="136"/>
      <c r="WGZ3" s="136"/>
      <c r="WHA3" s="136"/>
      <c r="WHB3" s="136"/>
      <c r="WHC3" s="136"/>
      <c r="WHD3" s="136"/>
      <c r="WHE3" s="136"/>
      <c r="WHF3" s="136"/>
      <c r="WHG3" s="136"/>
      <c r="WHH3" s="136"/>
      <c r="WHI3" s="136"/>
      <c r="WHJ3" s="136"/>
      <c r="WHK3" s="136"/>
      <c r="WHL3" s="136"/>
      <c r="WHM3" s="136"/>
      <c r="WHN3" s="136"/>
      <c r="WHO3" s="136"/>
      <c r="WHP3" s="136"/>
      <c r="WHQ3" s="136"/>
      <c r="WHR3" s="136"/>
      <c r="WHS3" s="136"/>
      <c r="WHT3" s="136"/>
      <c r="WHU3" s="136"/>
      <c r="WHV3" s="136"/>
      <c r="WHW3" s="136"/>
      <c r="WHX3" s="136"/>
      <c r="WHY3" s="136"/>
      <c r="WHZ3" s="136"/>
      <c r="WIA3" s="136"/>
      <c r="WIB3" s="136"/>
      <c r="WIC3" s="136"/>
      <c r="WID3" s="136"/>
      <c r="WIE3" s="136"/>
      <c r="WIF3" s="136"/>
      <c r="WIG3" s="136"/>
      <c r="WIH3" s="136"/>
      <c r="WII3" s="136"/>
      <c r="WIJ3" s="136"/>
      <c r="WIK3" s="136"/>
      <c r="WIL3" s="136"/>
      <c r="WIM3" s="136"/>
      <c r="WIN3" s="136"/>
      <c r="WIO3" s="136"/>
      <c r="WIP3" s="136"/>
      <c r="WIQ3" s="136"/>
      <c r="WIR3" s="136"/>
      <c r="WIS3" s="136"/>
      <c r="WIT3" s="136"/>
      <c r="WIU3" s="136"/>
      <c r="WIV3" s="136"/>
      <c r="WIW3" s="136"/>
      <c r="WIX3" s="136"/>
      <c r="WIY3" s="136"/>
      <c r="WIZ3" s="136"/>
      <c r="WJA3" s="136"/>
      <c r="WJB3" s="136"/>
      <c r="WJC3" s="136"/>
      <c r="WJD3" s="136"/>
      <c r="WJE3" s="136"/>
      <c r="WJF3" s="136"/>
      <c r="WJG3" s="136"/>
      <c r="WJH3" s="136"/>
      <c r="WJI3" s="136"/>
      <c r="WJJ3" s="136"/>
      <c r="WJK3" s="136"/>
      <c r="WJL3" s="136"/>
      <c r="WJM3" s="136"/>
      <c r="WJN3" s="136"/>
      <c r="WJO3" s="136"/>
      <c r="WJP3" s="136"/>
      <c r="WJQ3" s="136"/>
      <c r="WJR3" s="136"/>
      <c r="WJS3" s="136"/>
      <c r="WJT3" s="136"/>
      <c r="WJU3" s="136"/>
      <c r="WJV3" s="136"/>
      <c r="WJW3" s="136"/>
      <c r="WJX3" s="136"/>
      <c r="WJY3" s="136"/>
      <c r="WJZ3" s="136"/>
      <c r="WKA3" s="136"/>
      <c r="WKB3" s="136"/>
      <c r="WKC3" s="136"/>
      <c r="WKD3" s="136"/>
      <c r="WKE3" s="136"/>
      <c r="WKF3" s="136"/>
      <c r="WKG3" s="136"/>
      <c r="WKH3" s="136"/>
      <c r="WKI3" s="136"/>
      <c r="WKJ3" s="136"/>
      <c r="WKK3" s="136"/>
      <c r="WKL3" s="136"/>
      <c r="WKM3" s="136"/>
      <c r="WKN3" s="136"/>
      <c r="WKO3" s="136"/>
      <c r="WKP3" s="136"/>
      <c r="WKQ3" s="136"/>
      <c r="WKR3" s="136"/>
      <c r="WKS3" s="136"/>
      <c r="WKT3" s="136"/>
      <c r="WKU3" s="136"/>
      <c r="WKV3" s="136"/>
      <c r="WKW3" s="136"/>
      <c r="WKX3" s="136"/>
      <c r="WKY3" s="136"/>
      <c r="WKZ3" s="136"/>
      <c r="WLA3" s="136"/>
      <c r="WLB3" s="136"/>
      <c r="WLC3" s="136"/>
      <c r="WLD3" s="136"/>
      <c r="WLE3" s="136"/>
      <c r="WLF3" s="136"/>
      <c r="WLG3" s="136"/>
      <c r="WLH3" s="136"/>
      <c r="WLI3" s="136"/>
      <c r="WLJ3" s="136"/>
      <c r="WLK3" s="136"/>
      <c r="WLL3" s="136"/>
      <c r="WLM3" s="136"/>
      <c r="WLN3" s="136"/>
      <c r="WLO3" s="136"/>
      <c r="WLP3" s="136"/>
      <c r="WLQ3" s="136"/>
      <c r="WLR3" s="136"/>
      <c r="WLS3" s="136"/>
      <c r="WLT3" s="136"/>
      <c r="WLU3" s="136"/>
      <c r="WLV3" s="136"/>
      <c r="WLW3" s="136"/>
      <c r="WLX3" s="136"/>
      <c r="WLY3" s="136"/>
      <c r="WLZ3" s="136"/>
      <c r="WMA3" s="136"/>
      <c r="WMB3" s="136"/>
      <c r="WMC3" s="136"/>
      <c r="WMD3" s="136"/>
      <c r="WME3" s="136"/>
      <c r="WMF3" s="136"/>
      <c r="WMG3" s="136"/>
      <c r="WMH3" s="136"/>
      <c r="WMI3" s="136"/>
      <c r="WMJ3" s="136"/>
      <c r="WMK3" s="136"/>
      <c r="WML3" s="136"/>
      <c r="WMM3" s="136"/>
      <c r="WMN3" s="136"/>
      <c r="WMO3" s="136"/>
      <c r="WMP3" s="136"/>
      <c r="WMQ3" s="136"/>
      <c r="WMR3" s="136"/>
      <c r="WMS3" s="136"/>
      <c r="WMT3" s="136"/>
      <c r="WMU3" s="136"/>
      <c r="WMV3" s="136"/>
      <c r="WMW3" s="136"/>
      <c r="WMX3" s="136"/>
      <c r="WMY3" s="136"/>
      <c r="WMZ3" s="136"/>
      <c r="WNA3" s="136"/>
      <c r="WNB3" s="136"/>
      <c r="WNC3" s="136"/>
      <c r="WND3" s="136"/>
      <c r="WNE3" s="136"/>
      <c r="WNF3" s="136"/>
      <c r="WNG3" s="136"/>
      <c r="WNH3" s="136"/>
      <c r="WNI3" s="136"/>
      <c r="WNJ3" s="136"/>
      <c r="WNK3" s="136"/>
      <c r="WNL3" s="136"/>
      <c r="WNM3" s="136"/>
      <c r="WNN3" s="136"/>
      <c r="WNO3" s="136"/>
      <c r="WNP3" s="136"/>
      <c r="WNQ3" s="136"/>
      <c r="WNR3" s="136"/>
      <c r="WNS3" s="136"/>
      <c r="WNT3" s="136"/>
      <c r="WNU3" s="136"/>
      <c r="WNV3" s="136"/>
      <c r="WNW3" s="136"/>
      <c r="WNX3" s="136"/>
      <c r="WNY3" s="136"/>
      <c r="WNZ3" s="136"/>
      <c r="WOA3" s="136"/>
      <c r="WOB3" s="136"/>
      <c r="WOC3" s="136"/>
      <c r="WOD3" s="136"/>
      <c r="WOE3" s="136"/>
      <c r="WOF3" s="136"/>
      <c r="WOG3" s="136"/>
      <c r="WOH3" s="136"/>
      <c r="WOI3" s="136"/>
      <c r="WOJ3" s="136"/>
      <c r="WOK3" s="136"/>
      <c r="WOL3" s="136"/>
      <c r="WOM3" s="136"/>
      <c r="WON3" s="136"/>
      <c r="WOO3" s="136"/>
      <c r="WOP3" s="136"/>
      <c r="WOQ3" s="136"/>
      <c r="WOR3" s="136"/>
      <c r="WOS3" s="136"/>
      <c r="WOT3" s="136"/>
      <c r="WOU3" s="136"/>
      <c r="WOV3" s="136"/>
      <c r="WOW3" s="136"/>
      <c r="WOX3" s="136"/>
      <c r="WOY3" s="136"/>
      <c r="WOZ3" s="136"/>
      <c r="WPA3" s="136"/>
      <c r="WPB3" s="136"/>
      <c r="WPC3" s="136"/>
      <c r="WPD3" s="136"/>
      <c r="WPE3" s="136"/>
      <c r="WPF3" s="136"/>
      <c r="WPG3" s="136"/>
      <c r="WPH3" s="136"/>
      <c r="WPI3" s="136"/>
      <c r="WPJ3" s="136"/>
      <c r="WPK3" s="136"/>
      <c r="WPL3" s="136"/>
      <c r="WPM3" s="136"/>
      <c r="WPN3" s="136"/>
      <c r="WPO3" s="136"/>
      <c r="WPP3" s="136"/>
      <c r="WPQ3" s="136"/>
      <c r="WPR3" s="136"/>
      <c r="WPS3" s="136"/>
      <c r="WPT3" s="136"/>
      <c r="WPU3" s="136"/>
      <c r="WPV3" s="136"/>
      <c r="WPW3" s="136"/>
      <c r="WPX3" s="136"/>
      <c r="WPY3" s="136"/>
      <c r="WPZ3" s="136"/>
      <c r="WQA3" s="136"/>
      <c r="WQB3" s="136"/>
      <c r="WQC3" s="136"/>
      <c r="WQD3" s="136"/>
      <c r="WQE3" s="136"/>
      <c r="WQF3" s="136"/>
      <c r="WQG3" s="136"/>
      <c r="WQH3" s="136"/>
      <c r="WQI3" s="136"/>
      <c r="WQJ3" s="136"/>
      <c r="WQK3" s="136"/>
      <c r="WQL3" s="136"/>
      <c r="WQM3" s="136"/>
      <c r="WQN3" s="136"/>
      <c r="WQO3" s="136"/>
      <c r="WQP3" s="136"/>
      <c r="WQQ3" s="136"/>
      <c r="WQR3" s="136"/>
      <c r="WQS3" s="136"/>
      <c r="WQT3" s="136"/>
      <c r="WQU3" s="136"/>
      <c r="WQV3" s="136"/>
      <c r="WQW3" s="136"/>
      <c r="WQX3" s="136"/>
      <c r="WQY3" s="136"/>
      <c r="WQZ3" s="136"/>
      <c r="WRA3" s="136"/>
      <c r="WRB3" s="136"/>
      <c r="WRC3" s="136"/>
      <c r="WRD3" s="136"/>
      <c r="WRE3" s="136"/>
      <c r="WRF3" s="136"/>
      <c r="WRG3" s="136"/>
      <c r="WRH3" s="136"/>
      <c r="WRI3" s="136"/>
      <c r="WRJ3" s="136"/>
      <c r="WRK3" s="136"/>
      <c r="WRL3" s="136"/>
      <c r="WRM3" s="136"/>
      <c r="WRN3" s="136"/>
      <c r="WRO3" s="136"/>
      <c r="WRP3" s="136"/>
      <c r="WRQ3" s="136"/>
      <c r="WRR3" s="136"/>
      <c r="WRS3" s="136"/>
      <c r="WRT3" s="136"/>
      <c r="WRU3" s="136"/>
      <c r="WRV3" s="136"/>
      <c r="WRW3" s="136"/>
      <c r="WRX3" s="136"/>
      <c r="WRY3" s="136"/>
      <c r="WRZ3" s="136"/>
      <c r="WSA3" s="136"/>
      <c r="WSB3" s="136"/>
      <c r="WSC3" s="136"/>
      <c r="WSD3" s="136"/>
      <c r="WSE3" s="136"/>
      <c r="WSF3" s="136"/>
      <c r="WSG3" s="136"/>
      <c r="WSH3" s="136"/>
      <c r="WSI3" s="136"/>
      <c r="WSJ3" s="136"/>
      <c r="WSK3" s="136"/>
      <c r="WSL3" s="136"/>
      <c r="WSM3" s="136"/>
      <c r="WSN3" s="136"/>
      <c r="WSO3" s="136"/>
      <c r="WSP3" s="136"/>
      <c r="WSQ3" s="136"/>
      <c r="WSR3" s="136"/>
      <c r="WSS3" s="136"/>
      <c r="WST3" s="136"/>
      <c r="WSU3" s="136"/>
      <c r="WSV3" s="136"/>
      <c r="WSW3" s="136"/>
      <c r="WSX3" s="136"/>
      <c r="WSY3" s="136"/>
      <c r="WSZ3" s="136"/>
      <c r="WTA3" s="136"/>
      <c r="WTB3" s="136"/>
      <c r="WTC3" s="136"/>
      <c r="WTD3" s="136"/>
      <c r="WTE3" s="136"/>
      <c r="WTF3" s="136"/>
      <c r="WTG3" s="136"/>
      <c r="WTH3" s="136"/>
      <c r="WTI3" s="136"/>
      <c r="WTJ3" s="136"/>
      <c r="WTK3" s="136"/>
      <c r="WTL3" s="136"/>
      <c r="WTM3" s="136"/>
      <c r="WTN3" s="136"/>
      <c r="WTO3" s="136"/>
      <c r="WTP3" s="136"/>
      <c r="WTQ3" s="136"/>
      <c r="WTR3" s="136"/>
      <c r="WTS3" s="136"/>
      <c r="WTT3" s="136"/>
      <c r="WTU3" s="136"/>
      <c r="WTV3" s="136"/>
      <c r="WTW3" s="136"/>
      <c r="WTX3" s="136"/>
      <c r="WTY3" s="136"/>
      <c r="WTZ3" s="136"/>
      <c r="WUA3" s="136"/>
      <c r="WUB3" s="136"/>
      <c r="WUC3" s="136"/>
      <c r="WUD3" s="136"/>
      <c r="WUE3" s="136"/>
      <c r="WUF3" s="136"/>
      <c r="WUG3" s="136"/>
      <c r="WUH3" s="136"/>
      <c r="WUI3" s="136"/>
      <c r="WUJ3" s="136"/>
      <c r="WUK3" s="136"/>
      <c r="WUL3" s="136"/>
      <c r="WUM3" s="136"/>
      <c r="WUN3" s="136"/>
      <c r="WUO3" s="136"/>
      <c r="WUP3" s="136"/>
      <c r="WUQ3" s="136"/>
      <c r="WUR3" s="136"/>
      <c r="WUS3" s="136"/>
      <c r="WUT3" s="136"/>
      <c r="WUU3" s="136"/>
      <c r="WUV3" s="136"/>
      <c r="WUW3" s="136"/>
      <c r="WUX3" s="136"/>
      <c r="WUY3" s="136"/>
      <c r="WUZ3" s="136"/>
      <c r="WVA3" s="136"/>
      <c r="WVB3" s="136"/>
      <c r="WVC3" s="136"/>
      <c r="WVD3" s="136"/>
      <c r="WVE3" s="136"/>
      <c r="WVF3" s="136"/>
      <c r="WVG3" s="136"/>
      <c r="WVH3" s="136"/>
      <c r="WVI3" s="136"/>
      <c r="WVJ3" s="136"/>
      <c r="WVK3" s="136"/>
      <c r="WVL3" s="136"/>
      <c r="WVM3" s="136"/>
      <c r="WVN3" s="136"/>
      <c r="WVO3" s="136"/>
      <c r="WVP3" s="136"/>
      <c r="WVQ3" s="136"/>
      <c r="WVR3" s="136"/>
      <c r="WVS3" s="136"/>
      <c r="WVT3" s="136"/>
      <c r="WVU3" s="136"/>
      <c r="WVV3" s="136"/>
      <c r="WVW3" s="136"/>
      <c r="WVX3" s="136"/>
      <c r="WVY3" s="136"/>
      <c r="WVZ3" s="136"/>
      <c r="WWA3" s="136"/>
      <c r="WWB3" s="136"/>
      <c r="WWC3" s="136"/>
      <c r="WWD3" s="136"/>
      <c r="WWE3" s="136"/>
      <c r="WWF3" s="136"/>
      <c r="WWG3" s="136"/>
      <c r="WWH3" s="136"/>
      <c r="WWI3" s="136"/>
      <c r="WWJ3" s="136"/>
      <c r="WWK3" s="136"/>
      <c r="WWL3" s="136"/>
      <c r="WWM3" s="136"/>
      <c r="WWN3" s="136"/>
      <c r="WWO3" s="136"/>
      <c r="WWP3" s="136"/>
      <c r="WWQ3" s="136"/>
      <c r="WWR3" s="136"/>
      <c r="WWS3" s="136"/>
      <c r="WWT3" s="136"/>
      <c r="WWU3" s="136"/>
      <c r="WWV3" s="136"/>
      <c r="WWW3" s="136"/>
      <c r="WWX3" s="136"/>
      <c r="WWY3" s="136"/>
      <c r="WWZ3" s="136"/>
      <c r="WXA3" s="136"/>
      <c r="WXB3" s="136"/>
      <c r="WXC3" s="136"/>
      <c r="WXD3" s="136"/>
      <c r="WXE3" s="136"/>
      <c r="WXF3" s="136"/>
      <c r="WXG3" s="136"/>
      <c r="WXH3" s="136"/>
      <c r="WXI3" s="136"/>
      <c r="WXJ3" s="136"/>
      <c r="WXK3" s="136"/>
      <c r="WXL3" s="136"/>
      <c r="WXM3" s="136"/>
      <c r="WXN3" s="136"/>
      <c r="WXO3" s="136"/>
      <c r="WXP3" s="136"/>
      <c r="WXQ3" s="136"/>
      <c r="WXR3" s="136"/>
      <c r="WXS3" s="136"/>
      <c r="WXT3" s="136"/>
      <c r="WXU3" s="136"/>
      <c r="WXV3" s="136"/>
      <c r="WXW3" s="136"/>
      <c r="WXX3" s="136"/>
      <c r="WXY3" s="136"/>
      <c r="WXZ3" s="136"/>
      <c r="WYA3" s="136"/>
      <c r="WYB3" s="136"/>
      <c r="WYC3" s="136"/>
      <c r="WYD3" s="136"/>
      <c r="WYE3" s="136"/>
      <c r="WYF3" s="136"/>
      <c r="WYG3" s="136"/>
      <c r="WYH3" s="136"/>
      <c r="WYI3" s="136"/>
      <c r="WYJ3" s="136"/>
      <c r="WYK3" s="136"/>
      <c r="WYL3" s="136"/>
      <c r="WYM3" s="136"/>
      <c r="WYN3" s="136"/>
      <c r="WYO3" s="136"/>
      <c r="WYP3" s="136"/>
      <c r="WYQ3" s="136"/>
      <c r="WYR3" s="136"/>
      <c r="WYS3" s="136"/>
      <c r="WYT3" s="136"/>
      <c r="WYU3" s="136"/>
      <c r="WYV3" s="136"/>
      <c r="WYW3" s="136"/>
      <c r="WYX3" s="136"/>
      <c r="WYY3" s="136"/>
      <c r="WYZ3" s="136"/>
      <c r="WZA3" s="136"/>
      <c r="WZB3" s="136"/>
      <c r="WZC3" s="136"/>
      <c r="WZD3" s="136"/>
      <c r="WZE3" s="136"/>
      <c r="WZF3" s="136"/>
      <c r="WZG3" s="136"/>
      <c r="WZH3" s="136"/>
      <c r="WZI3" s="136"/>
      <c r="WZJ3" s="136"/>
      <c r="WZK3" s="136"/>
      <c r="WZL3" s="136"/>
      <c r="WZM3" s="136"/>
      <c r="WZN3" s="136"/>
      <c r="WZO3" s="136"/>
      <c r="WZP3" s="136"/>
      <c r="WZQ3" s="136"/>
      <c r="WZR3" s="136"/>
      <c r="WZS3" s="136"/>
      <c r="WZT3" s="136"/>
      <c r="WZU3" s="136"/>
      <c r="WZV3" s="136"/>
      <c r="WZW3" s="136"/>
      <c r="WZX3" s="136"/>
      <c r="WZY3" s="136"/>
      <c r="WZZ3" s="136"/>
      <c r="XAA3" s="136"/>
      <c r="XAB3" s="136"/>
      <c r="XAC3" s="136"/>
      <c r="XAD3" s="136"/>
      <c r="XAE3" s="136"/>
      <c r="XAF3" s="136"/>
      <c r="XAG3" s="136"/>
      <c r="XAH3" s="136"/>
      <c r="XAI3" s="136"/>
      <c r="XAJ3" s="136"/>
      <c r="XAK3" s="136"/>
      <c r="XAL3" s="136"/>
      <c r="XAM3" s="136"/>
      <c r="XAN3" s="136"/>
      <c r="XAO3" s="136"/>
      <c r="XAP3" s="136"/>
      <c r="XAQ3" s="136"/>
      <c r="XAR3" s="136"/>
      <c r="XAS3" s="136"/>
      <c r="XAT3" s="136"/>
      <c r="XAU3" s="136"/>
      <c r="XAV3" s="136"/>
      <c r="XAW3" s="136"/>
      <c r="XAX3" s="136"/>
      <c r="XAY3" s="136"/>
      <c r="XAZ3" s="136"/>
      <c r="XBA3" s="136"/>
      <c r="XBB3" s="136"/>
      <c r="XBC3" s="136"/>
      <c r="XBD3" s="136"/>
      <c r="XBE3" s="136"/>
      <c r="XBF3" s="136"/>
      <c r="XBG3" s="136"/>
      <c r="XBH3" s="136"/>
      <c r="XBI3" s="136"/>
      <c r="XBJ3" s="136"/>
      <c r="XBK3" s="136"/>
      <c r="XBL3" s="136"/>
      <c r="XBM3" s="136"/>
      <c r="XBN3" s="136"/>
      <c r="XBO3" s="136"/>
      <c r="XBP3" s="136"/>
      <c r="XBQ3" s="136"/>
      <c r="XBR3" s="136"/>
      <c r="XBS3" s="136"/>
      <c r="XBT3" s="136"/>
      <c r="XBU3" s="136"/>
      <c r="XBV3" s="136"/>
      <c r="XBW3" s="136"/>
      <c r="XBX3" s="136"/>
      <c r="XBY3" s="136"/>
      <c r="XBZ3" s="136"/>
      <c r="XCA3" s="136"/>
      <c r="XCB3" s="136"/>
      <c r="XCC3" s="136"/>
      <c r="XCD3" s="136"/>
      <c r="XCE3" s="136"/>
      <c r="XCF3" s="136"/>
      <c r="XCG3" s="136"/>
      <c r="XCH3" s="136"/>
      <c r="XCI3" s="136"/>
      <c r="XCJ3" s="136"/>
      <c r="XCK3" s="136"/>
      <c r="XCL3" s="136"/>
      <c r="XCM3" s="136"/>
      <c r="XCN3" s="136"/>
      <c r="XCO3" s="136"/>
      <c r="XCP3" s="136"/>
      <c r="XCQ3" s="136"/>
      <c r="XCR3" s="136"/>
      <c r="XCS3" s="136"/>
      <c r="XCT3" s="136"/>
      <c r="XCU3" s="136"/>
      <c r="XCV3" s="136"/>
      <c r="XCW3" s="136"/>
      <c r="XCX3" s="136"/>
      <c r="XCY3" s="136"/>
      <c r="XCZ3" s="136"/>
      <c r="XDA3" s="136"/>
      <c r="XDB3" s="136"/>
      <c r="XDC3" s="136"/>
      <c r="XDD3" s="136"/>
      <c r="XDE3" s="136"/>
      <c r="XDF3" s="136"/>
      <c r="XDG3" s="136"/>
      <c r="XDH3" s="136"/>
      <c r="XDI3" s="136"/>
      <c r="XDJ3" s="136"/>
      <c r="XDK3" s="136"/>
      <c r="XDL3" s="136"/>
      <c r="XDM3" s="136"/>
      <c r="XDN3" s="136"/>
      <c r="XDO3" s="136"/>
      <c r="XDP3" s="136"/>
      <c r="XDQ3" s="136"/>
      <c r="XDR3" s="136"/>
      <c r="XDS3" s="136"/>
      <c r="XDT3" s="136"/>
      <c r="XDU3" s="136"/>
      <c r="XDV3" s="136"/>
      <c r="XDW3" s="136"/>
      <c r="XDX3" s="136"/>
      <c r="XDY3" s="136"/>
      <c r="XDZ3" s="136"/>
      <c r="XEA3" s="136"/>
      <c r="XEB3" s="136"/>
      <c r="XEC3" s="136"/>
      <c r="XED3" s="136"/>
      <c r="XEE3" s="136"/>
      <c r="XEF3" s="136"/>
      <c r="XEG3" s="136"/>
      <c r="XEH3" s="136"/>
      <c r="XEI3" s="136"/>
      <c r="XEJ3" s="136"/>
      <c r="XEK3" s="136"/>
      <c r="XEL3" s="136"/>
      <c r="XEM3" s="136"/>
      <c r="XEN3" s="136"/>
      <c r="XEO3" s="136"/>
      <c r="XEP3" s="136"/>
      <c r="XEQ3" s="136"/>
      <c r="XER3" s="136"/>
      <c r="XES3" s="136"/>
      <c r="XET3" s="136"/>
      <c r="XEU3" s="136"/>
      <c r="XEV3" s="136"/>
      <c r="XEW3" s="136"/>
      <c r="XEX3" s="136"/>
      <c r="XEY3" s="136"/>
      <c r="XEZ3" s="136"/>
      <c r="XFA3" s="136"/>
      <c r="XFB3" s="136"/>
      <c r="XFC3" s="136"/>
    </row>
    <row r="4" spans="1:16383">
      <c r="A4" s="143"/>
    </row>
    <row r="5" spans="1:16383">
      <c r="A5" s="143"/>
    </row>
    <row r="6" spans="1:16383" ht="15.6">
      <c r="A6" s="335" t="str">
        <f>IF(Idioma=Castellano,"Índice",IF(Idioma=Valencià,"Índex","Índice"))</f>
        <v>Índice</v>
      </c>
      <c r="C6" s="62" t="str">
        <f>M_Resultados!C6</f>
        <v>Nombre del plan</v>
      </c>
      <c r="D6" s="673">
        <f>M_Datos!E7</f>
        <v>0</v>
      </c>
      <c r="E6" s="674"/>
      <c r="F6" s="674"/>
      <c r="G6" s="674"/>
      <c r="H6" s="674"/>
      <c r="I6" s="674"/>
      <c r="J6" s="674"/>
      <c r="K6" s="674"/>
    </row>
    <row r="7" spans="1:16383">
      <c r="A7" s="202" t="str">
        <f>IF(Idioma=Castellano,"Instrucciones",IF(Idioma=Valencià,"Instruccions","Instrucciones"))</f>
        <v>Instrucciones</v>
      </c>
      <c r="C7" s="62" t="str">
        <f>M_Resultados!C7</f>
        <v>Provincia</v>
      </c>
      <c r="D7" s="673">
        <f>M_Datos!E8</f>
        <v>0</v>
      </c>
      <c r="E7" s="674"/>
      <c r="F7" s="674"/>
      <c r="G7" s="674"/>
      <c r="H7" s="674"/>
      <c r="I7" s="674"/>
      <c r="J7" s="674"/>
      <c r="K7" s="674"/>
    </row>
    <row r="8" spans="1:16383">
      <c r="A8" s="203" t="str">
        <f>IF(Idioma=Castellano,"Sección de Mitigación",IF(Idioma=Valencià,"Secció de Mitigació", "Sección de Mitigación"))</f>
        <v>Sección de Mitigación</v>
      </c>
      <c r="C8" s="62" t="str">
        <f>M_Resultados!C8</f>
        <v>Municipio</v>
      </c>
      <c r="D8" s="673">
        <f>M_Datos!E9</f>
        <v>0</v>
      </c>
      <c r="E8" s="674"/>
      <c r="F8" s="674"/>
      <c r="G8" s="674"/>
      <c r="H8" s="674"/>
      <c r="I8" s="674"/>
      <c r="J8" s="674"/>
      <c r="K8" s="674"/>
    </row>
    <row r="9" spans="1:16383">
      <c r="A9" s="204" t="str">
        <f>IF(Idioma=Castellano,"1. Datos de entrada",IF(Idioma=Valencià,"1.Dades d'entrada","1. Datos de entrada"))</f>
        <v>1. Datos de entrada</v>
      </c>
    </row>
    <row r="10" spans="1:16383">
      <c r="A10" s="204" t="str">
        <f>IF(Idioma=Castellano,"2. Cálculo de Alternativas:",IF(Idioma=Valencià,"2. Càlcul d'alternatives :","2. Cálculo de Alternativas:"))</f>
        <v>2. Cálculo de Alternativas:</v>
      </c>
    </row>
    <row r="11" spans="1:16383">
      <c r="A11" s="205" t="s">
        <v>1</v>
      </c>
    </row>
    <row r="12" spans="1:16383" ht="15" thickBot="1">
      <c r="A12" s="205" t="s">
        <v>2</v>
      </c>
    </row>
    <row r="13" spans="1:16383" ht="15" thickTop="1">
      <c r="A13" s="205" t="s">
        <v>3</v>
      </c>
      <c r="C13" s="530"/>
      <c r="D13" s="537" t="s">
        <v>961</v>
      </c>
      <c r="E13" s="537"/>
      <c r="F13" s="537"/>
      <c r="G13" s="538"/>
      <c r="H13" s="539"/>
      <c r="I13" s="537" t="s">
        <v>960</v>
      </c>
      <c r="J13" s="537"/>
      <c r="K13" s="537"/>
      <c r="L13" s="538"/>
      <c r="M13" s="539"/>
      <c r="N13" s="537" t="s">
        <v>644</v>
      </c>
      <c r="O13" s="537"/>
      <c r="P13" s="537"/>
      <c r="Q13" s="538"/>
      <c r="R13" s="539"/>
      <c r="S13" s="537"/>
      <c r="T13" s="537" t="s">
        <v>645</v>
      </c>
      <c r="U13" s="537"/>
      <c r="V13" s="538"/>
      <c r="W13" s="539"/>
      <c r="X13" s="537"/>
      <c r="Y13" s="537" t="s">
        <v>646</v>
      </c>
      <c r="Z13" s="537"/>
      <c r="AA13" s="531"/>
    </row>
    <row r="14" spans="1:16383">
      <c r="A14" s="205" t="s">
        <v>4</v>
      </c>
      <c r="C14" s="532"/>
      <c r="D14" s="355"/>
      <c r="E14" s="355"/>
      <c r="F14" s="355"/>
      <c r="G14" s="533"/>
      <c r="H14" s="532"/>
      <c r="I14" s="355"/>
      <c r="J14" s="355"/>
      <c r="K14" s="355"/>
      <c r="L14" s="533"/>
      <c r="M14" s="532"/>
      <c r="N14" s="355"/>
      <c r="O14" s="355"/>
      <c r="P14" s="355"/>
      <c r="Q14" s="533"/>
      <c r="R14" s="532"/>
      <c r="S14" s="355"/>
      <c r="T14" s="355"/>
      <c r="U14" s="355"/>
      <c r="V14" s="533"/>
      <c r="W14" s="532"/>
      <c r="X14" s="355"/>
      <c r="Y14" s="355"/>
      <c r="Z14" s="355"/>
      <c r="AA14" s="533"/>
    </row>
    <row r="15" spans="1:16383" ht="21">
      <c r="A15" s="205" t="s">
        <v>5</v>
      </c>
      <c r="C15" s="532"/>
      <c r="D15" s="550" t="str">
        <f>IF(Idioma=Castellano,"Mitigación",IF(Idioma=Valencià,"Mitigació"))</f>
        <v>Mitigación</v>
      </c>
      <c r="E15" s="355"/>
      <c r="F15" s="355"/>
      <c r="G15" s="533"/>
      <c r="H15" s="532"/>
      <c r="I15" s="355"/>
      <c r="J15" s="550" t="str">
        <f>IF(Idioma=Castellano,"Mitigación",IF(Idioma=Valencià,"Mitigació"))</f>
        <v>Mitigación</v>
      </c>
      <c r="K15" s="355"/>
      <c r="L15" s="533"/>
      <c r="M15" s="532"/>
      <c r="N15" s="550" t="str">
        <f>IF(Idioma=Castellano,"Mitigación",IF(Idioma=Valencià,"Mitigació"))</f>
        <v>Mitigación</v>
      </c>
      <c r="O15" s="355"/>
      <c r="P15" s="355"/>
      <c r="Q15" s="533"/>
      <c r="R15" s="532"/>
      <c r="S15" s="355"/>
      <c r="T15" s="550" t="str">
        <f>IF(Idioma=Castellano,"Mitigación",IF(Idioma=Valencià,"Mitigació"))</f>
        <v>Mitigación</v>
      </c>
      <c r="U15" s="355"/>
      <c r="V15" s="533"/>
      <c r="W15" s="532"/>
      <c r="X15" s="355"/>
      <c r="Y15" s="550" t="str">
        <f>IF(Idioma=Castellano,"Mitigación",IF(Idioma=Valencià,"Mitigació"))</f>
        <v>Mitigación</v>
      </c>
      <c r="Z15" s="355"/>
      <c r="AA15" s="533"/>
    </row>
    <row r="16" spans="1:16383">
      <c r="A16" s="204" t="str">
        <f>IF(Idioma=Castellano,"3. Resultados",IF(Idioma=Valencià,"3. Resultats","3. Resultados"))</f>
        <v>3. Resultados</v>
      </c>
      <c r="C16" s="532"/>
      <c r="E16" s="355"/>
      <c r="F16" s="355"/>
      <c r="G16" s="533"/>
      <c r="H16" s="532"/>
      <c r="I16" s="355"/>
      <c r="J16" s="355"/>
      <c r="K16" s="355"/>
      <c r="L16" s="533"/>
      <c r="M16" s="532"/>
      <c r="N16" s="355"/>
      <c r="O16" s="355"/>
      <c r="P16" s="355"/>
      <c r="Q16" s="533"/>
      <c r="R16" s="532"/>
      <c r="S16" s="355"/>
      <c r="T16" s="355"/>
      <c r="U16" s="355"/>
      <c r="V16" s="533"/>
      <c r="W16" s="532"/>
      <c r="X16" s="355"/>
      <c r="Y16" s="355"/>
      <c r="Z16" s="355"/>
      <c r="AA16" s="533"/>
    </row>
    <row r="17" spans="1:27">
      <c r="A17" s="204" t="str">
        <f>IF(Idioma=Castellano,"4. Factores de emisión",IF(Idioma=Valencià,"4. Factors d'emissió","4. Factores de emisión"))</f>
        <v>4. Factores de emisión</v>
      </c>
      <c r="C17" s="532"/>
      <c r="D17" s="355"/>
      <c r="E17" s="355"/>
      <c r="F17" s="355"/>
      <c r="G17" s="533"/>
      <c r="H17" s="532"/>
      <c r="I17" s="355"/>
      <c r="J17" s="355"/>
      <c r="K17" s="355"/>
      <c r="L17" s="533"/>
      <c r="M17" s="532"/>
      <c r="N17" s="355"/>
      <c r="O17" s="355"/>
      <c r="P17" s="355"/>
      <c r="Q17" s="533"/>
      <c r="R17" s="532"/>
      <c r="S17" s="355"/>
      <c r="T17" s="355"/>
      <c r="U17" s="355"/>
      <c r="V17" s="533"/>
      <c r="W17" s="532"/>
      <c r="X17" s="355"/>
      <c r="Y17" s="355"/>
      <c r="Z17" s="355"/>
      <c r="AA17" s="533"/>
    </row>
    <row r="18" spans="1:27">
      <c r="A18" s="203" t="str">
        <f>IF(Idioma=Castellano,"Sección de Adaptación",IF(Idioma=Valencià,"Secció d'Adaptació","Sección de Adaptación"))</f>
        <v>Sección de Adaptación</v>
      </c>
      <c r="C18" s="532"/>
      <c r="D18" s="355"/>
      <c r="E18" s="355"/>
      <c r="F18" s="355"/>
      <c r="G18" s="533"/>
      <c r="H18" s="532"/>
      <c r="I18" s="355"/>
      <c r="J18" s="355"/>
      <c r="K18" s="355"/>
      <c r="L18" s="533"/>
      <c r="M18" s="532"/>
      <c r="N18" s="355"/>
      <c r="O18" s="355"/>
      <c r="P18" s="355"/>
      <c r="Q18" s="533"/>
      <c r="R18" s="532"/>
      <c r="S18" s="355"/>
      <c r="T18" s="355"/>
      <c r="U18" s="355"/>
      <c r="V18" s="533"/>
      <c r="W18" s="532"/>
      <c r="X18" s="355"/>
      <c r="Y18" s="355"/>
      <c r="Z18" s="355"/>
      <c r="AA18" s="533"/>
    </row>
    <row r="19" spans="1:27">
      <c r="A19" s="204" t="str">
        <f>IF(Idioma=Castellano,"1. Alcance",IF(Idioma=Valencià,"1. Abast","1. Alcance"))</f>
        <v>1. Alcance</v>
      </c>
      <c r="C19" s="532"/>
      <c r="D19" s="355"/>
      <c r="E19" s="355"/>
      <c r="F19" s="355"/>
      <c r="G19" s="533"/>
      <c r="H19" s="532"/>
      <c r="I19" s="355"/>
      <c r="J19" s="355"/>
      <c r="K19" s="355"/>
      <c r="L19" s="533"/>
      <c r="M19" s="532"/>
      <c r="N19" s="355"/>
      <c r="O19" s="355"/>
      <c r="P19" s="355"/>
      <c r="Q19" s="533"/>
      <c r="R19" s="532"/>
      <c r="S19" s="355"/>
      <c r="T19" s="355"/>
      <c r="U19" s="355"/>
      <c r="V19" s="533"/>
      <c r="W19" s="532"/>
      <c r="X19" s="355"/>
      <c r="Y19" s="355"/>
      <c r="Z19" s="355"/>
      <c r="AA19" s="533"/>
    </row>
    <row r="20" spans="1:27">
      <c r="A20" s="204" t="s">
        <v>6</v>
      </c>
      <c r="C20" s="532"/>
      <c r="D20" s="355"/>
      <c r="E20" s="355"/>
      <c r="F20" s="355"/>
      <c r="G20" s="533"/>
      <c r="H20" s="532"/>
      <c r="I20" s="355"/>
      <c r="J20" s="355"/>
      <c r="K20" s="355"/>
      <c r="L20" s="533"/>
      <c r="M20" s="532"/>
      <c r="N20" s="355"/>
      <c r="O20" s="355"/>
      <c r="P20" s="355"/>
      <c r="Q20" s="533"/>
      <c r="R20" s="532"/>
      <c r="S20" s="355"/>
      <c r="T20" s="355"/>
      <c r="U20" s="355"/>
      <c r="V20" s="533"/>
      <c r="W20" s="532"/>
      <c r="X20" s="355"/>
      <c r="Y20" s="355"/>
      <c r="Z20" s="355"/>
      <c r="AA20" s="533"/>
    </row>
    <row r="21" spans="1:27">
      <c r="A21" s="204" t="str">
        <f>IF(Idioma=Castellano,"3. Resultados",IF(Idioma=Valencià,"3. Resultats","3. Resultados"))</f>
        <v>3. Resultados</v>
      </c>
      <c r="C21" s="532"/>
      <c r="D21" s="355"/>
      <c r="E21" s="355"/>
      <c r="F21" s="355"/>
      <c r="G21" s="533"/>
      <c r="H21" s="532"/>
      <c r="I21" s="355"/>
      <c r="J21" s="355"/>
      <c r="K21" s="355"/>
      <c r="L21" s="533"/>
      <c r="M21" s="532"/>
      <c r="N21" s="355"/>
      <c r="O21" s="355"/>
      <c r="P21" s="355"/>
      <c r="Q21" s="533"/>
      <c r="R21" s="532"/>
      <c r="S21" s="355"/>
      <c r="T21" s="355"/>
      <c r="U21" s="355"/>
      <c r="V21" s="533"/>
      <c r="W21" s="532"/>
      <c r="X21" s="355"/>
      <c r="Y21" s="355"/>
      <c r="Z21" s="355"/>
      <c r="AA21" s="533"/>
    </row>
    <row r="22" spans="1:27">
      <c r="A22" s="203" t="str">
        <f>IF(Idioma=Castellano,"Resultados generales",IF(Idioma=Valencià,"Resultats generals","Resultados generales"))</f>
        <v>Resultados generales</v>
      </c>
      <c r="C22" s="532"/>
      <c r="D22" s="355"/>
      <c r="E22" s="355"/>
      <c r="F22" s="355"/>
      <c r="G22" s="533"/>
      <c r="H22" s="532"/>
      <c r="I22" s="355"/>
      <c r="J22" s="355"/>
      <c r="K22" s="355"/>
      <c r="L22" s="533"/>
      <c r="M22" s="532"/>
      <c r="N22" s="355"/>
      <c r="O22" s="355"/>
      <c r="P22" s="355"/>
      <c r="Q22" s="533"/>
      <c r="R22" s="532"/>
      <c r="S22" s="355"/>
      <c r="T22" s="355"/>
      <c r="U22" s="355"/>
      <c r="V22" s="533"/>
      <c r="W22" s="532"/>
      <c r="X22" s="355"/>
      <c r="Y22" s="355"/>
      <c r="Z22" s="355"/>
      <c r="AA22" s="533"/>
    </row>
    <row r="23" spans="1:27">
      <c r="A23" s="203" t="str">
        <f>IF(Idioma=Castellano,"Medidas Propuestas",IF(Idioma=Valencià,"Mesures Proposades","Medidas Propuestas"))</f>
        <v>Medidas Propuestas</v>
      </c>
      <c r="C23" s="532"/>
      <c r="D23" s="355"/>
      <c r="E23" s="355"/>
      <c r="F23" s="355"/>
      <c r="G23" s="533"/>
      <c r="H23" s="532"/>
      <c r="I23" s="355"/>
      <c r="J23" s="355"/>
      <c r="K23" s="355"/>
      <c r="L23" s="533"/>
      <c r="M23" s="532"/>
      <c r="N23" s="355"/>
      <c r="O23" s="355"/>
      <c r="P23" s="355"/>
      <c r="Q23" s="533"/>
      <c r="R23" s="532"/>
      <c r="S23" s="355"/>
      <c r="T23" s="355"/>
      <c r="U23" s="355"/>
      <c r="V23" s="533"/>
      <c r="W23" s="532"/>
      <c r="X23" s="355"/>
      <c r="Y23" s="355"/>
      <c r="Z23" s="355"/>
      <c r="AA23" s="533"/>
    </row>
    <row r="24" spans="1:27">
      <c r="A24" s="515"/>
      <c r="C24" s="532"/>
      <c r="D24" s="355"/>
      <c r="E24" s="355"/>
      <c r="F24" s="355"/>
      <c r="G24" s="533"/>
      <c r="H24" s="532"/>
      <c r="I24" s="355"/>
      <c r="J24" s="355"/>
      <c r="K24" s="355"/>
      <c r="L24" s="533"/>
      <c r="M24" s="532"/>
      <c r="N24" s="355"/>
      <c r="O24" s="355"/>
      <c r="P24" s="355"/>
      <c r="Q24" s="533"/>
      <c r="R24" s="532"/>
      <c r="S24" s="355"/>
      <c r="T24" s="355"/>
      <c r="U24" s="355"/>
      <c r="V24" s="533"/>
      <c r="W24" s="532"/>
      <c r="X24" s="355"/>
      <c r="Y24" s="355"/>
      <c r="Z24" s="355"/>
      <c r="AA24" s="533"/>
    </row>
    <row r="25" spans="1:27">
      <c r="A25" s="515"/>
      <c r="C25" s="532"/>
      <c r="D25" s="355"/>
      <c r="E25" s="355"/>
      <c r="F25" s="355"/>
      <c r="G25" s="533"/>
      <c r="H25" s="532"/>
      <c r="I25" s="355"/>
      <c r="J25" s="355"/>
      <c r="K25" s="355"/>
      <c r="L25" s="533"/>
      <c r="M25" s="532"/>
      <c r="N25" s="355"/>
      <c r="O25" s="355"/>
      <c r="P25" s="355"/>
      <c r="Q25" s="533"/>
      <c r="R25" s="532"/>
      <c r="S25" s="355"/>
      <c r="T25" s="355"/>
      <c r="U25" s="355"/>
      <c r="V25" s="533"/>
      <c r="W25" s="532"/>
      <c r="X25" s="355"/>
      <c r="Y25" s="355"/>
      <c r="Z25" s="355"/>
      <c r="AA25" s="533"/>
    </row>
    <row r="26" spans="1:27">
      <c r="A26" s="515"/>
      <c r="C26" s="532"/>
      <c r="D26" s="355"/>
      <c r="E26" s="355"/>
      <c r="F26" s="355"/>
      <c r="G26" s="533"/>
      <c r="H26" s="532"/>
      <c r="I26" s="355"/>
      <c r="J26" s="355"/>
      <c r="K26" s="355"/>
      <c r="L26" s="533"/>
      <c r="M26" s="532"/>
      <c r="N26" s="355"/>
      <c r="O26" s="355"/>
      <c r="P26" s="355"/>
      <c r="Q26" s="533"/>
      <c r="R26" s="532"/>
      <c r="S26" s="355"/>
      <c r="T26" s="355"/>
      <c r="U26" s="355"/>
      <c r="V26" s="533"/>
      <c r="W26" s="532"/>
      <c r="X26" s="355"/>
      <c r="Y26" s="355"/>
      <c r="Z26" s="355"/>
      <c r="AA26" s="533"/>
    </row>
    <row r="27" spans="1:27">
      <c r="A27" s="515"/>
      <c r="C27" s="532"/>
      <c r="D27" s="355"/>
      <c r="E27" s="355"/>
      <c r="F27" s="355"/>
      <c r="G27" s="533"/>
      <c r="H27" s="532"/>
      <c r="I27" s="355"/>
      <c r="J27" s="355"/>
      <c r="K27" s="355"/>
      <c r="L27" s="533"/>
      <c r="M27" s="532"/>
      <c r="N27" s="355"/>
      <c r="O27" s="355"/>
      <c r="P27" s="355"/>
      <c r="Q27" s="533"/>
      <c r="R27" s="532"/>
      <c r="S27" s="355"/>
      <c r="T27" s="355"/>
      <c r="U27" s="355"/>
      <c r="V27" s="533"/>
      <c r="W27" s="532"/>
      <c r="X27" s="355"/>
      <c r="Y27" s="355"/>
      <c r="Z27" s="355"/>
      <c r="AA27" s="533"/>
    </row>
    <row r="28" spans="1:27">
      <c r="A28" s="515"/>
      <c r="C28" s="532"/>
      <c r="D28" s="355"/>
      <c r="E28" s="355"/>
      <c r="F28" s="355"/>
      <c r="G28" s="533"/>
      <c r="H28" s="532"/>
      <c r="I28" s="355"/>
      <c r="J28" s="355"/>
      <c r="K28" s="355"/>
      <c r="L28" s="533"/>
      <c r="M28" s="532"/>
      <c r="N28" s="355"/>
      <c r="O28" s="355"/>
      <c r="P28" s="355"/>
      <c r="Q28" s="533"/>
      <c r="R28" s="532"/>
      <c r="S28" s="355"/>
      <c r="T28" s="355"/>
      <c r="U28" s="355"/>
      <c r="V28" s="533"/>
      <c r="W28" s="532"/>
      <c r="X28" s="355"/>
      <c r="Y28" s="355"/>
      <c r="Z28" s="355"/>
      <c r="AA28" s="533"/>
    </row>
    <row r="29" spans="1:27">
      <c r="A29" s="515"/>
      <c r="C29" s="532"/>
      <c r="D29" s="355"/>
      <c r="E29" s="355"/>
      <c r="F29" s="355"/>
      <c r="G29" s="533"/>
      <c r="H29" s="532"/>
      <c r="I29" s="355"/>
      <c r="J29" s="355"/>
      <c r="K29" s="355"/>
      <c r="L29" s="533"/>
      <c r="M29" s="532"/>
      <c r="N29" s="355"/>
      <c r="O29" s="355"/>
      <c r="P29" s="355"/>
      <c r="Q29" s="533"/>
      <c r="R29" s="532"/>
      <c r="S29" s="355"/>
      <c r="T29" s="355"/>
      <c r="U29" s="355"/>
      <c r="V29" s="533"/>
      <c r="W29" s="532"/>
      <c r="X29" s="355"/>
      <c r="Y29" s="355"/>
      <c r="Z29" s="355"/>
      <c r="AA29" s="533"/>
    </row>
    <row r="30" spans="1:27">
      <c r="A30" s="515"/>
      <c r="C30" s="532"/>
      <c r="D30" s="355"/>
      <c r="E30" s="355"/>
      <c r="F30" s="355"/>
      <c r="G30" s="533"/>
      <c r="H30" s="532"/>
      <c r="I30" s="355"/>
      <c r="J30" s="355"/>
      <c r="K30" s="355"/>
      <c r="L30" s="533"/>
      <c r="M30" s="532"/>
      <c r="N30" s="355"/>
      <c r="O30" s="355"/>
      <c r="P30" s="355"/>
      <c r="Q30" s="533"/>
      <c r="R30" s="532"/>
      <c r="S30" s="355"/>
      <c r="T30" s="355"/>
      <c r="U30" s="355"/>
      <c r="V30" s="533"/>
      <c r="W30" s="532"/>
      <c r="X30" s="355"/>
      <c r="Y30" s="355"/>
      <c r="Z30" s="355"/>
      <c r="AA30" s="533"/>
    </row>
    <row r="31" spans="1:27">
      <c r="A31" s="515"/>
      <c r="C31" s="532"/>
      <c r="D31" s="355"/>
      <c r="E31" s="355"/>
      <c r="F31" s="355"/>
      <c r="G31" s="533"/>
      <c r="H31" s="532"/>
      <c r="I31" s="355"/>
      <c r="J31" s="355"/>
      <c r="K31" s="355"/>
      <c r="L31" s="533"/>
      <c r="M31" s="532"/>
      <c r="N31" s="355"/>
      <c r="O31" s="355"/>
      <c r="P31" s="355"/>
      <c r="Q31" s="533"/>
      <c r="R31" s="532"/>
      <c r="S31" s="355"/>
      <c r="T31" s="355"/>
      <c r="U31" s="355"/>
      <c r="V31" s="533"/>
      <c r="W31" s="532"/>
      <c r="X31" s="355"/>
      <c r="Y31" s="355"/>
      <c r="Z31" s="355"/>
      <c r="AA31" s="533"/>
    </row>
    <row r="32" spans="1:27">
      <c r="A32" s="515"/>
      <c r="C32" s="532"/>
      <c r="D32" s="355"/>
      <c r="E32" s="355"/>
      <c r="F32" s="355"/>
      <c r="G32" s="533"/>
      <c r="H32" s="532"/>
      <c r="I32" s="355"/>
      <c r="J32" s="355"/>
      <c r="K32" s="355"/>
      <c r="L32" s="533"/>
      <c r="M32" s="532"/>
      <c r="N32" s="355"/>
      <c r="O32" s="355"/>
      <c r="P32" s="355"/>
      <c r="Q32" s="533"/>
      <c r="R32" s="532"/>
      <c r="S32" s="355"/>
      <c r="T32" s="355"/>
      <c r="U32" s="355"/>
      <c r="V32" s="533"/>
      <c r="W32" s="532"/>
      <c r="X32" s="355"/>
      <c r="Y32" s="355"/>
      <c r="Z32" s="355"/>
      <c r="AA32" s="533"/>
    </row>
    <row r="33" spans="1:27">
      <c r="A33" s="515"/>
      <c r="C33" s="532"/>
      <c r="D33" s="355"/>
      <c r="E33" s="355"/>
      <c r="F33" s="355"/>
      <c r="G33" s="533"/>
      <c r="H33" s="532"/>
      <c r="I33" s="355"/>
      <c r="J33" s="355"/>
      <c r="K33" s="355"/>
      <c r="L33" s="533"/>
      <c r="M33" s="532"/>
      <c r="N33" s="355"/>
      <c r="O33" s="355"/>
      <c r="P33" s="355"/>
      <c r="Q33" s="533"/>
      <c r="R33" s="532"/>
      <c r="S33" s="355"/>
      <c r="T33" s="355"/>
      <c r="U33" s="355"/>
      <c r="V33" s="533"/>
      <c r="W33" s="532"/>
      <c r="X33" s="355"/>
      <c r="Y33" s="355"/>
      <c r="Z33" s="355"/>
      <c r="AA33" s="533"/>
    </row>
    <row r="34" spans="1:27">
      <c r="A34" s="515"/>
      <c r="C34" s="532"/>
      <c r="D34" s="355"/>
      <c r="E34" s="355"/>
      <c r="F34" s="355"/>
      <c r="G34" s="533"/>
      <c r="H34" s="532"/>
      <c r="I34" s="355"/>
      <c r="J34" s="355"/>
      <c r="K34" s="355"/>
      <c r="L34" s="533"/>
      <c r="M34" s="532"/>
      <c r="N34" s="355"/>
      <c r="O34" s="355"/>
      <c r="P34" s="355"/>
      <c r="Q34" s="533"/>
      <c r="R34" s="532"/>
      <c r="S34" s="355"/>
      <c r="T34" s="355"/>
      <c r="U34" s="355"/>
      <c r="V34" s="533"/>
      <c r="W34" s="532"/>
      <c r="X34" s="355"/>
      <c r="Y34" s="355"/>
      <c r="Z34" s="355"/>
      <c r="AA34" s="533"/>
    </row>
    <row r="35" spans="1:27">
      <c r="A35" s="515"/>
      <c r="C35" s="532"/>
      <c r="D35" s="355"/>
      <c r="E35" s="355"/>
      <c r="F35" s="355"/>
      <c r="G35" s="533"/>
      <c r="H35" s="532"/>
      <c r="I35" s="355"/>
      <c r="J35" s="355"/>
      <c r="K35" s="355"/>
      <c r="L35" s="533"/>
      <c r="M35" s="532"/>
      <c r="N35" s="355"/>
      <c r="O35" s="355"/>
      <c r="P35" s="355"/>
      <c r="Q35" s="533"/>
      <c r="R35" s="532"/>
      <c r="S35" s="355"/>
      <c r="T35" s="355"/>
      <c r="U35" s="355"/>
      <c r="V35" s="533"/>
      <c r="W35" s="532"/>
      <c r="X35" s="355"/>
      <c r="Y35" s="355"/>
      <c r="Z35" s="355"/>
      <c r="AA35" s="533"/>
    </row>
    <row r="36" spans="1:27">
      <c r="A36" s="515"/>
      <c r="C36" s="532"/>
      <c r="D36" s="355"/>
      <c r="E36" s="355"/>
      <c r="F36" s="355"/>
      <c r="G36" s="533"/>
      <c r="H36" s="532"/>
      <c r="I36" s="355"/>
      <c r="J36" s="355"/>
      <c r="K36" s="355"/>
      <c r="L36" s="533"/>
      <c r="M36" s="532"/>
      <c r="N36" s="355"/>
      <c r="O36" s="355"/>
      <c r="P36" s="355"/>
      <c r="Q36" s="533"/>
      <c r="R36" s="532"/>
      <c r="S36" s="355"/>
      <c r="T36" s="355"/>
      <c r="U36" s="355"/>
      <c r="V36" s="533"/>
      <c r="W36" s="532"/>
      <c r="X36" s="355"/>
      <c r="Y36" s="355"/>
      <c r="Z36" s="355"/>
      <c r="AA36" s="533"/>
    </row>
    <row r="37" spans="1:27">
      <c r="A37" s="515"/>
      <c r="C37" s="532"/>
      <c r="D37" s="355"/>
      <c r="E37" s="355"/>
      <c r="F37" s="355"/>
      <c r="G37" s="533"/>
      <c r="H37" s="532"/>
      <c r="I37" s="355"/>
      <c r="J37" s="355"/>
      <c r="K37" s="355"/>
      <c r="L37" s="533"/>
      <c r="M37" s="532"/>
      <c r="N37" s="355"/>
      <c r="O37" s="355"/>
      <c r="P37" s="355"/>
      <c r="Q37" s="533"/>
      <c r="R37" s="532"/>
      <c r="S37" s="355"/>
      <c r="T37" s="355"/>
      <c r="U37" s="355"/>
      <c r="V37" s="533"/>
      <c r="W37" s="532"/>
      <c r="X37" s="355"/>
      <c r="Y37" s="355"/>
      <c r="Z37" s="355"/>
      <c r="AA37" s="533"/>
    </row>
    <row r="38" spans="1:27">
      <c r="A38" s="515"/>
      <c r="C38" s="532"/>
      <c r="D38" s="355"/>
      <c r="E38" s="355"/>
      <c r="F38" s="355"/>
      <c r="G38" s="533"/>
      <c r="H38" s="532"/>
      <c r="I38" s="355"/>
      <c r="J38" s="355"/>
      <c r="K38" s="355"/>
      <c r="L38" s="533"/>
      <c r="M38" s="532"/>
      <c r="N38" s="355"/>
      <c r="O38" s="355"/>
      <c r="P38" s="355"/>
      <c r="Q38" s="533"/>
      <c r="R38" s="532"/>
      <c r="S38" s="355"/>
      <c r="T38" s="355"/>
      <c r="U38" s="355"/>
      <c r="V38" s="533"/>
      <c r="W38" s="532"/>
      <c r="X38" s="355"/>
      <c r="Y38" s="355"/>
      <c r="Z38" s="355"/>
      <c r="AA38" s="533"/>
    </row>
    <row r="39" spans="1:27">
      <c r="A39" s="515"/>
      <c r="C39" s="532"/>
      <c r="D39" s="355"/>
      <c r="E39" s="355"/>
      <c r="F39" s="355"/>
      <c r="G39" s="533"/>
      <c r="H39" s="532"/>
      <c r="I39" s="355"/>
      <c r="J39" s="355"/>
      <c r="K39" s="355"/>
      <c r="L39" s="533"/>
      <c r="M39" s="532"/>
      <c r="N39" s="355"/>
      <c r="O39" s="355"/>
      <c r="P39" s="355"/>
      <c r="Q39" s="533"/>
      <c r="R39" s="532"/>
      <c r="S39" s="355"/>
      <c r="T39" s="355"/>
      <c r="U39" s="355"/>
      <c r="V39" s="533"/>
      <c r="W39" s="532"/>
      <c r="X39" s="355"/>
      <c r="Y39" s="355"/>
      <c r="Z39" s="355"/>
      <c r="AA39" s="533"/>
    </row>
    <row r="40" spans="1:27" ht="21">
      <c r="A40" s="515"/>
      <c r="C40" s="532"/>
      <c r="D40" s="550" t="str">
        <f>IF(Idioma=Castellano,"Adaptación",IF(Idioma=Valencià,"Adaptació"))</f>
        <v>Adaptación</v>
      </c>
      <c r="E40" s="355"/>
      <c r="F40" s="355"/>
      <c r="G40" s="533"/>
      <c r="H40" s="532"/>
      <c r="I40" s="355"/>
      <c r="J40" s="550" t="str">
        <f>IF(Idioma=Castellano,"Adaptación",IF(Idioma=Valencià,"Adaptació"))</f>
        <v>Adaptación</v>
      </c>
      <c r="K40" s="355"/>
      <c r="L40" s="533"/>
      <c r="M40" s="532"/>
      <c r="N40" s="355"/>
      <c r="O40" s="550" t="str">
        <f>IF(Idioma=Castellano,"Adaptación",IF(Idioma=Valencià,"Adaptació"))</f>
        <v>Adaptación</v>
      </c>
      <c r="P40" s="355"/>
      <c r="Q40" s="533"/>
      <c r="R40" s="532"/>
      <c r="S40" s="355"/>
      <c r="T40" s="550" t="str">
        <f>IF(Idioma=Castellano,"Adaptación",IF(Idioma=Valencià,"Adaptació"))</f>
        <v>Adaptación</v>
      </c>
      <c r="U40" s="355"/>
      <c r="V40" s="533"/>
      <c r="W40" s="532"/>
      <c r="X40" s="355"/>
      <c r="Y40" s="550" t="str">
        <f>IF(Idioma=Castellano,"Adaptación",IF(Idioma=Valencià,"Adaptació"))</f>
        <v>Adaptación</v>
      </c>
      <c r="Z40" s="355"/>
      <c r="AA40" s="533"/>
    </row>
    <row r="41" spans="1:27">
      <c r="A41" s="515"/>
      <c r="C41" s="532"/>
      <c r="E41" s="355"/>
      <c r="F41" s="355"/>
      <c r="G41" s="533"/>
      <c r="H41" s="532"/>
      <c r="I41" s="355"/>
      <c r="J41" s="355"/>
      <c r="K41" s="355"/>
      <c r="L41" s="533"/>
      <c r="M41" s="532"/>
      <c r="N41" s="355"/>
      <c r="O41" s="355"/>
      <c r="P41" s="355"/>
      <c r="Q41" s="533"/>
      <c r="R41" s="532"/>
      <c r="S41" s="355"/>
      <c r="T41" s="355"/>
      <c r="U41" s="355"/>
      <c r="V41" s="533"/>
      <c r="W41" s="532"/>
      <c r="X41" s="355"/>
      <c r="Y41" s="355"/>
      <c r="Z41" s="355"/>
      <c r="AA41" s="533"/>
    </row>
    <row r="42" spans="1:27">
      <c r="A42" s="515"/>
      <c r="C42" s="532"/>
      <c r="D42" s="355"/>
      <c r="E42" s="355"/>
      <c r="F42" s="355"/>
      <c r="G42" s="533"/>
      <c r="H42" s="532"/>
      <c r="I42" s="355"/>
      <c r="J42" s="355"/>
      <c r="K42" s="355"/>
      <c r="L42" s="533"/>
      <c r="M42" s="532"/>
      <c r="N42" s="355"/>
      <c r="O42" s="355"/>
      <c r="P42" s="355"/>
      <c r="Q42" s="533"/>
      <c r="R42" s="532"/>
      <c r="S42" s="355"/>
      <c r="T42" s="355"/>
      <c r="U42" s="355"/>
      <c r="V42" s="533"/>
      <c r="W42" s="532"/>
      <c r="X42" s="355"/>
      <c r="Y42" s="355"/>
      <c r="Z42" s="355"/>
      <c r="AA42" s="533"/>
    </row>
    <row r="43" spans="1:27">
      <c r="A43" s="515"/>
      <c r="C43" s="532"/>
      <c r="D43" s="355"/>
      <c r="E43" s="355"/>
      <c r="F43" s="355"/>
      <c r="G43" s="533"/>
      <c r="H43" s="532"/>
      <c r="I43" s="355"/>
      <c r="J43" s="355"/>
      <c r="K43" s="355"/>
      <c r="L43" s="533"/>
      <c r="M43" s="532"/>
      <c r="N43" s="355"/>
      <c r="O43" s="355"/>
      <c r="P43" s="355"/>
      <c r="Q43" s="533"/>
      <c r="R43" s="532"/>
      <c r="S43" s="355"/>
      <c r="T43" s="355"/>
      <c r="U43" s="355"/>
      <c r="V43" s="533"/>
      <c r="W43" s="532"/>
      <c r="X43" s="355"/>
      <c r="Y43" s="355"/>
      <c r="Z43" s="355"/>
      <c r="AA43" s="533"/>
    </row>
    <row r="44" spans="1:27">
      <c r="A44" s="515"/>
      <c r="C44" s="532"/>
      <c r="D44" s="355"/>
      <c r="E44" s="355"/>
      <c r="F44" s="355"/>
      <c r="G44" s="533"/>
      <c r="H44" s="532"/>
      <c r="I44" s="355"/>
      <c r="J44" s="355"/>
      <c r="K44" s="355"/>
      <c r="L44" s="533"/>
      <c r="M44" s="532"/>
      <c r="N44" s="355"/>
      <c r="O44" s="355"/>
      <c r="P44" s="355"/>
      <c r="Q44" s="533"/>
      <c r="R44" s="532"/>
      <c r="S44" s="355"/>
      <c r="T44" s="355"/>
      <c r="U44" s="355"/>
      <c r="V44" s="533"/>
      <c r="W44" s="532"/>
      <c r="X44" s="355"/>
      <c r="Y44" s="355"/>
      <c r="Z44" s="355"/>
      <c r="AA44" s="533"/>
    </row>
    <row r="45" spans="1:27">
      <c r="A45" s="515"/>
      <c r="C45" s="532"/>
      <c r="D45" s="355"/>
      <c r="E45" s="355"/>
      <c r="F45" s="355"/>
      <c r="G45" s="533"/>
      <c r="H45" s="532"/>
      <c r="I45" s="355"/>
      <c r="J45" s="355"/>
      <c r="K45" s="355"/>
      <c r="L45" s="533"/>
      <c r="M45" s="532"/>
      <c r="N45" s="355"/>
      <c r="O45" s="355"/>
      <c r="P45" s="355"/>
      <c r="Q45" s="533"/>
      <c r="R45" s="532"/>
      <c r="S45" s="355"/>
      <c r="T45" s="355"/>
      <c r="U45" s="355"/>
      <c r="V45" s="533"/>
      <c r="W45" s="532"/>
      <c r="X45" s="355"/>
      <c r="Y45" s="355"/>
      <c r="Z45" s="355"/>
      <c r="AA45" s="533"/>
    </row>
    <row r="46" spans="1:27">
      <c r="A46" s="515"/>
      <c r="C46" s="532"/>
      <c r="D46" s="355"/>
      <c r="E46" s="355"/>
      <c r="F46" s="355"/>
      <c r="G46" s="533"/>
      <c r="H46" s="532"/>
      <c r="I46" s="355"/>
      <c r="J46" s="355"/>
      <c r="K46" s="355"/>
      <c r="L46" s="533"/>
      <c r="M46" s="532"/>
      <c r="N46" s="355"/>
      <c r="O46" s="355"/>
      <c r="P46" s="355"/>
      <c r="Q46" s="533"/>
      <c r="R46" s="532"/>
      <c r="S46" s="355"/>
      <c r="T46" s="355"/>
      <c r="U46" s="355"/>
      <c r="V46" s="533"/>
      <c r="W46" s="532"/>
      <c r="X46" s="355"/>
      <c r="Y46" s="355"/>
      <c r="Z46" s="355"/>
      <c r="AA46" s="533"/>
    </row>
    <row r="47" spans="1:27">
      <c r="A47" s="515"/>
      <c r="C47" s="532"/>
      <c r="D47" s="355"/>
      <c r="E47" s="355"/>
      <c r="F47" s="355"/>
      <c r="G47" s="533"/>
      <c r="H47" s="532"/>
      <c r="I47" s="355"/>
      <c r="J47" s="355"/>
      <c r="K47" s="355"/>
      <c r="L47" s="533"/>
      <c r="M47" s="532"/>
      <c r="N47" s="355"/>
      <c r="O47" s="355"/>
      <c r="P47" s="355"/>
      <c r="Q47" s="533"/>
      <c r="R47" s="532"/>
      <c r="S47" s="355"/>
      <c r="T47" s="355"/>
      <c r="U47" s="355"/>
      <c r="V47" s="533"/>
      <c r="W47" s="532"/>
      <c r="X47" s="355"/>
      <c r="Y47" s="355"/>
      <c r="Z47" s="355"/>
      <c r="AA47" s="533"/>
    </row>
    <row r="48" spans="1:27">
      <c r="A48" s="515"/>
      <c r="C48" s="532"/>
      <c r="D48" s="355"/>
      <c r="E48" s="355"/>
      <c r="F48" s="355"/>
      <c r="G48" s="533"/>
      <c r="H48" s="532"/>
      <c r="I48" s="355"/>
      <c r="J48" s="355"/>
      <c r="K48" s="355"/>
      <c r="L48" s="533"/>
      <c r="M48" s="532"/>
      <c r="N48" s="355"/>
      <c r="O48" s="355"/>
      <c r="P48" s="355"/>
      <c r="Q48" s="533"/>
      <c r="R48" s="532"/>
      <c r="S48" s="355"/>
      <c r="T48" s="355"/>
      <c r="U48" s="355"/>
      <c r="V48" s="533"/>
      <c r="W48" s="532"/>
      <c r="X48" s="355"/>
      <c r="Y48" s="355"/>
      <c r="Z48" s="355"/>
      <c r="AA48" s="533"/>
    </row>
    <row r="49" spans="1:27">
      <c r="A49" s="515"/>
      <c r="C49" s="532"/>
      <c r="D49" s="355"/>
      <c r="E49" s="355"/>
      <c r="F49" s="355"/>
      <c r="G49" s="533"/>
      <c r="H49" s="532"/>
      <c r="I49" s="355"/>
      <c r="J49" s="355"/>
      <c r="K49" s="355"/>
      <c r="L49" s="533"/>
      <c r="M49" s="532"/>
      <c r="N49" s="355"/>
      <c r="O49" s="355"/>
      <c r="P49" s="355"/>
      <c r="Q49" s="533"/>
      <c r="R49" s="532"/>
      <c r="S49" s="355"/>
      <c r="T49" s="355"/>
      <c r="U49" s="355"/>
      <c r="V49" s="533"/>
      <c r="W49" s="532"/>
      <c r="X49" s="355"/>
      <c r="Y49" s="355"/>
      <c r="Z49" s="355"/>
      <c r="AA49" s="533"/>
    </row>
    <row r="50" spans="1:27">
      <c r="A50" s="515"/>
      <c r="C50" s="532"/>
      <c r="D50" s="355"/>
      <c r="E50" s="355"/>
      <c r="F50" s="355"/>
      <c r="G50" s="533"/>
      <c r="H50" s="532"/>
      <c r="I50" s="355"/>
      <c r="J50" s="355"/>
      <c r="K50" s="355"/>
      <c r="L50" s="533"/>
      <c r="M50" s="532"/>
      <c r="N50" s="355"/>
      <c r="O50" s="355"/>
      <c r="P50" s="355"/>
      <c r="Q50" s="533"/>
      <c r="R50" s="532"/>
      <c r="S50" s="355"/>
      <c r="T50" s="355"/>
      <c r="U50" s="355"/>
      <c r="V50" s="533"/>
      <c r="W50" s="532"/>
      <c r="X50" s="355"/>
      <c r="Y50" s="355"/>
      <c r="Z50" s="355"/>
      <c r="AA50" s="533"/>
    </row>
    <row r="51" spans="1:27">
      <c r="A51" s="515"/>
      <c r="C51" s="532"/>
      <c r="D51" s="355"/>
      <c r="E51" s="355"/>
      <c r="F51" s="355"/>
      <c r="G51" s="533"/>
      <c r="H51" s="532"/>
      <c r="I51" s="355"/>
      <c r="J51" s="355"/>
      <c r="K51" s="355"/>
      <c r="L51" s="533"/>
      <c r="M51" s="532"/>
      <c r="N51" s="355"/>
      <c r="O51" s="355"/>
      <c r="P51" s="355"/>
      <c r="Q51" s="533"/>
      <c r="R51" s="532"/>
      <c r="S51" s="355"/>
      <c r="T51" s="355"/>
      <c r="U51" s="355"/>
      <c r="V51" s="533"/>
      <c r="W51" s="532"/>
      <c r="X51" s="355"/>
      <c r="Y51" s="355"/>
      <c r="Z51" s="355"/>
      <c r="AA51" s="533"/>
    </row>
    <row r="52" spans="1:27">
      <c r="A52" s="515"/>
      <c r="C52" s="532"/>
      <c r="D52" s="355"/>
      <c r="E52" s="355"/>
      <c r="F52" s="355"/>
      <c r="G52" s="533"/>
      <c r="H52" s="532"/>
      <c r="I52" s="355"/>
      <c r="J52" s="355"/>
      <c r="K52" s="355"/>
      <c r="L52" s="533"/>
      <c r="M52" s="532"/>
      <c r="N52" s="355"/>
      <c r="O52" s="355"/>
      <c r="P52" s="355"/>
      <c r="Q52" s="533"/>
      <c r="R52" s="532"/>
      <c r="S52" s="355"/>
      <c r="T52" s="355"/>
      <c r="U52" s="355"/>
      <c r="V52" s="533"/>
      <c r="W52" s="532"/>
      <c r="X52" s="355"/>
      <c r="Y52" s="355"/>
      <c r="Z52" s="355"/>
      <c r="AA52" s="533"/>
    </row>
    <row r="53" spans="1:27">
      <c r="A53" s="515"/>
      <c r="C53" s="532"/>
      <c r="D53" s="355"/>
      <c r="E53" s="355"/>
      <c r="F53" s="355"/>
      <c r="G53" s="533"/>
      <c r="H53" s="532"/>
      <c r="I53" s="355"/>
      <c r="J53" s="355"/>
      <c r="K53" s="355"/>
      <c r="L53" s="533"/>
      <c r="M53" s="532"/>
      <c r="N53" s="355"/>
      <c r="O53" s="355"/>
      <c r="P53" s="355"/>
      <c r="Q53" s="533"/>
      <c r="R53" s="532"/>
      <c r="S53" s="355"/>
      <c r="T53" s="355"/>
      <c r="U53" s="355"/>
      <c r="V53" s="533"/>
      <c r="W53" s="532"/>
      <c r="X53" s="355"/>
      <c r="Y53" s="355"/>
      <c r="Z53" s="355"/>
      <c r="AA53" s="533"/>
    </row>
    <row r="54" spans="1:27">
      <c r="A54" s="515"/>
      <c r="C54" s="532"/>
      <c r="D54" s="355"/>
      <c r="E54" s="355"/>
      <c r="F54" s="355"/>
      <c r="G54" s="533"/>
      <c r="H54" s="532"/>
      <c r="I54" s="355"/>
      <c r="J54" s="355"/>
      <c r="K54" s="355"/>
      <c r="L54" s="533"/>
      <c r="M54" s="532"/>
      <c r="N54" s="355"/>
      <c r="O54" s="355"/>
      <c r="P54" s="355"/>
      <c r="Q54" s="533"/>
      <c r="R54" s="532"/>
      <c r="S54" s="355"/>
      <c r="T54" s="355"/>
      <c r="U54" s="355"/>
      <c r="V54" s="533"/>
      <c r="W54" s="532"/>
      <c r="X54" s="355"/>
      <c r="Y54" s="355"/>
      <c r="Z54" s="355"/>
      <c r="AA54" s="533"/>
    </row>
    <row r="55" spans="1:27">
      <c r="A55" s="515"/>
      <c r="C55" s="532"/>
      <c r="D55" s="355"/>
      <c r="E55" s="355"/>
      <c r="F55" s="355"/>
      <c r="G55" s="533"/>
      <c r="H55" s="532"/>
      <c r="I55" s="355"/>
      <c r="J55" s="355"/>
      <c r="K55" s="355"/>
      <c r="L55" s="533"/>
      <c r="M55" s="532"/>
      <c r="N55" s="355"/>
      <c r="O55" s="355"/>
      <c r="P55" s="355"/>
      <c r="Q55" s="533"/>
      <c r="R55" s="532"/>
      <c r="S55" s="355"/>
      <c r="T55" s="355"/>
      <c r="U55" s="355"/>
      <c r="V55" s="533"/>
      <c r="W55" s="532"/>
      <c r="X55" s="355"/>
      <c r="Y55" s="355"/>
      <c r="Z55" s="355"/>
      <c r="AA55" s="533"/>
    </row>
    <row r="56" spans="1:27">
      <c r="A56" s="515"/>
      <c r="C56" s="532"/>
      <c r="D56" s="355"/>
      <c r="E56" s="355"/>
      <c r="F56" s="355"/>
      <c r="G56" s="533"/>
      <c r="H56" s="532"/>
      <c r="I56" s="355"/>
      <c r="J56" s="355"/>
      <c r="K56" s="355"/>
      <c r="L56" s="533"/>
      <c r="M56" s="532"/>
      <c r="N56" s="355"/>
      <c r="O56" s="355"/>
      <c r="P56" s="355"/>
      <c r="Q56" s="533"/>
      <c r="R56" s="532"/>
      <c r="S56" s="355"/>
      <c r="T56" s="355"/>
      <c r="U56" s="355"/>
      <c r="V56" s="533"/>
      <c r="W56" s="532"/>
      <c r="X56" s="355"/>
      <c r="Y56" s="355"/>
      <c r="Z56" s="355"/>
      <c r="AA56" s="533"/>
    </row>
    <row r="57" spans="1:27">
      <c r="A57" s="515"/>
      <c r="C57" s="532"/>
      <c r="D57" s="355"/>
      <c r="E57" s="355"/>
      <c r="F57" s="355"/>
      <c r="G57" s="533"/>
      <c r="H57" s="532"/>
      <c r="I57" s="355"/>
      <c r="J57" s="355"/>
      <c r="K57" s="355"/>
      <c r="L57" s="533"/>
      <c r="M57" s="532"/>
      <c r="N57" s="355"/>
      <c r="O57" s="355"/>
      <c r="P57" s="355"/>
      <c r="Q57" s="533"/>
      <c r="R57" s="532"/>
      <c r="S57" s="355"/>
      <c r="T57" s="355"/>
      <c r="U57" s="355"/>
      <c r="V57" s="533"/>
      <c r="W57" s="532"/>
      <c r="X57" s="355"/>
      <c r="Y57" s="355"/>
      <c r="Z57" s="355"/>
      <c r="AA57" s="533"/>
    </row>
    <row r="58" spans="1:27">
      <c r="A58" s="515"/>
      <c r="C58" s="532"/>
      <c r="D58" s="355"/>
      <c r="E58" s="355"/>
      <c r="F58" s="355"/>
      <c r="G58" s="533"/>
      <c r="H58" s="532"/>
      <c r="I58" s="355"/>
      <c r="J58" s="355"/>
      <c r="K58" s="355"/>
      <c r="L58" s="533"/>
      <c r="M58" s="532"/>
      <c r="N58" s="355"/>
      <c r="O58" s="355"/>
      <c r="P58" s="355"/>
      <c r="Q58" s="533"/>
      <c r="R58" s="532"/>
      <c r="S58" s="355"/>
      <c r="T58" s="355"/>
      <c r="U58" s="355"/>
      <c r="V58" s="533"/>
      <c r="W58" s="532"/>
      <c r="X58" s="355"/>
      <c r="Y58" s="355"/>
      <c r="Z58" s="355"/>
      <c r="AA58" s="533"/>
    </row>
    <row r="59" spans="1:27">
      <c r="A59" s="515"/>
      <c r="C59" s="532"/>
      <c r="D59" s="355"/>
      <c r="E59" s="355"/>
      <c r="F59" s="355"/>
      <c r="G59" s="533"/>
      <c r="H59" s="532"/>
      <c r="I59" s="355"/>
      <c r="J59" s="355"/>
      <c r="K59" s="355"/>
      <c r="L59" s="533"/>
      <c r="M59" s="532"/>
      <c r="N59" s="355"/>
      <c r="O59" s="355"/>
      <c r="P59" s="355"/>
      <c r="Q59" s="533"/>
      <c r="R59" s="532"/>
      <c r="S59" s="355"/>
      <c r="T59" s="355"/>
      <c r="U59" s="355"/>
      <c r="V59" s="533"/>
      <c r="W59" s="532"/>
      <c r="X59" s="355"/>
      <c r="Y59" s="355"/>
      <c r="Z59" s="355"/>
      <c r="AA59" s="533"/>
    </row>
    <row r="60" spans="1:27">
      <c r="A60" s="515"/>
      <c r="C60" s="532"/>
      <c r="D60" s="355"/>
      <c r="E60" s="355"/>
      <c r="F60" s="355"/>
      <c r="G60" s="533"/>
      <c r="H60" s="532"/>
      <c r="I60" s="355"/>
      <c r="J60" s="355"/>
      <c r="K60" s="355"/>
      <c r="L60" s="533"/>
      <c r="M60" s="532"/>
      <c r="N60" s="355"/>
      <c r="O60" s="355"/>
      <c r="P60" s="355"/>
      <c r="Q60" s="533"/>
      <c r="R60" s="532"/>
      <c r="S60" s="355"/>
      <c r="T60" s="355"/>
      <c r="U60" s="355"/>
      <c r="V60" s="533"/>
      <c r="W60" s="532"/>
      <c r="X60" s="355"/>
      <c r="Y60" s="355"/>
      <c r="Z60" s="355"/>
      <c r="AA60" s="533"/>
    </row>
    <row r="61" spans="1:27">
      <c r="A61" s="515"/>
      <c r="C61" s="532"/>
      <c r="D61" s="355"/>
      <c r="E61" s="355"/>
      <c r="F61" s="355"/>
      <c r="G61" s="533"/>
      <c r="H61" s="532"/>
      <c r="I61" s="355"/>
      <c r="J61" s="355"/>
      <c r="K61" s="355"/>
      <c r="L61" s="533"/>
      <c r="M61" s="532"/>
      <c r="N61" s="355"/>
      <c r="O61" s="355"/>
      <c r="P61" s="355"/>
      <c r="Q61" s="533"/>
      <c r="R61" s="532"/>
      <c r="S61" s="355"/>
      <c r="T61" s="355"/>
      <c r="U61" s="355"/>
      <c r="V61" s="533"/>
      <c r="W61" s="532"/>
      <c r="X61" s="355"/>
      <c r="Y61" s="355"/>
      <c r="Z61" s="355"/>
      <c r="AA61" s="533"/>
    </row>
    <row r="62" spans="1:27">
      <c r="A62" s="515"/>
      <c r="C62" s="532"/>
      <c r="D62" s="355"/>
      <c r="E62" s="355"/>
      <c r="F62" s="355"/>
      <c r="G62" s="533"/>
      <c r="H62" s="532"/>
      <c r="I62" s="355"/>
      <c r="J62" s="355"/>
      <c r="K62" s="355"/>
      <c r="L62" s="533"/>
      <c r="M62" s="532"/>
      <c r="N62" s="355"/>
      <c r="O62" s="355"/>
      <c r="P62" s="355"/>
      <c r="Q62" s="533"/>
      <c r="R62" s="532"/>
      <c r="S62" s="355"/>
      <c r="T62" s="355"/>
      <c r="U62" s="355"/>
      <c r="V62" s="533"/>
      <c r="W62" s="532"/>
      <c r="X62" s="355"/>
      <c r="Y62" s="355"/>
      <c r="Z62" s="355"/>
      <c r="AA62" s="533"/>
    </row>
    <row r="63" spans="1:27">
      <c r="A63" s="515"/>
      <c r="C63" s="532"/>
      <c r="D63" s="355"/>
      <c r="E63" s="355"/>
      <c r="F63" s="355"/>
      <c r="G63" s="533"/>
      <c r="H63" s="532"/>
      <c r="I63" s="355"/>
      <c r="J63" s="355"/>
      <c r="K63" s="355"/>
      <c r="L63" s="533"/>
      <c r="M63" s="532"/>
      <c r="N63" s="355"/>
      <c r="O63" s="355"/>
      <c r="P63" s="355"/>
      <c r="Q63" s="533"/>
      <c r="R63" s="532"/>
      <c r="S63" s="355"/>
      <c r="T63" s="355"/>
      <c r="U63" s="355"/>
      <c r="V63" s="533"/>
      <c r="W63" s="532"/>
      <c r="X63" s="355"/>
      <c r="Y63" s="355"/>
      <c r="Z63" s="355"/>
      <c r="AA63" s="533"/>
    </row>
    <row r="64" spans="1:27">
      <c r="A64" s="515"/>
      <c r="C64" s="532"/>
      <c r="D64" s="355"/>
      <c r="E64" s="355"/>
      <c r="F64" s="355"/>
      <c r="G64" s="533"/>
      <c r="H64" s="532"/>
      <c r="I64" s="355"/>
      <c r="J64" s="355"/>
      <c r="K64" s="355"/>
      <c r="L64" s="533"/>
      <c r="M64" s="532"/>
      <c r="N64" s="355"/>
      <c r="O64" s="355"/>
      <c r="P64" s="355"/>
      <c r="Q64" s="533"/>
      <c r="R64" s="532"/>
      <c r="S64" s="355"/>
      <c r="T64" s="355"/>
      <c r="U64" s="355"/>
      <c r="V64" s="533"/>
      <c r="W64" s="532"/>
      <c r="X64" s="355"/>
      <c r="Y64" s="355"/>
      <c r="Z64" s="355"/>
      <c r="AA64" s="533"/>
    </row>
    <row r="65" spans="1:27">
      <c r="A65" s="515"/>
      <c r="C65" s="532"/>
      <c r="D65" s="355"/>
      <c r="E65" s="355"/>
      <c r="F65" s="355"/>
      <c r="G65" s="533"/>
      <c r="H65" s="532"/>
      <c r="I65" s="355"/>
      <c r="J65" s="355"/>
      <c r="K65" s="355"/>
      <c r="L65" s="533"/>
      <c r="M65" s="532"/>
      <c r="N65" s="355"/>
      <c r="O65" s="355"/>
      <c r="P65" s="355"/>
      <c r="Q65" s="533"/>
      <c r="R65" s="532"/>
      <c r="S65" s="355"/>
      <c r="T65" s="355"/>
      <c r="U65" s="355"/>
      <c r="V65" s="533"/>
      <c r="W65" s="532"/>
      <c r="X65" s="355"/>
      <c r="Y65" s="355"/>
      <c r="Z65" s="355"/>
      <c r="AA65" s="533"/>
    </row>
    <row r="66" spans="1:27" ht="21">
      <c r="A66" s="515"/>
      <c r="C66" s="532"/>
      <c r="D66" s="550" t="str">
        <f>IF(Idioma=Castellano,"Análisis energético",IF(Idioma=Valencià,"Anàlisi energètica"))</f>
        <v>Análisis energético</v>
      </c>
      <c r="E66" s="355"/>
      <c r="F66" s="355"/>
      <c r="G66" s="533"/>
      <c r="H66" s="532"/>
      <c r="I66" s="355"/>
      <c r="J66" s="550" t="str">
        <f>IF(Idioma=Castellano,"Análisis energético",IF(Idioma=Valencià,"Anàlisi energètica"))</f>
        <v>Análisis energético</v>
      </c>
      <c r="K66" s="355"/>
      <c r="L66" s="533"/>
      <c r="M66" s="532"/>
      <c r="N66" s="604"/>
      <c r="O66" s="550" t="str">
        <f>IF(Idioma=Castellano,"Análisis energético",IF(Idioma=Valencià,"Anàlisi energètica"))</f>
        <v>Análisis energético</v>
      </c>
      <c r="P66" s="604"/>
      <c r="Q66" s="605"/>
      <c r="R66" s="606"/>
      <c r="S66" s="607"/>
      <c r="T66" s="550" t="str">
        <f>IF(Idioma=Castellano,"Análisis energético",IF(Idioma=Valencià,"Anàlisi energètica"))</f>
        <v>Análisis energético</v>
      </c>
      <c r="U66" s="604"/>
      <c r="V66" s="605"/>
      <c r="W66" s="606"/>
      <c r="X66" s="607"/>
      <c r="Y66" s="550" t="str">
        <f>IF(Idioma=Castellano,"Análisis energético",IF(Idioma=Valencià,"Anàlisi energètica"))</f>
        <v>Análisis energético</v>
      </c>
      <c r="Z66" s="604"/>
      <c r="AA66" s="533"/>
    </row>
    <row r="67" spans="1:27">
      <c r="A67" s="515"/>
      <c r="C67" s="532"/>
      <c r="D67" s="355"/>
      <c r="E67" s="355"/>
      <c r="F67" s="355"/>
      <c r="G67" s="533"/>
      <c r="H67" s="532"/>
      <c r="I67" s="355"/>
      <c r="J67" s="355"/>
      <c r="K67" s="355"/>
      <c r="L67" s="533"/>
      <c r="M67" s="532"/>
      <c r="N67" s="355"/>
      <c r="O67" s="355"/>
      <c r="P67" s="355"/>
      <c r="Q67" s="533"/>
      <c r="R67" s="532"/>
      <c r="S67" s="355"/>
      <c r="T67" s="355"/>
      <c r="U67" s="355"/>
      <c r="V67" s="533"/>
      <c r="W67" s="532"/>
      <c r="X67" s="355"/>
      <c r="Y67" s="355"/>
      <c r="Z67" s="355"/>
      <c r="AA67" s="533"/>
    </row>
    <row r="68" spans="1:27">
      <c r="A68" s="515"/>
      <c r="C68" s="532"/>
      <c r="D68" s="355"/>
      <c r="E68" s="355"/>
      <c r="F68" s="355"/>
      <c r="G68" s="533"/>
      <c r="H68" s="532"/>
      <c r="I68" s="355"/>
      <c r="J68" s="355"/>
      <c r="K68" s="355"/>
      <c r="L68" s="533"/>
      <c r="M68" s="532"/>
      <c r="N68" s="355"/>
      <c r="O68" s="355"/>
      <c r="P68" s="355"/>
      <c r="Q68" s="533"/>
      <c r="R68" s="532"/>
      <c r="S68" s="355"/>
      <c r="T68" s="355"/>
      <c r="U68" s="355"/>
      <c r="V68" s="533"/>
      <c r="W68" s="532"/>
      <c r="X68" s="355"/>
      <c r="Y68" s="355"/>
      <c r="Z68" s="355"/>
      <c r="AA68" s="533"/>
    </row>
    <row r="69" spans="1:27">
      <c r="A69" s="515"/>
      <c r="C69" s="532"/>
      <c r="D69" s="355"/>
      <c r="E69" s="355"/>
      <c r="F69" s="355"/>
      <c r="G69" s="533"/>
      <c r="H69" s="532"/>
      <c r="I69" s="355"/>
      <c r="J69" s="355"/>
      <c r="K69" s="355"/>
      <c r="L69" s="533"/>
      <c r="M69" s="532"/>
      <c r="N69" s="355"/>
      <c r="O69" s="355"/>
      <c r="P69" s="355"/>
      <c r="Q69" s="533"/>
      <c r="R69" s="532"/>
      <c r="S69" s="355"/>
      <c r="T69" s="355"/>
      <c r="U69" s="355"/>
      <c r="V69" s="533"/>
      <c r="W69" s="532"/>
      <c r="X69" s="355"/>
      <c r="Y69" s="355"/>
      <c r="Z69" s="355"/>
      <c r="AA69" s="533"/>
    </row>
    <row r="70" spans="1:27">
      <c r="A70" s="515"/>
      <c r="C70" s="532"/>
      <c r="D70" s="355"/>
      <c r="E70" s="355"/>
      <c r="F70" s="355"/>
      <c r="G70" s="533"/>
      <c r="H70" s="532"/>
      <c r="I70" s="355"/>
      <c r="J70" s="355"/>
      <c r="K70" s="355"/>
      <c r="L70" s="533"/>
      <c r="M70" s="532"/>
      <c r="N70" s="355"/>
      <c r="O70" s="355"/>
      <c r="P70" s="355"/>
      <c r="Q70" s="533"/>
      <c r="R70" s="532"/>
      <c r="S70" s="355"/>
      <c r="T70" s="355"/>
      <c r="U70" s="355"/>
      <c r="V70" s="533"/>
      <c r="W70" s="532"/>
      <c r="X70" s="355"/>
      <c r="Y70" s="355"/>
      <c r="Z70" s="355"/>
      <c r="AA70" s="533"/>
    </row>
    <row r="71" spans="1:27">
      <c r="A71" s="515"/>
      <c r="C71" s="532"/>
      <c r="D71" s="355"/>
      <c r="E71" s="355"/>
      <c r="F71" s="355"/>
      <c r="G71" s="533"/>
      <c r="H71" s="532"/>
      <c r="I71" s="355"/>
      <c r="J71" s="355"/>
      <c r="K71" s="355"/>
      <c r="L71" s="533"/>
      <c r="M71" s="532"/>
      <c r="N71" s="355"/>
      <c r="O71" s="355"/>
      <c r="P71" s="355"/>
      <c r="Q71" s="533"/>
      <c r="R71" s="532"/>
      <c r="S71" s="355"/>
      <c r="T71" s="355"/>
      <c r="U71" s="355"/>
      <c r="V71" s="533"/>
      <c r="W71" s="532"/>
      <c r="X71" s="355"/>
      <c r="Y71" s="355"/>
      <c r="Z71" s="355"/>
      <c r="AA71" s="533"/>
    </row>
    <row r="72" spans="1:27">
      <c r="A72" s="515"/>
      <c r="C72" s="532"/>
      <c r="D72" s="355"/>
      <c r="E72" s="355"/>
      <c r="F72" s="355"/>
      <c r="G72" s="533"/>
      <c r="H72" s="532"/>
      <c r="I72" s="355"/>
      <c r="J72" s="355"/>
      <c r="K72" s="355"/>
      <c r="L72" s="533"/>
      <c r="M72" s="532"/>
      <c r="N72" s="355"/>
      <c r="O72" s="355"/>
      <c r="P72" s="355"/>
      <c r="Q72" s="533"/>
      <c r="R72" s="532"/>
      <c r="S72" s="355"/>
      <c r="T72" s="355"/>
      <c r="U72" s="355"/>
      <c r="V72" s="533"/>
      <c r="W72" s="532"/>
      <c r="X72" s="355"/>
      <c r="Y72" s="355"/>
      <c r="Z72" s="355"/>
      <c r="AA72" s="533"/>
    </row>
    <row r="73" spans="1:27">
      <c r="A73" s="515"/>
      <c r="C73" s="532"/>
      <c r="D73" s="355"/>
      <c r="E73" s="355"/>
      <c r="F73" s="355"/>
      <c r="G73" s="533"/>
      <c r="H73" s="532"/>
      <c r="I73" s="355"/>
      <c r="J73" s="355"/>
      <c r="K73" s="355"/>
      <c r="L73" s="533"/>
      <c r="M73" s="532"/>
      <c r="N73" s="355"/>
      <c r="O73" s="355"/>
      <c r="P73" s="355"/>
      <c r="Q73" s="533"/>
      <c r="R73" s="532"/>
      <c r="S73" s="355"/>
      <c r="T73" s="355"/>
      <c r="U73" s="355"/>
      <c r="V73" s="533"/>
      <c r="W73" s="532"/>
      <c r="X73" s="355"/>
      <c r="Y73" s="355"/>
      <c r="Z73" s="355"/>
      <c r="AA73" s="533"/>
    </row>
    <row r="74" spans="1:27">
      <c r="A74" s="515"/>
      <c r="C74" s="532"/>
      <c r="D74" s="355"/>
      <c r="E74" s="355"/>
      <c r="F74" s="355"/>
      <c r="G74" s="533"/>
      <c r="H74" s="532"/>
      <c r="I74" s="355"/>
      <c r="J74" s="355"/>
      <c r="K74" s="355"/>
      <c r="L74" s="533"/>
      <c r="M74" s="532"/>
      <c r="N74" s="355"/>
      <c r="O74" s="355"/>
      <c r="P74" s="355"/>
      <c r="Q74" s="533"/>
      <c r="R74" s="532"/>
      <c r="S74" s="355"/>
      <c r="T74" s="355"/>
      <c r="U74" s="355"/>
      <c r="V74" s="533"/>
      <c r="W74" s="532"/>
      <c r="X74" s="355"/>
      <c r="Y74" s="355"/>
      <c r="Z74" s="355"/>
      <c r="AA74" s="533"/>
    </row>
    <row r="75" spans="1:27">
      <c r="A75" s="515"/>
      <c r="C75" s="532"/>
      <c r="D75" s="355"/>
      <c r="E75" s="355"/>
      <c r="F75" s="355"/>
      <c r="G75" s="533"/>
      <c r="H75" s="532"/>
      <c r="I75" s="355"/>
      <c r="J75" s="355"/>
      <c r="K75" s="355"/>
      <c r="L75" s="533"/>
      <c r="M75" s="532"/>
      <c r="N75" s="355"/>
      <c r="O75" s="355"/>
      <c r="P75" s="355"/>
      <c r="Q75" s="533"/>
      <c r="R75" s="532"/>
      <c r="S75" s="355"/>
      <c r="T75" s="355"/>
      <c r="U75" s="355"/>
      <c r="V75" s="533"/>
      <c r="W75" s="532"/>
      <c r="X75" s="355"/>
      <c r="Y75" s="355"/>
      <c r="Z75" s="355"/>
      <c r="AA75" s="533"/>
    </row>
    <row r="76" spans="1:27">
      <c r="A76" s="515"/>
      <c r="C76" s="532"/>
      <c r="D76" s="355"/>
      <c r="E76" s="355"/>
      <c r="F76" s="355"/>
      <c r="G76" s="533"/>
      <c r="H76" s="532"/>
      <c r="I76" s="355"/>
      <c r="J76" s="355"/>
      <c r="K76" s="355"/>
      <c r="L76" s="533"/>
      <c r="M76" s="532"/>
      <c r="N76" s="355"/>
      <c r="O76" s="355"/>
      <c r="P76" s="355"/>
      <c r="Q76" s="533"/>
      <c r="R76" s="532"/>
      <c r="S76" s="355"/>
      <c r="T76" s="355"/>
      <c r="U76" s="355"/>
      <c r="V76" s="533"/>
      <c r="W76" s="532"/>
      <c r="X76" s="355"/>
      <c r="Y76" s="355"/>
      <c r="Z76" s="355"/>
      <c r="AA76" s="533"/>
    </row>
    <row r="77" spans="1:27">
      <c r="A77" s="515"/>
      <c r="C77" s="532"/>
      <c r="D77" s="355"/>
      <c r="E77" s="355"/>
      <c r="F77" s="355"/>
      <c r="G77" s="533"/>
      <c r="H77" s="532"/>
      <c r="I77" s="355"/>
      <c r="J77" s="355"/>
      <c r="K77" s="355"/>
      <c r="L77" s="533"/>
      <c r="M77" s="532"/>
      <c r="N77" s="355"/>
      <c r="O77" s="355"/>
      <c r="P77" s="355"/>
      <c r="Q77" s="533"/>
      <c r="R77" s="532"/>
      <c r="S77" s="355"/>
      <c r="T77" s="355"/>
      <c r="U77" s="355"/>
      <c r="V77" s="533"/>
      <c r="W77" s="532"/>
      <c r="X77" s="355"/>
      <c r="Y77" s="355"/>
      <c r="Z77" s="355"/>
      <c r="AA77" s="533"/>
    </row>
    <row r="78" spans="1:27">
      <c r="A78" s="515"/>
      <c r="C78" s="532"/>
      <c r="D78" s="355"/>
      <c r="E78" s="355"/>
      <c r="F78" s="355"/>
      <c r="G78" s="533"/>
      <c r="H78" s="532"/>
      <c r="I78" s="355"/>
      <c r="J78" s="355"/>
      <c r="K78" s="355"/>
      <c r="L78" s="533"/>
      <c r="M78" s="532"/>
      <c r="N78" s="355"/>
      <c r="O78" s="355"/>
      <c r="P78" s="355"/>
      <c r="Q78" s="533"/>
      <c r="R78" s="532"/>
      <c r="S78" s="355"/>
      <c r="T78" s="355"/>
      <c r="U78" s="355"/>
      <c r="V78" s="533"/>
      <c r="W78" s="532"/>
      <c r="X78" s="355"/>
      <c r="Y78" s="355"/>
      <c r="Z78" s="355"/>
      <c r="AA78" s="533"/>
    </row>
    <row r="79" spans="1:27">
      <c r="A79" s="515"/>
      <c r="C79" s="532"/>
      <c r="D79" s="355"/>
      <c r="E79" s="355"/>
      <c r="F79" s="355"/>
      <c r="G79" s="533"/>
      <c r="H79" s="532"/>
      <c r="I79" s="355"/>
      <c r="J79" s="355"/>
      <c r="K79" s="355"/>
      <c r="L79" s="533"/>
      <c r="M79" s="532"/>
      <c r="N79" s="355"/>
      <c r="O79" s="355"/>
      <c r="P79" s="355"/>
      <c r="Q79" s="533"/>
      <c r="R79" s="532"/>
      <c r="S79" s="355"/>
      <c r="T79" s="355"/>
      <c r="U79" s="355"/>
      <c r="V79" s="533"/>
      <c r="W79" s="532"/>
      <c r="X79" s="355"/>
      <c r="Y79" s="355"/>
      <c r="Z79" s="355"/>
      <c r="AA79" s="533"/>
    </row>
    <row r="80" spans="1:27" ht="15.6">
      <c r="A80" s="145"/>
      <c r="C80" s="532"/>
      <c r="D80" s="355"/>
      <c r="E80" s="355"/>
      <c r="F80" s="355"/>
      <c r="G80" s="533"/>
      <c r="H80" s="532"/>
      <c r="I80" s="355"/>
      <c r="J80" s="355"/>
      <c r="K80" s="355"/>
      <c r="L80" s="533"/>
      <c r="M80" s="532"/>
      <c r="N80" s="355"/>
      <c r="O80" s="355"/>
      <c r="P80" s="355"/>
      <c r="Q80" s="533"/>
      <c r="R80" s="532"/>
      <c r="S80" s="355"/>
      <c r="T80" s="355"/>
      <c r="U80" s="355"/>
      <c r="V80" s="533"/>
      <c r="W80" s="532"/>
      <c r="X80" s="355"/>
      <c r="Y80" s="355"/>
      <c r="Z80" s="355"/>
      <c r="AA80" s="533"/>
    </row>
    <row r="81" spans="1:27" ht="15.6">
      <c r="A81" s="145"/>
      <c r="C81" s="532"/>
      <c r="D81" s="355"/>
      <c r="E81" s="355"/>
      <c r="F81" s="355"/>
      <c r="G81" s="533"/>
      <c r="H81" s="532"/>
      <c r="I81" s="355"/>
      <c r="J81" s="355"/>
      <c r="K81" s="355"/>
      <c r="L81" s="533"/>
      <c r="M81" s="532"/>
      <c r="N81" s="355"/>
      <c r="O81" s="355"/>
      <c r="P81" s="355"/>
      <c r="Q81" s="533"/>
      <c r="R81" s="532"/>
      <c r="S81" s="355"/>
      <c r="T81" s="355"/>
      <c r="U81" s="355"/>
      <c r="V81" s="533"/>
      <c r="W81" s="532"/>
      <c r="X81" s="355"/>
      <c r="Y81" s="355"/>
      <c r="Z81" s="355"/>
      <c r="AA81" s="533"/>
    </row>
    <row r="82" spans="1:27" ht="15.6">
      <c r="A82" s="145"/>
      <c r="C82" s="532"/>
      <c r="D82" s="355"/>
      <c r="E82" s="355"/>
      <c r="F82" s="355"/>
      <c r="G82" s="533"/>
      <c r="H82" s="532"/>
      <c r="I82" s="355"/>
      <c r="J82" s="355"/>
      <c r="K82" s="355"/>
      <c r="L82" s="533"/>
      <c r="M82" s="532"/>
      <c r="N82" s="355"/>
      <c r="O82" s="355"/>
      <c r="P82" s="355"/>
      <c r="Q82" s="533"/>
      <c r="R82" s="532"/>
      <c r="S82" s="355"/>
      <c r="T82" s="355"/>
      <c r="U82" s="355"/>
      <c r="V82" s="533"/>
      <c r="W82" s="532"/>
      <c r="X82" s="355"/>
      <c r="Y82" s="355"/>
      <c r="Z82" s="355"/>
      <c r="AA82" s="533"/>
    </row>
    <row r="83" spans="1:27" ht="15.6">
      <c r="A83" s="145"/>
      <c r="C83" s="532"/>
      <c r="D83" s="355"/>
      <c r="E83" s="355"/>
      <c r="F83" s="355"/>
      <c r="G83" s="533"/>
      <c r="H83" s="532"/>
      <c r="I83" s="355"/>
      <c r="J83" s="355"/>
      <c r="K83" s="355"/>
      <c r="L83" s="533"/>
      <c r="M83" s="532"/>
      <c r="N83" s="355"/>
      <c r="O83" s="355"/>
      <c r="P83" s="355"/>
      <c r="Q83" s="533"/>
      <c r="R83" s="532"/>
      <c r="S83" s="355"/>
      <c r="T83" s="355"/>
      <c r="U83" s="355"/>
      <c r="V83" s="533"/>
      <c r="W83" s="532"/>
      <c r="X83" s="355"/>
      <c r="Y83" s="355"/>
      <c r="Z83" s="355"/>
      <c r="AA83" s="533"/>
    </row>
    <row r="84" spans="1:27" ht="15.6">
      <c r="A84" s="145"/>
      <c r="C84" s="532"/>
      <c r="D84" s="355"/>
      <c r="E84" s="355"/>
      <c r="F84" s="355"/>
      <c r="G84" s="533"/>
      <c r="H84" s="532"/>
      <c r="I84" s="355"/>
      <c r="J84" s="355"/>
      <c r="K84" s="355"/>
      <c r="L84" s="533"/>
      <c r="M84" s="532"/>
      <c r="N84" s="355"/>
      <c r="O84" s="355"/>
      <c r="P84" s="355"/>
      <c r="Q84" s="533"/>
      <c r="R84" s="532"/>
      <c r="S84" s="355"/>
      <c r="T84" s="355"/>
      <c r="U84" s="355"/>
      <c r="V84" s="533"/>
      <c r="W84" s="532"/>
      <c r="X84" s="355"/>
      <c r="Y84" s="355"/>
      <c r="Z84" s="355"/>
      <c r="AA84" s="533"/>
    </row>
    <row r="85" spans="1:27" ht="15.6">
      <c r="A85" s="145"/>
      <c r="C85" s="532"/>
      <c r="D85" s="355"/>
      <c r="E85" s="355"/>
      <c r="F85" s="355"/>
      <c r="G85" s="533"/>
      <c r="H85" s="532"/>
      <c r="I85" s="355"/>
      <c r="J85" s="355"/>
      <c r="K85" s="355"/>
      <c r="L85" s="533"/>
      <c r="M85" s="532"/>
      <c r="N85" s="355"/>
      <c r="O85" s="355"/>
      <c r="P85" s="355"/>
      <c r="Q85" s="533"/>
      <c r="R85" s="532"/>
      <c r="S85" s="355"/>
      <c r="T85" s="355"/>
      <c r="U85" s="355"/>
      <c r="V85" s="533"/>
      <c r="W85" s="532"/>
      <c r="X85" s="355"/>
      <c r="Y85" s="355"/>
      <c r="Z85" s="355"/>
      <c r="AA85" s="533"/>
    </row>
    <row r="86" spans="1:27" ht="15.6">
      <c r="A86" s="145"/>
      <c r="C86" s="532"/>
      <c r="D86" s="355"/>
      <c r="E86" s="355"/>
      <c r="F86" s="355"/>
      <c r="G86" s="533"/>
      <c r="H86" s="532"/>
      <c r="I86" s="355"/>
      <c r="J86" s="355"/>
      <c r="K86" s="355"/>
      <c r="L86" s="533"/>
      <c r="M86" s="532"/>
      <c r="N86" s="355"/>
      <c r="O86" s="355"/>
      <c r="P86" s="355"/>
      <c r="Q86" s="533"/>
      <c r="R86" s="532"/>
      <c r="S86" s="355"/>
      <c r="T86" s="355"/>
      <c r="U86" s="355"/>
      <c r="V86" s="533"/>
      <c r="W86" s="532"/>
      <c r="X86" s="355"/>
      <c r="Y86" s="355"/>
      <c r="Z86" s="355"/>
      <c r="AA86" s="533"/>
    </row>
    <row r="87" spans="1:27" ht="15.6">
      <c r="A87" s="145"/>
      <c r="C87" s="532"/>
      <c r="D87" s="355"/>
      <c r="E87" s="355"/>
      <c r="F87" s="355"/>
      <c r="G87" s="533"/>
      <c r="H87" s="532"/>
      <c r="I87" s="355"/>
      <c r="J87" s="355"/>
      <c r="K87" s="355"/>
      <c r="L87" s="533"/>
      <c r="M87" s="532"/>
      <c r="N87" s="355"/>
      <c r="O87" s="355"/>
      <c r="P87" s="355"/>
      <c r="Q87" s="533"/>
      <c r="R87" s="532"/>
      <c r="S87" s="355"/>
      <c r="T87" s="355"/>
      <c r="U87" s="355"/>
      <c r="V87" s="533"/>
      <c r="W87" s="532"/>
      <c r="X87" s="355"/>
      <c r="Y87" s="355"/>
      <c r="Z87" s="355"/>
      <c r="AA87" s="533"/>
    </row>
    <row r="88" spans="1:27" ht="15.6">
      <c r="A88" s="145"/>
      <c r="C88" s="532"/>
      <c r="D88" s="355"/>
      <c r="E88" s="355"/>
      <c r="F88" s="355"/>
      <c r="G88" s="533"/>
      <c r="H88" s="532"/>
      <c r="I88" s="355"/>
      <c r="J88" s="355"/>
      <c r="K88" s="355"/>
      <c r="L88" s="533"/>
      <c r="M88" s="532"/>
      <c r="N88" s="355"/>
      <c r="O88" s="355"/>
      <c r="P88" s="355"/>
      <c r="Q88" s="533"/>
      <c r="R88" s="532"/>
      <c r="S88" s="355"/>
      <c r="T88" s="355"/>
      <c r="U88" s="355"/>
      <c r="V88" s="533"/>
      <c r="W88" s="532"/>
      <c r="X88" s="355"/>
      <c r="Y88" s="355"/>
      <c r="Z88" s="355"/>
      <c r="AA88" s="533"/>
    </row>
    <row r="89" spans="1:27" ht="16.2" thickBot="1">
      <c r="A89" s="145"/>
      <c r="C89" s="534"/>
      <c r="D89" s="535"/>
      <c r="E89" s="535"/>
      <c r="F89" s="535"/>
      <c r="G89" s="536"/>
      <c r="H89" s="534"/>
      <c r="I89" s="535"/>
      <c r="J89" s="535"/>
      <c r="K89" s="535"/>
      <c r="L89" s="536"/>
      <c r="M89" s="534"/>
      <c r="N89" s="535"/>
      <c r="O89" s="535"/>
      <c r="P89" s="535"/>
      <c r="Q89" s="536"/>
      <c r="R89" s="534"/>
      <c r="S89" s="535"/>
      <c r="T89" s="535"/>
      <c r="U89" s="535"/>
      <c r="V89" s="536"/>
      <c r="W89" s="534"/>
      <c r="X89" s="535"/>
      <c r="Y89" s="535"/>
      <c r="Z89" s="535"/>
      <c r="AA89" s="536"/>
    </row>
    <row r="90" spans="1:27" ht="16.2" thickTop="1">
      <c r="A90" s="145"/>
    </row>
    <row r="91" spans="1:27" ht="15.6">
      <c r="A91" s="145"/>
    </row>
    <row r="92" spans="1:27" ht="15.6">
      <c r="A92" s="145"/>
    </row>
    <row r="93" spans="1:27" ht="15.6">
      <c r="A93" s="145"/>
    </row>
    <row r="94" spans="1:27" ht="15.6">
      <c r="A94" s="145"/>
    </row>
    <row r="95" spans="1:27" ht="15.6">
      <c r="A95" s="145"/>
    </row>
  </sheetData>
  <sheetProtection algorithmName="SHA-512" hashValue="kKso3rn3UpAzHH2kVmn3wGG+Hg7s1SxOlqOOoay3bkqX7dPvSp6I4uCQTjb7VBL+I9+EQj+v0A3jCUL6dQc/gQ==" saltValue="cUjOQdiU1kTDe3pxMbklTg==" spinCount="100000" sheet="1" objects="1" scenarios="1"/>
  <mergeCells count="3">
    <mergeCell ref="D6:K6"/>
    <mergeCell ref="D7:K7"/>
    <mergeCell ref="D8:K8"/>
  </mergeCells>
  <hyperlinks>
    <hyperlink ref="A7" location="Instrucciones_Valencia!A1" display="Instrucciones_Valencia!A1" xr:uid="{CD2564CA-9C1E-488B-BE55-02624B176C52}"/>
    <hyperlink ref="A9" location="M_Datos_Valencia!A1" display="M_Datos_Valencia!A1" xr:uid="{2140A22D-4679-4D4E-A7AC-FACAD2ABA94D}"/>
    <hyperlink ref="A11" location="V_A0!A1" display="2.1. Alternativa 0 (A0)" xr:uid="{BCFBD03D-6CA9-493A-9071-D6E1AFF32210}"/>
    <hyperlink ref="A12" location="V_A1!A1" display="2.2. Alternativa 1 (A1)" xr:uid="{79305730-7810-4982-A5B5-4DF159A5503D}"/>
    <hyperlink ref="A13" location="V_A2!A1" display="2.3. Alternativa 2 (A2)" xr:uid="{74E442FD-C34A-45F4-B90A-10774BFF8FDA}"/>
    <hyperlink ref="A14" location="V_A3!A1" display="2.4. Alternativa 3 (A3)" xr:uid="{4E0378F3-D091-49CE-B356-A655329243A2}"/>
    <hyperlink ref="A15" location="V_A4!A1" display="2.5. Alternativa 4 (A4)" xr:uid="{916AEE12-09AF-4C59-BAFF-B3CBFD4300CE}"/>
    <hyperlink ref="A16" location="B_Resultados!A1" display="B_Resultados!A1" xr:uid="{2BFB19E1-99E5-4421-B1E1-B5854C8ADF0A}"/>
    <hyperlink ref="A17" location="V_Factores!A1" display="V_Factores!A1" xr:uid="{F7B964D9-EAD6-473E-8A72-B34EB65884F4}"/>
    <hyperlink ref="A19" location="B_Alcance!A1" display="B_Alcance!A1" xr:uid="{5CD71576-D146-487A-BC44-0C0B18B4C14B}"/>
    <hyperlink ref="A20" location="B_Checklist!A1" display="2. Checklist" xr:uid="{547C66EE-FD6A-4CB7-A573-5A97CB77C771}"/>
    <hyperlink ref="A21" location="B_Resultados!A1" display="B_Resultados!A1" xr:uid="{A5783F68-0405-4AE2-9F06-D98EB335238E}"/>
    <hyperlink ref="A22" location="Resultados_generales!A1" display="Resultados_generales!A1" xr:uid="{F8CA9212-3745-4DCE-92EA-CBE13C406D2B}"/>
    <hyperlink ref="A23" location="Medidas_Propuestas!A1" display="Medidas_Propuestas!A1" xr:uid="{C66251EB-0F3F-4AAA-8CD2-A589BFF292A4}"/>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BF388-421B-488D-B31E-D3E9EE92C652}">
  <dimension ref="A1:I251"/>
  <sheetViews>
    <sheetView workbookViewId="0">
      <selection sqref="A1:I1"/>
    </sheetView>
  </sheetViews>
  <sheetFormatPr baseColWidth="10" defaultColWidth="9.109375" defaultRowHeight="14.4"/>
  <cols>
    <col min="2" max="2" width="32.6640625" customWidth="1"/>
    <col min="4" max="4" width="30.5546875" customWidth="1"/>
    <col min="5" max="5" width="23.44140625" customWidth="1"/>
    <col min="7" max="7" width="35" customWidth="1"/>
  </cols>
  <sheetData>
    <row r="1" spans="1:9">
      <c r="A1" s="241" t="s">
        <v>10</v>
      </c>
      <c r="B1" s="241" t="s">
        <v>11</v>
      </c>
      <c r="C1" s="241"/>
      <c r="D1" s="241"/>
      <c r="E1" s="241"/>
      <c r="F1" s="241"/>
      <c r="G1" s="241"/>
      <c r="H1" s="241"/>
      <c r="I1" s="241"/>
    </row>
    <row r="2" spans="1:9">
      <c r="A2" t="s">
        <v>17</v>
      </c>
      <c r="B2" t="s">
        <v>18</v>
      </c>
      <c r="C2" t="s">
        <v>808</v>
      </c>
      <c r="D2" t="str">
        <f>IF(Idioma=Castellano,"Periodo de años comprendido entre 2011 y 2040",IF(Idioma=Valencià,"Període d'anys comprés entre 2011 i 2040","Periodo de años comprendido entre 2011 y 2040"))</f>
        <v>Periodo de años comprendido entre 2011 y 2040</v>
      </c>
      <c r="E2" t="s">
        <v>852</v>
      </c>
      <c r="F2" t="s">
        <v>20</v>
      </c>
      <c r="G2" s="24" t="s">
        <v>27</v>
      </c>
    </row>
    <row r="3" spans="1:9">
      <c r="A3" t="s">
        <v>24</v>
      </c>
      <c r="B3" t="s">
        <v>25</v>
      </c>
      <c r="C3" t="s">
        <v>27</v>
      </c>
      <c r="D3" t="str">
        <f>IF(Idioma=Castellano,"Periodo de años comprendido entre 2041 y 2070",IF(Idioma=Valencià,"Període d'anys comprés entre 2041 i 2070","Periodo de años comprendido entre 2041 y 2070"))</f>
        <v>Periodo de años comprendido entre 2041 y 2070</v>
      </c>
      <c r="E3" t="s">
        <v>802</v>
      </c>
      <c r="F3" t="s">
        <v>812</v>
      </c>
      <c r="G3" t="str">
        <f>IF(Idioma=Castellano,"Sí, principalmente con riesgo bajo",IF(Idioma=Valencià,"Sí, principalment amb risc baix","Sí, principalmente con riesgo bajo"))</f>
        <v>Sí, principalmente con riesgo bajo</v>
      </c>
    </row>
    <row r="4" spans="1:9">
      <c r="A4" t="s">
        <v>32</v>
      </c>
      <c r="B4" t="s">
        <v>33</v>
      </c>
      <c r="D4" t="str">
        <f>IF(Idioma=Castellano,"Periodo de años comprendido entre 2071 y 2100",IF(Idioma=Valencià,"Període d'anys comprés entre 2071 i 2100","Periodo de años comprendido entre 2071 y 2100"))</f>
        <v>Periodo de años comprendido entre 2071 y 2100</v>
      </c>
      <c r="E4" t="s">
        <v>853</v>
      </c>
      <c r="F4" t="s">
        <v>27</v>
      </c>
      <c r="G4" t="str">
        <f>IF(Idioma=Castellano,"Sí, principalmente con riesgo medio",IF(Idioma=Valencià,"Sí, principalment amb risc mitjà","Sí, principalmente con riesgo medio"))</f>
        <v>Sí, principalmente con riesgo medio</v>
      </c>
    </row>
    <row r="5" spans="1:9">
      <c r="B5" t="s">
        <v>37</v>
      </c>
      <c r="E5" t="s">
        <v>854</v>
      </c>
      <c r="G5" t="str">
        <f>IF(Idioma=Castellano,"Sí, principalmente con riesgo alto",IF(Idioma=Valencià,"Sí, principalment amb risc alt","Sí, principalmente con riesgo alto"))</f>
        <v>Sí, principalmente con riesgo alto</v>
      </c>
    </row>
    <row r="6" spans="1:9">
      <c r="B6" t="s">
        <v>40</v>
      </c>
      <c r="C6" s="28"/>
    </row>
    <row r="7" spans="1:9">
      <c r="B7" t="s">
        <v>43</v>
      </c>
    </row>
    <row r="8" spans="1:9">
      <c r="B8" t="s">
        <v>45</v>
      </c>
    </row>
    <row r="9" spans="1:9">
      <c r="B9" t="s">
        <v>47</v>
      </c>
    </row>
    <row r="10" spans="1:9">
      <c r="B10" t="s">
        <v>48</v>
      </c>
    </row>
    <row r="11" spans="1:9">
      <c r="B11" t="s">
        <v>50</v>
      </c>
    </row>
    <row r="12" spans="1:9">
      <c r="B12" t="s">
        <v>51</v>
      </c>
    </row>
    <row r="13" spans="1:9">
      <c r="B13" t="s">
        <v>52</v>
      </c>
    </row>
    <row r="14" spans="1:9">
      <c r="B14" t="s">
        <v>53</v>
      </c>
    </row>
    <row r="15" spans="1:9">
      <c r="B15" t="s">
        <v>54</v>
      </c>
    </row>
    <row r="16" spans="1:9">
      <c r="B16" t="s">
        <v>56</v>
      </c>
    </row>
    <row r="17" spans="2:2">
      <c r="B17" t="s">
        <v>57</v>
      </c>
    </row>
    <row r="18" spans="2:2">
      <c r="B18" t="s">
        <v>58</v>
      </c>
    </row>
    <row r="19" spans="2:2">
      <c r="B19" t="s">
        <v>59</v>
      </c>
    </row>
    <row r="20" spans="2:2">
      <c r="B20" t="s">
        <v>60</v>
      </c>
    </row>
    <row r="21" spans="2:2">
      <c r="B21" t="s">
        <v>61</v>
      </c>
    </row>
    <row r="22" spans="2:2">
      <c r="B22" t="s">
        <v>62</v>
      </c>
    </row>
    <row r="23" spans="2:2">
      <c r="B23" t="s">
        <v>64</v>
      </c>
    </row>
    <row r="24" spans="2:2">
      <c r="B24" t="s">
        <v>65</v>
      </c>
    </row>
    <row r="25" spans="2:2">
      <c r="B25" t="s">
        <v>66</v>
      </c>
    </row>
    <row r="26" spans="2:2">
      <c r="B26" t="s">
        <v>67</v>
      </c>
    </row>
    <row r="27" spans="2:2">
      <c r="B27" t="s">
        <v>68</v>
      </c>
    </row>
    <row r="28" spans="2:2">
      <c r="B28" t="s">
        <v>69</v>
      </c>
    </row>
    <row r="29" spans="2:2">
      <c r="B29" t="s">
        <v>70</v>
      </c>
    </row>
    <row r="30" spans="2:2">
      <c r="B30" t="s">
        <v>71</v>
      </c>
    </row>
    <row r="31" spans="2:2">
      <c r="B31" t="s">
        <v>72</v>
      </c>
    </row>
    <row r="32" spans="2:2">
      <c r="B32" t="s">
        <v>73</v>
      </c>
    </row>
    <row r="33" spans="2:2">
      <c r="B33" t="s">
        <v>74</v>
      </c>
    </row>
    <row r="34" spans="2:2">
      <c r="B34" t="s">
        <v>75</v>
      </c>
    </row>
    <row r="35" spans="2:2">
      <c r="B35" t="s">
        <v>76</v>
      </c>
    </row>
    <row r="36" spans="2:2">
      <c r="B36" t="s">
        <v>77</v>
      </c>
    </row>
    <row r="37" spans="2:2">
      <c r="B37" t="s">
        <v>78</v>
      </c>
    </row>
    <row r="38" spans="2:2">
      <c r="B38" t="s">
        <v>79</v>
      </c>
    </row>
    <row r="39" spans="2:2">
      <c r="B39" t="s">
        <v>80</v>
      </c>
    </row>
    <row r="40" spans="2:2">
      <c r="B40" t="s">
        <v>81</v>
      </c>
    </row>
    <row r="41" spans="2:2">
      <c r="B41" t="s">
        <v>82</v>
      </c>
    </row>
    <row r="42" spans="2:2">
      <c r="B42" t="s">
        <v>83</v>
      </c>
    </row>
    <row r="43" spans="2:2">
      <c r="B43" t="s">
        <v>84</v>
      </c>
    </row>
    <row r="44" spans="2:2">
      <c r="B44" t="s">
        <v>85</v>
      </c>
    </row>
    <row r="45" spans="2:2">
      <c r="B45" t="s">
        <v>87</v>
      </c>
    </row>
    <row r="46" spans="2:2">
      <c r="B46" t="s">
        <v>88</v>
      </c>
    </row>
    <row r="47" spans="2:2">
      <c r="B47" t="s">
        <v>89</v>
      </c>
    </row>
    <row r="48" spans="2:2">
      <c r="B48" t="s">
        <v>90</v>
      </c>
    </row>
    <row r="49" spans="2:2">
      <c r="B49" t="s">
        <v>91</v>
      </c>
    </row>
    <row r="50" spans="2:2">
      <c r="B50" t="s">
        <v>92</v>
      </c>
    </row>
    <row r="51" spans="2:2">
      <c r="B51" t="s">
        <v>93</v>
      </c>
    </row>
    <row r="52" spans="2:2">
      <c r="B52" t="s">
        <v>94</v>
      </c>
    </row>
    <row r="53" spans="2:2">
      <c r="B53" t="s">
        <v>95</v>
      </c>
    </row>
    <row r="54" spans="2:2">
      <c r="B54" t="s">
        <v>96</v>
      </c>
    </row>
    <row r="55" spans="2:2">
      <c r="B55" t="s">
        <v>97</v>
      </c>
    </row>
    <row r="56" spans="2:2">
      <c r="B56" t="s">
        <v>98</v>
      </c>
    </row>
    <row r="57" spans="2:2">
      <c r="B57" t="s">
        <v>99</v>
      </c>
    </row>
    <row r="58" spans="2:2">
      <c r="B58" t="s">
        <v>100</v>
      </c>
    </row>
    <row r="59" spans="2:2">
      <c r="B59" t="s">
        <v>101</v>
      </c>
    </row>
    <row r="60" spans="2:2">
      <c r="B60" t="s">
        <v>102</v>
      </c>
    </row>
    <row r="61" spans="2:2">
      <c r="B61" t="s">
        <v>103</v>
      </c>
    </row>
    <row r="62" spans="2:2">
      <c r="B62" t="s">
        <v>104</v>
      </c>
    </row>
    <row r="63" spans="2:2">
      <c r="B63" t="s">
        <v>105</v>
      </c>
    </row>
    <row r="64" spans="2:2">
      <c r="B64" t="s">
        <v>106</v>
      </c>
    </row>
    <row r="65" spans="2:2">
      <c r="B65" t="s">
        <v>107</v>
      </c>
    </row>
    <row r="66" spans="2:2">
      <c r="B66" t="s">
        <v>108</v>
      </c>
    </row>
    <row r="67" spans="2:2">
      <c r="B67" t="s">
        <v>109</v>
      </c>
    </row>
    <row r="68" spans="2:2">
      <c r="B68" t="s">
        <v>110</v>
      </c>
    </row>
    <row r="69" spans="2:2">
      <c r="B69" t="s">
        <v>111</v>
      </c>
    </row>
    <row r="70" spans="2:2">
      <c r="B70" t="s">
        <v>112</v>
      </c>
    </row>
    <row r="71" spans="2:2">
      <c r="B71" t="s">
        <v>113</v>
      </c>
    </row>
    <row r="72" spans="2:2">
      <c r="B72" t="s">
        <v>114</v>
      </c>
    </row>
    <row r="73" spans="2:2">
      <c r="B73" t="s">
        <v>115</v>
      </c>
    </row>
    <row r="74" spans="2:2">
      <c r="B74" t="s">
        <v>116</v>
      </c>
    </row>
    <row r="75" spans="2:2">
      <c r="B75" t="s">
        <v>117</v>
      </c>
    </row>
    <row r="76" spans="2:2">
      <c r="B76" t="s">
        <v>118</v>
      </c>
    </row>
    <row r="77" spans="2:2">
      <c r="B77" t="s">
        <v>119</v>
      </c>
    </row>
    <row r="78" spans="2:2">
      <c r="B78" t="s">
        <v>120</v>
      </c>
    </row>
    <row r="79" spans="2:2">
      <c r="B79" t="s">
        <v>121</v>
      </c>
    </row>
    <row r="80" spans="2:2">
      <c r="B80" t="s">
        <v>122</v>
      </c>
    </row>
    <row r="81" spans="2:2">
      <c r="B81" t="s">
        <v>123</v>
      </c>
    </row>
    <row r="82" spans="2:2">
      <c r="B82" t="s">
        <v>124</v>
      </c>
    </row>
    <row r="83" spans="2:2">
      <c r="B83" t="s">
        <v>125</v>
      </c>
    </row>
    <row r="84" spans="2:2">
      <c r="B84" t="s">
        <v>127</v>
      </c>
    </row>
    <row r="85" spans="2:2">
      <c r="B85" t="s">
        <v>128</v>
      </c>
    </row>
    <row r="86" spans="2:2">
      <c r="B86" t="s">
        <v>129</v>
      </c>
    </row>
    <row r="87" spans="2:2">
      <c r="B87" t="s">
        <v>130</v>
      </c>
    </row>
    <row r="88" spans="2:2">
      <c r="B88" t="s">
        <v>131</v>
      </c>
    </row>
    <row r="89" spans="2:2">
      <c r="B89" t="s">
        <v>132</v>
      </c>
    </row>
    <row r="90" spans="2:2">
      <c r="B90" t="s">
        <v>133</v>
      </c>
    </row>
    <row r="91" spans="2:2">
      <c r="B91" t="s">
        <v>134</v>
      </c>
    </row>
    <row r="92" spans="2:2">
      <c r="B92" t="s">
        <v>135</v>
      </c>
    </row>
    <row r="93" spans="2:2">
      <c r="B93" t="s">
        <v>136</v>
      </c>
    </row>
    <row r="94" spans="2:2">
      <c r="B94" t="s">
        <v>137</v>
      </c>
    </row>
    <row r="95" spans="2:2">
      <c r="B95" t="s">
        <v>138</v>
      </c>
    </row>
    <row r="96" spans="2:2">
      <c r="B96" t="s">
        <v>139</v>
      </c>
    </row>
    <row r="97" spans="2:2">
      <c r="B97" t="s">
        <v>140</v>
      </c>
    </row>
    <row r="98" spans="2:2">
      <c r="B98" t="s">
        <v>141</v>
      </c>
    </row>
    <row r="99" spans="2:2">
      <c r="B99" t="s">
        <v>142</v>
      </c>
    </row>
    <row r="100" spans="2:2">
      <c r="B100" t="s">
        <v>143</v>
      </c>
    </row>
    <row r="101" spans="2:2">
      <c r="B101" t="s">
        <v>144</v>
      </c>
    </row>
    <row r="102" spans="2:2">
      <c r="B102" t="s">
        <v>145</v>
      </c>
    </row>
    <row r="103" spans="2:2">
      <c r="B103" t="s">
        <v>146</v>
      </c>
    </row>
    <row r="104" spans="2:2">
      <c r="B104" t="s">
        <v>147</v>
      </c>
    </row>
    <row r="105" spans="2:2">
      <c r="B105" t="s">
        <v>148</v>
      </c>
    </row>
    <row r="106" spans="2:2">
      <c r="B106" t="s">
        <v>149</v>
      </c>
    </row>
    <row r="107" spans="2:2">
      <c r="B107" t="s">
        <v>150</v>
      </c>
    </row>
    <row r="108" spans="2:2">
      <c r="B108" t="s">
        <v>151</v>
      </c>
    </row>
    <row r="109" spans="2:2">
      <c r="B109" t="s">
        <v>152</v>
      </c>
    </row>
    <row r="110" spans="2:2">
      <c r="B110" t="s">
        <v>153</v>
      </c>
    </row>
    <row r="111" spans="2:2">
      <c r="B111" t="s">
        <v>154</v>
      </c>
    </row>
    <row r="112" spans="2:2">
      <c r="B112" t="s">
        <v>155</v>
      </c>
    </row>
    <row r="113" spans="2:2">
      <c r="B113" t="s">
        <v>156</v>
      </c>
    </row>
    <row r="114" spans="2:2">
      <c r="B114" t="s">
        <v>157</v>
      </c>
    </row>
    <row r="115" spans="2:2">
      <c r="B115" t="s">
        <v>158</v>
      </c>
    </row>
    <row r="116" spans="2:2">
      <c r="B116" t="s">
        <v>159</v>
      </c>
    </row>
    <row r="117" spans="2:2">
      <c r="B117" t="s">
        <v>160</v>
      </c>
    </row>
    <row r="118" spans="2:2">
      <c r="B118" t="s">
        <v>161</v>
      </c>
    </row>
    <row r="119" spans="2:2">
      <c r="B119" t="s">
        <v>162</v>
      </c>
    </row>
    <row r="120" spans="2:2">
      <c r="B120" t="s">
        <v>163</v>
      </c>
    </row>
    <row r="121" spans="2:2">
      <c r="B121" t="s">
        <v>164</v>
      </c>
    </row>
    <row r="122" spans="2:2">
      <c r="B122" t="s">
        <v>165</v>
      </c>
    </row>
    <row r="123" spans="2:2">
      <c r="B123" t="s">
        <v>166</v>
      </c>
    </row>
    <row r="124" spans="2:2">
      <c r="B124" t="s">
        <v>167</v>
      </c>
    </row>
    <row r="125" spans="2:2">
      <c r="B125" t="s">
        <v>168</v>
      </c>
    </row>
    <row r="126" spans="2:2">
      <c r="B126" t="s">
        <v>169</v>
      </c>
    </row>
    <row r="127" spans="2:2">
      <c r="B127" t="s">
        <v>170</v>
      </c>
    </row>
    <row r="128" spans="2:2">
      <c r="B128" t="s">
        <v>171</v>
      </c>
    </row>
    <row r="129" spans="1:2">
      <c r="B129" t="s">
        <v>172</v>
      </c>
    </row>
    <row r="130" spans="1:2">
      <c r="B130" t="s">
        <v>173</v>
      </c>
    </row>
    <row r="131" spans="1:2">
      <c r="B131" t="s">
        <v>174</v>
      </c>
    </row>
    <row r="132" spans="1:2">
      <c r="B132" t="s">
        <v>175</v>
      </c>
    </row>
    <row r="133" spans="1:2">
      <c r="B133" t="s">
        <v>176</v>
      </c>
    </row>
    <row r="134" spans="1:2">
      <c r="B134" t="s">
        <v>177</v>
      </c>
    </row>
    <row r="135" spans="1:2">
      <c r="B135" t="s">
        <v>178</v>
      </c>
    </row>
    <row r="136" spans="1:2">
      <c r="A136" t="s">
        <v>17</v>
      </c>
      <c r="B136" t="s">
        <v>179</v>
      </c>
    </row>
    <row r="137" spans="1:2">
      <c r="B137" t="s">
        <v>180</v>
      </c>
    </row>
    <row r="138" spans="1:2">
      <c r="B138" t="s">
        <v>181</v>
      </c>
    </row>
    <row r="139" spans="1:2">
      <c r="B139" t="s">
        <v>183</v>
      </c>
    </row>
    <row r="140" spans="1:2">
      <c r="B140" t="s">
        <v>184</v>
      </c>
    </row>
    <row r="141" spans="1:2">
      <c r="B141" t="s">
        <v>185</v>
      </c>
    </row>
    <row r="142" spans="1:2">
      <c r="B142" t="s">
        <v>186</v>
      </c>
    </row>
    <row r="143" spans="1:2">
      <c r="B143" t="s">
        <v>187</v>
      </c>
    </row>
    <row r="144" spans="1:2">
      <c r="B144" t="s">
        <v>188</v>
      </c>
    </row>
    <row r="145" spans="2:2">
      <c r="B145" t="s">
        <v>189</v>
      </c>
    </row>
    <row r="146" spans="2:2">
      <c r="B146" t="s">
        <v>190</v>
      </c>
    </row>
    <row r="147" spans="2:2">
      <c r="B147" t="s">
        <v>191</v>
      </c>
    </row>
    <row r="148" spans="2:2">
      <c r="B148" t="s">
        <v>192</v>
      </c>
    </row>
    <row r="149" spans="2:2">
      <c r="B149" t="s">
        <v>193</v>
      </c>
    </row>
    <row r="150" spans="2:2">
      <c r="B150" t="s">
        <v>194</v>
      </c>
    </row>
    <row r="151" spans="2:2">
      <c r="B151" t="s">
        <v>195</v>
      </c>
    </row>
    <row r="152" spans="2:2">
      <c r="B152" t="s">
        <v>196</v>
      </c>
    </row>
    <row r="153" spans="2:2">
      <c r="B153" t="s">
        <v>197</v>
      </c>
    </row>
    <row r="154" spans="2:2">
      <c r="B154" t="s">
        <v>198</v>
      </c>
    </row>
    <row r="155" spans="2:2">
      <c r="B155" t="s">
        <v>199</v>
      </c>
    </row>
    <row r="156" spans="2:2">
      <c r="B156" t="s">
        <v>200</v>
      </c>
    </row>
    <row r="157" spans="2:2">
      <c r="B157" t="s">
        <v>201</v>
      </c>
    </row>
    <row r="158" spans="2:2">
      <c r="B158" t="s">
        <v>202</v>
      </c>
    </row>
    <row r="159" spans="2:2">
      <c r="B159" t="s">
        <v>203</v>
      </c>
    </row>
    <row r="160" spans="2:2">
      <c r="B160" t="s">
        <v>204</v>
      </c>
    </row>
    <row r="161" spans="2:2">
      <c r="B161" t="s">
        <v>205</v>
      </c>
    </row>
    <row r="162" spans="2:2">
      <c r="B162" t="s">
        <v>206</v>
      </c>
    </row>
    <row r="163" spans="2:2">
      <c r="B163" t="s">
        <v>207</v>
      </c>
    </row>
    <row r="164" spans="2:2">
      <c r="B164" t="s">
        <v>208</v>
      </c>
    </row>
    <row r="165" spans="2:2">
      <c r="B165" t="s">
        <v>209</v>
      </c>
    </row>
    <row r="166" spans="2:2">
      <c r="B166" t="s">
        <v>210</v>
      </c>
    </row>
    <row r="167" spans="2:2">
      <c r="B167" t="s">
        <v>211</v>
      </c>
    </row>
    <row r="168" spans="2:2">
      <c r="B168" t="s">
        <v>212</v>
      </c>
    </row>
    <row r="169" spans="2:2">
      <c r="B169" t="s">
        <v>213</v>
      </c>
    </row>
    <row r="170" spans="2:2">
      <c r="B170" t="s">
        <v>214</v>
      </c>
    </row>
    <row r="171" spans="2:2">
      <c r="B171" t="s">
        <v>215</v>
      </c>
    </row>
    <row r="172" spans="2:2">
      <c r="B172" t="s">
        <v>216</v>
      </c>
    </row>
    <row r="173" spans="2:2">
      <c r="B173" t="s">
        <v>217</v>
      </c>
    </row>
    <row r="174" spans="2:2">
      <c r="B174" t="s">
        <v>218</v>
      </c>
    </row>
    <row r="175" spans="2:2">
      <c r="B175" t="s">
        <v>219</v>
      </c>
    </row>
    <row r="176" spans="2:2">
      <c r="B176" t="s">
        <v>220</v>
      </c>
    </row>
    <row r="177" spans="2:2">
      <c r="B177" t="s">
        <v>221</v>
      </c>
    </row>
    <row r="178" spans="2:2">
      <c r="B178" t="s">
        <v>222</v>
      </c>
    </row>
    <row r="179" spans="2:2">
      <c r="B179" t="s">
        <v>223</v>
      </c>
    </row>
    <row r="180" spans="2:2">
      <c r="B180" t="s">
        <v>224</v>
      </c>
    </row>
    <row r="181" spans="2:2">
      <c r="B181" t="s">
        <v>225</v>
      </c>
    </row>
    <row r="182" spans="2:2">
      <c r="B182" t="s">
        <v>226</v>
      </c>
    </row>
    <row r="183" spans="2:2">
      <c r="B183" t="s">
        <v>227</v>
      </c>
    </row>
    <row r="184" spans="2:2">
      <c r="B184" t="s">
        <v>228</v>
      </c>
    </row>
    <row r="185" spans="2:2">
      <c r="B185" t="s">
        <v>229</v>
      </c>
    </row>
    <row r="186" spans="2:2">
      <c r="B186" t="s">
        <v>230</v>
      </c>
    </row>
    <row r="187" spans="2:2">
      <c r="B187" t="s">
        <v>232</v>
      </c>
    </row>
    <row r="188" spans="2:2">
      <c r="B188" t="s">
        <v>233</v>
      </c>
    </row>
    <row r="189" spans="2:2">
      <c r="B189" t="s">
        <v>234</v>
      </c>
    </row>
    <row r="190" spans="2:2">
      <c r="B190" t="s">
        <v>235</v>
      </c>
    </row>
    <row r="191" spans="2:2">
      <c r="B191" t="s">
        <v>236</v>
      </c>
    </row>
    <row r="192" spans="2:2">
      <c r="B192" t="s">
        <v>237</v>
      </c>
    </row>
    <row r="193" spans="2:2">
      <c r="B193" t="s">
        <v>238</v>
      </c>
    </row>
    <row r="194" spans="2:2">
      <c r="B194" t="s">
        <v>239</v>
      </c>
    </row>
    <row r="195" spans="2:2">
      <c r="B195" t="s">
        <v>240</v>
      </c>
    </row>
    <row r="196" spans="2:2">
      <c r="B196" t="s">
        <v>241</v>
      </c>
    </row>
    <row r="197" spans="2:2">
      <c r="B197" t="s">
        <v>242</v>
      </c>
    </row>
    <row r="198" spans="2:2">
      <c r="B198" t="s">
        <v>243</v>
      </c>
    </row>
    <row r="199" spans="2:2">
      <c r="B199" t="s">
        <v>244</v>
      </c>
    </row>
    <row r="200" spans="2:2">
      <c r="B200" t="s">
        <v>245</v>
      </c>
    </row>
    <row r="201" spans="2:2">
      <c r="B201" t="s">
        <v>246</v>
      </c>
    </row>
    <row r="202" spans="2:2">
      <c r="B202" t="s">
        <v>247</v>
      </c>
    </row>
    <row r="203" spans="2:2">
      <c r="B203" t="s">
        <v>248</v>
      </c>
    </row>
    <row r="204" spans="2:2">
      <c r="B204" t="s">
        <v>249</v>
      </c>
    </row>
    <row r="205" spans="2:2">
      <c r="B205" t="s">
        <v>250</v>
      </c>
    </row>
    <row r="206" spans="2:2">
      <c r="B206" t="s">
        <v>251</v>
      </c>
    </row>
    <row r="207" spans="2:2">
      <c r="B207" t="s">
        <v>252</v>
      </c>
    </row>
    <row r="208" spans="2:2">
      <c r="B208" t="s">
        <v>253</v>
      </c>
    </row>
    <row r="209" spans="2:2">
      <c r="B209" t="s">
        <v>254</v>
      </c>
    </row>
    <row r="210" spans="2:2">
      <c r="B210" t="s">
        <v>255</v>
      </c>
    </row>
    <row r="211" spans="2:2">
      <c r="B211" t="s">
        <v>256</v>
      </c>
    </row>
    <row r="212" spans="2:2">
      <c r="B212" t="s">
        <v>257</v>
      </c>
    </row>
    <row r="213" spans="2:2">
      <c r="B213" t="s">
        <v>258</v>
      </c>
    </row>
    <row r="214" spans="2:2">
      <c r="B214" t="s">
        <v>259</v>
      </c>
    </row>
    <row r="215" spans="2:2">
      <c r="B215" t="s">
        <v>260</v>
      </c>
    </row>
    <row r="216" spans="2:2">
      <c r="B216" t="s">
        <v>261</v>
      </c>
    </row>
    <row r="217" spans="2:2">
      <c r="B217" t="s">
        <v>262</v>
      </c>
    </row>
    <row r="218" spans="2:2">
      <c r="B218" t="s">
        <v>263</v>
      </c>
    </row>
    <row r="219" spans="2:2">
      <c r="B219" t="s">
        <v>264</v>
      </c>
    </row>
    <row r="220" spans="2:2">
      <c r="B220" t="s">
        <v>265</v>
      </c>
    </row>
    <row r="221" spans="2:2">
      <c r="B221" t="s">
        <v>266</v>
      </c>
    </row>
    <row r="222" spans="2:2">
      <c r="B222" t="s">
        <v>267</v>
      </c>
    </row>
    <row r="223" spans="2:2">
      <c r="B223" t="s">
        <v>268</v>
      </c>
    </row>
    <row r="224" spans="2:2">
      <c r="B224" t="s">
        <v>269</v>
      </c>
    </row>
    <row r="225" spans="2:2">
      <c r="B225" t="s">
        <v>270</v>
      </c>
    </row>
    <row r="226" spans="2:2">
      <c r="B226" t="s">
        <v>271</v>
      </c>
    </row>
    <row r="227" spans="2:2">
      <c r="B227" t="s">
        <v>272</v>
      </c>
    </row>
    <row r="228" spans="2:2">
      <c r="B228" t="s">
        <v>273</v>
      </c>
    </row>
    <row r="229" spans="2:2">
      <c r="B229" t="s">
        <v>274</v>
      </c>
    </row>
    <row r="230" spans="2:2">
      <c r="B230" t="s">
        <v>275</v>
      </c>
    </row>
    <row r="231" spans="2:2">
      <c r="B231" t="s">
        <v>276</v>
      </c>
    </row>
    <row r="232" spans="2:2">
      <c r="B232" t="s">
        <v>277</v>
      </c>
    </row>
    <row r="233" spans="2:2">
      <c r="B233" t="s">
        <v>278</v>
      </c>
    </row>
    <row r="234" spans="2:2">
      <c r="B234" t="s">
        <v>279</v>
      </c>
    </row>
    <row r="235" spans="2:2">
      <c r="B235" t="s">
        <v>280</v>
      </c>
    </row>
    <row r="236" spans="2:2">
      <c r="B236" t="s">
        <v>281</v>
      </c>
    </row>
    <row r="237" spans="2:2">
      <c r="B237" t="s">
        <v>282</v>
      </c>
    </row>
    <row r="238" spans="2:2">
      <c r="B238" t="s">
        <v>283</v>
      </c>
    </row>
    <row r="239" spans="2:2">
      <c r="B239" t="s">
        <v>284</v>
      </c>
    </row>
    <row r="240" spans="2:2">
      <c r="B240" t="s">
        <v>285</v>
      </c>
    </row>
    <row r="241" spans="2:2">
      <c r="B241" t="s">
        <v>286</v>
      </c>
    </row>
    <row r="242" spans="2:2">
      <c r="B242" t="s">
        <v>287</v>
      </c>
    </row>
    <row r="243" spans="2:2">
      <c r="B243" t="s">
        <v>288</v>
      </c>
    </row>
    <row r="244" spans="2:2">
      <c r="B244" t="s">
        <v>289</v>
      </c>
    </row>
    <row r="245" spans="2:2">
      <c r="B245" t="s">
        <v>290</v>
      </c>
    </row>
    <row r="246" spans="2:2">
      <c r="B246" t="s">
        <v>291</v>
      </c>
    </row>
    <row r="247" spans="2:2">
      <c r="B247" t="s">
        <v>292</v>
      </c>
    </row>
    <row r="248" spans="2:2">
      <c r="B248" t="s">
        <v>293</v>
      </c>
    </row>
    <row r="249" spans="2:2">
      <c r="B249" t="s">
        <v>294</v>
      </c>
    </row>
    <row r="250" spans="2:2">
      <c r="B250" t="s">
        <v>295</v>
      </c>
    </row>
    <row r="251" spans="2:2">
      <c r="B251" t="s">
        <v>296</v>
      </c>
    </row>
  </sheetData>
  <sheetProtection algorithmName="SHA-512" hashValue="5AsDKzjnN4zMgnZGF8cZMIS8rzYCyiObnFW1bNBoIshmnva4JdsCEGqdGXBdjvWuw9ip1upx29RI+9WgFD1+0Q==" saltValue="wW7IYJlGu5ldkVKoFnYADw=="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63B7F-5AB5-422F-8FF1-A50B8EE9D1A5}">
  <sheetPr>
    <tabColor rgb="FFB00000"/>
  </sheetPr>
  <dimension ref="A1:XFA79"/>
  <sheetViews>
    <sheetView workbookViewId="0"/>
  </sheetViews>
  <sheetFormatPr baseColWidth="10" defaultColWidth="11.44140625" defaultRowHeight="15.6"/>
  <cols>
    <col min="1" max="1" width="32.5546875" style="145" customWidth="1"/>
    <col min="3" max="3" width="85.6640625" customWidth="1"/>
    <col min="4" max="4" width="27.88671875" customWidth="1"/>
    <col min="5" max="5" width="33.44140625" customWidth="1"/>
    <col min="6" max="6" width="20.5546875" customWidth="1"/>
    <col min="7" max="7" width="18.44140625" customWidth="1"/>
    <col min="8" max="8" width="34.109375" customWidth="1"/>
    <col min="9" max="9" width="21.5546875" customWidth="1"/>
    <col min="10" max="10" width="17.5546875" customWidth="1"/>
  </cols>
  <sheetData>
    <row r="1" spans="1:16381" ht="30" customHeight="1">
      <c r="A1" s="1"/>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c r="EN1" s="136"/>
      <c r="EO1" s="136"/>
      <c r="EP1" s="136"/>
      <c r="EQ1" s="136"/>
      <c r="ER1" s="136"/>
      <c r="ES1" s="136"/>
      <c r="ET1" s="136"/>
      <c r="EU1" s="136"/>
      <c r="EV1" s="136"/>
      <c r="EW1" s="136"/>
      <c r="EX1" s="136"/>
      <c r="EY1" s="136"/>
      <c r="EZ1" s="136"/>
      <c r="FA1" s="136"/>
      <c r="FB1" s="136"/>
      <c r="FC1" s="136"/>
      <c r="FD1" s="136"/>
      <c r="FE1" s="136"/>
      <c r="FF1" s="136"/>
      <c r="FG1" s="136"/>
      <c r="FH1" s="136"/>
      <c r="FI1" s="136"/>
      <c r="FJ1" s="136"/>
      <c r="FK1" s="136"/>
      <c r="FL1" s="136"/>
      <c r="FM1" s="136"/>
      <c r="FN1" s="136"/>
      <c r="FO1" s="136"/>
      <c r="FP1" s="136"/>
      <c r="FQ1" s="136"/>
      <c r="FR1" s="136"/>
      <c r="FS1" s="136"/>
      <c r="FT1" s="136"/>
      <c r="FU1" s="136"/>
      <c r="FV1" s="136"/>
      <c r="FW1" s="136"/>
      <c r="FX1" s="136"/>
      <c r="FY1" s="136"/>
      <c r="FZ1" s="136"/>
      <c r="GA1" s="136"/>
      <c r="GB1" s="136"/>
      <c r="GC1" s="136"/>
      <c r="GD1" s="136"/>
      <c r="GE1" s="136"/>
      <c r="GF1" s="136"/>
      <c r="GG1" s="136"/>
      <c r="GH1" s="136"/>
      <c r="GI1" s="136"/>
      <c r="GJ1" s="136"/>
      <c r="GK1" s="136"/>
      <c r="GL1" s="136"/>
      <c r="GM1" s="136"/>
      <c r="GN1" s="136"/>
      <c r="GO1" s="136"/>
      <c r="GP1" s="136"/>
      <c r="GQ1" s="136"/>
      <c r="GR1" s="136"/>
      <c r="GS1" s="136"/>
      <c r="GT1" s="136"/>
      <c r="GU1" s="136"/>
      <c r="GV1" s="136"/>
      <c r="GW1" s="136"/>
      <c r="GX1" s="136"/>
      <c r="GY1" s="136"/>
      <c r="GZ1" s="136"/>
      <c r="HA1" s="136"/>
      <c r="HB1" s="136"/>
      <c r="HC1" s="136"/>
      <c r="HD1" s="136"/>
      <c r="HE1" s="136"/>
      <c r="HF1" s="136"/>
      <c r="HG1" s="136"/>
      <c r="HH1" s="136"/>
      <c r="HI1" s="136"/>
      <c r="HJ1" s="136"/>
      <c r="HK1" s="136"/>
      <c r="HL1" s="136"/>
      <c r="HM1" s="136"/>
      <c r="HN1" s="136"/>
      <c r="HO1" s="136"/>
      <c r="HP1" s="136"/>
      <c r="HQ1" s="136"/>
      <c r="HR1" s="136"/>
      <c r="HS1" s="136"/>
      <c r="HT1" s="136"/>
      <c r="HU1" s="136"/>
      <c r="HV1" s="136"/>
      <c r="HW1" s="136"/>
      <c r="HX1" s="136"/>
      <c r="HY1" s="136"/>
      <c r="HZ1" s="136"/>
      <c r="IA1" s="136"/>
      <c r="IB1" s="136"/>
      <c r="IC1" s="136"/>
      <c r="ID1" s="136"/>
      <c r="IE1" s="136"/>
      <c r="IF1" s="136"/>
      <c r="IG1" s="136"/>
      <c r="IH1" s="136"/>
      <c r="II1" s="136"/>
      <c r="IJ1" s="136"/>
      <c r="IK1" s="136"/>
      <c r="IL1" s="136"/>
      <c r="IM1" s="136"/>
      <c r="IN1" s="136"/>
      <c r="IO1" s="136"/>
      <c r="IP1" s="136"/>
      <c r="IQ1" s="136"/>
      <c r="IR1" s="136"/>
      <c r="IS1" s="136"/>
      <c r="IT1" s="136"/>
      <c r="IU1" s="136"/>
      <c r="IV1" s="136"/>
      <c r="IW1" s="136"/>
      <c r="IX1" s="136"/>
      <c r="IY1" s="136"/>
      <c r="IZ1" s="136"/>
      <c r="JA1" s="136"/>
      <c r="JB1" s="136"/>
      <c r="JC1" s="136"/>
      <c r="JD1" s="136"/>
      <c r="JE1" s="136"/>
      <c r="JF1" s="136"/>
      <c r="JG1" s="136"/>
      <c r="JH1" s="136"/>
      <c r="JI1" s="136"/>
      <c r="JJ1" s="136"/>
      <c r="JK1" s="136"/>
      <c r="JL1" s="136"/>
      <c r="JM1" s="136"/>
      <c r="JN1" s="136"/>
      <c r="JO1" s="136"/>
      <c r="JP1" s="136"/>
      <c r="JQ1" s="136"/>
      <c r="JR1" s="136"/>
      <c r="JS1" s="136"/>
      <c r="JT1" s="136"/>
      <c r="JU1" s="136"/>
      <c r="JV1" s="136"/>
      <c r="JW1" s="136"/>
      <c r="JX1" s="136"/>
      <c r="JY1" s="136"/>
      <c r="JZ1" s="136"/>
      <c r="KA1" s="136"/>
      <c r="KB1" s="136"/>
      <c r="KC1" s="136"/>
      <c r="KD1" s="136"/>
      <c r="KE1" s="136"/>
      <c r="KF1" s="136"/>
      <c r="KG1" s="136"/>
      <c r="KH1" s="136"/>
      <c r="KI1" s="136"/>
      <c r="KJ1" s="136"/>
      <c r="KK1" s="136"/>
      <c r="KL1" s="136"/>
      <c r="KM1" s="136"/>
      <c r="KN1" s="136"/>
      <c r="KO1" s="136"/>
      <c r="KP1" s="136"/>
      <c r="KQ1" s="136"/>
      <c r="KR1" s="136"/>
      <c r="KS1" s="136"/>
      <c r="KT1" s="136"/>
      <c r="KU1" s="136"/>
      <c r="KV1" s="136"/>
      <c r="KW1" s="136"/>
      <c r="KX1" s="136"/>
      <c r="KY1" s="136"/>
      <c r="KZ1" s="136"/>
      <c r="LA1" s="136"/>
      <c r="LB1" s="136"/>
      <c r="LC1" s="136"/>
      <c r="LD1" s="136"/>
      <c r="LE1" s="136"/>
      <c r="LF1" s="136"/>
      <c r="LG1" s="136"/>
      <c r="LH1" s="136"/>
      <c r="LI1" s="136"/>
      <c r="LJ1" s="136"/>
      <c r="LK1" s="136"/>
      <c r="LL1" s="136"/>
      <c r="LM1" s="136"/>
      <c r="LN1" s="136"/>
      <c r="LO1" s="136"/>
      <c r="LP1" s="136"/>
      <c r="LQ1" s="136"/>
      <c r="LR1" s="136"/>
      <c r="LS1" s="136"/>
      <c r="LT1" s="136"/>
      <c r="LU1" s="136"/>
      <c r="LV1" s="136"/>
      <c r="LW1" s="136"/>
      <c r="LX1" s="136"/>
      <c r="LY1" s="136"/>
      <c r="LZ1" s="136"/>
      <c r="MA1" s="136"/>
      <c r="MB1" s="136"/>
      <c r="MC1" s="136"/>
      <c r="MD1" s="136"/>
      <c r="ME1" s="136"/>
      <c r="MF1" s="136"/>
      <c r="MG1" s="136"/>
      <c r="MH1" s="136"/>
      <c r="MI1" s="136"/>
      <c r="MJ1" s="136"/>
      <c r="MK1" s="136"/>
      <c r="ML1" s="136"/>
      <c r="MM1" s="136"/>
      <c r="MN1" s="136"/>
      <c r="MO1" s="136"/>
      <c r="MP1" s="136"/>
      <c r="MQ1" s="136"/>
      <c r="MR1" s="136"/>
      <c r="MS1" s="136"/>
      <c r="MT1" s="136"/>
      <c r="MU1" s="136"/>
      <c r="MV1" s="136"/>
      <c r="MW1" s="136"/>
      <c r="MX1" s="136"/>
      <c r="MY1" s="136"/>
      <c r="MZ1" s="136"/>
      <c r="NA1" s="136"/>
      <c r="NB1" s="136"/>
      <c r="NC1" s="136"/>
      <c r="ND1" s="136"/>
      <c r="NE1" s="136"/>
      <c r="NF1" s="136"/>
      <c r="NG1" s="136"/>
      <c r="NH1" s="136"/>
      <c r="NI1" s="136"/>
      <c r="NJ1" s="136"/>
      <c r="NK1" s="136"/>
      <c r="NL1" s="136"/>
      <c r="NM1" s="136"/>
      <c r="NN1" s="136"/>
      <c r="NO1" s="136"/>
      <c r="NP1" s="136"/>
      <c r="NQ1" s="136"/>
      <c r="NR1" s="136"/>
      <c r="NS1" s="136"/>
      <c r="NT1" s="136"/>
      <c r="NU1" s="136"/>
      <c r="NV1" s="136"/>
      <c r="NW1" s="136"/>
      <c r="NX1" s="136"/>
      <c r="NY1" s="136"/>
      <c r="NZ1" s="136"/>
      <c r="OA1" s="136"/>
      <c r="OB1" s="136"/>
      <c r="OC1" s="136"/>
      <c r="OD1" s="136"/>
      <c r="OE1" s="136"/>
      <c r="OF1" s="136"/>
      <c r="OG1" s="136"/>
      <c r="OH1" s="136"/>
      <c r="OI1" s="136"/>
      <c r="OJ1" s="136"/>
      <c r="OK1" s="136"/>
      <c r="OL1" s="136"/>
      <c r="OM1" s="136"/>
      <c r="ON1" s="136"/>
      <c r="OO1" s="136"/>
      <c r="OP1" s="136"/>
      <c r="OQ1" s="136"/>
      <c r="OR1" s="136"/>
      <c r="OS1" s="136"/>
      <c r="OT1" s="136"/>
      <c r="OU1" s="136"/>
      <c r="OV1" s="136"/>
      <c r="OW1" s="136"/>
      <c r="OX1" s="136"/>
      <c r="OY1" s="136"/>
      <c r="OZ1" s="136"/>
      <c r="PA1" s="136"/>
      <c r="PB1" s="136"/>
      <c r="PC1" s="136"/>
      <c r="PD1" s="136"/>
      <c r="PE1" s="136"/>
      <c r="PF1" s="136"/>
      <c r="PG1" s="136"/>
      <c r="PH1" s="136"/>
      <c r="PI1" s="136"/>
      <c r="PJ1" s="136"/>
      <c r="PK1" s="136"/>
      <c r="PL1" s="136"/>
      <c r="PM1" s="136"/>
      <c r="PN1" s="136"/>
      <c r="PO1" s="136"/>
      <c r="PP1" s="136"/>
      <c r="PQ1" s="136"/>
      <c r="PR1" s="136"/>
      <c r="PS1" s="136"/>
      <c r="PT1" s="136"/>
      <c r="PU1" s="136"/>
      <c r="PV1" s="136"/>
      <c r="PW1" s="136"/>
      <c r="PX1" s="136"/>
      <c r="PY1" s="136"/>
      <c r="PZ1" s="136"/>
      <c r="QA1" s="136"/>
      <c r="QB1" s="136"/>
      <c r="QC1" s="136"/>
      <c r="QD1" s="136"/>
      <c r="QE1" s="136"/>
      <c r="QF1" s="136"/>
      <c r="QG1" s="136"/>
      <c r="QH1" s="136"/>
      <c r="QI1" s="136"/>
      <c r="QJ1" s="136"/>
      <c r="QK1" s="136"/>
      <c r="QL1" s="136"/>
      <c r="QM1" s="136"/>
      <c r="QN1" s="136"/>
      <c r="QO1" s="136"/>
      <c r="QP1" s="136"/>
      <c r="QQ1" s="136"/>
      <c r="QR1" s="136"/>
      <c r="QS1" s="136"/>
      <c r="QT1" s="136"/>
      <c r="QU1" s="136"/>
      <c r="QV1" s="136"/>
      <c r="QW1" s="136"/>
      <c r="QX1" s="136"/>
      <c r="QY1" s="136"/>
      <c r="QZ1" s="136"/>
      <c r="RA1" s="136"/>
      <c r="RB1" s="136"/>
      <c r="RC1" s="136"/>
      <c r="RD1" s="136"/>
      <c r="RE1" s="136"/>
      <c r="RF1" s="136"/>
      <c r="RG1" s="136"/>
      <c r="RH1" s="136"/>
      <c r="RI1" s="136"/>
      <c r="RJ1" s="136"/>
      <c r="RK1" s="136"/>
      <c r="RL1" s="136"/>
      <c r="RM1" s="136"/>
      <c r="RN1" s="136"/>
      <c r="RO1" s="136"/>
      <c r="RP1" s="136"/>
      <c r="RQ1" s="136"/>
      <c r="RR1" s="136"/>
      <c r="RS1" s="136"/>
      <c r="RT1" s="136"/>
      <c r="RU1" s="136"/>
      <c r="RV1" s="136"/>
      <c r="RW1" s="136"/>
      <c r="RX1" s="136"/>
      <c r="RY1" s="136"/>
      <c r="RZ1" s="136"/>
      <c r="SA1" s="136"/>
      <c r="SB1" s="136"/>
      <c r="SC1" s="136"/>
      <c r="SD1" s="136"/>
      <c r="SE1" s="136"/>
      <c r="SF1" s="136"/>
      <c r="SG1" s="136"/>
      <c r="SH1" s="136"/>
      <c r="SI1" s="136"/>
      <c r="SJ1" s="136"/>
      <c r="SK1" s="136"/>
      <c r="SL1" s="136"/>
      <c r="SM1" s="136"/>
      <c r="SN1" s="136"/>
      <c r="SO1" s="136"/>
      <c r="SP1" s="136"/>
      <c r="SQ1" s="136"/>
      <c r="SR1" s="136"/>
      <c r="SS1" s="136"/>
      <c r="ST1" s="136"/>
      <c r="SU1" s="136"/>
      <c r="SV1" s="136"/>
      <c r="SW1" s="136"/>
      <c r="SX1" s="136"/>
      <c r="SY1" s="136"/>
      <c r="SZ1" s="136"/>
      <c r="TA1" s="136"/>
      <c r="TB1" s="136"/>
      <c r="TC1" s="136"/>
      <c r="TD1" s="136"/>
      <c r="TE1" s="136"/>
      <c r="TF1" s="136"/>
      <c r="TG1" s="136"/>
      <c r="TH1" s="136"/>
      <c r="TI1" s="136"/>
      <c r="TJ1" s="136"/>
      <c r="TK1" s="136"/>
      <c r="TL1" s="136"/>
      <c r="TM1" s="136"/>
      <c r="TN1" s="136"/>
      <c r="TO1" s="136"/>
      <c r="TP1" s="136"/>
      <c r="TQ1" s="136"/>
      <c r="TR1" s="136"/>
      <c r="TS1" s="136"/>
      <c r="TT1" s="136"/>
      <c r="TU1" s="136"/>
      <c r="TV1" s="136"/>
      <c r="TW1" s="136"/>
      <c r="TX1" s="136"/>
      <c r="TY1" s="136"/>
      <c r="TZ1" s="136"/>
      <c r="UA1" s="136"/>
      <c r="UB1" s="136"/>
      <c r="UC1" s="136"/>
      <c r="UD1" s="136"/>
      <c r="UE1" s="136"/>
      <c r="UF1" s="136"/>
      <c r="UG1" s="136"/>
      <c r="UH1" s="136"/>
      <c r="UI1" s="136"/>
      <c r="UJ1" s="136"/>
      <c r="UK1" s="136"/>
      <c r="UL1" s="136"/>
      <c r="UM1" s="136"/>
      <c r="UN1" s="136"/>
      <c r="UO1" s="136"/>
      <c r="UP1" s="136"/>
      <c r="UQ1" s="136"/>
      <c r="UR1" s="136"/>
      <c r="US1" s="136"/>
      <c r="UT1" s="136"/>
      <c r="UU1" s="136"/>
      <c r="UV1" s="136"/>
      <c r="UW1" s="136"/>
      <c r="UX1" s="136"/>
      <c r="UY1" s="136"/>
      <c r="UZ1" s="136"/>
      <c r="VA1" s="136"/>
      <c r="VB1" s="136"/>
      <c r="VC1" s="136"/>
      <c r="VD1" s="136"/>
      <c r="VE1" s="136"/>
      <c r="VF1" s="136"/>
      <c r="VG1" s="136"/>
      <c r="VH1" s="136"/>
      <c r="VI1" s="136"/>
      <c r="VJ1" s="136"/>
      <c r="VK1" s="136"/>
      <c r="VL1" s="136"/>
      <c r="VM1" s="136"/>
      <c r="VN1" s="136"/>
      <c r="VO1" s="136"/>
      <c r="VP1" s="136"/>
      <c r="VQ1" s="136"/>
      <c r="VR1" s="136"/>
      <c r="VS1" s="136"/>
      <c r="VT1" s="136"/>
      <c r="VU1" s="136"/>
      <c r="VV1" s="136"/>
      <c r="VW1" s="136"/>
      <c r="VX1" s="136"/>
      <c r="VY1" s="136"/>
      <c r="VZ1" s="136"/>
      <c r="WA1" s="136"/>
      <c r="WB1" s="136"/>
      <c r="WC1" s="136"/>
      <c r="WD1" s="136"/>
      <c r="WE1" s="136"/>
      <c r="WF1" s="136"/>
      <c r="WG1" s="136"/>
      <c r="WH1" s="136"/>
      <c r="WI1" s="136"/>
      <c r="WJ1" s="136"/>
      <c r="WK1" s="136"/>
      <c r="WL1" s="136"/>
      <c r="WM1" s="136"/>
      <c r="WN1" s="136"/>
      <c r="WO1" s="136"/>
      <c r="WP1" s="136"/>
      <c r="WQ1" s="136"/>
      <c r="WR1" s="136"/>
      <c r="WS1" s="136"/>
      <c r="WT1" s="136"/>
      <c r="WU1" s="136"/>
      <c r="WV1" s="136"/>
      <c r="WW1" s="136"/>
      <c r="WX1" s="136"/>
      <c r="WY1" s="136"/>
      <c r="WZ1" s="136"/>
      <c r="XA1" s="136"/>
      <c r="XB1" s="136"/>
      <c r="XC1" s="136"/>
      <c r="XD1" s="136"/>
      <c r="XE1" s="136"/>
      <c r="XF1" s="136"/>
      <c r="XG1" s="136"/>
      <c r="XH1" s="136"/>
      <c r="XI1" s="136"/>
      <c r="XJ1" s="136"/>
      <c r="XK1" s="136"/>
      <c r="XL1" s="136"/>
      <c r="XM1" s="136"/>
      <c r="XN1" s="136"/>
      <c r="XO1" s="136"/>
      <c r="XP1" s="136"/>
      <c r="XQ1" s="136"/>
      <c r="XR1" s="136"/>
      <c r="XS1" s="136"/>
      <c r="XT1" s="136"/>
      <c r="XU1" s="136"/>
      <c r="XV1" s="136"/>
      <c r="XW1" s="136"/>
      <c r="XX1" s="136"/>
      <c r="XY1" s="136"/>
      <c r="XZ1" s="136"/>
      <c r="YA1" s="136"/>
      <c r="YB1" s="136"/>
      <c r="YC1" s="136"/>
      <c r="YD1" s="136"/>
      <c r="YE1" s="136"/>
      <c r="YF1" s="136"/>
      <c r="YG1" s="136"/>
      <c r="YH1" s="136"/>
      <c r="YI1" s="136"/>
      <c r="YJ1" s="136"/>
      <c r="YK1" s="136"/>
      <c r="YL1" s="136"/>
      <c r="YM1" s="136"/>
      <c r="YN1" s="136"/>
      <c r="YO1" s="136"/>
      <c r="YP1" s="136"/>
      <c r="YQ1" s="136"/>
      <c r="YR1" s="136"/>
      <c r="YS1" s="136"/>
      <c r="YT1" s="136"/>
      <c r="YU1" s="136"/>
      <c r="YV1" s="136"/>
      <c r="YW1" s="136"/>
      <c r="YX1" s="136"/>
      <c r="YY1" s="136"/>
      <c r="YZ1" s="136"/>
      <c r="ZA1" s="136"/>
      <c r="ZB1" s="136"/>
      <c r="ZC1" s="136"/>
      <c r="ZD1" s="136"/>
      <c r="ZE1" s="136"/>
      <c r="ZF1" s="136"/>
      <c r="ZG1" s="136"/>
      <c r="ZH1" s="136"/>
      <c r="ZI1" s="136"/>
      <c r="ZJ1" s="136"/>
      <c r="ZK1" s="136"/>
      <c r="ZL1" s="136"/>
      <c r="ZM1" s="136"/>
      <c r="ZN1" s="136"/>
      <c r="ZO1" s="136"/>
      <c r="ZP1" s="136"/>
      <c r="ZQ1" s="136"/>
      <c r="ZR1" s="136"/>
      <c r="ZS1" s="136"/>
      <c r="ZT1" s="136"/>
      <c r="ZU1" s="136"/>
      <c r="ZV1" s="136"/>
      <c r="ZW1" s="136"/>
      <c r="ZX1" s="136"/>
      <c r="ZY1" s="136"/>
      <c r="ZZ1" s="136"/>
      <c r="AAA1" s="136"/>
      <c r="AAB1" s="136"/>
      <c r="AAC1" s="136"/>
      <c r="AAD1" s="136"/>
      <c r="AAE1" s="136"/>
      <c r="AAF1" s="136"/>
      <c r="AAG1" s="136"/>
      <c r="AAH1" s="136"/>
      <c r="AAI1" s="136"/>
      <c r="AAJ1" s="136"/>
      <c r="AAK1" s="136"/>
      <c r="AAL1" s="136"/>
      <c r="AAM1" s="136"/>
      <c r="AAN1" s="136"/>
      <c r="AAO1" s="136"/>
      <c r="AAP1" s="136"/>
      <c r="AAQ1" s="136"/>
      <c r="AAR1" s="136"/>
      <c r="AAS1" s="136"/>
      <c r="AAT1" s="136"/>
      <c r="AAU1" s="136"/>
      <c r="AAV1" s="136"/>
      <c r="AAW1" s="136"/>
      <c r="AAX1" s="136"/>
      <c r="AAY1" s="136"/>
      <c r="AAZ1" s="136"/>
      <c r="ABA1" s="136"/>
      <c r="ABB1" s="136"/>
      <c r="ABC1" s="136"/>
      <c r="ABD1" s="136"/>
      <c r="ABE1" s="136"/>
      <c r="ABF1" s="136"/>
      <c r="ABG1" s="136"/>
      <c r="ABH1" s="136"/>
      <c r="ABI1" s="136"/>
      <c r="ABJ1" s="136"/>
      <c r="ABK1" s="136"/>
      <c r="ABL1" s="136"/>
      <c r="ABM1" s="136"/>
      <c r="ABN1" s="136"/>
      <c r="ABO1" s="136"/>
      <c r="ABP1" s="136"/>
      <c r="ABQ1" s="136"/>
      <c r="ABR1" s="136"/>
      <c r="ABS1" s="136"/>
      <c r="ABT1" s="136"/>
      <c r="ABU1" s="136"/>
      <c r="ABV1" s="136"/>
      <c r="ABW1" s="136"/>
      <c r="ABX1" s="136"/>
      <c r="ABY1" s="136"/>
      <c r="ABZ1" s="136"/>
      <c r="ACA1" s="136"/>
      <c r="ACB1" s="136"/>
      <c r="ACC1" s="136"/>
      <c r="ACD1" s="136"/>
      <c r="ACE1" s="136"/>
      <c r="ACF1" s="136"/>
      <c r="ACG1" s="136"/>
      <c r="ACH1" s="136"/>
      <c r="ACI1" s="136"/>
      <c r="ACJ1" s="136"/>
      <c r="ACK1" s="136"/>
      <c r="ACL1" s="136"/>
      <c r="ACM1" s="136"/>
      <c r="ACN1" s="136"/>
      <c r="ACO1" s="136"/>
      <c r="ACP1" s="136"/>
      <c r="ACQ1" s="136"/>
      <c r="ACR1" s="136"/>
      <c r="ACS1" s="136"/>
      <c r="ACT1" s="136"/>
      <c r="ACU1" s="136"/>
      <c r="ACV1" s="136"/>
      <c r="ACW1" s="136"/>
      <c r="ACX1" s="136"/>
      <c r="ACY1" s="136"/>
      <c r="ACZ1" s="136"/>
      <c r="ADA1" s="136"/>
      <c r="ADB1" s="136"/>
      <c r="ADC1" s="136"/>
      <c r="ADD1" s="136"/>
      <c r="ADE1" s="136"/>
      <c r="ADF1" s="136"/>
      <c r="ADG1" s="136"/>
      <c r="ADH1" s="136"/>
      <c r="ADI1" s="136"/>
      <c r="ADJ1" s="136"/>
      <c r="ADK1" s="136"/>
      <c r="ADL1" s="136"/>
      <c r="ADM1" s="136"/>
      <c r="ADN1" s="136"/>
      <c r="ADO1" s="136"/>
      <c r="ADP1" s="136"/>
      <c r="ADQ1" s="136"/>
      <c r="ADR1" s="136"/>
      <c r="ADS1" s="136"/>
      <c r="ADT1" s="136"/>
      <c r="ADU1" s="136"/>
      <c r="ADV1" s="136"/>
      <c r="ADW1" s="136"/>
      <c r="ADX1" s="136"/>
      <c r="ADY1" s="136"/>
      <c r="ADZ1" s="136"/>
      <c r="AEA1" s="136"/>
      <c r="AEB1" s="136"/>
      <c r="AEC1" s="136"/>
      <c r="AED1" s="136"/>
      <c r="AEE1" s="136"/>
      <c r="AEF1" s="136"/>
      <c r="AEG1" s="136"/>
      <c r="AEH1" s="136"/>
      <c r="AEI1" s="136"/>
      <c r="AEJ1" s="136"/>
      <c r="AEK1" s="136"/>
      <c r="AEL1" s="136"/>
      <c r="AEM1" s="136"/>
      <c r="AEN1" s="136"/>
      <c r="AEO1" s="136"/>
      <c r="AEP1" s="136"/>
      <c r="AEQ1" s="136"/>
      <c r="AER1" s="136"/>
      <c r="AES1" s="136"/>
      <c r="AET1" s="136"/>
      <c r="AEU1" s="136"/>
      <c r="AEV1" s="136"/>
      <c r="AEW1" s="136"/>
      <c r="AEX1" s="136"/>
      <c r="AEY1" s="136"/>
      <c r="AEZ1" s="136"/>
      <c r="AFA1" s="136"/>
      <c r="AFB1" s="136"/>
      <c r="AFC1" s="136"/>
      <c r="AFD1" s="136"/>
      <c r="AFE1" s="136"/>
      <c r="AFF1" s="136"/>
      <c r="AFG1" s="136"/>
      <c r="AFH1" s="136"/>
      <c r="AFI1" s="136"/>
      <c r="AFJ1" s="136"/>
      <c r="AFK1" s="136"/>
      <c r="AFL1" s="136"/>
      <c r="AFM1" s="136"/>
      <c r="AFN1" s="136"/>
      <c r="AFO1" s="136"/>
      <c r="AFP1" s="136"/>
      <c r="AFQ1" s="136"/>
      <c r="AFR1" s="136"/>
      <c r="AFS1" s="136"/>
      <c r="AFT1" s="136"/>
      <c r="AFU1" s="136"/>
      <c r="AFV1" s="136"/>
      <c r="AFW1" s="136"/>
      <c r="AFX1" s="136"/>
      <c r="AFY1" s="136"/>
      <c r="AFZ1" s="136"/>
      <c r="AGA1" s="136"/>
      <c r="AGB1" s="136"/>
      <c r="AGC1" s="136"/>
      <c r="AGD1" s="136"/>
      <c r="AGE1" s="136"/>
      <c r="AGF1" s="136"/>
      <c r="AGG1" s="136"/>
      <c r="AGH1" s="136"/>
      <c r="AGI1" s="136"/>
      <c r="AGJ1" s="136"/>
      <c r="AGK1" s="136"/>
      <c r="AGL1" s="136"/>
      <c r="AGM1" s="136"/>
      <c r="AGN1" s="136"/>
      <c r="AGO1" s="136"/>
      <c r="AGP1" s="136"/>
      <c r="AGQ1" s="136"/>
      <c r="AGR1" s="136"/>
      <c r="AGS1" s="136"/>
      <c r="AGT1" s="136"/>
      <c r="AGU1" s="136"/>
      <c r="AGV1" s="136"/>
      <c r="AGW1" s="136"/>
      <c r="AGX1" s="136"/>
      <c r="AGY1" s="136"/>
      <c r="AGZ1" s="136"/>
      <c r="AHA1" s="136"/>
      <c r="AHB1" s="136"/>
      <c r="AHC1" s="136"/>
      <c r="AHD1" s="136"/>
      <c r="AHE1" s="136"/>
      <c r="AHF1" s="136"/>
      <c r="AHG1" s="136"/>
      <c r="AHH1" s="136"/>
      <c r="AHI1" s="136"/>
      <c r="AHJ1" s="136"/>
      <c r="AHK1" s="136"/>
      <c r="AHL1" s="136"/>
      <c r="AHM1" s="136"/>
      <c r="AHN1" s="136"/>
      <c r="AHO1" s="136"/>
      <c r="AHP1" s="136"/>
      <c r="AHQ1" s="136"/>
      <c r="AHR1" s="136"/>
      <c r="AHS1" s="136"/>
      <c r="AHT1" s="136"/>
      <c r="AHU1" s="136"/>
      <c r="AHV1" s="136"/>
      <c r="AHW1" s="136"/>
      <c r="AHX1" s="136"/>
      <c r="AHY1" s="136"/>
      <c r="AHZ1" s="136"/>
      <c r="AIA1" s="136"/>
      <c r="AIB1" s="136"/>
      <c r="AIC1" s="136"/>
      <c r="AID1" s="136"/>
      <c r="AIE1" s="136"/>
      <c r="AIF1" s="136"/>
      <c r="AIG1" s="136"/>
      <c r="AIH1" s="136"/>
      <c r="AII1" s="136"/>
      <c r="AIJ1" s="136"/>
      <c r="AIK1" s="136"/>
      <c r="AIL1" s="136"/>
      <c r="AIM1" s="136"/>
      <c r="AIN1" s="136"/>
      <c r="AIO1" s="136"/>
      <c r="AIP1" s="136"/>
      <c r="AIQ1" s="136"/>
      <c r="AIR1" s="136"/>
      <c r="AIS1" s="136"/>
      <c r="AIT1" s="136"/>
      <c r="AIU1" s="136"/>
      <c r="AIV1" s="136"/>
      <c r="AIW1" s="136"/>
      <c r="AIX1" s="136"/>
      <c r="AIY1" s="136"/>
      <c r="AIZ1" s="136"/>
      <c r="AJA1" s="136"/>
      <c r="AJB1" s="136"/>
      <c r="AJC1" s="136"/>
      <c r="AJD1" s="136"/>
      <c r="AJE1" s="136"/>
      <c r="AJF1" s="136"/>
      <c r="AJG1" s="136"/>
      <c r="AJH1" s="136"/>
      <c r="AJI1" s="136"/>
      <c r="AJJ1" s="136"/>
      <c r="AJK1" s="136"/>
      <c r="AJL1" s="136"/>
      <c r="AJM1" s="136"/>
      <c r="AJN1" s="136"/>
      <c r="AJO1" s="136"/>
      <c r="AJP1" s="136"/>
      <c r="AJQ1" s="136"/>
      <c r="AJR1" s="136"/>
      <c r="AJS1" s="136"/>
      <c r="AJT1" s="136"/>
      <c r="AJU1" s="136"/>
      <c r="AJV1" s="136"/>
      <c r="AJW1" s="136"/>
      <c r="AJX1" s="136"/>
      <c r="AJY1" s="136"/>
      <c r="AJZ1" s="136"/>
      <c r="AKA1" s="136"/>
      <c r="AKB1" s="136"/>
      <c r="AKC1" s="136"/>
      <c r="AKD1" s="136"/>
      <c r="AKE1" s="136"/>
      <c r="AKF1" s="136"/>
      <c r="AKG1" s="136"/>
      <c r="AKH1" s="136"/>
      <c r="AKI1" s="136"/>
      <c r="AKJ1" s="136"/>
      <c r="AKK1" s="136"/>
      <c r="AKL1" s="136"/>
      <c r="AKM1" s="136"/>
      <c r="AKN1" s="136"/>
      <c r="AKO1" s="136"/>
      <c r="AKP1" s="136"/>
      <c r="AKQ1" s="136"/>
      <c r="AKR1" s="136"/>
      <c r="AKS1" s="136"/>
      <c r="AKT1" s="136"/>
      <c r="AKU1" s="136"/>
      <c r="AKV1" s="136"/>
      <c r="AKW1" s="136"/>
      <c r="AKX1" s="136"/>
      <c r="AKY1" s="136"/>
      <c r="AKZ1" s="136"/>
      <c r="ALA1" s="136"/>
      <c r="ALB1" s="136"/>
      <c r="ALC1" s="136"/>
      <c r="ALD1" s="136"/>
      <c r="ALE1" s="136"/>
      <c r="ALF1" s="136"/>
      <c r="ALG1" s="136"/>
      <c r="ALH1" s="136"/>
      <c r="ALI1" s="136"/>
      <c r="ALJ1" s="136"/>
      <c r="ALK1" s="136"/>
      <c r="ALL1" s="136"/>
      <c r="ALM1" s="136"/>
      <c r="ALN1" s="136"/>
      <c r="ALO1" s="136"/>
      <c r="ALP1" s="136"/>
      <c r="ALQ1" s="136"/>
      <c r="ALR1" s="136"/>
      <c r="ALS1" s="136"/>
      <c r="ALT1" s="136"/>
      <c r="ALU1" s="136"/>
      <c r="ALV1" s="136"/>
      <c r="ALW1" s="136"/>
      <c r="ALX1" s="136"/>
      <c r="ALY1" s="136"/>
      <c r="ALZ1" s="136"/>
      <c r="AMA1" s="136"/>
      <c r="AMB1" s="136"/>
      <c r="AMC1" s="136"/>
      <c r="AMD1" s="136"/>
      <c r="AME1" s="136"/>
      <c r="AMF1" s="136"/>
      <c r="AMG1" s="136"/>
      <c r="AMH1" s="136"/>
      <c r="AMI1" s="136"/>
      <c r="AMJ1" s="136"/>
      <c r="AMK1" s="136"/>
      <c r="AML1" s="136"/>
      <c r="AMM1" s="136"/>
      <c r="AMN1" s="136"/>
      <c r="AMO1" s="136"/>
      <c r="AMP1" s="136"/>
      <c r="AMQ1" s="136"/>
      <c r="AMR1" s="136"/>
      <c r="AMS1" s="136"/>
      <c r="AMT1" s="136"/>
      <c r="AMU1" s="136"/>
      <c r="AMV1" s="136"/>
      <c r="AMW1" s="136"/>
      <c r="AMX1" s="136"/>
      <c r="AMY1" s="136"/>
      <c r="AMZ1" s="136"/>
      <c r="ANA1" s="136"/>
      <c r="ANB1" s="136"/>
      <c r="ANC1" s="136"/>
      <c r="AND1" s="136"/>
      <c r="ANE1" s="136"/>
      <c r="ANF1" s="136"/>
      <c r="ANG1" s="136"/>
      <c r="ANH1" s="136"/>
      <c r="ANI1" s="136"/>
      <c r="ANJ1" s="136"/>
      <c r="ANK1" s="136"/>
      <c r="ANL1" s="136"/>
      <c r="ANM1" s="136"/>
      <c r="ANN1" s="136"/>
      <c r="ANO1" s="136"/>
      <c r="ANP1" s="136"/>
      <c r="ANQ1" s="136"/>
      <c r="ANR1" s="136"/>
      <c r="ANS1" s="136"/>
      <c r="ANT1" s="136"/>
      <c r="ANU1" s="136"/>
      <c r="ANV1" s="136"/>
      <c r="ANW1" s="136"/>
      <c r="ANX1" s="136"/>
      <c r="ANY1" s="136"/>
      <c r="ANZ1" s="136"/>
      <c r="AOA1" s="136"/>
      <c r="AOB1" s="136"/>
      <c r="AOC1" s="136"/>
      <c r="AOD1" s="136"/>
      <c r="AOE1" s="136"/>
      <c r="AOF1" s="136"/>
      <c r="AOG1" s="136"/>
      <c r="AOH1" s="136"/>
      <c r="AOI1" s="136"/>
      <c r="AOJ1" s="136"/>
      <c r="AOK1" s="136"/>
      <c r="AOL1" s="136"/>
      <c r="AOM1" s="136"/>
      <c r="AON1" s="136"/>
      <c r="AOO1" s="136"/>
      <c r="AOP1" s="136"/>
      <c r="AOQ1" s="136"/>
      <c r="AOR1" s="136"/>
      <c r="AOS1" s="136"/>
      <c r="AOT1" s="136"/>
      <c r="AOU1" s="136"/>
      <c r="AOV1" s="136"/>
      <c r="AOW1" s="136"/>
      <c r="AOX1" s="136"/>
      <c r="AOY1" s="136"/>
      <c r="AOZ1" s="136"/>
      <c r="APA1" s="136"/>
      <c r="APB1" s="136"/>
      <c r="APC1" s="136"/>
      <c r="APD1" s="136"/>
      <c r="APE1" s="136"/>
      <c r="APF1" s="136"/>
      <c r="APG1" s="136"/>
      <c r="APH1" s="136"/>
      <c r="API1" s="136"/>
      <c r="APJ1" s="136"/>
      <c r="APK1" s="136"/>
      <c r="APL1" s="136"/>
      <c r="APM1" s="136"/>
      <c r="APN1" s="136"/>
      <c r="APO1" s="136"/>
      <c r="APP1" s="136"/>
      <c r="APQ1" s="136"/>
      <c r="APR1" s="136"/>
      <c r="APS1" s="136"/>
      <c r="APT1" s="136"/>
      <c r="APU1" s="136"/>
      <c r="APV1" s="136"/>
      <c r="APW1" s="136"/>
      <c r="APX1" s="136"/>
      <c r="APY1" s="136"/>
      <c r="APZ1" s="136"/>
      <c r="AQA1" s="136"/>
      <c r="AQB1" s="136"/>
      <c r="AQC1" s="136"/>
      <c r="AQD1" s="136"/>
      <c r="AQE1" s="136"/>
      <c r="AQF1" s="136"/>
      <c r="AQG1" s="136"/>
      <c r="AQH1" s="136"/>
      <c r="AQI1" s="136"/>
      <c r="AQJ1" s="136"/>
      <c r="AQK1" s="136"/>
      <c r="AQL1" s="136"/>
      <c r="AQM1" s="136"/>
      <c r="AQN1" s="136"/>
      <c r="AQO1" s="136"/>
      <c r="AQP1" s="136"/>
      <c r="AQQ1" s="136"/>
      <c r="AQR1" s="136"/>
      <c r="AQS1" s="136"/>
      <c r="AQT1" s="136"/>
      <c r="AQU1" s="136"/>
      <c r="AQV1" s="136"/>
      <c r="AQW1" s="136"/>
      <c r="AQX1" s="136"/>
      <c r="AQY1" s="136"/>
      <c r="AQZ1" s="136"/>
      <c r="ARA1" s="136"/>
      <c r="ARB1" s="136"/>
      <c r="ARC1" s="136"/>
      <c r="ARD1" s="136"/>
      <c r="ARE1" s="136"/>
      <c r="ARF1" s="136"/>
      <c r="ARG1" s="136"/>
      <c r="ARH1" s="136"/>
      <c r="ARI1" s="136"/>
      <c r="ARJ1" s="136"/>
      <c r="ARK1" s="136"/>
      <c r="ARL1" s="136"/>
      <c r="ARM1" s="136"/>
      <c r="ARN1" s="136"/>
      <c r="ARO1" s="136"/>
      <c r="ARP1" s="136"/>
      <c r="ARQ1" s="136"/>
      <c r="ARR1" s="136"/>
      <c r="ARS1" s="136"/>
      <c r="ART1" s="136"/>
      <c r="ARU1" s="136"/>
      <c r="ARV1" s="136"/>
      <c r="ARW1" s="136"/>
      <c r="ARX1" s="136"/>
      <c r="ARY1" s="136"/>
      <c r="ARZ1" s="136"/>
      <c r="ASA1" s="136"/>
      <c r="ASB1" s="136"/>
      <c r="ASC1" s="136"/>
      <c r="ASD1" s="136"/>
      <c r="ASE1" s="136"/>
      <c r="ASF1" s="136"/>
      <c r="ASG1" s="136"/>
      <c r="ASH1" s="136"/>
      <c r="ASI1" s="136"/>
      <c r="ASJ1" s="136"/>
      <c r="ASK1" s="136"/>
      <c r="ASL1" s="136"/>
      <c r="ASM1" s="136"/>
      <c r="ASN1" s="136"/>
      <c r="ASO1" s="136"/>
      <c r="ASP1" s="136"/>
      <c r="ASQ1" s="136"/>
      <c r="ASR1" s="136"/>
      <c r="ASS1" s="136"/>
      <c r="AST1" s="136"/>
      <c r="ASU1" s="136"/>
      <c r="ASV1" s="136"/>
      <c r="ASW1" s="136"/>
      <c r="ASX1" s="136"/>
      <c r="ASY1" s="136"/>
      <c r="ASZ1" s="136"/>
      <c r="ATA1" s="136"/>
      <c r="ATB1" s="136"/>
      <c r="ATC1" s="136"/>
      <c r="ATD1" s="136"/>
      <c r="ATE1" s="136"/>
      <c r="ATF1" s="136"/>
      <c r="ATG1" s="136"/>
      <c r="ATH1" s="136"/>
      <c r="ATI1" s="136"/>
      <c r="ATJ1" s="136"/>
      <c r="ATK1" s="136"/>
      <c r="ATL1" s="136"/>
      <c r="ATM1" s="136"/>
      <c r="ATN1" s="136"/>
      <c r="ATO1" s="136"/>
      <c r="ATP1" s="136"/>
      <c r="ATQ1" s="136"/>
      <c r="ATR1" s="136"/>
      <c r="ATS1" s="136"/>
      <c r="ATT1" s="136"/>
      <c r="ATU1" s="136"/>
      <c r="ATV1" s="136"/>
      <c r="ATW1" s="136"/>
      <c r="ATX1" s="136"/>
      <c r="ATY1" s="136"/>
      <c r="ATZ1" s="136"/>
      <c r="AUA1" s="136"/>
      <c r="AUB1" s="136"/>
      <c r="AUC1" s="136"/>
      <c r="AUD1" s="136"/>
      <c r="AUE1" s="136"/>
      <c r="AUF1" s="136"/>
      <c r="AUG1" s="136"/>
      <c r="AUH1" s="136"/>
      <c r="AUI1" s="136"/>
      <c r="AUJ1" s="136"/>
      <c r="AUK1" s="136"/>
      <c r="AUL1" s="136"/>
      <c r="AUM1" s="136"/>
      <c r="AUN1" s="136"/>
      <c r="AUO1" s="136"/>
      <c r="AUP1" s="136"/>
      <c r="AUQ1" s="136"/>
      <c r="AUR1" s="136"/>
      <c r="AUS1" s="136"/>
      <c r="AUT1" s="136"/>
      <c r="AUU1" s="136"/>
      <c r="AUV1" s="136"/>
      <c r="AUW1" s="136"/>
      <c r="AUX1" s="136"/>
      <c r="AUY1" s="136"/>
      <c r="AUZ1" s="136"/>
      <c r="AVA1" s="136"/>
      <c r="AVB1" s="136"/>
      <c r="AVC1" s="136"/>
      <c r="AVD1" s="136"/>
      <c r="AVE1" s="136"/>
      <c r="AVF1" s="136"/>
      <c r="AVG1" s="136"/>
      <c r="AVH1" s="136"/>
      <c r="AVI1" s="136"/>
      <c r="AVJ1" s="136"/>
      <c r="AVK1" s="136"/>
      <c r="AVL1" s="136"/>
      <c r="AVM1" s="136"/>
      <c r="AVN1" s="136"/>
      <c r="AVO1" s="136"/>
      <c r="AVP1" s="136"/>
      <c r="AVQ1" s="136"/>
      <c r="AVR1" s="136"/>
      <c r="AVS1" s="136"/>
      <c r="AVT1" s="136"/>
      <c r="AVU1" s="136"/>
      <c r="AVV1" s="136"/>
      <c r="AVW1" s="136"/>
      <c r="AVX1" s="136"/>
      <c r="AVY1" s="136"/>
      <c r="AVZ1" s="136"/>
      <c r="AWA1" s="136"/>
      <c r="AWB1" s="136"/>
      <c r="AWC1" s="136"/>
      <c r="AWD1" s="136"/>
      <c r="AWE1" s="136"/>
      <c r="AWF1" s="136"/>
      <c r="AWG1" s="136"/>
      <c r="AWH1" s="136"/>
      <c r="AWI1" s="136"/>
      <c r="AWJ1" s="136"/>
      <c r="AWK1" s="136"/>
      <c r="AWL1" s="136"/>
      <c r="AWM1" s="136"/>
      <c r="AWN1" s="136"/>
      <c r="AWO1" s="136"/>
      <c r="AWP1" s="136"/>
      <c r="AWQ1" s="136"/>
      <c r="AWR1" s="136"/>
      <c r="AWS1" s="136"/>
      <c r="AWT1" s="136"/>
      <c r="AWU1" s="136"/>
      <c r="AWV1" s="136"/>
      <c r="AWW1" s="136"/>
      <c r="AWX1" s="136"/>
      <c r="AWY1" s="136"/>
      <c r="AWZ1" s="136"/>
      <c r="AXA1" s="136"/>
      <c r="AXB1" s="136"/>
      <c r="AXC1" s="136"/>
      <c r="AXD1" s="136"/>
      <c r="AXE1" s="136"/>
      <c r="AXF1" s="136"/>
      <c r="AXG1" s="136"/>
      <c r="AXH1" s="136"/>
      <c r="AXI1" s="136"/>
      <c r="AXJ1" s="136"/>
      <c r="AXK1" s="136"/>
      <c r="AXL1" s="136"/>
      <c r="AXM1" s="136"/>
      <c r="AXN1" s="136"/>
      <c r="AXO1" s="136"/>
      <c r="AXP1" s="136"/>
      <c r="AXQ1" s="136"/>
      <c r="AXR1" s="136"/>
      <c r="AXS1" s="136"/>
      <c r="AXT1" s="136"/>
      <c r="AXU1" s="136"/>
      <c r="AXV1" s="136"/>
      <c r="AXW1" s="136"/>
      <c r="AXX1" s="136"/>
      <c r="AXY1" s="136"/>
      <c r="AXZ1" s="136"/>
      <c r="AYA1" s="136"/>
      <c r="AYB1" s="136"/>
      <c r="AYC1" s="136"/>
      <c r="AYD1" s="136"/>
      <c r="AYE1" s="136"/>
      <c r="AYF1" s="136"/>
      <c r="AYG1" s="136"/>
      <c r="AYH1" s="136"/>
      <c r="AYI1" s="136"/>
      <c r="AYJ1" s="136"/>
      <c r="AYK1" s="136"/>
      <c r="AYL1" s="136"/>
      <c r="AYM1" s="136"/>
      <c r="AYN1" s="136"/>
      <c r="AYO1" s="136"/>
      <c r="AYP1" s="136"/>
      <c r="AYQ1" s="136"/>
      <c r="AYR1" s="136"/>
      <c r="AYS1" s="136"/>
      <c r="AYT1" s="136"/>
      <c r="AYU1" s="136"/>
      <c r="AYV1" s="136"/>
      <c r="AYW1" s="136"/>
      <c r="AYX1" s="136"/>
      <c r="AYY1" s="136"/>
      <c r="AYZ1" s="136"/>
      <c r="AZA1" s="136"/>
      <c r="AZB1" s="136"/>
      <c r="AZC1" s="136"/>
      <c r="AZD1" s="136"/>
      <c r="AZE1" s="136"/>
      <c r="AZF1" s="136"/>
      <c r="AZG1" s="136"/>
      <c r="AZH1" s="136"/>
      <c r="AZI1" s="136"/>
      <c r="AZJ1" s="136"/>
      <c r="AZK1" s="136"/>
      <c r="AZL1" s="136"/>
      <c r="AZM1" s="136"/>
      <c r="AZN1" s="136"/>
      <c r="AZO1" s="136"/>
      <c r="AZP1" s="136"/>
      <c r="AZQ1" s="136"/>
      <c r="AZR1" s="136"/>
      <c r="AZS1" s="136"/>
      <c r="AZT1" s="136"/>
      <c r="AZU1" s="136"/>
      <c r="AZV1" s="136"/>
      <c r="AZW1" s="136"/>
      <c r="AZX1" s="136"/>
      <c r="AZY1" s="136"/>
      <c r="AZZ1" s="136"/>
      <c r="BAA1" s="136"/>
      <c r="BAB1" s="136"/>
      <c r="BAC1" s="136"/>
      <c r="BAD1" s="136"/>
      <c r="BAE1" s="136"/>
      <c r="BAF1" s="136"/>
      <c r="BAG1" s="136"/>
      <c r="BAH1" s="136"/>
      <c r="BAI1" s="136"/>
      <c r="BAJ1" s="136"/>
      <c r="BAK1" s="136"/>
      <c r="BAL1" s="136"/>
      <c r="BAM1" s="136"/>
      <c r="BAN1" s="136"/>
      <c r="BAO1" s="136"/>
      <c r="BAP1" s="136"/>
      <c r="BAQ1" s="136"/>
      <c r="BAR1" s="136"/>
      <c r="BAS1" s="136"/>
      <c r="BAT1" s="136"/>
      <c r="BAU1" s="136"/>
      <c r="BAV1" s="136"/>
      <c r="BAW1" s="136"/>
      <c r="BAX1" s="136"/>
      <c r="BAY1" s="136"/>
      <c r="BAZ1" s="136"/>
      <c r="BBA1" s="136"/>
      <c r="BBB1" s="136"/>
      <c r="BBC1" s="136"/>
      <c r="BBD1" s="136"/>
      <c r="BBE1" s="136"/>
      <c r="BBF1" s="136"/>
      <c r="BBG1" s="136"/>
      <c r="BBH1" s="136"/>
      <c r="BBI1" s="136"/>
      <c r="BBJ1" s="136"/>
      <c r="BBK1" s="136"/>
      <c r="BBL1" s="136"/>
      <c r="BBM1" s="136"/>
      <c r="BBN1" s="136"/>
      <c r="BBO1" s="136"/>
      <c r="BBP1" s="136"/>
      <c r="BBQ1" s="136"/>
      <c r="BBR1" s="136"/>
      <c r="BBS1" s="136"/>
      <c r="BBT1" s="136"/>
      <c r="BBU1" s="136"/>
      <c r="BBV1" s="136"/>
      <c r="BBW1" s="136"/>
      <c r="BBX1" s="136"/>
      <c r="BBY1" s="136"/>
      <c r="BBZ1" s="136"/>
      <c r="BCA1" s="136"/>
      <c r="BCB1" s="136"/>
      <c r="BCC1" s="136"/>
      <c r="BCD1" s="136"/>
      <c r="BCE1" s="136"/>
      <c r="BCF1" s="136"/>
      <c r="BCG1" s="136"/>
      <c r="BCH1" s="136"/>
      <c r="BCI1" s="136"/>
      <c r="BCJ1" s="136"/>
      <c r="BCK1" s="136"/>
      <c r="BCL1" s="136"/>
      <c r="BCM1" s="136"/>
      <c r="BCN1" s="136"/>
      <c r="BCO1" s="136"/>
      <c r="BCP1" s="136"/>
      <c r="BCQ1" s="136"/>
      <c r="BCR1" s="136"/>
      <c r="BCS1" s="136"/>
      <c r="BCT1" s="136"/>
      <c r="BCU1" s="136"/>
      <c r="BCV1" s="136"/>
      <c r="BCW1" s="136"/>
      <c r="BCX1" s="136"/>
      <c r="BCY1" s="136"/>
      <c r="BCZ1" s="136"/>
      <c r="BDA1" s="136"/>
      <c r="BDB1" s="136"/>
      <c r="BDC1" s="136"/>
      <c r="BDD1" s="136"/>
      <c r="BDE1" s="136"/>
      <c r="BDF1" s="136"/>
      <c r="BDG1" s="136"/>
      <c r="BDH1" s="136"/>
      <c r="BDI1" s="136"/>
      <c r="BDJ1" s="136"/>
      <c r="BDK1" s="136"/>
      <c r="BDL1" s="136"/>
      <c r="BDM1" s="136"/>
      <c r="BDN1" s="136"/>
      <c r="BDO1" s="136"/>
      <c r="BDP1" s="136"/>
      <c r="BDQ1" s="136"/>
      <c r="BDR1" s="136"/>
      <c r="BDS1" s="136"/>
      <c r="BDT1" s="136"/>
      <c r="BDU1" s="136"/>
      <c r="BDV1" s="136"/>
      <c r="BDW1" s="136"/>
      <c r="BDX1" s="136"/>
      <c r="BDY1" s="136"/>
      <c r="BDZ1" s="136"/>
      <c r="BEA1" s="136"/>
      <c r="BEB1" s="136"/>
      <c r="BEC1" s="136"/>
      <c r="BED1" s="136"/>
      <c r="BEE1" s="136"/>
      <c r="BEF1" s="136"/>
      <c r="BEG1" s="136"/>
      <c r="BEH1" s="136"/>
      <c r="BEI1" s="136"/>
      <c r="BEJ1" s="136"/>
      <c r="BEK1" s="136"/>
      <c r="BEL1" s="136"/>
      <c r="BEM1" s="136"/>
      <c r="BEN1" s="136"/>
      <c r="BEO1" s="136"/>
      <c r="BEP1" s="136"/>
      <c r="BEQ1" s="136"/>
      <c r="BER1" s="136"/>
      <c r="BES1" s="136"/>
      <c r="BET1" s="136"/>
      <c r="BEU1" s="136"/>
      <c r="BEV1" s="136"/>
      <c r="BEW1" s="136"/>
      <c r="BEX1" s="136"/>
      <c r="BEY1" s="136"/>
      <c r="BEZ1" s="136"/>
      <c r="BFA1" s="136"/>
      <c r="BFB1" s="136"/>
      <c r="BFC1" s="136"/>
      <c r="BFD1" s="136"/>
      <c r="BFE1" s="136"/>
      <c r="BFF1" s="136"/>
      <c r="BFG1" s="136"/>
      <c r="BFH1" s="136"/>
      <c r="BFI1" s="136"/>
      <c r="BFJ1" s="136"/>
      <c r="BFK1" s="136"/>
      <c r="BFL1" s="136"/>
      <c r="BFM1" s="136"/>
      <c r="BFN1" s="136"/>
      <c r="BFO1" s="136"/>
      <c r="BFP1" s="136"/>
      <c r="BFQ1" s="136"/>
      <c r="BFR1" s="136"/>
      <c r="BFS1" s="136"/>
      <c r="BFT1" s="136"/>
      <c r="BFU1" s="136"/>
      <c r="BFV1" s="136"/>
      <c r="BFW1" s="136"/>
      <c r="BFX1" s="136"/>
      <c r="BFY1" s="136"/>
      <c r="BFZ1" s="136"/>
      <c r="BGA1" s="136"/>
      <c r="BGB1" s="136"/>
      <c r="BGC1" s="136"/>
      <c r="BGD1" s="136"/>
      <c r="BGE1" s="136"/>
      <c r="BGF1" s="136"/>
      <c r="BGG1" s="136"/>
      <c r="BGH1" s="136"/>
      <c r="BGI1" s="136"/>
      <c r="BGJ1" s="136"/>
      <c r="BGK1" s="136"/>
      <c r="BGL1" s="136"/>
      <c r="BGM1" s="136"/>
      <c r="BGN1" s="136"/>
      <c r="BGO1" s="136"/>
      <c r="BGP1" s="136"/>
      <c r="BGQ1" s="136"/>
      <c r="BGR1" s="136"/>
      <c r="BGS1" s="136"/>
      <c r="BGT1" s="136"/>
      <c r="BGU1" s="136"/>
      <c r="BGV1" s="136"/>
      <c r="BGW1" s="136"/>
      <c r="BGX1" s="136"/>
      <c r="BGY1" s="136"/>
      <c r="BGZ1" s="136"/>
      <c r="BHA1" s="136"/>
      <c r="BHB1" s="136"/>
      <c r="BHC1" s="136"/>
      <c r="BHD1" s="136"/>
      <c r="BHE1" s="136"/>
      <c r="BHF1" s="136"/>
      <c r="BHG1" s="136"/>
      <c r="BHH1" s="136"/>
      <c r="BHI1" s="136"/>
      <c r="BHJ1" s="136"/>
      <c r="BHK1" s="136"/>
      <c r="BHL1" s="136"/>
      <c r="BHM1" s="136"/>
      <c r="BHN1" s="136"/>
      <c r="BHO1" s="136"/>
      <c r="BHP1" s="136"/>
      <c r="BHQ1" s="136"/>
      <c r="BHR1" s="136"/>
      <c r="BHS1" s="136"/>
      <c r="BHT1" s="136"/>
      <c r="BHU1" s="136"/>
      <c r="BHV1" s="136"/>
      <c r="BHW1" s="136"/>
      <c r="BHX1" s="136"/>
      <c r="BHY1" s="136"/>
      <c r="BHZ1" s="136"/>
      <c r="BIA1" s="136"/>
      <c r="BIB1" s="136"/>
      <c r="BIC1" s="136"/>
      <c r="BID1" s="136"/>
      <c r="BIE1" s="136"/>
      <c r="BIF1" s="136"/>
      <c r="BIG1" s="136"/>
      <c r="BIH1" s="136"/>
      <c r="BII1" s="136"/>
      <c r="BIJ1" s="136"/>
      <c r="BIK1" s="136"/>
      <c r="BIL1" s="136"/>
      <c r="BIM1" s="136"/>
      <c r="BIN1" s="136"/>
      <c r="BIO1" s="136"/>
      <c r="BIP1" s="136"/>
      <c r="BIQ1" s="136"/>
      <c r="BIR1" s="136"/>
      <c r="BIS1" s="136"/>
      <c r="BIT1" s="136"/>
      <c r="BIU1" s="136"/>
      <c r="BIV1" s="136"/>
      <c r="BIW1" s="136"/>
      <c r="BIX1" s="136"/>
      <c r="BIY1" s="136"/>
      <c r="BIZ1" s="136"/>
      <c r="BJA1" s="136"/>
      <c r="BJB1" s="136"/>
      <c r="BJC1" s="136"/>
      <c r="BJD1" s="136"/>
      <c r="BJE1" s="136"/>
      <c r="BJF1" s="136"/>
      <c r="BJG1" s="136"/>
      <c r="BJH1" s="136"/>
      <c r="BJI1" s="136"/>
      <c r="BJJ1" s="136"/>
      <c r="BJK1" s="136"/>
      <c r="BJL1" s="136"/>
      <c r="BJM1" s="136"/>
      <c r="BJN1" s="136"/>
      <c r="BJO1" s="136"/>
      <c r="BJP1" s="136"/>
      <c r="BJQ1" s="136"/>
      <c r="BJR1" s="136"/>
      <c r="BJS1" s="136"/>
      <c r="BJT1" s="136"/>
      <c r="BJU1" s="136"/>
      <c r="BJV1" s="136"/>
      <c r="BJW1" s="136"/>
      <c r="BJX1" s="136"/>
      <c r="BJY1" s="136"/>
      <c r="BJZ1" s="136"/>
      <c r="BKA1" s="136"/>
      <c r="BKB1" s="136"/>
      <c r="BKC1" s="136"/>
      <c r="BKD1" s="136"/>
      <c r="BKE1" s="136"/>
      <c r="BKF1" s="136"/>
      <c r="BKG1" s="136"/>
      <c r="BKH1" s="136"/>
      <c r="BKI1" s="136"/>
      <c r="BKJ1" s="136"/>
      <c r="BKK1" s="136"/>
      <c r="BKL1" s="136"/>
      <c r="BKM1" s="136"/>
      <c r="BKN1" s="136"/>
      <c r="BKO1" s="136"/>
      <c r="BKP1" s="136"/>
      <c r="BKQ1" s="136"/>
      <c r="BKR1" s="136"/>
      <c r="BKS1" s="136"/>
      <c r="BKT1" s="136"/>
      <c r="BKU1" s="136"/>
      <c r="BKV1" s="136"/>
      <c r="BKW1" s="136"/>
      <c r="BKX1" s="136"/>
      <c r="BKY1" s="136"/>
      <c r="BKZ1" s="136"/>
      <c r="BLA1" s="136"/>
      <c r="BLB1" s="136"/>
      <c r="BLC1" s="136"/>
      <c r="BLD1" s="136"/>
      <c r="BLE1" s="136"/>
      <c r="BLF1" s="136"/>
      <c r="BLG1" s="136"/>
      <c r="BLH1" s="136"/>
      <c r="BLI1" s="136"/>
      <c r="BLJ1" s="136"/>
      <c r="BLK1" s="136"/>
      <c r="BLL1" s="136"/>
      <c r="BLM1" s="136"/>
      <c r="BLN1" s="136"/>
      <c r="BLO1" s="136"/>
      <c r="BLP1" s="136"/>
      <c r="BLQ1" s="136"/>
      <c r="BLR1" s="136"/>
      <c r="BLS1" s="136"/>
      <c r="BLT1" s="136"/>
      <c r="BLU1" s="136"/>
      <c r="BLV1" s="136"/>
      <c r="BLW1" s="136"/>
      <c r="BLX1" s="136"/>
      <c r="BLY1" s="136"/>
      <c r="BLZ1" s="136"/>
      <c r="BMA1" s="136"/>
      <c r="BMB1" s="136"/>
      <c r="BMC1" s="136"/>
      <c r="BMD1" s="136"/>
      <c r="BME1" s="136"/>
      <c r="BMF1" s="136"/>
      <c r="BMG1" s="136"/>
      <c r="BMH1" s="136"/>
      <c r="BMI1" s="136"/>
      <c r="BMJ1" s="136"/>
      <c r="BMK1" s="136"/>
      <c r="BML1" s="136"/>
      <c r="BMM1" s="136"/>
      <c r="BMN1" s="136"/>
      <c r="BMO1" s="136"/>
      <c r="BMP1" s="136"/>
      <c r="BMQ1" s="136"/>
      <c r="BMR1" s="136"/>
      <c r="BMS1" s="136"/>
      <c r="BMT1" s="136"/>
      <c r="BMU1" s="136"/>
      <c r="BMV1" s="136"/>
      <c r="BMW1" s="136"/>
      <c r="BMX1" s="136"/>
      <c r="BMY1" s="136"/>
      <c r="BMZ1" s="136"/>
      <c r="BNA1" s="136"/>
      <c r="BNB1" s="136"/>
      <c r="BNC1" s="136"/>
      <c r="BND1" s="136"/>
      <c r="BNE1" s="136"/>
      <c r="BNF1" s="136"/>
      <c r="BNG1" s="136"/>
      <c r="BNH1" s="136"/>
      <c r="BNI1" s="136"/>
      <c r="BNJ1" s="136"/>
      <c r="BNK1" s="136"/>
      <c r="BNL1" s="136"/>
      <c r="BNM1" s="136"/>
      <c r="BNN1" s="136"/>
      <c r="BNO1" s="136"/>
      <c r="BNP1" s="136"/>
      <c r="BNQ1" s="136"/>
      <c r="BNR1" s="136"/>
      <c r="BNS1" s="136"/>
      <c r="BNT1" s="136"/>
      <c r="BNU1" s="136"/>
      <c r="BNV1" s="136"/>
      <c r="BNW1" s="136"/>
      <c r="BNX1" s="136"/>
      <c r="BNY1" s="136"/>
      <c r="BNZ1" s="136"/>
      <c r="BOA1" s="136"/>
      <c r="BOB1" s="136"/>
      <c r="BOC1" s="136"/>
      <c r="BOD1" s="136"/>
      <c r="BOE1" s="136"/>
      <c r="BOF1" s="136"/>
      <c r="BOG1" s="136"/>
      <c r="BOH1" s="136"/>
      <c r="BOI1" s="136"/>
      <c r="BOJ1" s="136"/>
      <c r="BOK1" s="136"/>
      <c r="BOL1" s="136"/>
      <c r="BOM1" s="136"/>
      <c r="BON1" s="136"/>
      <c r="BOO1" s="136"/>
      <c r="BOP1" s="136"/>
      <c r="BOQ1" s="136"/>
      <c r="BOR1" s="136"/>
      <c r="BOS1" s="136"/>
      <c r="BOT1" s="136"/>
      <c r="BOU1" s="136"/>
      <c r="BOV1" s="136"/>
      <c r="BOW1" s="136"/>
      <c r="BOX1" s="136"/>
      <c r="BOY1" s="136"/>
      <c r="BOZ1" s="136"/>
      <c r="BPA1" s="136"/>
      <c r="BPB1" s="136"/>
      <c r="BPC1" s="136"/>
      <c r="BPD1" s="136"/>
      <c r="BPE1" s="136"/>
      <c r="BPF1" s="136"/>
      <c r="BPG1" s="136"/>
      <c r="BPH1" s="136"/>
      <c r="BPI1" s="136"/>
      <c r="BPJ1" s="136"/>
      <c r="BPK1" s="136"/>
      <c r="BPL1" s="136"/>
      <c r="BPM1" s="136"/>
      <c r="BPN1" s="136"/>
      <c r="BPO1" s="136"/>
      <c r="BPP1" s="136"/>
      <c r="BPQ1" s="136"/>
      <c r="BPR1" s="136"/>
      <c r="BPS1" s="136"/>
      <c r="BPT1" s="136"/>
      <c r="BPU1" s="136"/>
      <c r="BPV1" s="136"/>
      <c r="BPW1" s="136"/>
      <c r="BPX1" s="136"/>
      <c r="BPY1" s="136"/>
      <c r="BPZ1" s="136"/>
      <c r="BQA1" s="136"/>
      <c r="BQB1" s="136"/>
      <c r="BQC1" s="136"/>
      <c r="BQD1" s="136"/>
      <c r="BQE1" s="136"/>
      <c r="BQF1" s="136"/>
      <c r="BQG1" s="136"/>
      <c r="BQH1" s="136"/>
      <c r="BQI1" s="136"/>
      <c r="BQJ1" s="136"/>
      <c r="BQK1" s="136"/>
      <c r="BQL1" s="136"/>
      <c r="BQM1" s="136"/>
      <c r="BQN1" s="136"/>
      <c r="BQO1" s="136"/>
      <c r="BQP1" s="136"/>
      <c r="BQQ1" s="136"/>
      <c r="BQR1" s="136"/>
      <c r="BQS1" s="136"/>
      <c r="BQT1" s="136"/>
      <c r="BQU1" s="136"/>
      <c r="BQV1" s="136"/>
      <c r="BQW1" s="136"/>
      <c r="BQX1" s="136"/>
      <c r="BQY1" s="136"/>
      <c r="BQZ1" s="136"/>
      <c r="BRA1" s="136"/>
      <c r="BRB1" s="136"/>
      <c r="BRC1" s="136"/>
      <c r="BRD1" s="136"/>
      <c r="BRE1" s="136"/>
      <c r="BRF1" s="136"/>
      <c r="BRG1" s="136"/>
      <c r="BRH1" s="136"/>
      <c r="BRI1" s="136"/>
      <c r="BRJ1" s="136"/>
      <c r="BRK1" s="136"/>
      <c r="BRL1" s="136"/>
      <c r="BRM1" s="136"/>
      <c r="BRN1" s="136"/>
      <c r="BRO1" s="136"/>
      <c r="BRP1" s="136"/>
      <c r="BRQ1" s="136"/>
      <c r="BRR1" s="136"/>
      <c r="BRS1" s="136"/>
      <c r="BRT1" s="136"/>
      <c r="BRU1" s="136"/>
      <c r="BRV1" s="136"/>
      <c r="BRW1" s="136"/>
      <c r="BRX1" s="136"/>
      <c r="BRY1" s="136"/>
      <c r="BRZ1" s="136"/>
      <c r="BSA1" s="136"/>
      <c r="BSB1" s="136"/>
      <c r="BSC1" s="136"/>
      <c r="BSD1" s="136"/>
      <c r="BSE1" s="136"/>
      <c r="BSF1" s="136"/>
      <c r="BSG1" s="136"/>
      <c r="BSH1" s="136"/>
      <c r="BSI1" s="136"/>
      <c r="BSJ1" s="136"/>
      <c r="BSK1" s="136"/>
      <c r="BSL1" s="136"/>
      <c r="BSM1" s="136"/>
      <c r="BSN1" s="136"/>
      <c r="BSO1" s="136"/>
      <c r="BSP1" s="136"/>
      <c r="BSQ1" s="136"/>
      <c r="BSR1" s="136"/>
      <c r="BSS1" s="136"/>
      <c r="BST1" s="136"/>
      <c r="BSU1" s="136"/>
      <c r="BSV1" s="136"/>
      <c r="BSW1" s="136"/>
      <c r="BSX1" s="136"/>
      <c r="BSY1" s="136"/>
      <c r="BSZ1" s="136"/>
      <c r="BTA1" s="136"/>
      <c r="BTB1" s="136"/>
      <c r="BTC1" s="136"/>
      <c r="BTD1" s="136"/>
      <c r="BTE1" s="136"/>
      <c r="BTF1" s="136"/>
      <c r="BTG1" s="136"/>
      <c r="BTH1" s="136"/>
      <c r="BTI1" s="136"/>
      <c r="BTJ1" s="136"/>
      <c r="BTK1" s="136"/>
      <c r="BTL1" s="136"/>
      <c r="BTM1" s="136"/>
      <c r="BTN1" s="136"/>
      <c r="BTO1" s="136"/>
      <c r="BTP1" s="136"/>
      <c r="BTQ1" s="136"/>
      <c r="BTR1" s="136"/>
      <c r="BTS1" s="136"/>
      <c r="BTT1" s="136"/>
      <c r="BTU1" s="136"/>
      <c r="BTV1" s="136"/>
      <c r="BTW1" s="136"/>
      <c r="BTX1" s="136"/>
      <c r="BTY1" s="136"/>
      <c r="BTZ1" s="136"/>
      <c r="BUA1" s="136"/>
      <c r="BUB1" s="136"/>
      <c r="BUC1" s="136"/>
      <c r="BUD1" s="136"/>
      <c r="BUE1" s="136"/>
      <c r="BUF1" s="136"/>
      <c r="BUG1" s="136"/>
      <c r="BUH1" s="136"/>
      <c r="BUI1" s="136"/>
      <c r="BUJ1" s="136"/>
      <c r="BUK1" s="136"/>
      <c r="BUL1" s="136"/>
      <c r="BUM1" s="136"/>
      <c r="BUN1" s="136"/>
      <c r="BUO1" s="136"/>
      <c r="BUP1" s="136"/>
      <c r="BUQ1" s="136"/>
      <c r="BUR1" s="136"/>
      <c r="BUS1" s="136"/>
      <c r="BUT1" s="136"/>
      <c r="BUU1" s="136"/>
      <c r="BUV1" s="136"/>
      <c r="BUW1" s="136"/>
      <c r="BUX1" s="136"/>
      <c r="BUY1" s="136"/>
      <c r="BUZ1" s="136"/>
      <c r="BVA1" s="136"/>
      <c r="BVB1" s="136"/>
      <c r="BVC1" s="136"/>
      <c r="BVD1" s="136"/>
      <c r="BVE1" s="136"/>
      <c r="BVF1" s="136"/>
      <c r="BVG1" s="136"/>
      <c r="BVH1" s="136"/>
      <c r="BVI1" s="136"/>
      <c r="BVJ1" s="136"/>
      <c r="BVK1" s="136"/>
      <c r="BVL1" s="136"/>
      <c r="BVM1" s="136"/>
      <c r="BVN1" s="136"/>
      <c r="BVO1" s="136"/>
      <c r="BVP1" s="136"/>
      <c r="BVQ1" s="136"/>
      <c r="BVR1" s="136"/>
      <c r="BVS1" s="136"/>
      <c r="BVT1" s="136"/>
      <c r="BVU1" s="136"/>
      <c r="BVV1" s="136"/>
      <c r="BVW1" s="136"/>
      <c r="BVX1" s="136"/>
      <c r="BVY1" s="136"/>
      <c r="BVZ1" s="136"/>
      <c r="BWA1" s="136"/>
      <c r="BWB1" s="136"/>
      <c r="BWC1" s="136"/>
      <c r="BWD1" s="136"/>
      <c r="BWE1" s="136"/>
      <c r="BWF1" s="136"/>
      <c r="BWG1" s="136"/>
      <c r="BWH1" s="136"/>
      <c r="BWI1" s="136"/>
      <c r="BWJ1" s="136"/>
      <c r="BWK1" s="136"/>
      <c r="BWL1" s="136"/>
      <c r="BWM1" s="136"/>
      <c r="BWN1" s="136"/>
      <c r="BWO1" s="136"/>
      <c r="BWP1" s="136"/>
      <c r="BWQ1" s="136"/>
      <c r="BWR1" s="136"/>
      <c r="BWS1" s="136"/>
      <c r="BWT1" s="136"/>
      <c r="BWU1" s="136"/>
      <c r="BWV1" s="136"/>
      <c r="BWW1" s="136"/>
      <c r="BWX1" s="136"/>
      <c r="BWY1" s="136"/>
      <c r="BWZ1" s="136"/>
      <c r="BXA1" s="136"/>
      <c r="BXB1" s="136"/>
      <c r="BXC1" s="136"/>
      <c r="BXD1" s="136"/>
      <c r="BXE1" s="136"/>
      <c r="BXF1" s="136"/>
      <c r="BXG1" s="136"/>
      <c r="BXH1" s="136"/>
      <c r="BXI1" s="136"/>
      <c r="BXJ1" s="136"/>
      <c r="BXK1" s="136"/>
      <c r="BXL1" s="136"/>
      <c r="BXM1" s="136"/>
      <c r="BXN1" s="136"/>
      <c r="BXO1" s="136"/>
      <c r="BXP1" s="136"/>
      <c r="BXQ1" s="136"/>
      <c r="BXR1" s="136"/>
      <c r="BXS1" s="136"/>
      <c r="BXT1" s="136"/>
      <c r="BXU1" s="136"/>
      <c r="BXV1" s="136"/>
      <c r="BXW1" s="136"/>
      <c r="BXX1" s="136"/>
      <c r="BXY1" s="136"/>
      <c r="BXZ1" s="136"/>
      <c r="BYA1" s="136"/>
      <c r="BYB1" s="136"/>
      <c r="BYC1" s="136"/>
      <c r="BYD1" s="136"/>
      <c r="BYE1" s="136"/>
      <c r="BYF1" s="136"/>
      <c r="BYG1" s="136"/>
      <c r="BYH1" s="136"/>
      <c r="BYI1" s="136"/>
      <c r="BYJ1" s="136"/>
      <c r="BYK1" s="136"/>
      <c r="BYL1" s="136"/>
      <c r="BYM1" s="136"/>
      <c r="BYN1" s="136"/>
      <c r="BYO1" s="136"/>
      <c r="BYP1" s="136"/>
      <c r="BYQ1" s="136"/>
      <c r="BYR1" s="136"/>
      <c r="BYS1" s="136"/>
      <c r="BYT1" s="136"/>
      <c r="BYU1" s="136"/>
      <c r="BYV1" s="136"/>
      <c r="BYW1" s="136"/>
      <c r="BYX1" s="136"/>
      <c r="BYY1" s="136"/>
      <c r="BYZ1" s="136"/>
      <c r="BZA1" s="136"/>
      <c r="BZB1" s="136"/>
      <c r="BZC1" s="136"/>
      <c r="BZD1" s="136"/>
      <c r="BZE1" s="136"/>
      <c r="BZF1" s="136"/>
      <c r="BZG1" s="136"/>
      <c r="BZH1" s="136"/>
      <c r="BZI1" s="136"/>
      <c r="BZJ1" s="136"/>
      <c r="BZK1" s="136"/>
      <c r="BZL1" s="136"/>
      <c r="BZM1" s="136"/>
      <c r="BZN1" s="136"/>
      <c r="BZO1" s="136"/>
      <c r="BZP1" s="136"/>
      <c r="BZQ1" s="136"/>
      <c r="BZR1" s="136"/>
      <c r="BZS1" s="136"/>
      <c r="BZT1" s="136"/>
      <c r="BZU1" s="136"/>
      <c r="BZV1" s="136"/>
      <c r="BZW1" s="136"/>
      <c r="BZX1" s="136"/>
      <c r="BZY1" s="136"/>
      <c r="BZZ1" s="136"/>
      <c r="CAA1" s="136"/>
      <c r="CAB1" s="136"/>
      <c r="CAC1" s="136"/>
      <c r="CAD1" s="136"/>
      <c r="CAE1" s="136"/>
      <c r="CAF1" s="136"/>
      <c r="CAG1" s="136"/>
      <c r="CAH1" s="136"/>
      <c r="CAI1" s="136"/>
      <c r="CAJ1" s="136"/>
      <c r="CAK1" s="136"/>
      <c r="CAL1" s="136"/>
      <c r="CAM1" s="136"/>
      <c r="CAN1" s="136"/>
      <c r="CAO1" s="136"/>
      <c r="CAP1" s="136"/>
      <c r="CAQ1" s="136"/>
      <c r="CAR1" s="136"/>
      <c r="CAS1" s="136"/>
      <c r="CAT1" s="136"/>
      <c r="CAU1" s="136"/>
      <c r="CAV1" s="136"/>
      <c r="CAW1" s="136"/>
      <c r="CAX1" s="136"/>
      <c r="CAY1" s="136"/>
      <c r="CAZ1" s="136"/>
      <c r="CBA1" s="136"/>
      <c r="CBB1" s="136"/>
      <c r="CBC1" s="136"/>
      <c r="CBD1" s="136"/>
      <c r="CBE1" s="136"/>
      <c r="CBF1" s="136"/>
      <c r="CBG1" s="136"/>
      <c r="CBH1" s="136"/>
      <c r="CBI1" s="136"/>
      <c r="CBJ1" s="136"/>
      <c r="CBK1" s="136"/>
      <c r="CBL1" s="136"/>
      <c r="CBM1" s="136"/>
      <c r="CBN1" s="136"/>
      <c r="CBO1" s="136"/>
      <c r="CBP1" s="136"/>
      <c r="CBQ1" s="136"/>
      <c r="CBR1" s="136"/>
      <c r="CBS1" s="136"/>
      <c r="CBT1" s="136"/>
      <c r="CBU1" s="136"/>
      <c r="CBV1" s="136"/>
      <c r="CBW1" s="136"/>
      <c r="CBX1" s="136"/>
      <c r="CBY1" s="136"/>
      <c r="CBZ1" s="136"/>
      <c r="CCA1" s="136"/>
      <c r="CCB1" s="136"/>
      <c r="CCC1" s="136"/>
      <c r="CCD1" s="136"/>
      <c r="CCE1" s="136"/>
      <c r="CCF1" s="136"/>
      <c r="CCG1" s="136"/>
      <c r="CCH1" s="136"/>
      <c r="CCI1" s="136"/>
      <c r="CCJ1" s="136"/>
      <c r="CCK1" s="136"/>
      <c r="CCL1" s="136"/>
      <c r="CCM1" s="136"/>
      <c r="CCN1" s="136"/>
      <c r="CCO1" s="136"/>
      <c r="CCP1" s="136"/>
      <c r="CCQ1" s="136"/>
      <c r="CCR1" s="136"/>
      <c r="CCS1" s="136"/>
      <c r="CCT1" s="136"/>
      <c r="CCU1" s="136"/>
      <c r="CCV1" s="136"/>
      <c r="CCW1" s="136"/>
      <c r="CCX1" s="136"/>
      <c r="CCY1" s="136"/>
      <c r="CCZ1" s="136"/>
      <c r="CDA1" s="136"/>
      <c r="CDB1" s="136"/>
      <c r="CDC1" s="136"/>
      <c r="CDD1" s="136"/>
      <c r="CDE1" s="136"/>
      <c r="CDF1" s="136"/>
      <c r="CDG1" s="136"/>
      <c r="CDH1" s="136"/>
      <c r="CDI1" s="136"/>
      <c r="CDJ1" s="136"/>
      <c r="CDK1" s="136"/>
      <c r="CDL1" s="136"/>
      <c r="CDM1" s="136"/>
      <c r="CDN1" s="136"/>
      <c r="CDO1" s="136"/>
      <c r="CDP1" s="136"/>
      <c r="CDQ1" s="136"/>
      <c r="CDR1" s="136"/>
      <c r="CDS1" s="136"/>
      <c r="CDT1" s="136"/>
      <c r="CDU1" s="136"/>
      <c r="CDV1" s="136"/>
      <c r="CDW1" s="136"/>
      <c r="CDX1" s="136"/>
      <c r="CDY1" s="136"/>
      <c r="CDZ1" s="136"/>
      <c r="CEA1" s="136"/>
      <c r="CEB1" s="136"/>
      <c r="CEC1" s="136"/>
      <c r="CED1" s="136"/>
      <c r="CEE1" s="136"/>
      <c r="CEF1" s="136"/>
      <c r="CEG1" s="136"/>
      <c r="CEH1" s="136"/>
      <c r="CEI1" s="136"/>
      <c r="CEJ1" s="136"/>
      <c r="CEK1" s="136"/>
      <c r="CEL1" s="136"/>
      <c r="CEM1" s="136"/>
      <c r="CEN1" s="136"/>
      <c r="CEO1" s="136"/>
      <c r="CEP1" s="136"/>
      <c r="CEQ1" s="136"/>
      <c r="CER1" s="136"/>
      <c r="CES1" s="136"/>
      <c r="CET1" s="136"/>
      <c r="CEU1" s="136"/>
      <c r="CEV1" s="136"/>
      <c r="CEW1" s="136"/>
      <c r="CEX1" s="136"/>
      <c r="CEY1" s="136"/>
      <c r="CEZ1" s="136"/>
      <c r="CFA1" s="136"/>
      <c r="CFB1" s="136"/>
      <c r="CFC1" s="136"/>
      <c r="CFD1" s="136"/>
      <c r="CFE1" s="136"/>
      <c r="CFF1" s="136"/>
      <c r="CFG1" s="136"/>
      <c r="CFH1" s="136"/>
      <c r="CFI1" s="136"/>
      <c r="CFJ1" s="136"/>
      <c r="CFK1" s="136"/>
      <c r="CFL1" s="136"/>
      <c r="CFM1" s="136"/>
      <c r="CFN1" s="136"/>
      <c r="CFO1" s="136"/>
      <c r="CFP1" s="136"/>
      <c r="CFQ1" s="136"/>
      <c r="CFR1" s="136"/>
      <c r="CFS1" s="136"/>
      <c r="CFT1" s="136"/>
      <c r="CFU1" s="136"/>
      <c r="CFV1" s="136"/>
      <c r="CFW1" s="136"/>
      <c r="CFX1" s="136"/>
      <c r="CFY1" s="136"/>
      <c r="CFZ1" s="136"/>
      <c r="CGA1" s="136"/>
      <c r="CGB1" s="136"/>
      <c r="CGC1" s="136"/>
      <c r="CGD1" s="136"/>
      <c r="CGE1" s="136"/>
      <c r="CGF1" s="136"/>
      <c r="CGG1" s="136"/>
      <c r="CGH1" s="136"/>
      <c r="CGI1" s="136"/>
      <c r="CGJ1" s="136"/>
      <c r="CGK1" s="136"/>
      <c r="CGL1" s="136"/>
      <c r="CGM1" s="136"/>
      <c r="CGN1" s="136"/>
      <c r="CGO1" s="136"/>
      <c r="CGP1" s="136"/>
      <c r="CGQ1" s="136"/>
      <c r="CGR1" s="136"/>
      <c r="CGS1" s="136"/>
      <c r="CGT1" s="136"/>
      <c r="CGU1" s="136"/>
      <c r="CGV1" s="136"/>
      <c r="CGW1" s="136"/>
      <c r="CGX1" s="136"/>
      <c r="CGY1" s="136"/>
      <c r="CGZ1" s="136"/>
      <c r="CHA1" s="136"/>
      <c r="CHB1" s="136"/>
      <c r="CHC1" s="136"/>
      <c r="CHD1" s="136"/>
      <c r="CHE1" s="136"/>
      <c r="CHF1" s="136"/>
      <c r="CHG1" s="136"/>
      <c r="CHH1" s="136"/>
      <c r="CHI1" s="136"/>
      <c r="CHJ1" s="136"/>
      <c r="CHK1" s="136"/>
      <c r="CHL1" s="136"/>
      <c r="CHM1" s="136"/>
      <c r="CHN1" s="136"/>
      <c r="CHO1" s="136"/>
      <c r="CHP1" s="136"/>
      <c r="CHQ1" s="136"/>
      <c r="CHR1" s="136"/>
      <c r="CHS1" s="136"/>
      <c r="CHT1" s="136"/>
      <c r="CHU1" s="136"/>
      <c r="CHV1" s="136"/>
      <c r="CHW1" s="136"/>
      <c r="CHX1" s="136"/>
      <c r="CHY1" s="136"/>
      <c r="CHZ1" s="136"/>
      <c r="CIA1" s="136"/>
      <c r="CIB1" s="136"/>
      <c r="CIC1" s="136"/>
      <c r="CID1" s="136"/>
      <c r="CIE1" s="136"/>
      <c r="CIF1" s="136"/>
      <c r="CIG1" s="136"/>
      <c r="CIH1" s="136"/>
      <c r="CII1" s="136"/>
      <c r="CIJ1" s="136"/>
      <c r="CIK1" s="136"/>
      <c r="CIL1" s="136"/>
      <c r="CIM1" s="136"/>
      <c r="CIN1" s="136"/>
      <c r="CIO1" s="136"/>
      <c r="CIP1" s="136"/>
      <c r="CIQ1" s="136"/>
      <c r="CIR1" s="136"/>
      <c r="CIS1" s="136"/>
      <c r="CIT1" s="136"/>
      <c r="CIU1" s="136"/>
      <c r="CIV1" s="136"/>
      <c r="CIW1" s="136"/>
      <c r="CIX1" s="136"/>
      <c r="CIY1" s="136"/>
      <c r="CIZ1" s="136"/>
      <c r="CJA1" s="136"/>
      <c r="CJB1" s="136"/>
      <c r="CJC1" s="136"/>
      <c r="CJD1" s="136"/>
      <c r="CJE1" s="136"/>
      <c r="CJF1" s="136"/>
      <c r="CJG1" s="136"/>
      <c r="CJH1" s="136"/>
      <c r="CJI1" s="136"/>
      <c r="CJJ1" s="136"/>
      <c r="CJK1" s="136"/>
      <c r="CJL1" s="136"/>
      <c r="CJM1" s="136"/>
      <c r="CJN1" s="136"/>
      <c r="CJO1" s="136"/>
      <c r="CJP1" s="136"/>
      <c r="CJQ1" s="136"/>
      <c r="CJR1" s="136"/>
      <c r="CJS1" s="136"/>
      <c r="CJT1" s="136"/>
      <c r="CJU1" s="136"/>
      <c r="CJV1" s="136"/>
      <c r="CJW1" s="136"/>
      <c r="CJX1" s="136"/>
      <c r="CJY1" s="136"/>
      <c r="CJZ1" s="136"/>
      <c r="CKA1" s="136"/>
      <c r="CKB1" s="136"/>
      <c r="CKC1" s="136"/>
      <c r="CKD1" s="136"/>
      <c r="CKE1" s="136"/>
      <c r="CKF1" s="136"/>
      <c r="CKG1" s="136"/>
      <c r="CKH1" s="136"/>
      <c r="CKI1" s="136"/>
      <c r="CKJ1" s="136"/>
      <c r="CKK1" s="136"/>
      <c r="CKL1" s="136"/>
      <c r="CKM1" s="136"/>
      <c r="CKN1" s="136"/>
      <c r="CKO1" s="136"/>
      <c r="CKP1" s="136"/>
      <c r="CKQ1" s="136"/>
      <c r="CKR1" s="136"/>
      <c r="CKS1" s="136"/>
      <c r="CKT1" s="136"/>
      <c r="CKU1" s="136"/>
      <c r="CKV1" s="136"/>
      <c r="CKW1" s="136"/>
      <c r="CKX1" s="136"/>
      <c r="CKY1" s="136"/>
      <c r="CKZ1" s="136"/>
      <c r="CLA1" s="136"/>
      <c r="CLB1" s="136"/>
      <c r="CLC1" s="136"/>
      <c r="CLD1" s="136"/>
      <c r="CLE1" s="136"/>
      <c r="CLF1" s="136"/>
      <c r="CLG1" s="136"/>
      <c r="CLH1" s="136"/>
      <c r="CLI1" s="136"/>
      <c r="CLJ1" s="136"/>
      <c r="CLK1" s="136"/>
      <c r="CLL1" s="136"/>
      <c r="CLM1" s="136"/>
      <c r="CLN1" s="136"/>
      <c r="CLO1" s="136"/>
      <c r="CLP1" s="136"/>
      <c r="CLQ1" s="136"/>
      <c r="CLR1" s="136"/>
      <c r="CLS1" s="136"/>
      <c r="CLT1" s="136"/>
      <c r="CLU1" s="136"/>
      <c r="CLV1" s="136"/>
      <c r="CLW1" s="136"/>
      <c r="CLX1" s="136"/>
      <c r="CLY1" s="136"/>
      <c r="CLZ1" s="136"/>
      <c r="CMA1" s="136"/>
      <c r="CMB1" s="136"/>
      <c r="CMC1" s="136"/>
      <c r="CMD1" s="136"/>
      <c r="CME1" s="136"/>
      <c r="CMF1" s="136"/>
      <c r="CMG1" s="136"/>
      <c r="CMH1" s="136"/>
      <c r="CMI1" s="136"/>
      <c r="CMJ1" s="136"/>
      <c r="CMK1" s="136"/>
      <c r="CML1" s="136"/>
      <c r="CMM1" s="136"/>
      <c r="CMN1" s="136"/>
      <c r="CMO1" s="136"/>
      <c r="CMP1" s="136"/>
      <c r="CMQ1" s="136"/>
      <c r="CMR1" s="136"/>
      <c r="CMS1" s="136"/>
      <c r="CMT1" s="136"/>
      <c r="CMU1" s="136"/>
      <c r="CMV1" s="136"/>
      <c r="CMW1" s="136"/>
      <c r="CMX1" s="136"/>
      <c r="CMY1" s="136"/>
      <c r="CMZ1" s="136"/>
      <c r="CNA1" s="136"/>
      <c r="CNB1" s="136"/>
      <c r="CNC1" s="136"/>
      <c r="CND1" s="136"/>
      <c r="CNE1" s="136"/>
      <c r="CNF1" s="136"/>
      <c r="CNG1" s="136"/>
      <c r="CNH1" s="136"/>
      <c r="CNI1" s="136"/>
      <c r="CNJ1" s="136"/>
      <c r="CNK1" s="136"/>
      <c r="CNL1" s="136"/>
      <c r="CNM1" s="136"/>
      <c r="CNN1" s="136"/>
      <c r="CNO1" s="136"/>
      <c r="CNP1" s="136"/>
      <c r="CNQ1" s="136"/>
      <c r="CNR1" s="136"/>
      <c r="CNS1" s="136"/>
      <c r="CNT1" s="136"/>
      <c r="CNU1" s="136"/>
      <c r="CNV1" s="136"/>
      <c r="CNW1" s="136"/>
      <c r="CNX1" s="136"/>
      <c r="CNY1" s="136"/>
      <c r="CNZ1" s="136"/>
      <c r="COA1" s="136"/>
      <c r="COB1" s="136"/>
      <c r="COC1" s="136"/>
      <c r="COD1" s="136"/>
      <c r="COE1" s="136"/>
      <c r="COF1" s="136"/>
      <c r="COG1" s="136"/>
      <c r="COH1" s="136"/>
      <c r="COI1" s="136"/>
      <c r="COJ1" s="136"/>
      <c r="COK1" s="136"/>
      <c r="COL1" s="136"/>
      <c r="COM1" s="136"/>
      <c r="CON1" s="136"/>
      <c r="COO1" s="136"/>
      <c r="COP1" s="136"/>
      <c r="COQ1" s="136"/>
      <c r="COR1" s="136"/>
      <c r="COS1" s="136"/>
      <c r="COT1" s="136"/>
      <c r="COU1" s="136"/>
      <c r="COV1" s="136"/>
      <c r="COW1" s="136"/>
      <c r="COX1" s="136"/>
      <c r="COY1" s="136"/>
      <c r="COZ1" s="136"/>
      <c r="CPA1" s="136"/>
      <c r="CPB1" s="136"/>
      <c r="CPC1" s="136"/>
      <c r="CPD1" s="136"/>
      <c r="CPE1" s="136"/>
      <c r="CPF1" s="136"/>
      <c r="CPG1" s="136"/>
      <c r="CPH1" s="136"/>
      <c r="CPI1" s="136"/>
      <c r="CPJ1" s="136"/>
      <c r="CPK1" s="136"/>
      <c r="CPL1" s="136"/>
      <c r="CPM1" s="136"/>
      <c r="CPN1" s="136"/>
      <c r="CPO1" s="136"/>
      <c r="CPP1" s="136"/>
      <c r="CPQ1" s="136"/>
      <c r="CPR1" s="136"/>
      <c r="CPS1" s="136"/>
      <c r="CPT1" s="136"/>
      <c r="CPU1" s="136"/>
      <c r="CPV1" s="136"/>
      <c r="CPW1" s="136"/>
      <c r="CPX1" s="136"/>
      <c r="CPY1" s="136"/>
      <c r="CPZ1" s="136"/>
      <c r="CQA1" s="136"/>
      <c r="CQB1" s="136"/>
      <c r="CQC1" s="136"/>
      <c r="CQD1" s="136"/>
      <c r="CQE1" s="136"/>
      <c r="CQF1" s="136"/>
      <c r="CQG1" s="136"/>
      <c r="CQH1" s="136"/>
      <c r="CQI1" s="136"/>
      <c r="CQJ1" s="136"/>
      <c r="CQK1" s="136"/>
      <c r="CQL1" s="136"/>
      <c r="CQM1" s="136"/>
      <c r="CQN1" s="136"/>
      <c r="CQO1" s="136"/>
      <c r="CQP1" s="136"/>
      <c r="CQQ1" s="136"/>
      <c r="CQR1" s="136"/>
      <c r="CQS1" s="136"/>
      <c r="CQT1" s="136"/>
      <c r="CQU1" s="136"/>
      <c r="CQV1" s="136"/>
      <c r="CQW1" s="136"/>
      <c r="CQX1" s="136"/>
      <c r="CQY1" s="136"/>
      <c r="CQZ1" s="136"/>
      <c r="CRA1" s="136"/>
      <c r="CRB1" s="136"/>
      <c r="CRC1" s="136"/>
      <c r="CRD1" s="136"/>
      <c r="CRE1" s="136"/>
      <c r="CRF1" s="136"/>
      <c r="CRG1" s="136"/>
      <c r="CRH1" s="136"/>
      <c r="CRI1" s="136"/>
      <c r="CRJ1" s="136"/>
      <c r="CRK1" s="136"/>
      <c r="CRL1" s="136"/>
      <c r="CRM1" s="136"/>
      <c r="CRN1" s="136"/>
      <c r="CRO1" s="136"/>
      <c r="CRP1" s="136"/>
      <c r="CRQ1" s="136"/>
      <c r="CRR1" s="136"/>
      <c r="CRS1" s="136"/>
      <c r="CRT1" s="136"/>
      <c r="CRU1" s="136"/>
      <c r="CRV1" s="136"/>
      <c r="CRW1" s="136"/>
      <c r="CRX1" s="136"/>
      <c r="CRY1" s="136"/>
      <c r="CRZ1" s="136"/>
      <c r="CSA1" s="136"/>
      <c r="CSB1" s="136"/>
      <c r="CSC1" s="136"/>
      <c r="CSD1" s="136"/>
      <c r="CSE1" s="136"/>
      <c r="CSF1" s="136"/>
      <c r="CSG1" s="136"/>
      <c r="CSH1" s="136"/>
      <c r="CSI1" s="136"/>
      <c r="CSJ1" s="136"/>
      <c r="CSK1" s="136"/>
      <c r="CSL1" s="136"/>
      <c r="CSM1" s="136"/>
      <c r="CSN1" s="136"/>
      <c r="CSO1" s="136"/>
      <c r="CSP1" s="136"/>
      <c r="CSQ1" s="136"/>
      <c r="CSR1" s="136"/>
      <c r="CSS1" s="136"/>
      <c r="CST1" s="136"/>
      <c r="CSU1" s="136"/>
      <c r="CSV1" s="136"/>
      <c r="CSW1" s="136"/>
      <c r="CSX1" s="136"/>
      <c r="CSY1" s="136"/>
      <c r="CSZ1" s="136"/>
      <c r="CTA1" s="136"/>
      <c r="CTB1" s="136"/>
      <c r="CTC1" s="136"/>
      <c r="CTD1" s="136"/>
      <c r="CTE1" s="136"/>
      <c r="CTF1" s="136"/>
      <c r="CTG1" s="136"/>
      <c r="CTH1" s="136"/>
      <c r="CTI1" s="136"/>
      <c r="CTJ1" s="136"/>
      <c r="CTK1" s="136"/>
      <c r="CTL1" s="136"/>
      <c r="CTM1" s="136"/>
      <c r="CTN1" s="136"/>
      <c r="CTO1" s="136"/>
      <c r="CTP1" s="136"/>
      <c r="CTQ1" s="136"/>
      <c r="CTR1" s="136"/>
      <c r="CTS1" s="136"/>
      <c r="CTT1" s="136"/>
      <c r="CTU1" s="136"/>
      <c r="CTV1" s="136"/>
      <c r="CTW1" s="136"/>
      <c r="CTX1" s="136"/>
      <c r="CTY1" s="136"/>
      <c r="CTZ1" s="136"/>
      <c r="CUA1" s="136"/>
      <c r="CUB1" s="136"/>
      <c r="CUC1" s="136"/>
      <c r="CUD1" s="136"/>
      <c r="CUE1" s="136"/>
      <c r="CUF1" s="136"/>
      <c r="CUG1" s="136"/>
      <c r="CUH1" s="136"/>
      <c r="CUI1" s="136"/>
      <c r="CUJ1" s="136"/>
      <c r="CUK1" s="136"/>
      <c r="CUL1" s="136"/>
      <c r="CUM1" s="136"/>
      <c r="CUN1" s="136"/>
      <c r="CUO1" s="136"/>
      <c r="CUP1" s="136"/>
      <c r="CUQ1" s="136"/>
      <c r="CUR1" s="136"/>
      <c r="CUS1" s="136"/>
      <c r="CUT1" s="136"/>
      <c r="CUU1" s="136"/>
      <c r="CUV1" s="136"/>
      <c r="CUW1" s="136"/>
      <c r="CUX1" s="136"/>
      <c r="CUY1" s="136"/>
      <c r="CUZ1" s="136"/>
      <c r="CVA1" s="136"/>
      <c r="CVB1" s="136"/>
      <c r="CVC1" s="136"/>
      <c r="CVD1" s="136"/>
      <c r="CVE1" s="136"/>
      <c r="CVF1" s="136"/>
      <c r="CVG1" s="136"/>
      <c r="CVH1" s="136"/>
      <c r="CVI1" s="136"/>
      <c r="CVJ1" s="136"/>
      <c r="CVK1" s="136"/>
      <c r="CVL1" s="136"/>
      <c r="CVM1" s="136"/>
      <c r="CVN1" s="136"/>
      <c r="CVO1" s="136"/>
      <c r="CVP1" s="136"/>
      <c r="CVQ1" s="136"/>
      <c r="CVR1" s="136"/>
      <c r="CVS1" s="136"/>
      <c r="CVT1" s="136"/>
      <c r="CVU1" s="136"/>
      <c r="CVV1" s="136"/>
      <c r="CVW1" s="136"/>
      <c r="CVX1" s="136"/>
      <c r="CVY1" s="136"/>
      <c r="CVZ1" s="136"/>
      <c r="CWA1" s="136"/>
      <c r="CWB1" s="136"/>
      <c r="CWC1" s="136"/>
      <c r="CWD1" s="136"/>
      <c r="CWE1" s="136"/>
      <c r="CWF1" s="136"/>
      <c r="CWG1" s="136"/>
      <c r="CWH1" s="136"/>
      <c r="CWI1" s="136"/>
      <c r="CWJ1" s="136"/>
      <c r="CWK1" s="136"/>
      <c r="CWL1" s="136"/>
      <c r="CWM1" s="136"/>
      <c r="CWN1" s="136"/>
      <c r="CWO1" s="136"/>
      <c r="CWP1" s="136"/>
      <c r="CWQ1" s="136"/>
      <c r="CWR1" s="136"/>
      <c r="CWS1" s="136"/>
      <c r="CWT1" s="136"/>
      <c r="CWU1" s="136"/>
      <c r="CWV1" s="136"/>
      <c r="CWW1" s="136"/>
      <c r="CWX1" s="136"/>
      <c r="CWY1" s="136"/>
      <c r="CWZ1" s="136"/>
      <c r="CXA1" s="136"/>
      <c r="CXB1" s="136"/>
      <c r="CXC1" s="136"/>
      <c r="CXD1" s="136"/>
      <c r="CXE1" s="136"/>
      <c r="CXF1" s="136"/>
      <c r="CXG1" s="136"/>
      <c r="CXH1" s="136"/>
      <c r="CXI1" s="136"/>
      <c r="CXJ1" s="136"/>
      <c r="CXK1" s="136"/>
      <c r="CXL1" s="136"/>
      <c r="CXM1" s="136"/>
      <c r="CXN1" s="136"/>
      <c r="CXO1" s="136"/>
      <c r="CXP1" s="136"/>
      <c r="CXQ1" s="136"/>
      <c r="CXR1" s="136"/>
      <c r="CXS1" s="136"/>
      <c r="CXT1" s="136"/>
      <c r="CXU1" s="136"/>
      <c r="CXV1" s="136"/>
      <c r="CXW1" s="136"/>
      <c r="CXX1" s="136"/>
      <c r="CXY1" s="136"/>
      <c r="CXZ1" s="136"/>
      <c r="CYA1" s="136"/>
      <c r="CYB1" s="136"/>
      <c r="CYC1" s="136"/>
      <c r="CYD1" s="136"/>
      <c r="CYE1" s="136"/>
      <c r="CYF1" s="136"/>
      <c r="CYG1" s="136"/>
      <c r="CYH1" s="136"/>
      <c r="CYI1" s="136"/>
      <c r="CYJ1" s="136"/>
      <c r="CYK1" s="136"/>
      <c r="CYL1" s="136"/>
      <c r="CYM1" s="136"/>
      <c r="CYN1" s="136"/>
      <c r="CYO1" s="136"/>
      <c r="CYP1" s="136"/>
      <c r="CYQ1" s="136"/>
      <c r="CYR1" s="136"/>
      <c r="CYS1" s="136"/>
      <c r="CYT1" s="136"/>
      <c r="CYU1" s="136"/>
      <c r="CYV1" s="136"/>
      <c r="CYW1" s="136"/>
      <c r="CYX1" s="136"/>
      <c r="CYY1" s="136"/>
      <c r="CYZ1" s="136"/>
      <c r="CZA1" s="136"/>
      <c r="CZB1" s="136"/>
      <c r="CZC1" s="136"/>
      <c r="CZD1" s="136"/>
      <c r="CZE1" s="136"/>
      <c r="CZF1" s="136"/>
      <c r="CZG1" s="136"/>
      <c r="CZH1" s="136"/>
      <c r="CZI1" s="136"/>
      <c r="CZJ1" s="136"/>
      <c r="CZK1" s="136"/>
      <c r="CZL1" s="136"/>
      <c r="CZM1" s="136"/>
      <c r="CZN1" s="136"/>
      <c r="CZO1" s="136"/>
      <c r="CZP1" s="136"/>
      <c r="CZQ1" s="136"/>
      <c r="CZR1" s="136"/>
      <c r="CZS1" s="136"/>
      <c r="CZT1" s="136"/>
      <c r="CZU1" s="136"/>
      <c r="CZV1" s="136"/>
      <c r="CZW1" s="136"/>
      <c r="CZX1" s="136"/>
      <c r="CZY1" s="136"/>
      <c r="CZZ1" s="136"/>
      <c r="DAA1" s="136"/>
      <c r="DAB1" s="136"/>
      <c r="DAC1" s="136"/>
      <c r="DAD1" s="136"/>
      <c r="DAE1" s="136"/>
      <c r="DAF1" s="136"/>
      <c r="DAG1" s="136"/>
      <c r="DAH1" s="136"/>
      <c r="DAI1" s="136"/>
      <c r="DAJ1" s="136"/>
      <c r="DAK1" s="136"/>
      <c r="DAL1" s="136"/>
      <c r="DAM1" s="136"/>
      <c r="DAN1" s="136"/>
      <c r="DAO1" s="136"/>
      <c r="DAP1" s="136"/>
      <c r="DAQ1" s="136"/>
      <c r="DAR1" s="136"/>
      <c r="DAS1" s="136"/>
      <c r="DAT1" s="136"/>
      <c r="DAU1" s="136"/>
      <c r="DAV1" s="136"/>
      <c r="DAW1" s="136"/>
      <c r="DAX1" s="136"/>
      <c r="DAY1" s="136"/>
      <c r="DAZ1" s="136"/>
      <c r="DBA1" s="136"/>
      <c r="DBB1" s="136"/>
      <c r="DBC1" s="136"/>
      <c r="DBD1" s="136"/>
      <c r="DBE1" s="136"/>
      <c r="DBF1" s="136"/>
      <c r="DBG1" s="136"/>
      <c r="DBH1" s="136"/>
      <c r="DBI1" s="136"/>
      <c r="DBJ1" s="136"/>
      <c r="DBK1" s="136"/>
      <c r="DBL1" s="136"/>
      <c r="DBM1" s="136"/>
      <c r="DBN1" s="136"/>
      <c r="DBO1" s="136"/>
      <c r="DBP1" s="136"/>
      <c r="DBQ1" s="136"/>
      <c r="DBR1" s="136"/>
      <c r="DBS1" s="136"/>
      <c r="DBT1" s="136"/>
      <c r="DBU1" s="136"/>
      <c r="DBV1" s="136"/>
      <c r="DBW1" s="136"/>
      <c r="DBX1" s="136"/>
      <c r="DBY1" s="136"/>
      <c r="DBZ1" s="136"/>
      <c r="DCA1" s="136"/>
      <c r="DCB1" s="136"/>
      <c r="DCC1" s="136"/>
      <c r="DCD1" s="136"/>
      <c r="DCE1" s="136"/>
      <c r="DCF1" s="136"/>
      <c r="DCG1" s="136"/>
      <c r="DCH1" s="136"/>
      <c r="DCI1" s="136"/>
      <c r="DCJ1" s="136"/>
      <c r="DCK1" s="136"/>
      <c r="DCL1" s="136"/>
      <c r="DCM1" s="136"/>
      <c r="DCN1" s="136"/>
      <c r="DCO1" s="136"/>
      <c r="DCP1" s="136"/>
      <c r="DCQ1" s="136"/>
      <c r="DCR1" s="136"/>
      <c r="DCS1" s="136"/>
      <c r="DCT1" s="136"/>
      <c r="DCU1" s="136"/>
      <c r="DCV1" s="136"/>
      <c r="DCW1" s="136"/>
      <c r="DCX1" s="136"/>
      <c r="DCY1" s="136"/>
      <c r="DCZ1" s="136"/>
      <c r="DDA1" s="136"/>
      <c r="DDB1" s="136"/>
      <c r="DDC1" s="136"/>
      <c r="DDD1" s="136"/>
      <c r="DDE1" s="136"/>
      <c r="DDF1" s="136"/>
      <c r="DDG1" s="136"/>
      <c r="DDH1" s="136"/>
      <c r="DDI1" s="136"/>
      <c r="DDJ1" s="136"/>
      <c r="DDK1" s="136"/>
      <c r="DDL1" s="136"/>
      <c r="DDM1" s="136"/>
      <c r="DDN1" s="136"/>
      <c r="DDO1" s="136"/>
      <c r="DDP1" s="136"/>
      <c r="DDQ1" s="136"/>
      <c r="DDR1" s="136"/>
      <c r="DDS1" s="136"/>
      <c r="DDT1" s="136"/>
      <c r="DDU1" s="136"/>
      <c r="DDV1" s="136"/>
      <c r="DDW1" s="136"/>
      <c r="DDX1" s="136"/>
      <c r="DDY1" s="136"/>
      <c r="DDZ1" s="136"/>
      <c r="DEA1" s="136"/>
      <c r="DEB1" s="136"/>
      <c r="DEC1" s="136"/>
      <c r="DED1" s="136"/>
      <c r="DEE1" s="136"/>
      <c r="DEF1" s="136"/>
      <c r="DEG1" s="136"/>
      <c r="DEH1" s="136"/>
      <c r="DEI1" s="136"/>
      <c r="DEJ1" s="136"/>
      <c r="DEK1" s="136"/>
      <c r="DEL1" s="136"/>
      <c r="DEM1" s="136"/>
      <c r="DEN1" s="136"/>
      <c r="DEO1" s="136"/>
      <c r="DEP1" s="136"/>
      <c r="DEQ1" s="136"/>
      <c r="DER1" s="136"/>
      <c r="DES1" s="136"/>
      <c r="DET1" s="136"/>
      <c r="DEU1" s="136"/>
      <c r="DEV1" s="136"/>
      <c r="DEW1" s="136"/>
      <c r="DEX1" s="136"/>
      <c r="DEY1" s="136"/>
      <c r="DEZ1" s="136"/>
      <c r="DFA1" s="136"/>
      <c r="DFB1" s="136"/>
      <c r="DFC1" s="136"/>
      <c r="DFD1" s="136"/>
      <c r="DFE1" s="136"/>
      <c r="DFF1" s="136"/>
      <c r="DFG1" s="136"/>
      <c r="DFH1" s="136"/>
      <c r="DFI1" s="136"/>
      <c r="DFJ1" s="136"/>
      <c r="DFK1" s="136"/>
      <c r="DFL1" s="136"/>
      <c r="DFM1" s="136"/>
      <c r="DFN1" s="136"/>
      <c r="DFO1" s="136"/>
      <c r="DFP1" s="136"/>
      <c r="DFQ1" s="136"/>
      <c r="DFR1" s="136"/>
      <c r="DFS1" s="136"/>
      <c r="DFT1" s="136"/>
      <c r="DFU1" s="136"/>
      <c r="DFV1" s="136"/>
      <c r="DFW1" s="136"/>
      <c r="DFX1" s="136"/>
      <c r="DFY1" s="136"/>
      <c r="DFZ1" s="136"/>
      <c r="DGA1" s="136"/>
      <c r="DGB1" s="136"/>
      <c r="DGC1" s="136"/>
      <c r="DGD1" s="136"/>
      <c r="DGE1" s="136"/>
      <c r="DGF1" s="136"/>
      <c r="DGG1" s="136"/>
      <c r="DGH1" s="136"/>
      <c r="DGI1" s="136"/>
      <c r="DGJ1" s="136"/>
      <c r="DGK1" s="136"/>
      <c r="DGL1" s="136"/>
      <c r="DGM1" s="136"/>
      <c r="DGN1" s="136"/>
      <c r="DGO1" s="136"/>
      <c r="DGP1" s="136"/>
      <c r="DGQ1" s="136"/>
      <c r="DGR1" s="136"/>
      <c r="DGS1" s="136"/>
      <c r="DGT1" s="136"/>
      <c r="DGU1" s="136"/>
      <c r="DGV1" s="136"/>
      <c r="DGW1" s="136"/>
      <c r="DGX1" s="136"/>
      <c r="DGY1" s="136"/>
      <c r="DGZ1" s="136"/>
      <c r="DHA1" s="136"/>
      <c r="DHB1" s="136"/>
      <c r="DHC1" s="136"/>
      <c r="DHD1" s="136"/>
      <c r="DHE1" s="136"/>
      <c r="DHF1" s="136"/>
      <c r="DHG1" s="136"/>
      <c r="DHH1" s="136"/>
      <c r="DHI1" s="136"/>
      <c r="DHJ1" s="136"/>
      <c r="DHK1" s="136"/>
      <c r="DHL1" s="136"/>
      <c r="DHM1" s="136"/>
      <c r="DHN1" s="136"/>
      <c r="DHO1" s="136"/>
      <c r="DHP1" s="136"/>
      <c r="DHQ1" s="136"/>
      <c r="DHR1" s="136"/>
      <c r="DHS1" s="136"/>
      <c r="DHT1" s="136"/>
      <c r="DHU1" s="136"/>
      <c r="DHV1" s="136"/>
      <c r="DHW1" s="136"/>
      <c r="DHX1" s="136"/>
      <c r="DHY1" s="136"/>
      <c r="DHZ1" s="136"/>
      <c r="DIA1" s="136"/>
      <c r="DIB1" s="136"/>
      <c r="DIC1" s="136"/>
      <c r="DID1" s="136"/>
      <c r="DIE1" s="136"/>
      <c r="DIF1" s="136"/>
      <c r="DIG1" s="136"/>
      <c r="DIH1" s="136"/>
      <c r="DII1" s="136"/>
      <c r="DIJ1" s="136"/>
      <c r="DIK1" s="136"/>
      <c r="DIL1" s="136"/>
      <c r="DIM1" s="136"/>
      <c r="DIN1" s="136"/>
      <c r="DIO1" s="136"/>
      <c r="DIP1" s="136"/>
      <c r="DIQ1" s="136"/>
      <c r="DIR1" s="136"/>
      <c r="DIS1" s="136"/>
      <c r="DIT1" s="136"/>
      <c r="DIU1" s="136"/>
      <c r="DIV1" s="136"/>
      <c r="DIW1" s="136"/>
      <c r="DIX1" s="136"/>
      <c r="DIY1" s="136"/>
      <c r="DIZ1" s="136"/>
      <c r="DJA1" s="136"/>
      <c r="DJB1" s="136"/>
      <c r="DJC1" s="136"/>
      <c r="DJD1" s="136"/>
      <c r="DJE1" s="136"/>
      <c r="DJF1" s="136"/>
      <c r="DJG1" s="136"/>
      <c r="DJH1" s="136"/>
      <c r="DJI1" s="136"/>
      <c r="DJJ1" s="136"/>
      <c r="DJK1" s="136"/>
      <c r="DJL1" s="136"/>
      <c r="DJM1" s="136"/>
      <c r="DJN1" s="136"/>
      <c r="DJO1" s="136"/>
      <c r="DJP1" s="136"/>
      <c r="DJQ1" s="136"/>
      <c r="DJR1" s="136"/>
      <c r="DJS1" s="136"/>
      <c r="DJT1" s="136"/>
      <c r="DJU1" s="136"/>
      <c r="DJV1" s="136"/>
      <c r="DJW1" s="136"/>
      <c r="DJX1" s="136"/>
      <c r="DJY1" s="136"/>
      <c r="DJZ1" s="136"/>
      <c r="DKA1" s="136"/>
      <c r="DKB1" s="136"/>
      <c r="DKC1" s="136"/>
      <c r="DKD1" s="136"/>
      <c r="DKE1" s="136"/>
      <c r="DKF1" s="136"/>
      <c r="DKG1" s="136"/>
      <c r="DKH1" s="136"/>
      <c r="DKI1" s="136"/>
      <c r="DKJ1" s="136"/>
      <c r="DKK1" s="136"/>
      <c r="DKL1" s="136"/>
      <c r="DKM1" s="136"/>
      <c r="DKN1" s="136"/>
      <c r="DKO1" s="136"/>
      <c r="DKP1" s="136"/>
      <c r="DKQ1" s="136"/>
      <c r="DKR1" s="136"/>
      <c r="DKS1" s="136"/>
      <c r="DKT1" s="136"/>
      <c r="DKU1" s="136"/>
      <c r="DKV1" s="136"/>
      <c r="DKW1" s="136"/>
      <c r="DKX1" s="136"/>
      <c r="DKY1" s="136"/>
      <c r="DKZ1" s="136"/>
      <c r="DLA1" s="136"/>
      <c r="DLB1" s="136"/>
      <c r="DLC1" s="136"/>
      <c r="DLD1" s="136"/>
      <c r="DLE1" s="136"/>
      <c r="DLF1" s="136"/>
      <c r="DLG1" s="136"/>
      <c r="DLH1" s="136"/>
      <c r="DLI1" s="136"/>
      <c r="DLJ1" s="136"/>
      <c r="DLK1" s="136"/>
      <c r="DLL1" s="136"/>
      <c r="DLM1" s="136"/>
      <c r="DLN1" s="136"/>
      <c r="DLO1" s="136"/>
      <c r="DLP1" s="136"/>
      <c r="DLQ1" s="136"/>
      <c r="DLR1" s="136"/>
      <c r="DLS1" s="136"/>
      <c r="DLT1" s="136"/>
      <c r="DLU1" s="136"/>
      <c r="DLV1" s="136"/>
      <c r="DLW1" s="136"/>
      <c r="DLX1" s="136"/>
      <c r="DLY1" s="136"/>
      <c r="DLZ1" s="136"/>
      <c r="DMA1" s="136"/>
      <c r="DMB1" s="136"/>
      <c r="DMC1" s="136"/>
      <c r="DMD1" s="136"/>
      <c r="DME1" s="136"/>
      <c r="DMF1" s="136"/>
      <c r="DMG1" s="136"/>
      <c r="DMH1" s="136"/>
      <c r="DMI1" s="136"/>
      <c r="DMJ1" s="136"/>
      <c r="DMK1" s="136"/>
      <c r="DML1" s="136"/>
      <c r="DMM1" s="136"/>
      <c r="DMN1" s="136"/>
      <c r="DMO1" s="136"/>
      <c r="DMP1" s="136"/>
      <c r="DMQ1" s="136"/>
      <c r="DMR1" s="136"/>
      <c r="DMS1" s="136"/>
      <c r="DMT1" s="136"/>
      <c r="DMU1" s="136"/>
      <c r="DMV1" s="136"/>
      <c r="DMW1" s="136"/>
      <c r="DMX1" s="136"/>
      <c r="DMY1" s="136"/>
      <c r="DMZ1" s="136"/>
      <c r="DNA1" s="136"/>
      <c r="DNB1" s="136"/>
      <c r="DNC1" s="136"/>
      <c r="DND1" s="136"/>
      <c r="DNE1" s="136"/>
      <c r="DNF1" s="136"/>
      <c r="DNG1" s="136"/>
      <c r="DNH1" s="136"/>
      <c r="DNI1" s="136"/>
      <c r="DNJ1" s="136"/>
      <c r="DNK1" s="136"/>
      <c r="DNL1" s="136"/>
      <c r="DNM1" s="136"/>
      <c r="DNN1" s="136"/>
      <c r="DNO1" s="136"/>
      <c r="DNP1" s="136"/>
      <c r="DNQ1" s="136"/>
      <c r="DNR1" s="136"/>
      <c r="DNS1" s="136"/>
      <c r="DNT1" s="136"/>
      <c r="DNU1" s="136"/>
      <c r="DNV1" s="136"/>
      <c r="DNW1" s="136"/>
      <c r="DNX1" s="136"/>
      <c r="DNY1" s="136"/>
      <c r="DNZ1" s="136"/>
      <c r="DOA1" s="136"/>
      <c r="DOB1" s="136"/>
      <c r="DOC1" s="136"/>
      <c r="DOD1" s="136"/>
      <c r="DOE1" s="136"/>
      <c r="DOF1" s="136"/>
      <c r="DOG1" s="136"/>
      <c r="DOH1" s="136"/>
      <c r="DOI1" s="136"/>
      <c r="DOJ1" s="136"/>
      <c r="DOK1" s="136"/>
      <c r="DOL1" s="136"/>
      <c r="DOM1" s="136"/>
      <c r="DON1" s="136"/>
      <c r="DOO1" s="136"/>
      <c r="DOP1" s="136"/>
      <c r="DOQ1" s="136"/>
      <c r="DOR1" s="136"/>
      <c r="DOS1" s="136"/>
      <c r="DOT1" s="136"/>
      <c r="DOU1" s="136"/>
      <c r="DOV1" s="136"/>
      <c r="DOW1" s="136"/>
      <c r="DOX1" s="136"/>
      <c r="DOY1" s="136"/>
      <c r="DOZ1" s="136"/>
      <c r="DPA1" s="136"/>
      <c r="DPB1" s="136"/>
      <c r="DPC1" s="136"/>
      <c r="DPD1" s="136"/>
      <c r="DPE1" s="136"/>
      <c r="DPF1" s="136"/>
      <c r="DPG1" s="136"/>
      <c r="DPH1" s="136"/>
      <c r="DPI1" s="136"/>
      <c r="DPJ1" s="136"/>
      <c r="DPK1" s="136"/>
      <c r="DPL1" s="136"/>
      <c r="DPM1" s="136"/>
      <c r="DPN1" s="136"/>
      <c r="DPO1" s="136"/>
      <c r="DPP1" s="136"/>
      <c r="DPQ1" s="136"/>
      <c r="DPR1" s="136"/>
      <c r="DPS1" s="136"/>
      <c r="DPT1" s="136"/>
      <c r="DPU1" s="136"/>
      <c r="DPV1" s="136"/>
      <c r="DPW1" s="136"/>
      <c r="DPX1" s="136"/>
      <c r="DPY1" s="136"/>
      <c r="DPZ1" s="136"/>
      <c r="DQA1" s="136"/>
      <c r="DQB1" s="136"/>
      <c r="DQC1" s="136"/>
      <c r="DQD1" s="136"/>
      <c r="DQE1" s="136"/>
      <c r="DQF1" s="136"/>
      <c r="DQG1" s="136"/>
      <c r="DQH1" s="136"/>
      <c r="DQI1" s="136"/>
      <c r="DQJ1" s="136"/>
      <c r="DQK1" s="136"/>
      <c r="DQL1" s="136"/>
      <c r="DQM1" s="136"/>
      <c r="DQN1" s="136"/>
      <c r="DQO1" s="136"/>
      <c r="DQP1" s="136"/>
      <c r="DQQ1" s="136"/>
      <c r="DQR1" s="136"/>
      <c r="DQS1" s="136"/>
      <c r="DQT1" s="136"/>
      <c r="DQU1" s="136"/>
      <c r="DQV1" s="136"/>
      <c r="DQW1" s="136"/>
      <c r="DQX1" s="136"/>
      <c r="DQY1" s="136"/>
      <c r="DQZ1" s="136"/>
      <c r="DRA1" s="136"/>
      <c r="DRB1" s="136"/>
      <c r="DRC1" s="136"/>
      <c r="DRD1" s="136"/>
      <c r="DRE1" s="136"/>
      <c r="DRF1" s="136"/>
      <c r="DRG1" s="136"/>
      <c r="DRH1" s="136"/>
      <c r="DRI1" s="136"/>
      <c r="DRJ1" s="136"/>
      <c r="DRK1" s="136"/>
      <c r="DRL1" s="136"/>
      <c r="DRM1" s="136"/>
      <c r="DRN1" s="136"/>
      <c r="DRO1" s="136"/>
      <c r="DRP1" s="136"/>
      <c r="DRQ1" s="136"/>
      <c r="DRR1" s="136"/>
      <c r="DRS1" s="136"/>
      <c r="DRT1" s="136"/>
      <c r="DRU1" s="136"/>
      <c r="DRV1" s="136"/>
      <c r="DRW1" s="136"/>
      <c r="DRX1" s="136"/>
      <c r="DRY1" s="136"/>
      <c r="DRZ1" s="136"/>
      <c r="DSA1" s="136"/>
      <c r="DSB1" s="136"/>
      <c r="DSC1" s="136"/>
      <c r="DSD1" s="136"/>
      <c r="DSE1" s="136"/>
      <c r="DSF1" s="136"/>
      <c r="DSG1" s="136"/>
      <c r="DSH1" s="136"/>
      <c r="DSI1" s="136"/>
      <c r="DSJ1" s="136"/>
      <c r="DSK1" s="136"/>
      <c r="DSL1" s="136"/>
      <c r="DSM1" s="136"/>
      <c r="DSN1" s="136"/>
      <c r="DSO1" s="136"/>
      <c r="DSP1" s="136"/>
      <c r="DSQ1" s="136"/>
      <c r="DSR1" s="136"/>
      <c r="DSS1" s="136"/>
      <c r="DST1" s="136"/>
      <c r="DSU1" s="136"/>
      <c r="DSV1" s="136"/>
      <c r="DSW1" s="136"/>
      <c r="DSX1" s="136"/>
      <c r="DSY1" s="136"/>
      <c r="DSZ1" s="136"/>
      <c r="DTA1" s="136"/>
      <c r="DTB1" s="136"/>
      <c r="DTC1" s="136"/>
      <c r="DTD1" s="136"/>
      <c r="DTE1" s="136"/>
      <c r="DTF1" s="136"/>
      <c r="DTG1" s="136"/>
      <c r="DTH1" s="136"/>
      <c r="DTI1" s="136"/>
      <c r="DTJ1" s="136"/>
      <c r="DTK1" s="136"/>
      <c r="DTL1" s="136"/>
      <c r="DTM1" s="136"/>
      <c r="DTN1" s="136"/>
      <c r="DTO1" s="136"/>
      <c r="DTP1" s="136"/>
      <c r="DTQ1" s="136"/>
      <c r="DTR1" s="136"/>
      <c r="DTS1" s="136"/>
      <c r="DTT1" s="136"/>
      <c r="DTU1" s="136"/>
      <c r="DTV1" s="136"/>
      <c r="DTW1" s="136"/>
      <c r="DTX1" s="136"/>
      <c r="DTY1" s="136"/>
      <c r="DTZ1" s="136"/>
      <c r="DUA1" s="136"/>
      <c r="DUB1" s="136"/>
      <c r="DUC1" s="136"/>
      <c r="DUD1" s="136"/>
      <c r="DUE1" s="136"/>
      <c r="DUF1" s="136"/>
      <c r="DUG1" s="136"/>
      <c r="DUH1" s="136"/>
      <c r="DUI1" s="136"/>
      <c r="DUJ1" s="136"/>
      <c r="DUK1" s="136"/>
      <c r="DUL1" s="136"/>
      <c r="DUM1" s="136"/>
      <c r="DUN1" s="136"/>
      <c r="DUO1" s="136"/>
      <c r="DUP1" s="136"/>
      <c r="DUQ1" s="136"/>
      <c r="DUR1" s="136"/>
      <c r="DUS1" s="136"/>
      <c r="DUT1" s="136"/>
      <c r="DUU1" s="136"/>
      <c r="DUV1" s="136"/>
      <c r="DUW1" s="136"/>
      <c r="DUX1" s="136"/>
      <c r="DUY1" s="136"/>
      <c r="DUZ1" s="136"/>
      <c r="DVA1" s="136"/>
      <c r="DVB1" s="136"/>
      <c r="DVC1" s="136"/>
      <c r="DVD1" s="136"/>
      <c r="DVE1" s="136"/>
      <c r="DVF1" s="136"/>
      <c r="DVG1" s="136"/>
      <c r="DVH1" s="136"/>
      <c r="DVI1" s="136"/>
      <c r="DVJ1" s="136"/>
      <c r="DVK1" s="136"/>
      <c r="DVL1" s="136"/>
      <c r="DVM1" s="136"/>
      <c r="DVN1" s="136"/>
      <c r="DVO1" s="136"/>
      <c r="DVP1" s="136"/>
      <c r="DVQ1" s="136"/>
      <c r="DVR1" s="136"/>
      <c r="DVS1" s="136"/>
      <c r="DVT1" s="136"/>
      <c r="DVU1" s="136"/>
      <c r="DVV1" s="136"/>
      <c r="DVW1" s="136"/>
      <c r="DVX1" s="136"/>
      <c r="DVY1" s="136"/>
      <c r="DVZ1" s="136"/>
      <c r="DWA1" s="136"/>
      <c r="DWB1" s="136"/>
      <c r="DWC1" s="136"/>
      <c r="DWD1" s="136"/>
      <c r="DWE1" s="136"/>
      <c r="DWF1" s="136"/>
      <c r="DWG1" s="136"/>
      <c r="DWH1" s="136"/>
      <c r="DWI1" s="136"/>
      <c r="DWJ1" s="136"/>
      <c r="DWK1" s="136"/>
      <c r="DWL1" s="136"/>
      <c r="DWM1" s="136"/>
      <c r="DWN1" s="136"/>
      <c r="DWO1" s="136"/>
      <c r="DWP1" s="136"/>
      <c r="DWQ1" s="136"/>
      <c r="DWR1" s="136"/>
      <c r="DWS1" s="136"/>
      <c r="DWT1" s="136"/>
      <c r="DWU1" s="136"/>
      <c r="DWV1" s="136"/>
      <c r="DWW1" s="136"/>
      <c r="DWX1" s="136"/>
      <c r="DWY1" s="136"/>
      <c r="DWZ1" s="136"/>
      <c r="DXA1" s="136"/>
      <c r="DXB1" s="136"/>
      <c r="DXC1" s="136"/>
      <c r="DXD1" s="136"/>
      <c r="DXE1" s="136"/>
      <c r="DXF1" s="136"/>
      <c r="DXG1" s="136"/>
      <c r="DXH1" s="136"/>
      <c r="DXI1" s="136"/>
      <c r="DXJ1" s="136"/>
      <c r="DXK1" s="136"/>
      <c r="DXL1" s="136"/>
      <c r="DXM1" s="136"/>
      <c r="DXN1" s="136"/>
      <c r="DXO1" s="136"/>
      <c r="DXP1" s="136"/>
      <c r="DXQ1" s="136"/>
      <c r="DXR1" s="136"/>
      <c r="DXS1" s="136"/>
      <c r="DXT1" s="136"/>
      <c r="DXU1" s="136"/>
      <c r="DXV1" s="136"/>
      <c r="DXW1" s="136"/>
      <c r="DXX1" s="136"/>
      <c r="DXY1" s="136"/>
      <c r="DXZ1" s="136"/>
      <c r="DYA1" s="136"/>
      <c r="DYB1" s="136"/>
      <c r="DYC1" s="136"/>
      <c r="DYD1" s="136"/>
      <c r="DYE1" s="136"/>
      <c r="DYF1" s="136"/>
      <c r="DYG1" s="136"/>
      <c r="DYH1" s="136"/>
      <c r="DYI1" s="136"/>
      <c r="DYJ1" s="136"/>
      <c r="DYK1" s="136"/>
      <c r="DYL1" s="136"/>
      <c r="DYM1" s="136"/>
      <c r="DYN1" s="136"/>
      <c r="DYO1" s="136"/>
      <c r="DYP1" s="136"/>
      <c r="DYQ1" s="136"/>
      <c r="DYR1" s="136"/>
      <c r="DYS1" s="136"/>
      <c r="DYT1" s="136"/>
      <c r="DYU1" s="136"/>
      <c r="DYV1" s="136"/>
      <c r="DYW1" s="136"/>
      <c r="DYX1" s="136"/>
      <c r="DYY1" s="136"/>
      <c r="DYZ1" s="136"/>
      <c r="DZA1" s="136"/>
      <c r="DZB1" s="136"/>
      <c r="DZC1" s="136"/>
      <c r="DZD1" s="136"/>
      <c r="DZE1" s="136"/>
      <c r="DZF1" s="136"/>
      <c r="DZG1" s="136"/>
      <c r="DZH1" s="136"/>
      <c r="DZI1" s="136"/>
      <c r="DZJ1" s="136"/>
      <c r="DZK1" s="136"/>
      <c r="DZL1" s="136"/>
      <c r="DZM1" s="136"/>
      <c r="DZN1" s="136"/>
      <c r="DZO1" s="136"/>
      <c r="DZP1" s="136"/>
      <c r="DZQ1" s="136"/>
      <c r="DZR1" s="136"/>
      <c r="DZS1" s="136"/>
      <c r="DZT1" s="136"/>
      <c r="DZU1" s="136"/>
      <c r="DZV1" s="136"/>
      <c r="DZW1" s="136"/>
      <c r="DZX1" s="136"/>
      <c r="DZY1" s="136"/>
      <c r="DZZ1" s="136"/>
      <c r="EAA1" s="136"/>
      <c r="EAB1" s="136"/>
      <c r="EAC1" s="136"/>
      <c r="EAD1" s="136"/>
      <c r="EAE1" s="136"/>
      <c r="EAF1" s="136"/>
      <c r="EAG1" s="136"/>
      <c r="EAH1" s="136"/>
      <c r="EAI1" s="136"/>
      <c r="EAJ1" s="136"/>
      <c r="EAK1" s="136"/>
      <c r="EAL1" s="136"/>
      <c r="EAM1" s="136"/>
      <c r="EAN1" s="136"/>
      <c r="EAO1" s="136"/>
      <c r="EAP1" s="136"/>
      <c r="EAQ1" s="136"/>
      <c r="EAR1" s="136"/>
      <c r="EAS1" s="136"/>
      <c r="EAT1" s="136"/>
      <c r="EAU1" s="136"/>
      <c r="EAV1" s="136"/>
      <c r="EAW1" s="136"/>
      <c r="EAX1" s="136"/>
      <c r="EAY1" s="136"/>
      <c r="EAZ1" s="136"/>
      <c r="EBA1" s="136"/>
      <c r="EBB1" s="136"/>
      <c r="EBC1" s="136"/>
      <c r="EBD1" s="136"/>
      <c r="EBE1" s="136"/>
      <c r="EBF1" s="136"/>
      <c r="EBG1" s="136"/>
      <c r="EBH1" s="136"/>
      <c r="EBI1" s="136"/>
      <c r="EBJ1" s="136"/>
      <c r="EBK1" s="136"/>
      <c r="EBL1" s="136"/>
      <c r="EBM1" s="136"/>
      <c r="EBN1" s="136"/>
      <c r="EBO1" s="136"/>
      <c r="EBP1" s="136"/>
      <c r="EBQ1" s="136"/>
      <c r="EBR1" s="136"/>
      <c r="EBS1" s="136"/>
      <c r="EBT1" s="136"/>
      <c r="EBU1" s="136"/>
      <c r="EBV1" s="136"/>
      <c r="EBW1" s="136"/>
      <c r="EBX1" s="136"/>
      <c r="EBY1" s="136"/>
      <c r="EBZ1" s="136"/>
      <c r="ECA1" s="136"/>
      <c r="ECB1" s="136"/>
      <c r="ECC1" s="136"/>
      <c r="ECD1" s="136"/>
      <c r="ECE1" s="136"/>
      <c r="ECF1" s="136"/>
      <c r="ECG1" s="136"/>
      <c r="ECH1" s="136"/>
      <c r="ECI1" s="136"/>
      <c r="ECJ1" s="136"/>
      <c r="ECK1" s="136"/>
      <c r="ECL1" s="136"/>
      <c r="ECM1" s="136"/>
      <c r="ECN1" s="136"/>
      <c r="ECO1" s="136"/>
      <c r="ECP1" s="136"/>
      <c r="ECQ1" s="136"/>
      <c r="ECR1" s="136"/>
      <c r="ECS1" s="136"/>
      <c r="ECT1" s="136"/>
      <c r="ECU1" s="136"/>
      <c r="ECV1" s="136"/>
      <c r="ECW1" s="136"/>
      <c r="ECX1" s="136"/>
      <c r="ECY1" s="136"/>
      <c r="ECZ1" s="136"/>
      <c r="EDA1" s="136"/>
      <c r="EDB1" s="136"/>
      <c r="EDC1" s="136"/>
      <c r="EDD1" s="136"/>
      <c r="EDE1" s="136"/>
      <c r="EDF1" s="136"/>
      <c r="EDG1" s="136"/>
      <c r="EDH1" s="136"/>
      <c r="EDI1" s="136"/>
      <c r="EDJ1" s="136"/>
      <c r="EDK1" s="136"/>
      <c r="EDL1" s="136"/>
      <c r="EDM1" s="136"/>
      <c r="EDN1" s="136"/>
      <c r="EDO1" s="136"/>
      <c r="EDP1" s="136"/>
      <c r="EDQ1" s="136"/>
      <c r="EDR1" s="136"/>
      <c r="EDS1" s="136"/>
      <c r="EDT1" s="136"/>
      <c r="EDU1" s="136"/>
      <c r="EDV1" s="136"/>
      <c r="EDW1" s="136"/>
      <c r="EDX1" s="136"/>
      <c r="EDY1" s="136"/>
      <c r="EDZ1" s="136"/>
      <c r="EEA1" s="136"/>
      <c r="EEB1" s="136"/>
      <c r="EEC1" s="136"/>
      <c r="EED1" s="136"/>
      <c r="EEE1" s="136"/>
      <c r="EEF1" s="136"/>
      <c r="EEG1" s="136"/>
      <c r="EEH1" s="136"/>
      <c r="EEI1" s="136"/>
      <c r="EEJ1" s="136"/>
      <c r="EEK1" s="136"/>
      <c r="EEL1" s="136"/>
      <c r="EEM1" s="136"/>
      <c r="EEN1" s="136"/>
      <c r="EEO1" s="136"/>
      <c r="EEP1" s="136"/>
      <c r="EEQ1" s="136"/>
      <c r="EER1" s="136"/>
      <c r="EES1" s="136"/>
      <c r="EET1" s="136"/>
      <c r="EEU1" s="136"/>
      <c r="EEV1" s="136"/>
      <c r="EEW1" s="136"/>
      <c r="EEX1" s="136"/>
      <c r="EEY1" s="136"/>
      <c r="EEZ1" s="136"/>
      <c r="EFA1" s="136"/>
      <c r="EFB1" s="136"/>
      <c r="EFC1" s="136"/>
      <c r="EFD1" s="136"/>
      <c r="EFE1" s="136"/>
      <c r="EFF1" s="136"/>
      <c r="EFG1" s="136"/>
      <c r="EFH1" s="136"/>
      <c r="EFI1" s="136"/>
      <c r="EFJ1" s="136"/>
      <c r="EFK1" s="136"/>
      <c r="EFL1" s="136"/>
      <c r="EFM1" s="136"/>
      <c r="EFN1" s="136"/>
      <c r="EFO1" s="136"/>
      <c r="EFP1" s="136"/>
      <c r="EFQ1" s="136"/>
      <c r="EFR1" s="136"/>
      <c r="EFS1" s="136"/>
      <c r="EFT1" s="136"/>
      <c r="EFU1" s="136"/>
      <c r="EFV1" s="136"/>
      <c r="EFW1" s="136"/>
      <c r="EFX1" s="136"/>
      <c r="EFY1" s="136"/>
      <c r="EFZ1" s="136"/>
      <c r="EGA1" s="136"/>
      <c r="EGB1" s="136"/>
      <c r="EGC1" s="136"/>
      <c r="EGD1" s="136"/>
      <c r="EGE1" s="136"/>
      <c r="EGF1" s="136"/>
      <c r="EGG1" s="136"/>
      <c r="EGH1" s="136"/>
      <c r="EGI1" s="136"/>
      <c r="EGJ1" s="136"/>
      <c r="EGK1" s="136"/>
      <c r="EGL1" s="136"/>
      <c r="EGM1" s="136"/>
      <c r="EGN1" s="136"/>
      <c r="EGO1" s="136"/>
      <c r="EGP1" s="136"/>
      <c r="EGQ1" s="136"/>
      <c r="EGR1" s="136"/>
      <c r="EGS1" s="136"/>
      <c r="EGT1" s="136"/>
      <c r="EGU1" s="136"/>
      <c r="EGV1" s="136"/>
      <c r="EGW1" s="136"/>
      <c r="EGX1" s="136"/>
      <c r="EGY1" s="136"/>
      <c r="EGZ1" s="136"/>
      <c r="EHA1" s="136"/>
      <c r="EHB1" s="136"/>
      <c r="EHC1" s="136"/>
      <c r="EHD1" s="136"/>
      <c r="EHE1" s="136"/>
      <c r="EHF1" s="136"/>
      <c r="EHG1" s="136"/>
      <c r="EHH1" s="136"/>
      <c r="EHI1" s="136"/>
      <c r="EHJ1" s="136"/>
      <c r="EHK1" s="136"/>
      <c r="EHL1" s="136"/>
      <c r="EHM1" s="136"/>
      <c r="EHN1" s="136"/>
      <c r="EHO1" s="136"/>
      <c r="EHP1" s="136"/>
      <c r="EHQ1" s="136"/>
      <c r="EHR1" s="136"/>
      <c r="EHS1" s="136"/>
      <c r="EHT1" s="136"/>
      <c r="EHU1" s="136"/>
      <c r="EHV1" s="136"/>
      <c r="EHW1" s="136"/>
      <c r="EHX1" s="136"/>
      <c r="EHY1" s="136"/>
      <c r="EHZ1" s="136"/>
      <c r="EIA1" s="136"/>
      <c r="EIB1" s="136"/>
      <c r="EIC1" s="136"/>
      <c r="EID1" s="136"/>
      <c r="EIE1" s="136"/>
      <c r="EIF1" s="136"/>
      <c r="EIG1" s="136"/>
      <c r="EIH1" s="136"/>
      <c r="EII1" s="136"/>
      <c r="EIJ1" s="136"/>
      <c r="EIK1" s="136"/>
      <c r="EIL1" s="136"/>
      <c r="EIM1" s="136"/>
      <c r="EIN1" s="136"/>
      <c r="EIO1" s="136"/>
      <c r="EIP1" s="136"/>
      <c r="EIQ1" s="136"/>
      <c r="EIR1" s="136"/>
      <c r="EIS1" s="136"/>
      <c r="EIT1" s="136"/>
      <c r="EIU1" s="136"/>
      <c r="EIV1" s="136"/>
      <c r="EIW1" s="136"/>
      <c r="EIX1" s="136"/>
      <c r="EIY1" s="136"/>
      <c r="EIZ1" s="136"/>
      <c r="EJA1" s="136"/>
      <c r="EJB1" s="136"/>
      <c r="EJC1" s="136"/>
      <c r="EJD1" s="136"/>
      <c r="EJE1" s="136"/>
      <c r="EJF1" s="136"/>
      <c r="EJG1" s="136"/>
      <c r="EJH1" s="136"/>
      <c r="EJI1" s="136"/>
      <c r="EJJ1" s="136"/>
      <c r="EJK1" s="136"/>
      <c r="EJL1" s="136"/>
      <c r="EJM1" s="136"/>
      <c r="EJN1" s="136"/>
      <c r="EJO1" s="136"/>
      <c r="EJP1" s="136"/>
      <c r="EJQ1" s="136"/>
      <c r="EJR1" s="136"/>
      <c r="EJS1" s="136"/>
      <c r="EJT1" s="136"/>
      <c r="EJU1" s="136"/>
      <c r="EJV1" s="136"/>
      <c r="EJW1" s="136"/>
      <c r="EJX1" s="136"/>
      <c r="EJY1" s="136"/>
      <c r="EJZ1" s="136"/>
      <c r="EKA1" s="136"/>
      <c r="EKB1" s="136"/>
      <c r="EKC1" s="136"/>
      <c r="EKD1" s="136"/>
      <c r="EKE1" s="136"/>
      <c r="EKF1" s="136"/>
      <c r="EKG1" s="136"/>
      <c r="EKH1" s="136"/>
      <c r="EKI1" s="136"/>
      <c r="EKJ1" s="136"/>
      <c r="EKK1" s="136"/>
      <c r="EKL1" s="136"/>
      <c r="EKM1" s="136"/>
      <c r="EKN1" s="136"/>
      <c r="EKO1" s="136"/>
      <c r="EKP1" s="136"/>
      <c r="EKQ1" s="136"/>
      <c r="EKR1" s="136"/>
      <c r="EKS1" s="136"/>
      <c r="EKT1" s="136"/>
      <c r="EKU1" s="136"/>
      <c r="EKV1" s="136"/>
      <c r="EKW1" s="136"/>
      <c r="EKX1" s="136"/>
      <c r="EKY1" s="136"/>
      <c r="EKZ1" s="136"/>
      <c r="ELA1" s="136"/>
      <c r="ELB1" s="136"/>
      <c r="ELC1" s="136"/>
      <c r="ELD1" s="136"/>
      <c r="ELE1" s="136"/>
      <c r="ELF1" s="136"/>
      <c r="ELG1" s="136"/>
      <c r="ELH1" s="136"/>
      <c r="ELI1" s="136"/>
      <c r="ELJ1" s="136"/>
      <c r="ELK1" s="136"/>
      <c r="ELL1" s="136"/>
      <c r="ELM1" s="136"/>
      <c r="ELN1" s="136"/>
      <c r="ELO1" s="136"/>
      <c r="ELP1" s="136"/>
      <c r="ELQ1" s="136"/>
      <c r="ELR1" s="136"/>
      <c r="ELS1" s="136"/>
      <c r="ELT1" s="136"/>
      <c r="ELU1" s="136"/>
      <c r="ELV1" s="136"/>
      <c r="ELW1" s="136"/>
      <c r="ELX1" s="136"/>
      <c r="ELY1" s="136"/>
      <c r="ELZ1" s="136"/>
      <c r="EMA1" s="136"/>
      <c r="EMB1" s="136"/>
      <c r="EMC1" s="136"/>
      <c r="EMD1" s="136"/>
      <c r="EME1" s="136"/>
      <c r="EMF1" s="136"/>
      <c r="EMG1" s="136"/>
      <c r="EMH1" s="136"/>
      <c r="EMI1" s="136"/>
      <c r="EMJ1" s="136"/>
      <c r="EMK1" s="136"/>
      <c r="EML1" s="136"/>
      <c r="EMM1" s="136"/>
      <c r="EMN1" s="136"/>
      <c r="EMO1" s="136"/>
      <c r="EMP1" s="136"/>
      <c r="EMQ1" s="136"/>
      <c r="EMR1" s="136"/>
      <c r="EMS1" s="136"/>
      <c r="EMT1" s="136"/>
      <c r="EMU1" s="136"/>
      <c r="EMV1" s="136"/>
      <c r="EMW1" s="136"/>
      <c r="EMX1" s="136"/>
      <c r="EMY1" s="136"/>
      <c r="EMZ1" s="136"/>
      <c r="ENA1" s="136"/>
      <c r="ENB1" s="136"/>
      <c r="ENC1" s="136"/>
      <c r="END1" s="136"/>
      <c r="ENE1" s="136"/>
      <c r="ENF1" s="136"/>
      <c r="ENG1" s="136"/>
      <c r="ENH1" s="136"/>
      <c r="ENI1" s="136"/>
      <c r="ENJ1" s="136"/>
      <c r="ENK1" s="136"/>
      <c r="ENL1" s="136"/>
      <c r="ENM1" s="136"/>
      <c r="ENN1" s="136"/>
      <c r="ENO1" s="136"/>
      <c r="ENP1" s="136"/>
      <c r="ENQ1" s="136"/>
      <c r="ENR1" s="136"/>
      <c r="ENS1" s="136"/>
      <c r="ENT1" s="136"/>
      <c r="ENU1" s="136"/>
      <c r="ENV1" s="136"/>
      <c r="ENW1" s="136"/>
      <c r="ENX1" s="136"/>
      <c r="ENY1" s="136"/>
      <c r="ENZ1" s="136"/>
      <c r="EOA1" s="136"/>
      <c r="EOB1" s="136"/>
      <c r="EOC1" s="136"/>
      <c r="EOD1" s="136"/>
      <c r="EOE1" s="136"/>
      <c r="EOF1" s="136"/>
      <c r="EOG1" s="136"/>
      <c r="EOH1" s="136"/>
      <c r="EOI1" s="136"/>
      <c r="EOJ1" s="136"/>
      <c r="EOK1" s="136"/>
      <c r="EOL1" s="136"/>
      <c r="EOM1" s="136"/>
      <c r="EON1" s="136"/>
      <c r="EOO1" s="136"/>
      <c r="EOP1" s="136"/>
      <c r="EOQ1" s="136"/>
      <c r="EOR1" s="136"/>
      <c r="EOS1" s="136"/>
      <c r="EOT1" s="136"/>
      <c r="EOU1" s="136"/>
      <c r="EOV1" s="136"/>
      <c r="EOW1" s="136"/>
      <c r="EOX1" s="136"/>
      <c r="EOY1" s="136"/>
      <c r="EOZ1" s="136"/>
      <c r="EPA1" s="136"/>
      <c r="EPB1" s="136"/>
      <c r="EPC1" s="136"/>
      <c r="EPD1" s="136"/>
      <c r="EPE1" s="136"/>
      <c r="EPF1" s="136"/>
      <c r="EPG1" s="136"/>
      <c r="EPH1" s="136"/>
      <c r="EPI1" s="136"/>
      <c r="EPJ1" s="136"/>
      <c r="EPK1" s="136"/>
      <c r="EPL1" s="136"/>
      <c r="EPM1" s="136"/>
      <c r="EPN1" s="136"/>
      <c r="EPO1" s="136"/>
      <c r="EPP1" s="136"/>
      <c r="EPQ1" s="136"/>
      <c r="EPR1" s="136"/>
      <c r="EPS1" s="136"/>
      <c r="EPT1" s="136"/>
      <c r="EPU1" s="136"/>
      <c r="EPV1" s="136"/>
      <c r="EPW1" s="136"/>
      <c r="EPX1" s="136"/>
      <c r="EPY1" s="136"/>
      <c r="EPZ1" s="136"/>
      <c r="EQA1" s="136"/>
      <c r="EQB1" s="136"/>
      <c r="EQC1" s="136"/>
      <c r="EQD1" s="136"/>
      <c r="EQE1" s="136"/>
      <c r="EQF1" s="136"/>
      <c r="EQG1" s="136"/>
      <c r="EQH1" s="136"/>
      <c r="EQI1" s="136"/>
      <c r="EQJ1" s="136"/>
      <c r="EQK1" s="136"/>
      <c r="EQL1" s="136"/>
      <c r="EQM1" s="136"/>
      <c r="EQN1" s="136"/>
      <c r="EQO1" s="136"/>
      <c r="EQP1" s="136"/>
      <c r="EQQ1" s="136"/>
      <c r="EQR1" s="136"/>
      <c r="EQS1" s="136"/>
      <c r="EQT1" s="136"/>
      <c r="EQU1" s="136"/>
      <c r="EQV1" s="136"/>
      <c r="EQW1" s="136"/>
      <c r="EQX1" s="136"/>
      <c r="EQY1" s="136"/>
      <c r="EQZ1" s="136"/>
      <c r="ERA1" s="136"/>
      <c r="ERB1" s="136"/>
      <c r="ERC1" s="136"/>
      <c r="ERD1" s="136"/>
      <c r="ERE1" s="136"/>
      <c r="ERF1" s="136"/>
      <c r="ERG1" s="136"/>
      <c r="ERH1" s="136"/>
      <c r="ERI1" s="136"/>
      <c r="ERJ1" s="136"/>
      <c r="ERK1" s="136"/>
      <c r="ERL1" s="136"/>
      <c r="ERM1" s="136"/>
      <c r="ERN1" s="136"/>
      <c r="ERO1" s="136"/>
      <c r="ERP1" s="136"/>
      <c r="ERQ1" s="136"/>
      <c r="ERR1" s="136"/>
      <c r="ERS1" s="136"/>
      <c r="ERT1" s="136"/>
      <c r="ERU1" s="136"/>
      <c r="ERV1" s="136"/>
      <c r="ERW1" s="136"/>
      <c r="ERX1" s="136"/>
      <c r="ERY1" s="136"/>
      <c r="ERZ1" s="136"/>
      <c r="ESA1" s="136"/>
      <c r="ESB1" s="136"/>
      <c r="ESC1" s="136"/>
      <c r="ESD1" s="136"/>
      <c r="ESE1" s="136"/>
      <c r="ESF1" s="136"/>
      <c r="ESG1" s="136"/>
      <c r="ESH1" s="136"/>
      <c r="ESI1" s="136"/>
      <c r="ESJ1" s="136"/>
      <c r="ESK1" s="136"/>
      <c r="ESL1" s="136"/>
      <c r="ESM1" s="136"/>
      <c r="ESN1" s="136"/>
      <c r="ESO1" s="136"/>
      <c r="ESP1" s="136"/>
      <c r="ESQ1" s="136"/>
      <c r="ESR1" s="136"/>
      <c r="ESS1" s="136"/>
      <c r="EST1" s="136"/>
      <c r="ESU1" s="136"/>
      <c r="ESV1" s="136"/>
      <c r="ESW1" s="136"/>
      <c r="ESX1" s="136"/>
      <c r="ESY1" s="136"/>
      <c r="ESZ1" s="136"/>
      <c r="ETA1" s="136"/>
      <c r="ETB1" s="136"/>
      <c r="ETC1" s="136"/>
      <c r="ETD1" s="136"/>
      <c r="ETE1" s="136"/>
      <c r="ETF1" s="136"/>
      <c r="ETG1" s="136"/>
      <c r="ETH1" s="136"/>
      <c r="ETI1" s="136"/>
      <c r="ETJ1" s="136"/>
      <c r="ETK1" s="136"/>
      <c r="ETL1" s="136"/>
      <c r="ETM1" s="136"/>
      <c r="ETN1" s="136"/>
      <c r="ETO1" s="136"/>
      <c r="ETP1" s="136"/>
      <c r="ETQ1" s="136"/>
      <c r="ETR1" s="136"/>
      <c r="ETS1" s="136"/>
      <c r="ETT1" s="136"/>
      <c r="ETU1" s="136"/>
      <c r="ETV1" s="136"/>
      <c r="ETW1" s="136"/>
      <c r="ETX1" s="136"/>
      <c r="ETY1" s="136"/>
      <c r="ETZ1" s="136"/>
      <c r="EUA1" s="136"/>
      <c r="EUB1" s="136"/>
      <c r="EUC1" s="136"/>
      <c r="EUD1" s="136"/>
      <c r="EUE1" s="136"/>
      <c r="EUF1" s="136"/>
      <c r="EUG1" s="136"/>
      <c r="EUH1" s="136"/>
      <c r="EUI1" s="136"/>
      <c r="EUJ1" s="136"/>
      <c r="EUK1" s="136"/>
      <c r="EUL1" s="136"/>
      <c r="EUM1" s="136"/>
      <c r="EUN1" s="136"/>
      <c r="EUO1" s="136"/>
      <c r="EUP1" s="136"/>
      <c r="EUQ1" s="136"/>
      <c r="EUR1" s="136"/>
      <c r="EUS1" s="136"/>
      <c r="EUT1" s="136"/>
      <c r="EUU1" s="136"/>
      <c r="EUV1" s="136"/>
      <c r="EUW1" s="136"/>
      <c r="EUX1" s="136"/>
      <c r="EUY1" s="136"/>
      <c r="EUZ1" s="136"/>
      <c r="EVA1" s="136"/>
      <c r="EVB1" s="136"/>
      <c r="EVC1" s="136"/>
      <c r="EVD1" s="136"/>
      <c r="EVE1" s="136"/>
      <c r="EVF1" s="136"/>
      <c r="EVG1" s="136"/>
      <c r="EVH1" s="136"/>
      <c r="EVI1" s="136"/>
      <c r="EVJ1" s="136"/>
      <c r="EVK1" s="136"/>
      <c r="EVL1" s="136"/>
      <c r="EVM1" s="136"/>
      <c r="EVN1" s="136"/>
      <c r="EVO1" s="136"/>
      <c r="EVP1" s="136"/>
      <c r="EVQ1" s="136"/>
      <c r="EVR1" s="136"/>
      <c r="EVS1" s="136"/>
      <c r="EVT1" s="136"/>
      <c r="EVU1" s="136"/>
      <c r="EVV1" s="136"/>
      <c r="EVW1" s="136"/>
      <c r="EVX1" s="136"/>
      <c r="EVY1" s="136"/>
      <c r="EVZ1" s="136"/>
      <c r="EWA1" s="136"/>
      <c r="EWB1" s="136"/>
      <c r="EWC1" s="136"/>
      <c r="EWD1" s="136"/>
      <c r="EWE1" s="136"/>
      <c r="EWF1" s="136"/>
      <c r="EWG1" s="136"/>
      <c r="EWH1" s="136"/>
      <c r="EWI1" s="136"/>
      <c r="EWJ1" s="136"/>
      <c r="EWK1" s="136"/>
      <c r="EWL1" s="136"/>
      <c r="EWM1" s="136"/>
      <c r="EWN1" s="136"/>
      <c r="EWO1" s="136"/>
      <c r="EWP1" s="136"/>
      <c r="EWQ1" s="136"/>
      <c r="EWR1" s="136"/>
      <c r="EWS1" s="136"/>
      <c r="EWT1" s="136"/>
      <c r="EWU1" s="136"/>
      <c r="EWV1" s="136"/>
      <c r="EWW1" s="136"/>
      <c r="EWX1" s="136"/>
      <c r="EWY1" s="136"/>
      <c r="EWZ1" s="136"/>
      <c r="EXA1" s="136"/>
      <c r="EXB1" s="136"/>
      <c r="EXC1" s="136"/>
      <c r="EXD1" s="136"/>
      <c r="EXE1" s="136"/>
      <c r="EXF1" s="136"/>
      <c r="EXG1" s="136"/>
      <c r="EXH1" s="136"/>
      <c r="EXI1" s="136"/>
      <c r="EXJ1" s="136"/>
      <c r="EXK1" s="136"/>
      <c r="EXL1" s="136"/>
      <c r="EXM1" s="136"/>
      <c r="EXN1" s="136"/>
      <c r="EXO1" s="136"/>
      <c r="EXP1" s="136"/>
      <c r="EXQ1" s="136"/>
      <c r="EXR1" s="136"/>
      <c r="EXS1" s="136"/>
      <c r="EXT1" s="136"/>
      <c r="EXU1" s="136"/>
      <c r="EXV1" s="136"/>
      <c r="EXW1" s="136"/>
      <c r="EXX1" s="136"/>
      <c r="EXY1" s="136"/>
      <c r="EXZ1" s="136"/>
      <c r="EYA1" s="136"/>
      <c r="EYB1" s="136"/>
      <c r="EYC1" s="136"/>
      <c r="EYD1" s="136"/>
      <c r="EYE1" s="136"/>
      <c r="EYF1" s="136"/>
      <c r="EYG1" s="136"/>
      <c r="EYH1" s="136"/>
      <c r="EYI1" s="136"/>
      <c r="EYJ1" s="136"/>
      <c r="EYK1" s="136"/>
      <c r="EYL1" s="136"/>
      <c r="EYM1" s="136"/>
      <c r="EYN1" s="136"/>
      <c r="EYO1" s="136"/>
      <c r="EYP1" s="136"/>
      <c r="EYQ1" s="136"/>
      <c r="EYR1" s="136"/>
      <c r="EYS1" s="136"/>
      <c r="EYT1" s="136"/>
      <c r="EYU1" s="136"/>
      <c r="EYV1" s="136"/>
      <c r="EYW1" s="136"/>
      <c r="EYX1" s="136"/>
      <c r="EYY1" s="136"/>
      <c r="EYZ1" s="136"/>
      <c r="EZA1" s="136"/>
      <c r="EZB1" s="136"/>
      <c r="EZC1" s="136"/>
      <c r="EZD1" s="136"/>
      <c r="EZE1" s="136"/>
      <c r="EZF1" s="136"/>
      <c r="EZG1" s="136"/>
      <c r="EZH1" s="136"/>
      <c r="EZI1" s="136"/>
      <c r="EZJ1" s="136"/>
      <c r="EZK1" s="136"/>
      <c r="EZL1" s="136"/>
      <c r="EZM1" s="136"/>
      <c r="EZN1" s="136"/>
      <c r="EZO1" s="136"/>
      <c r="EZP1" s="136"/>
      <c r="EZQ1" s="136"/>
      <c r="EZR1" s="136"/>
      <c r="EZS1" s="136"/>
      <c r="EZT1" s="136"/>
      <c r="EZU1" s="136"/>
      <c r="EZV1" s="136"/>
      <c r="EZW1" s="136"/>
      <c r="EZX1" s="136"/>
      <c r="EZY1" s="136"/>
      <c r="EZZ1" s="136"/>
      <c r="FAA1" s="136"/>
      <c r="FAB1" s="136"/>
      <c r="FAC1" s="136"/>
      <c r="FAD1" s="136"/>
      <c r="FAE1" s="136"/>
      <c r="FAF1" s="136"/>
      <c r="FAG1" s="136"/>
      <c r="FAH1" s="136"/>
      <c r="FAI1" s="136"/>
      <c r="FAJ1" s="136"/>
      <c r="FAK1" s="136"/>
      <c r="FAL1" s="136"/>
      <c r="FAM1" s="136"/>
      <c r="FAN1" s="136"/>
      <c r="FAO1" s="136"/>
      <c r="FAP1" s="136"/>
      <c r="FAQ1" s="136"/>
      <c r="FAR1" s="136"/>
      <c r="FAS1" s="136"/>
      <c r="FAT1" s="136"/>
      <c r="FAU1" s="136"/>
      <c r="FAV1" s="136"/>
      <c r="FAW1" s="136"/>
      <c r="FAX1" s="136"/>
      <c r="FAY1" s="136"/>
      <c r="FAZ1" s="136"/>
      <c r="FBA1" s="136"/>
      <c r="FBB1" s="136"/>
      <c r="FBC1" s="136"/>
      <c r="FBD1" s="136"/>
      <c r="FBE1" s="136"/>
      <c r="FBF1" s="136"/>
      <c r="FBG1" s="136"/>
      <c r="FBH1" s="136"/>
      <c r="FBI1" s="136"/>
      <c r="FBJ1" s="136"/>
      <c r="FBK1" s="136"/>
      <c r="FBL1" s="136"/>
      <c r="FBM1" s="136"/>
      <c r="FBN1" s="136"/>
      <c r="FBO1" s="136"/>
      <c r="FBP1" s="136"/>
      <c r="FBQ1" s="136"/>
      <c r="FBR1" s="136"/>
      <c r="FBS1" s="136"/>
      <c r="FBT1" s="136"/>
      <c r="FBU1" s="136"/>
      <c r="FBV1" s="136"/>
      <c r="FBW1" s="136"/>
      <c r="FBX1" s="136"/>
      <c r="FBY1" s="136"/>
      <c r="FBZ1" s="136"/>
      <c r="FCA1" s="136"/>
      <c r="FCB1" s="136"/>
      <c r="FCC1" s="136"/>
      <c r="FCD1" s="136"/>
      <c r="FCE1" s="136"/>
      <c r="FCF1" s="136"/>
      <c r="FCG1" s="136"/>
      <c r="FCH1" s="136"/>
      <c r="FCI1" s="136"/>
      <c r="FCJ1" s="136"/>
      <c r="FCK1" s="136"/>
      <c r="FCL1" s="136"/>
      <c r="FCM1" s="136"/>
      <c r="FCN1" s="136"/>
      <c r="FCO1" s="136"/>
      <c r="FCP1" s="136"/>
      <c r="FCQ1" s="136"/>
      <c r="FCR1" s="136"/>
      <c r="FCS1" s="136"/>
      <c r="FCT1" s="136"/>
      <c r="FCU1" s="136"/>
      <c r="FCV1" s="136"/>
      <c r="FCW1" s="136"/>
      <c r="FCX1" s="136"/>
      <c r="FCY1" s="136"/>
      <c r="FCZ1" s="136"/>
      <c r="FDA1" s="136"/>
      <c r="FDB1" s="136"/>
      <c r="FDC1" s="136"/>
      <c r="FDD1" s="136"/>
      <c r="FDE1" s="136"/>
      <c r="FDF1" s="136"/>
      <c r="FDG1" s="136"/>
      <c r="FDH1" s="136"/>
      <c r="FDI1" s="136"/>
      <c r="FDJ1" s="136"/>
      <c r="FDK1" s="136"/>
      <c r="FDL1" s="136"/>
      <c r="FDM1" s="136"/>
      <c r="FDN1" s="136"/>
      <c r="FDO1" s="136"/>
      <c r="FDP1" s="136"/>
      <c r="FDQ1" s="136"/>
      <c r="FDR1" s="136"/>
      <c r="FDS1" s="136"/>
      <c r="FDT1" s="136"/>
      <c r="FDU1" s="136"/>
      <c r="FDV1" s="136"/>
      <c r="FDW1" s="136"/>
      <c r="FDX1" s="136"/>
      <c r="FDY1" s="136"/>
      <c r="FDZ1" s="136"/>
      <c r="FEA1" s="136"/>
      <c r="FEB1" s="136"/>
      <c r="FEC1" s="136"/>
      <c r="FED1" s="136"/>
      <c r="FEE1" s="136"/>
      <c r="FEF1" s="136"/>
      <c r="FEG1" s="136"/>
      <c r="FEH1" s="136"/>
      <c r="FEI1" s="136"/>
      <c r="FEJ1" s="136"/>
      <c r="FEK1" s="136"/>
      <c r="FEL1" s="136"/>
      <c r="FEM1" s="136"/>
      <c r="FEN1" s="136"/>
      <c r="FEO1" s="136"/>
      <c r="FEP1" s="136"/>
      <c r="FEQ1" s="136"/>
      <c r="FER1" s="136"/>
      <c r="FES1" s="136"/>
      <c r="FET1" s="136"/>
      <c r="FEU1" s="136"/>
      <c r="FEV1" s="136"/>
      <c r="FEW1" s="136"/>
      <c r="FEX1" s="136"/>
      <c r="FEY1" s="136"/>
      <c r="FEZ1" s="136"/>
      <c r="FFA1" s="136"/>
      <c r="FFB1" s="136"/>
      <c r="FFC1" s="136"/>
      <c r="FFD1" s="136"/>
      <c r="FFE1" s="136"/>
      <c r="FFF1" s="136"/>
      <c r="FFG1" s="136"/>
      <c r="FFH1" s="136"/>
      <c r="FFI1" s="136"/>
      <c r="FFJ1" s="136"/>
      <c r="FFK1" s="136"/>
      <c r="FFL1" s="136"/>
      <c r="FFM1" s="136"/>
      <c r="FFN1" s="136"/>
      <c r="FFO1" s="136"/>
      <c r="FFP1" s="136"/>
      <c r="FFQ1" s="136"/>
      <c r="FFR1" s="136"/>
      <c r="FFS1" s="136"/>
      <c r="FFT1" s="136"/>
      <c r="FFU1" s="136"/>
      <c r="FFV1" s="136"/>
      <c r="FFW1" s="136"/>
      <c r="FFX1" s="136"/>
      <c r="FFY1" s="136"/>
      <c r="FFZ1" s="136"/>
      <c r="FGA1" s="136"/>
      <c r="FGB1" s="136"/>
      <c r="FGC1" s="136"/>
      <c r="FGD1" s="136"/>
      <c r="FGE1" s="136"/>
      <c r="FGF1" s="136"/>
      <c r="FGG1" s="136"/>
      <c r="FGH1" s="136"/>
      <c r="FGI1" s="136"/>
      <c r="FGJ1" s="136"/>
      <c r="FGK1" s="136"/>
      <c r="FGL1" s="136"/>
      <c r="FGM1" s="136"/>
      <c r="FGN1" s="136"/>
      <c r="FGO1" s="136"/>
      <c r="FGP1" s="136"/>
      <c r="FGQ1" s="136"/>
      <c r="FGR1" s="136"/>
      <c r="FGS1" s="136"/>
      <c r="FGT1" s="136"/>
      <c r="FGU1" s="136"/>
      <c r="FGV1" s="136"/>
      <c r="FGW1" s="136"/>
      <c r="FGX1" s="136"/>
      <c r="FGY1" s="136"/>
      <c r="FGZ1" s="136"/>
      <c r="FHA1" s="136"/>
      <c r="FHB1" s="136"/>
      <c r="FHC1" s="136"/>
      <c r="FHD1" s="136"/>
      <c r="FHE1" s="136"/>
      <c r="FHF1" s="136"/>
      <c r="FHG1" s="136"/>
      <c r="FHH1" s="136"/>
      <c r="FHI1" s="136"/>
      <c r="FHJ1" s="136"/>
      <c r="FHK1" s="136"/>
      <c r="FHL1" s="136"/>
      <c r="FHM1" s="136"/>
      <c r="FHN1" s="136"/>
      <c r="FHO1" s="136"/>
      <c r="FHP1" s="136"/>
      <c r="FHQ1" s="136"/>
      <c r="FHR1" s="136"/>
      <c r="FHS1" s="136"/>
      <c r="FHT1" s="136"/>
      <c r="FHU1" s="136"/>
      <c r="FHV1" s="136"/>
      <c r="FHW1" s="136"/>
      <c r="FHX1" s="136"/>
      <c r="FHY1" s="136"/>
      <c r="FHZ1" s="136"/>
      <c r="FIA1" s="136"/>
      <c r="FIB1" s="136"/>
      <c r="FIC1" s="136"/>
      <c r="FID1" s="136"/>
      <c r="FIE1" s="136"/>
      <c r="FIF1" s="136"/>
      <c r="FIG1" s="136"/>
      <c r="FIH1" s="136"/>
      <c r="FII1" s="136"/>
      <c r="FIJ1" s="136"/>
      <c r="FIK1" s="136"/>
      <c r="FIL1" s="136"/>
      <c r="FIM1" s="136"/>
      <c r="FIN1" s="136"/>
      <c r="FIO1" s="136"/>
      <c r="FIP1" s="136"/>
      <c r="FIQ1" s="136"/>
      <c r="FIR1" s="136"/>
      <c r="FIS1" s="136"/>
      <c r="FIT1" s="136"/>
      <c r="FIU1" s="136"/>
      <c r="FIV1" s="136"/>
      <c r="FIW1" s="136"/>
      <c r="FIX1" s="136"/>
      <c r="FIY1" s="136"/>
      <c r="FIZ1" s="136"/>
      <c r="FJA1" s="136"/>
      <c r="FJB1" s="136"/>
      <c r="FJC1" s="136"/>
      <c r="FJD1" s="136"/>
      <c r="FJE1" s="136"/>
      <c r="FJF1" s="136"/>
      <c r="FJG1" s="136"/>
      <c r="FJH1" s="136"/>
      <c r="FJI1" s="136"/>
      <c r="FJJ1" s="136"/>
      <c r="FJK1" s="136"/>
      <c r="FJL1" s="136"/>
      <c r="FJM1" s="136"/>
      <c r="FJN1" s="136"/>
      <c r="FJO1" s="136"/>
      <c r="FJP1" s="136"/>
      <c r="FJQ1" s="136"/>
      <c r="FJR1" s="136"/>
      <c r="FJS1" s="136"/>
      <c r="FJT1" s="136"/>
      <c r="FJU1" s="136"/>
      <c r="FJV1" s="136"/>
      <c r="FJW1" s="136"/>
      <c r="FJX1" s="136"/>
      <c r="FJY1" s="136"/>
      <c r="FJZ1" s="136"/>
      <c r="FKA1" s="136"/>
      <c r="FKB1" s="136"/>
      <c r="FKC1" s="136"/>
      <c r="FKD1" s="136"/>
      <c r="FKE1" s="136"/>
      <c r="FKF1" s="136"/>
      <c r="FKG1" s="136"/>
      <c r="FKH1" s="136"/>
      <c r="FKI1" s="136"/>
      <c r="FKJ1" s="136"/>
      <c r="FKK1" s="136"/>
      <c r="FKL1" s="136"/>
      <c r="FKM1" s="136"/>
      <c r="FKN1" s="136"/>
      <c r="FKO1" s="136"/>
      <c r="FKP1" s="136"/>
      <c r="FKQ1" s="136"/>
      <c r="FKR1" s="136"/>
      <c r="FKS1" s="136"/>
      <c r="FKT1" s="136"/>
      <c r="FKU1" s="136"/>
      <c r="FKV1" s="136"/>
      <c r="FKW1" s="136"/>
      <c r="FKX1" s="136"/>
      <c r="FKY1" s="136"/>
      <c r="FKZ1" s="136"/>
      <c r="FLA1" s="136"/>
      <c r="FLB1" s="136"/>
      <c r="FLC1" s="136"/>
      <c r="FLD1" s="136"/>
      <c r="FLE1" s="136"/>
      <c r="FLF1" s="136"/>
      <c r="FLG1" s="136"/>
      <c r="FLH1" s="136"/>
      <c r="FLI1" s="136"/>
      <c r="FLJ1" s="136"/>
      <c r="FLK1" s="136"/>
      <c r="FLL1" s="136"/>
      <c r="FLM1" s="136"/>
      <c r="FLN1" s="136"/>
      <c r="FLO1" s="136"/>
      <c r="FLP1" s="136"/>
      <c r="FLQ1" s="136"/>
      <c r="FLR1" s="136"/>
      <c r="FLS1" s="136"/>
      <c r="FLT1" s="136"/>
      <c r="FLU1" s="136"/>
      <c r="FLV1" s="136"/>
      <c r="FLW1" s="136"/>
      <c r="FLX1" s="136"/>
      <c r="FLY1" s="136"/>
      <c r="FLZ1" s="136"/>
      <c r="FMA1" s="136"/>
      <c r="FMB1" s="136"/>
      <c r="FMC1" s="136"/>
      <c r="FMD1" s="136"/>
      <c r="FME1" s="136"/>
      <c r="FMF1" s="136"/>
      <c r="FMG1" s="136"/>
      <c r="FMH1" s="136"/>
      <c r="FMI1" s="136"/>
      <c r="FMJ1" s="136"/>
      <c r="FMK1" s="136"/>
      <c r="FML1" s="136"/>
      <c r="FMM1" s="136"/>
      <c r="FMN1" s="136"/>
      <c r="FMO1" s="136"/>
      <c r="FMP1" s="136"/>
      <c r="FMQ1" s="136"/>
      <c r="FMR1" s="136"/>
      <c r="FMS1" s="136"/>
      <c r="FMT1" s="136"/>
      <c r="FMU1" s="136"/>
      <c r="FMV1" s="136"/>
      <c r="FMW1" s="136"/>
      <c r="FMX1" s="136"/>
      <c r="FMY1" s="136"/>
      <c r="FMZ1" s="136"/>
      <c r="FNA1" s="136"/>
      <c r="FNB1" s="136"/>
      <c r="FNC1" s="136"/>
      <c r="FND1" s="136"/>
      <c r="FNE1" s="136"/>
      <c r="FNF1" s="136"/>
      <c r="FNG1" s="136"/>
      <c r="FNH1" s="136"/>
      <c r="FNI1" s="136"/>
      <c r="FNJ1" s="136"/>
      <c r="FNK1" s="136"/>
      <c r="FNL1" s="136"/>
      <c r="FNM1" s="136"/>
      <c r="FNN1" s="136"/>
      <c r="FNO1" s="136"/>
      <c r="FNP1" s="136"/>
      <c r="FNQ1" s="136"/>
      <c r="FNR1" s="136"/>
      <c r="FNS1" s="136"/>
      <c r="FNT1" s="136"/>
      <c r="FNU1" s="136"/>
      <c r="FNV1" s="136"/>
      <c r="FNW1" s="136"/>
      <c r="FNX1" s="136"/>
      <c r="FNY1" s="136"/>
      <c r="FNZ1" s="136"/>
      <c r="FOA1" s="136"/>
      <c r="FOB1" s="136"/>
      <c r="FOC1" s="136"/>
      <c r="FOD1" s="136"/>
      <c r="FOE1" s="136"/>
      <c r="FOF1" s="136"/>
      <c r="FOG1" s="136"/>
      <c r="FOH1" s="136"/>
      <c r="FOI1" s="136"/>
      <c r="FOJ1" s="136"/>
      <c r="FOK1" s="136"/>
      <c r="FOL1" s="136"/>
      <c r="FOM1" s="136"/>
      <c r="FON1" s="136"/>
      <c r="FOO1" s="136"/>
      <c r="FOP1" s="136"/>
      <c r="FOQ1" s="136"/>
      <c r="FOR1" s="136"/>
      <c r="FOS1" s="136"/>
      <c r="FOT1" s="136"/>
      <c r="FOU1" s="136"/>
      <c r="FOV1" s="136"/>
      <c r="FOW1" s="136"/>
      <c r="FOX1" s="136"/>
      <c r="FOY1" s="136"/>
      <c r="FOZ1" s="136"/>
      <c r="FPA1" s="136"/>
      <c r="FPB1" s="136"/>
      <c r="FPC1" s="136"/>
      <c r="FPD1" s="136"/>
      <c r="FPE1" s="136"/>
      <c r="FPF1" s="136"/>
      <c r="FPG1" s="136"/>
      <c r="FPH1" s="136"/>
      <c r="FPI1" s="136"/>
      <c r="FPJ1" s="136"/>
      <c r="FPK1" s="136"/>
      <c r="FPL1" s="136"/>
      <c r="FPM1" s="136"/>
      <c r="FPN1" s="136"/>
      <c r="FPO1" s="136"/>
      <c r="FPP1" s="136"/>
      <c r="FPQ1" s="136"/>
      <c r="FPR1" s="136"/>
      <c r="FPS1" s="136"/>
      <c r="FPT1" s="136"/>
      <c r="FPU1" s="136"/>
      <c r="FPV1" s="136"/>
      <c r="FPW1" s="136"/>
      <c r="FPX1" s="136"/>
      <c r="FPY1" s="136"/>
      <c r="FPZ1" s="136"/>
      <c r="FQA1" s="136"/>
      <c r="FQB1" s="136"/>
      <c r="FQC1" s="136"/>
      <c r="FQD1" s="136"/>
      <c r="FQE1" s="136"/>
      <c r="FQF1" s="136"/>
      <c r="FQG1" s="136"/>
      <c r="FQH1" s="136"/>
      <c r="FQI1" s="136"/>
      <c r="FQJ1" s="136"/>
      <c r="FQK1" s="136"/>
      <c r="FQL1" s="136"/>
      <c r="FQM1" s="136"/>
      <c r="FQN1" s="136"/>
      <c r="FQO1" s="136"/>
      <c r="FQP1" s="136"/>
      <c r="FQQ1" s="136"/>
      <c r="FQR1" s="136"/>
      <c r="FQS1" s="136"/>
      <c r="FQT1" s="136"/>
      <c r="FQU1" s="136"/>
      <c r="FQV1" s="136"/>
      <c r="FQW1" s="136"/>
      <c r="FQX1" s="136"/>
      <c r="FQY1" s="136"/>
      <c r="FQZ1" s="136"/>
      <c r="FRA1" s="136"/>
      <c r="FRB1" s="136"/>
      <c r="FRC1" s="136"/>
      <c r="FRD1" s="136"/>
      <c r="FRE1" s="136"/>
      <c r="FRF1" s="136"/>
      <c r="FRG1" s="136"/>
      <c r="FRH1" s="136"/>
      <c r="FRI1" s="136"/>
      <c r="FRJ1" s="136"/>
      <c r="FRK1" s="136"/>
      <c r="FRL1" s="136"/>
      <c r="FRM1" s="136"/>
      <c r="FRN1" s="136"/>
      <c r="FRO1" s="136"/>
      <c r="FRP1" s="136"/>
      <c r="FRQ1" s="136"/>
      <c r="FRR1" s="136"/>
      <c r="FRS1" s="136"/>
      <c r="FRT1" s="136"/>
      <c r="FRU1" s="136"/>
      <c r="FRV1" s="136"/>
      <c r="FRW1" s="136"/>
      <c r="FRX1" s="136"/>
      <c r="FRY1" s="136"/>
      <c r="FRZ1" s="136"/>
      <c r="FSA1" s="136"/>
      <c r="FSB1" s="136"/>
      <c r="FSC1" s="136"/>
      <c r="FSD1" s="136"/>
      <c r="FSE1" s="136"/>
      <c r="FSF1" s="136"/>
      <c r="FSG1" s="136"/>
      <c r="FSH1" s="136"/>
      <c r="FSI1" s="136"/>
      <c r="FSJ1" s="136"/>
      <c r="FSK1" s="136"/>
      <c r="FSL1" s="136"/>
      <c r="FSM1" s="136"/>
      <c r="FSN1" s="136"/>
      <c r="FSO1" s="136"/>
      <c r="FSP1" s="136"/>
      <c r="FSQ1" s="136"/>
      <c r="FSR1" s="136"/>
      <c r="FSS1" s="136"/>
      <c r="FST1" s="136"/>
      <c r="FSU1" s="136"/>
      <c r="FSV1" s="136"/>
      <c r="FSW1" s="136"/>
      <c r="FSX1" s="136"/>
      <c r="FSY1" s="136"/>
      <c r="FSZ1" s="136"/>
      <c r="FTA1" s="136"/>
      <c r="FTB1" s="136"/>
      <c r="FTC1" s="136"/>
      <c r="FTD1" s="136"/>
      <c r="FTE1" s="136"/>
      <c r="FTF1" s="136"/>
      <c r="FTG1" s="136"/>
      <c r="FTH1" s="136"/>
      <c r="FTI1" s="136"/>
      <c r="FTJ1" s="136"/>
      <c r="FTK1" s="136"/>
      <c r="FTL1" s="136"/>
      <c r="FTM1" s="136"/>
      <c r="FTN1" s="136"/>
      <c r="FTO1" s="136"/>
      <c r="FTP1" s="136"/>
      <c r="FTQ1" s="136"/>
      <c r="FTR1" s="136"/>
      <c r="FTS1" s="136"/>
      <c r="FTT1" s="136"/>
      <c r="FTU1" s="136"/>
      <c r="FTV1" s="136"/>
      <c r="FTW1" s="136"/>
      <c r="FTX1" s="136"/>
      <c r="FTY1" s="136"/>
      <c r="FTZ1" s="136"/>
      <c r="FUA1" s="136"/>
      <c r="FUB1" s="136"/>
      <c r="FUC1" s="136"/>
      <c r="FUD1" s="136"/>
      <c r="FUE1" s="136"/>
      <c r="FUF1" s="136"/>
      <c r="FUG1" s="136"/>
      <c r="FUH1" s="136"/>
      <c r="FUI1" s="136"/>
      <c r="FUJ1" s="136"/>
      <c r="FUK1" s="136"/>
      <c r="FUL1" s="136"/>
      <c r="FUM1" s="136"/>
      <c r="FUN1" s="136"/>
      <c r="FUO1" s="136"/>
      <c r="FUP1" s="136"/>
      <c r="FUQ1" s="136"/>
      <c r="FUR1" s="136"/>
      <c r="FUS1" s="136"/>
      <c r="FUT1" s="136"/>
      <c r="FUU1" s="136"/>
      <c r="FUV1" s="136"/>
      <c r="FUW1" s="136"/>
      <c r="FUX1" s="136"/>
      <c r="FUY1" s="136"/>
      <c r="FUZ1" s="136"/>
      <c r="FVA1" s="136"/>
      <c r="FVB1" s="136"/>
      <c r="FVC1" s="136"/>
      <c r="FVD1" s="136"/>
      <c r="FVE1" s="136"/>
      <c r="FVF1" s="136"/>
      <c r="FVG1" s="136"/>
      <c r="FVH1" s="136"/>
      <c r="FVI1" s="136"/>
      <c r="FVJ1" s="136"/>
      <c r="FVK1" s="136"/>
      <c r="FVL1" s="136"/>
      <c r="FVM1" s="136"/>
      <c r="FVN1" s="136"/>
      <c r="FVO1" s="136"/>
      <c r="FVP1" s="136"/>
      <c r="FVQ1" s="136"/>
      <c r="FVR1" s="136"/>
      <c r="FVS1" s="136"/>
      <c r="FVT1" s="136"/>
      <c r="FVU1" s="136"/>
      <c r="FVV1" s="136"/>
      <c r="FVW1" s="136"/>
      <c r="FVX1" s="136"/>
      <c r="FVY1" s="136"/>
      <c r="FVZ1" s="136"/>
      <c r="FWA1" s="136"/>
      <c r="FWB1" s="136"/>
      <c r="FWC1" s="136"/>
      <c r="FWD1" s="136"/>
      <c r="FWE1" s="136"/>
      <c r="FWF1" s="136"/>
      <c r="FWG1" s="136"/>
      <c r="FWH1" s="136"/>
      <c r="FWI1" s="136"/>
      <c r="FWJ1" s="136"/>
      <c r="FWK1" s="136"/>
      <c r="FWL1" s="136"/>
      <c r="FWM1" s="136"/>
      <c r="FWN1" s="136"/>
      <c r="FWO1" s="136"/>
      <c r="FWP1" s="136"/>
      <c r="FWQ1" s="136"/>
      <c r="FWR1" s="136"/>
      <c r="FWS1" s="136"/>
      <c r="FWT1" s="136"/>
      <c r="FWU1" s="136"/>
      <c r="FWV1" s="136"/>
      <c r="FWW1" s="136"/>
      <c r="FWX1" s="136"/>
      <c r="FWY1" s="136"/>
      <c r="FWZ1" s="136"/>
      <c r="FXA1" s="136"/>
      <c r="FXB1" s="136"/>
      <c r="FXC1" s="136"/>
      <c r="FXD1" s="136"/>
      <c r="FXE1" s="136"/>
      <c r="FXF1" s="136"/>
      <c r="FXG1" s="136"/>
      <c r="FXH1" s="136"/>
      <c r="FXI1" s="136"/>
      <c r="FXJ1" s="136"/>
      <c r="FXK1" s="136"/>
      <c r="FXL1" s="136"/>
      <c r="FXM1" s="136"/>
      <c r="FXN1" s="136"/>
      <c r="FXO1" s="136"/>
      <c r="FXP1" s="136"/>
      <c r="FXQ1" s="136"/>
      <c r="FXR1" s="136"/>
      <c r="FXS1" s="136"/>
      <c r="FXT1" s="136"/>
      <c r="FXU1" s="136"/>
      <c r="FXV1" s="136"/>
      <c r="FXW1" s="136"/>
      <c r="FXX1" s="136"/>
      <c r="FXY1" s="136"/>
      <c r="FXZ1" s="136"/>
      <c r="FYA1" s="136"/>
      <c r="FYB1" s="136"/>
      <c r="FYC1" s="136"/>
      <c r="FYD1" s="136"/>
      <c r="FYE1" s="136"/>
      <c r="FYF1" s="136"/>
      <c r="FYG1" s="136"/>
      <c r="FYH1" s="136"/>
      <c r="FYI1" s="136"/>
      <c r="FYJ1" s="136"/>
      <c r="FYK1" s="136"/>
      <c r="FYL1" s="136"/>
      <c r="FYM1" s="136"/>
      <c r="FYN1" s="136"/>
      <c r="FYO1" s="136"/>
      <c r="FYP1" s="136"/>
      <c r="FYQ1" s="136"/>
      <c r="FYR1" s="136"/>
      <c r="FYS1" s="136"/>
      <c r="FYT1" s="136"/>
      <c r="FYU1" s="136"/>
      <c r="FYV1" s="136"/>
      <c r="FYW1" s="136"/>
      <c r="FYX1" s="136"/>
      <c r="FYY1" s="136"/>
      <c r="FYZ1" s="136"/>
      <c r="FZA1" s="136"/>
      <c r="FZB1" s="136"/>
      <c r="FZC1" s="136"/>
      <c r="FZD1" s="136"/>
      <c r="FZE1" s="136"/>
      <c r="FZF1" s="136"/>
      <c r="FZG1" s="136"/>
      <c r="FZH1" s="136"/>
      <c r="FZI1" s="136"/>
      <c r="FZJ1" s="136"/>
      <c r="FZK1" s="136"/>
      <c r="FZL1" s="136"/>
      <c r="FZM1" s="136"/>
      <c r="FZN1" s="136"/>
      <c r="FZO1" s="136"/>
      <c r="FZP1" s="136"/>
      <c r="FZQ1" s="136"/>
      <c r="FZR1" s="136"/>
      <c r="FZS1" s="136"/>
      <c r="FZT1" s="136"/>
      <c r="FZU1" s="136"/>
      <c r="FZV1" s="136"/>
      <c r="FZW1" s="136"/>
      <c r="FZX1" s="136"/>
      <c r="FZY1" s="136"/>
      <c r="FZZ1" s="136"/>
      <c r="GAA1" s="136"/>
      <c r="GAB1" s="136"/>
      <c r="GAC1" s="136"/>
      <c r="GAD1" s="136"/>
      <c r="GAE1" s="136"/>
      <c r="GAF1" s="136"/>
      <c r="GAG1" s="136"/>
      <c r="GAH1" s="136"/>
      <c r="GAI1" s="136"/>
      <c r="GAJ1" s="136"/>
      <c r="GAK1" s="136"/>
      <c r="GAL1" s="136"/>
      <c r="GAM1" s="136"/>
      <c r="GAN1" s="136"/>
      <c r="GAO1" s="136"/>
      <c r="GAP1" s="136"/>
      <c r="GAQ1" s="136"/>
      <c r="GAR1" s="136"/>
      <c r="GAS1" s="136"/>
      <c r="GAT1" s="136"/>
      <c r="GAU1" s="136"/>
      <c r="GAV1" s="136"/>
      <c r="GAW1" s="136"/>
      <c r="GAX1" s="136"/>
      <c r="GAY1" s="136"/>
      <c r="GAZ1" s="136"/>
      <c r="GBA1" s="136"/>
      <c r="GBB1" s="136"/>
      <c r="GBC1" s="136"/>
      <c r="GBD1" s="136"/>
      <c r="GBE1" s="136"/>
      <c r="GBF1" s="136"/>
      <c r="GBG1" s="136"/>
      <c r="GBH1" s="136"/>
      <c r="GBI1" s="136"/>
      <c r="GBJ1" s="136"/>
      <c r="GBK1" s="136"/>
      <c r="GBL1" s="136"/>
      <c r="GBM1" s="136"/>
      <c r="GBN1" s="136"/>
      <c r="GBO1" s="136"/>
      <c r="GBP1" s="136"/>
      <c r="GBQ1" s="136"/>
      <c r="GBR1" s="136"/>
      <c r="GBS1" s="136"/>
      <c r="GBT1" s="136"/>
      <c r="GBU1" s="136"/>
      <c r="GBV1" s="136"/>
      <c r="GBW1" s="136"/>
      <c r="GBX1" s="136"/>
      <c r="GBY1" s="136"/>
      <c r="GBZ1" s="136"/>
      <c r="GCA1" s="136"/>
      <c r="GCB1" s="136"/>
      <c r="GCC1" s="136"/>
      <c r="GCD1" s="136"/>
      <c r="GCE1" s="136"/>
      <c r="GCF1" s="136"/>
      <c r="GCG1" s="136"/>
      <c r="GCH1" s="136"/>
      <c r="GCI1" s="136"/>
      <c r="GCJ1" s="136"/>
      <c r="GCK1" s="136"/>
      <c r="GCL1" s="136"/>
      <c r="GCM1" s="136"/>
      <c r="GCN1" s="136"/>
      <c r="GCO1" s="136"/>
      <c r="GCP1" s="136"/>
      <c r="GCQ1" s="136"/>
      <c r="GCR1" s="136"/>
      <c r="GCS1" s="136"/>
      <c r="GCT1" s="136"/>
      <c r="GCU1" s="136"/>
      <c r="GCV1" s="136"/>
      <c r="GCW1" s="136"/>
      <c r="GCX1" s="136"/>
      <c r="GCY1" s="136"/>
      <c r="GCZ1" s="136"/>
      <c r="GDA1" s="136"/>
      <c r="GDB1" s="136"/>
      <c r="GDC1" s="136"/>
      <c r="GDD1" s="136"/>
      <c r="GDE1" s="136"/>
      <c r="GDF1" s="136"/>
      <c r="GDG1" s="136"/>
      <c r="GDH1" s="136"/>
      <c r="GDI1" s="136"/>
      <c r="GDJ1" s="136"/>
      <c r="GDK1" s="136"/>
      <c r="GDL1" s="136"/>
      <c r="GDM1" s="136"/>
      <c r="GDN1" s="136"/>
      <c r="GDO1" s="136"/>
      <c r="GDP1" s="136"/>
      <c r="GDQ1" s="136"/>
      <c r="GDR1" s="136"/>
      <c r="GDS1" s="136"/>
      <c r="GDT1" s="136"/>
      <c r="GDU1" s="136"/>
      <c r="GDV1" s="136"/>
      <c r="GDW1" s="136"/>
      <c r="GDX1" s="136"/>
      <c r="GDY1" s="136"/>
      <c r="GDZ1" s="136"/>
      <c r="GEA1" s="136"/>
      <c r="GEB1" s="136"/>
      <c r="GEC1" s="136"/>
      <c r="GED1" s="136"/>
      <c r="GEE1" s="136"/>
      <c r="GEF1" s="136"/>
      <c r="GEG1" s="136"/>
      <c r="GEH1" s="136"/>
      <c r="GEI1" s="136"/>
      <c r="GEJ1" s="136"/>
      <c r="GEK1" s="136"/>
      <c r="GEL1" s="136"/>
      <c r="GEM1" s="136"/>
      <c r="GEN1" s="136"/>
      <c r="GEO1" s="136"/>
      <c r="GEP1" s="136"/>
      <c r="GEQ1" s="136"/>
      <c r="GER1" s="136"/>
      <c r="GES1" s="136"/>
      <c r="GET1" s="136"/>
      <c r="GEU1" s="136"/>
      <c r="GEV1" s="136"/>
      <c r="GEW1" s="136"/>
      <c r="GEX1" s="136"/>
      <c r="GEY1" s="136"/>
      <c r="GEZ1" s="136"/>
      <c r="GFA1" s="136"/>
      <c r="GFB1" s="136"/>
      <c r="GFC1" s="136"/>
      <c r="GFD1" s="136"/>
      <c r="GFE1" s="136"/>
      <c r="GFF1" s="136"/>
      <c r="GFG1" s="136"/>
      <c r="GFH1" s="136"/>
      <c r="GFI1" s="136"/>
      <c r="GFJ1" s="136"/>
      <c r="GFK1" s="136"/>
      <c r="GFL1" s="136"/>
      <c r="GFM1" s="136"/>
      <c r="GFN1" s="136"/>
      <c r="GFO1" s="136"/>
      <c r="GFP1" s="136"/>
      <c r="GFQ1" s="136"/>
      <c r="GFR1" s="136"/>
      <c r="GFS1" s="136"/>
      <c r="GFT1" s="136"/>
      <c r="GFU1" s="136"/>
      <c r="GFV1" s="136"/>
      <c r="GFW1" s="136"/>
      <c r="GFX1" s="136"/>
      <c r="GFY1" s="136"/>
      <c r="GFZ1" s="136"/>
      <c r="GGA1" s="136"/>
      <c r="GGB1" s="136"/>
      <c r="GGC1" s="136"/>
      <c r="GGD1" s="136"/>
      <c r="GGE1" s="136"/>
      <c r="GGF1" s="136"/>
      <c r="GGG1" s="136"/>
      <c r="GGH1" s="136"/>
      <c r="GGI1" s="136"/>
      <c r="GGJ1" s="136"/>
      <c r="GGK1" s="136"/>
      <c r="GGL1" s="136"/>
      <c r="GGM1" s="136"/>
      <c r="GGN1" s="136"/>
      <c r="GGO1" s="136"/>
      <c r="GGP1" s="136"/>
      <c r="GGQ1" s="136"/>
      <c r="GGR1" s="136"/>
      <c r="GGS1" s="136"/>
      <c r="GGT1" s="136"/>
      <c r="GGU1" s="136"/>
      <c r="GGV1" s="136"/>
      <c r="GGW1" s="136"/>
      <c r="GGX1" s="136"/>
      <c r="GGY1" s="136"/>
      <c r="GGZ1" s="136"/>
      <c r="GHA1" s="136"/>
      <c r="GHB1" s="136"/>
      <c r="GHC1" s="136"/>
      <c r="GHD1" s="136"/>
      <c r="GHE1" s="136"/>
      <c r="GHF1" s="136"/>
      <c r="GHG1" s="136"/>
      <c r="GHH1" s="136"/>
      <c r="GHI1" s="136"/>
      <c r="GHJ1" s="136"/>
      <c r="GHK1" s="136"/>
      <c r="GHL1" s="136"/>
      <c r="GHM1" s="136"/>
      <c r="GHN1" s="136"/>
      <c r="GHO1" s="136"/>
      <c r="GHP1" s="136"/>
      <c r="GHQ1" s="136"/>
      <c r="GHR1" s="136"/>
      <c r="GHS1" s="136"/>
      <c r="GHT1" s="136"/>
      <c r="GHU1" s="136"/>
      <c r="GHV1" s="136"/>
      <c r="GHW1" s="136"/>
      <c r="GHX1" s="136"/>
      <c r="GHY1" s="136"/>
      <c r="GHZ1" s="136"/>
      <c r="GIA1" s="136"/>
      <c r="GIB1" s="136"/>
      <c r="GIC1" s="136"/>
      <c r="GID1" s="136"/>
      <c r="GIE1" s="136"/>
      <c r="GIF1" s="136"/>
      <c r="GIG1" s="136"/>
      <c r="GIH1" s="136"/>
      <c r="GII1" s="136"/>
      <c r="GIJ1" s="136"/>
      <c r="GIK1" s="136"/>
      <c r="GIL1" s="136"/>
      <c r="GIM1" s="136"/>
      <c r="GIN1" s="136"/>
      <c r="GIO1" s="136"/>
      <c r="GIP1" s="136"/>
      <c r="GIQ1" s="136"/>
      <c r="GIR1" s="136"/>
      <c r="GIS1" s="136"/>
      <c r="GIT1" s="136"/>
      <c r="GIU1" s="136"/>
      <c r="GIV1" s="136"/>
      <c r="GIW1" s="136"/>
      <c r="GIX1" s="136"/>
      <c r="GIY1" s="136"/>
      <c r="GIZ1" s="136"/>
      <c r="GJA1" s="136"/>
      <c r="GJB1" s="136"/>
      <c r="GJC1" s="136"/>
      <c r="GJD1" s="136"/>
      <c r="GJE1" s="136"/>
      <c r="GJF1" s="136"/>
      <c r="GJG1" s="136"/>
      <c r="GJH1" s="136"/>
      <c r="GJI1" s="136"/>
      <c r="GJJ1" s="136"/>
      <c r="GJK1" s="136"/>
      <c r="GJL1" s="136"/>
      <c r="GJM1" s="136"/>
      <c r="GJN1" s="136"/>
      <c r="GJO1" s="136"/>
      <c r="GJP1" s="136"/>
      <c r="GJQ1" s="136"/>
      <c r="GJR1" s="136"/>
      <c r="GJS1" s="136"/>
      <c r="GJT1" s="136"/>
      <c r="GJU1" s="136"/>
      <c r="GJV1" s="136"/>
      <c r="GJW1" s="136"/>
      <c r="GJX1" s="136"/>
      <c r="GJY1" s="136"/>
      <c r="GJZ1" s="136"/>
      <c r="GKA1" s="136"/>
      <c r="GKB1" s="136"/>
      <c r="GKC1" s="136"/>
      <c r="GKD1" s="136"/>
      <c r="GKE1" s="136"/>
      <c r="GKF1" s="136"/>
      <c r="GKG1" s="136"/>
      <c r="GKH1" s="136"/>
      <c r="GKI1" s="136"/>
      <c r="GKJ1" s="136"/>
      <c r="GKK1" s="136"/>
      <c r="GKL1" s="136"/>
      <c r="GKM1" s="136"/>
      <c r="GKN1" s="136"/>
      <c r="GKO1" s="136"/>
      <c r="GKP1" s="136"/>
      <c r="GKQ1" s="136"/>
      <c r="GKR1" s="136"/>
      <c r="GKS1" s="136"/>
      <c r="GKT1" s="136"/>
      <c r="GKU1" s="136"/>
      <c r="GKV1" s="136"/>
      <c r="GKW1" s="136"/>
      <c r="GKX1" s="136"/>
      <c r="GKY1" s="136"/>
      <c r="GKZ1" s="136"/>
      <c r="GLA1" s="136"/>
      <c r="GLB1" s="136"/>
      <c r="GLC1" s="136"/>
      <c r="GLD1" s="136"/>
      <c r="GLE1" s="136"/>
      <c r="GLF1" s="136"/>
      <c r="GLG1" s="136"/>
      <c r="GLH1" s="136"/>
      <c r="GLI1" s="136"/>
      <c r="GLJ1" s="136"/>
      <c r="GLK1" s="136"/>
      <c r="GLL1" s="136"/>
      <c r="GLM1" s="136"/>
      <c r="GLN1" s="136"/>
      <c r="GLO1" s="136"/>
      <c r="GLP1" s="136"/>
      <c r="GLQ1" s="136"/>
      <c r="GLR1" s="136"/>
      <c r="GLS1" s="136"/>
      <c r="GLT1" s="136"/>
      <c r="GLU1" s="136"/>
      <c r="GLV1" s="136"/>
      <c r="GLW1" s="136"/>
      <c r="GLX1" s="136"/>
      <c r="GLY1" s="136"/>
      <c r="GLZ1" s="136"/>
      <c r="GMA1" s="136"/>
      <c r="GMB1" s="136"/>
      <c r="GMC1" s="136"/>
      <c r="GMD1" s="136"/>
      <c r="GME1" s="136"/>
      <c r="GMF1" s="136"/>
      <c r="GMG1" s="136"/>
      <c r="GMH1" s="136"/>
      <c r="GMI1" s="136"/>
      <c r="GMJ1" s="136"/>
      <c r="GMK1" s="136"/>
      <c r="GML1" s="136"/>
      <c r="GMM1" s="136"/>
      <c r="GMN1" s="136"/>
      <c r="GMO1" s="136"/>
      <c r="GMP1" s="136"/>
      <c r="GMQ1" s="136"/>
      <c r="GMR1" s="136"/>
      <c r="GMS1" s="136"/>
      <c r="GMT1" s="136"/>
      <c r="GMU1" s="136"/>
      <c r="GMV1" s="136"/>
      <c r="GMW1" s="136"/>
      <c r="GMX1" s="136"/>
      <c r="GMY1" s="136"/>
      <c r="GMZ1" s="136"/>
      <c r="GNA1" s="136"/>
      <c r="GNB1" s="136"/>
      <c r="GNC1" s="136"/>
      <c r="GND1" s="136"/>
      <c r="GNE1" s="136"/>
      <c r="GNF1" s="136"/>
      <c r="GNG1" s="136"/>
      <c r="GNH1" s="136"/>
      <c r="GNI1" s="136"/>
      <c r="GNJ1" s="136"/>
      <c r="GNK1" s="136"/>
      <c r="GNL1" s="136"/>
      <c r="GNM1" s="136"/>
      <c r="GNN1" s="136"/>
      <c r="GNO1" s="136"/>
      <c r="GNP1" s="136"/>
      <c r="GNQ1" s="136"/>
      <c r="GNR1" s="136"/>
      <c r="GNS1" s="136"/>
      <c r="GNT1" s="136"/>
      <c r="GNU1" s="136"/>
      <c r="GNV1" s="136"/>
      <c r="GNW1" s="136"/>
      <c r="GNX1" s="136"/>
      <c r="GNY1" s="136"/>
      <c r="GNZ1" s="136"/>
      <c r="GOA1" s="136"/>
      <c r="GOB1" s="136"/>
      <c r="GOC1" s="136"/>
      <c r="GOD1" s="136"/>
      <c r="GOE1" s="136"/>
      <c r="GOF1" s="136"/>
      <c r="GOG1" s="136"/>
      <c r="GOH1" s="136"/>
      <c r="GOI1" s="136"/>
      <c r="GOJ1" s="136"/>
      <c r="GOK1" s="136"/>
      <c r="GOL1" s="136"/>
      <c r="GOM1" s="136"/>
      <c r="GON1" s="136"/>
      <c r="GOO1" s="136"/>
      <c r="GOP1" s="136"/>
      <c r="GOQ1" s="136"/>
      <c r="GOR1" s="136"/>
      <c r="GOS1" s="136"/>
      <c r="GOT1" s="136"/>
      <c r="GOU1" s="136"/>
      <c r="GOV1" s="136"/>
      <c r="GOW1" s="136"/>
      <c r="GOX1" s="136"/>
      <c r="GOY1" s="136"/>
      <c r="GOZ1" s="136"/>
      <c r="GPA1" s="136"/>
      <c r="GPB1" s="136"/>
      <c r="GPC1" s="136"/>
      <c r="GPD1" s="136"/>
      <c r="GPE1" s="136"/>
      <c r="GPF1" s="136"/>
      <c r="GPG1" s="136"/>
      <c r="GPH1" s="136"/>
      <c r="GPI1" s="136"/>
      <c r="GPJ1" s="136"/>
      <c r="GPK1" s="136"/>
      <c r="GPL1" s="136"/>
      <c r="GPM1" s="136"/>
      <c r="GPN1" s="136"/>
      <c r="GPO1" s="136"/>
      <c r="GPP1" s="136"/>
      <c r="GPQ1" s="136"/>
      <c r="GPR1" s="136"/>
      <c r="GPS1" s="136"/>
      <c r="GPT1" s="136"/>
      <c r="GPU1" s="136"/>
      <c r="GPV1" s="136"/>
      <c r="GPW1" s="136"/>
      <c r="GPX1" s="136"/>
      <c r="GPY1" s="136"/>
      <c r="GPZ1" s="136"/>
      <c r="GQA1" s="136"/>
      <c r="GQB1" s="136"/>
      <c r="GQC1" s="136"/>
      <c r="GQD1" s="136"/>
      <c r="GQE1" s="136"/>
      <c r="GQF1" s="136"/>
      <c r="GQG1" s="136"/>
      <c r="GQH1" s="136"/>
      <c r="GQI1" s="136"/>
      <c r="GQJ1" s="136"/>
      <c r="GQK1" s="136"/>
      <c r="GQL1" s="136"/>
      <c r="GQM1" s="136"/>
      <c r="GQN1" s="136"/>
      <c r="GQO1" s="136"/>
      <c r="GQP1" s="136"/>
      <c r="GQQ1" s="136"/>
      <c r="GQR1" s="136"/>
      <c r="GQS1" s="136"/>
      <c r="GQT1" s="136"/>
      <c r="GQU1" s="136"/>
      <c r="GQV1" s="136"/>
      <c r="GQW1" s="136"/>
      <c r="GQX1" s="136"/>
      <c r="GQY1" s="136"/>
      <c r="GQZ1" s="136"/>
      <c r="GRA1" s="136"/>
      <c r="GRB1" s="136"/>
      <c r="GRC1" s="136"/>
      <c r="GRD1" s="136"/>
      <c r="GRE1" s="136"/>
      <c r="GRF1" s="136"/>
      <c r="GRG1" s="136"/>
      <c r="GRH1" s="136"/>
      <c r="GRI1" s="136"/>
      <c r="GRJ1" s="136"/>
      <c r="GRK1" s="136"/>
      <c r="GRL1" s="136"/>
      <c r="GRM1" s="136"/>
      <c r="GRN1" s="136"/>
      <c r="GRO1" s="136"/>
      <c r="GRP1" s="136"/>
      <c r="GRQ1" s="136"/>
      <c r="GRR1" s="136"/>
      <c r="GRS1" s="136"/>
      <c r="GRT1" s="136"/>
      <c r="GRU1" s="136"/>
      <c r="GRV1" s="136"/>
      <c r="GRW1" s="136"/>
      <c r="GRX1" s="136"/>
      <c r="GRY1" s="136"/>
      <c r="GRZ1" s="136"/>
      <c r="GSA1" s="136"/>
      <c r="GSB1" s="136"/>
      <c r="GSC1" s="136"/>
      <c r="GSD1" s="136"/>
      <c r="GSE1" s="136"/>
      <c r="GSF1" s="136"/>
      <c r="GSG1" s="136"/>
      <c r="GSH1" s="136"/>
      <c r="GSI1" s="136"/>
      <c r="GSJ1" s="136"/>
      <c r="GSK1" s="136"/>
      <c r="GSL1" s="136"/>
      <c r="GSM1" s="136"/>
      <c r="GSN1" s="136"/>
      <c r="GSO1" s="136"/>
      <c r="GSP1" s="136"/>
      <c r="GSQ1" s="136"/>
      <c r="GSR1" s="136"/>
      <c r="GSS1" s="136"/>
      <c r="GST1" s="136"/>
      <c r="GSU1" s="136"/>
      <c r="GSV1" s="136"/>
      <c r="GSW1" s="136"/>
      <c r="GSX1" s="136"/>
      <c r="GSY1" s="136"/>
      <c r="GSZ1" s="136"/>
      <c r="GTA1" s="136"/>
      <c r="GTB1" s="136"/>
      <c r="GTC1" s="136"/>
      <c r="GTD1" s="136"/>
      <c r="GTE1" s="136"/>
      <c r="GTF1" s="136"/>
      <c r="GTG1" s="136"/>
      <c r="GTH1" s="136"/>
      <c r="GTI1" s="136"/>
      <c r="GTJ1" s="136"/>
      <c r="GTK1" s="136"/>
      <c r="GTL1" s="136"/>
      <c r="GTM1" s="136"/>
      <c r="GTN1" s="136"/>
      <c r="GTO1" s="136"/>
      <c r="GTP1" s="136"/>
      <c r="GTQ1" s="136"/>
      <c r="GTR1" s="136"/>
      <c r="GTS1" s="136"/>
      <c r="GTT1" s="136"/>
      <c r="GTU1" s="136"/>
      <c r="GTV1" s="136"/>
      <c r="GTW1" s="136"/>
      <c r="GTX1" s="136"/>
      <c r="GTY1" s="136"/>
      <c r="GTZ1" s="136"/>
      <c r="GUA1" s="136"/>
      <c r="GUB1" s="136"/>
      <c r="GUC1" s="136"/>
      <c r="GUD1" s="136"/>
      <c r="GUE1" s="136"/>
      <c r="GUF1" s="136"/>
      <c r="GUG1" s="136"/>
      <c r="GUH1" s="136"/>
      <c r="GUI1" s="136"/>
      <c r="GUJ1" s="136"/>
      <c r="GUK1" s="136"/>
      <c r="GUL1" s="136"/>
      <c r="GUM1" s="136"/>
      <c r="GUN1" s="136"/>
      <c r="GUO1" s="136"/>
      <c r="GUP1" s="136"/>
      <c r="GUQ1" s="136"/>
      <c r="GUR1" s="136"/>
      <c r="GUS1" s="136"/>
      <c r="GUT1" s="136"/>
      <c r="GUU1" s="136"/>
      <c r="GUV1" s="136"/>
      <c r="GUW1" s="136"/>
      <c r="GUX1" s="136"/>
      <c r="GUY1" s="136"/>
      <c r="GUZ1" s="136"/>
      <c r="GVA1" s="136"/>
      <c r="GVB1" s="136"/>
      <c r="GVC1" s="136"/>
      <c r="GVD1" s="136"/>
      <c r="GVE1" s="136"/>
      <c r="GVF1" s="136"/>
      <c r="GVG1" s="136"/>
      <c r="GVH1" s="136"/>
      <c r="GVI1" s="136"/>
      <c r="GVJ1" s="136"/>
      <c r="GVK1" s="136"/>
      <c r="GVL1" s="136"/>
      <c r="GVM1" s="136"/>
      <c r="GVN1" s="136"/>
      <c r="GVO1" s="136"/>
      <c r="GVP1" s="136"/>
      <c r="GVQ1" s="136"/>
      <c r="GVR1" s="136"/>
      <c r="GVS1" s="136"/>
      <c r="GVT1" s="136"/>
      <c r="GVU1" s="136"/>
      <c r="GVV1" s="136"/>
      <c r="GVW1" s="136"/>
      <c r="GVX1" s="136"/>
      <c r="GVY1" s="136"/>
      <c r="GVZ1" s="136"/>
      <c r="GWA1" s="136"/>
      <c r="GWB1" s="136"/>
      <c r="GWC1" s="136"/>
      <c r="GWD1" s="136"/>
      <c r="GWE1" s="136"/>
      <c r="GWF1" s="136"/>
      <c r="GWG1" s="136"/>
      <c r="GWH1" s="136"/>
      <c r="GWI1" s="136"/>
      <c r="GWJ1" s="136"/>
      <c r="GWK1" s="136"/>
      <c r="GWL1" s="136"/>
      <c r="GWM1" s="136"/>
      <c r="GWN1" s="136"/>
      <c r="GWO1" s="136"/>
      <c r="GWP1" s="136"/>
      <c r="GWQ1" s="136"/>
      <c r="GWR1" s="136"/>
      <c r="GWS1" s="136"/>
      <c r="GWT1" s="136"/>
      <c r="GWU1" s="136"/>
      <c r="GWV1" s="136"/>
      <c r="GWW1" s="136"/>
      <c r="GWX1" s="136"/>
      <c r="GWY1" s="136"/>
      <c r="GWZ1" s="136"/>
      <c r="GXA1" s="136"/>
      <c r="GXB1" s="136"/>
      <c r="GXC1" s="136"/>
      <c r="GXD1" s="136"/>
      <c r="GXE1" s="136"/>
      <c r="GXF1" s="136"/>
      <c r="GXG1" s="136"/>
      <c r="GXH1" s="136"/>
      <c r="GXI1" s="136"/>
      <c r="GXJ1" s="136"/>
      <c r="GXK1" s="136"/>
      <c r="GXL1" s="136"/>
      <c r="GXM1" s="136"/>
      <c r="GXN1" s="136"/>
      <c r="GXO1" s="136"/>
      <c r="GXP1" s="136"/>
      <c r="GXQ1" s="136"/>
      <c r="GXR1" s="136"/>
      <c r="GXS1" s="136"/>
      <c r="GXT1" s="136"/>
      <c r="GXU1" s="136"/>
      <c r="GXV1" s="136"/>
      <c r="GXW1" s="136"/>
      <c r="GXX1" s="136"/>
      <c r="GXY1" s="136"/>
      <c r="GXZ1" s="136"/>
      <c r="GYA1" s="136"/>
      <c r="GYB1" s="136"/>
      <c r="GYC1" s="136"/>
      <c r="GYD1" s="136"/>
      <c r="GYE1" s="136"/>
      <c r="GYF1" s="136"/>
      <c r="GYG1" s="136"/>
      <c r="GYH1" s="136"/>
      <c r="GYI1" s="136"/>
      <c r="GYJ1" s="136"/>
      <c r="GYK1" s="136"/>
      <c r="GYL1" s="136"/>
      <c r="GYM1" s="136"/>
      <c r="GYN1" s="136"/>
      <c r="GYO1" s="136"/>
      <c r="GYP1" s="136"/>
      <c r="GYQ1" s="136"/>
      <c r="GYR1" s="136"/>
      <c r="GYS1" s="136"/>
      <c r="GYT1" s="136"/>
      <c r="GYU1" s="136"/>
      <c r="GYV1" s="136"/>
      <c r="GYW1" s="136"/>
      <c r="GYX1" s="136"/>
      <c r="GYY1" s="136"/>
      <c r="GYZ1" s="136"/>
      <c r="GZA1" s="136"/>
      <c r="GZB1" s="136"/>
      <c r="GZC1" s="136"/>
      <c r="GZD1" s="136"/>
      <c r="GZE1" s="136"/>
      <c r="GZF1" s="136"/>
      <c r="GZG1" s="136"/>
      <c r="GZH1" s="136"/>
      <c r="GZI1" s="136"/>
      <c r="GZJ1" s="136"/>
      <c r="GZK1" s="136"/>
      <c r="GZL1" s="136"/>
      <c r="GZM1" s="136"/>
      <c r="GZN1" s="136"/>
      <c r="GZO1" s="136"/>
      <c r="GZP1" s="136"/>
      <c r="GZQ1" s="136"/>
      <c r="GZR1" s="136"/>
      <c r="GZS1" s="136"/>
      <c r="GZT1" s="136"/>
      <c r="GZU1" s="136"/>
      <c r="GZV1" s="136"/>
      <c r="GZW1" s="136"/>
      <c r="GZX1" s="136"/>
      <c r="GZY1" s="136"/>
      <c r="GZZ1" s="136"/>
      <c r="HAA1" s="136"/>
      <c r="HAB1" s="136"/>
      <c r="HAC1" s="136"/>
      <c r="HAD1" s="136"/>
      <c r="HAE1" s="136"/>
      <c r="HAF1" s="136"/>
      <c r="HAG1" s="136"/>
      <c r="HAH1" s="136"/>
      <c r="HAI1" s="136"/>
      <c r="HAJ1" s="136"/>
      <c r="HAK1" s="136"/>
      <c r="HAL1" s="136"/>
      <c r="HAM1" s="136"/>
      <c r="HAN1" s="136"/>
      <c r="HAO1" s="136"/>
      <c r="HAP1" s="136"/>
      <c r="HAQ1" s="136"/>
      <c r="HAR1" s="136"/>
      <c r="HAS1" s="136"/>
      <c r="HAT1" s="136"/>
      <c r="HAU1" s="136"/>
      <c r="HAV1" s="136"/>
      <c r="HAW1" s="136"/>
      <c r="HAX1" s="136"/>
      <c r="HAY1" s="136"/>
      <c r="HAZ1" s="136"/>
      <c r="HBA1" s="136"/>
      <c r="HBB1" s="136"/>
      <c r="HBC1" s="136"/>
      <c r="HBD1" s="136"/>
      <c r="HBE1" s="136"/>
      <c r="HBF1" s="136"/>
      <c r="HBG1" s="136"/>
      <c r="HBH1" s="136"/>
      <c r="HBI1" s="136"/>
      <c r="HBJ1" s="136"/>
      <c r="HBK1" s="136"/>
      <c r="HBL1" s="136"/>
      <c r="HBM1" s="136"/>
      <c r="HBN1" s="136"/>
      <c r="HBO1" s="136"/>
      <c r="HBP1" s="136"/>
      <c r="HBQ1" s="136"/>
      <c r="HBR1" s="136"/>
      <c r="HBS1" s="136"/>
      <c r="HBT1" s="136"/>
      <c r="HBU1" s="136"/>
      <c r="HBV1" s="136"/>
      <c r="HBW1" s="136"/>
      <c r="HBX1" s="136"/>
      <c r="HBY1" s="136"/>
      <c r="HBZ1" s="136"/>
      <c r="HCA1" s="136"/>
      <c r="HCB1" s="136"/>
      <c r="HCC1" s="136"/>
      <c r="HCD1" s="136"/>
      <c r="HCE1" s="136"/>
      <c r="HCF1" s="136"/>
      <c r="HCG1" s="136"/>
      <c r="HCH1" s="136"/>
      <c r="HCI1" s="136"/>
      <c r="HCJ1" s="136"/>
      <c r="HCK1" s="136"/>
      <c r="HCL1" s="136"/>
      <c r="HCM1" s="136"/>
      <c r="HCN1" s="136"/>
      <c r="HCO1" s="136"/>
      <c r="HCP1" s="136"/>
      <c r="HCQ1" s="136"/>
      <c r="HCR1" s="136"/>
      <c r="HCS1" s="136"/>
      <c r="HCT1" s="136"/>
      <c r="HCU1" s="136"/>
      <c r="HCV1" s="136"/>
      <c r="HCW1" s="136"/>
      <c r="HCX1" s="136"/>
      <c r="HCY1" s="136"/>
      <c r="HCZ1" s="136"/>
      <c r="HDA1" s="136"/>
      <c r="HDB1" s="136"/>
      <c r="HDC1" s="136"/>
      <c r="HDD1" s="136"/>
      <c r="HDE1" s="136"/>
      <c r="HDF1" s="136"/>
      <c r="HDG1" s="136"/>
      <c r="HDH1" s="136"/>
      <c r="HDI1" s="136"/>
      <c r="HDJ1" s="136"/>
      <c r="HDK1" s="136"/>
      <c r="HDL1" s="136"/>
      <c r="HDM1" s="136"/>
      <c r="HDN1" s="136"/>
      <c r="HDO1" s="136"/>
      <c r="HDP1" s="136"/>
      <c r="HDQ1" s="136"/>
      <c r="HDR1" s="136"/>
      <c r="HDS1" s="136"/>
      <c r="HDT1" s="136"/>
      <c r="HDU1" s="136"/>
      <c r="HDV1" s="136"/>
      <c r="HDW1" s="136"/>
      <c r="HDX1" s="136"/>
      <c r="HDY1" s="136"/>
      <c r="HDZ1" s="136"/>
      <c r="HEA1" s="136"/>
      <c r="HEB1" s="136"/>
      <c r="HEC1" s="136"/>
      <c r="HED1" s="136"/>
      <c r="HEE1" s="136"/>
      <c r="HEF1" s="136"/>
      <c r="HEG1" s="136"/>
      <c r="HEH1" s="136"/>
      <c r="HEI1" s="136"/>
      <c r="HEJ1" s="136"/>
      <c r="HEK1" s="136"/>
      <c r="HEL1" s="136"/>
      <c r="HEM1" s="136"/>
      <c r="HEN1" s="136"/>
      <c r="HEO1" s="136"/>
      <c r="HEP1" s="136"/>
      <c r="HEQ1" s="136"/>
      <c r="HER1" s="136"/>
      <c r="HES1" s="136"/>
      <c r="HET1" s="136"/>
      <c r="HEU1" s="136"/>
      <c r="HEV1" s="136"/>
      <c r="HEW1" s="136"/>
      <c r="HEX1" s="136"/>
      <c r="HEY1" s="136"/>
      <c r="HEZ1" s="136"/>
      <c r="HFA1" s="136"/>
      <c r="HFB1" s="136"/>
      <c r="HFC1" s="136"/>
      <c r="HFD1" s="136"/>
      <c r="HFE1" s="136"/>
      <c r="HFF1" s="136"/>
      <c r="HFG1" s="136"/>
      <c r="HFH1" s="136"/>
      <c r="HFI1" s="136"/>
      <c r="HFJ1" s="136"/>
      <c r="HFK1" s="136"/>
      <c r="HFL1" s="136"/>
      <c r="HFM1" s="136"/>
      <c r="HFN1" s="136"/>
      <c r="HFO1" s="136"/>
      <c r="HFP1" s="136"/>
      <c r="HFQ1" s="136"/>
      <c r="HFR1" s="136"/>
      <c r="HFS1" s="136"/>
      <c r="HFT1" s="136"/>
      <c r="HFU1" s="136"/>
      <c r="HFV1" s="136"/>
      <c r="HFW1" s="136"/>
      <c r="HFX1" s="136"/>
      <c r="HFY1" s="136"/>
      <c r="HFZ1" s="136"/>
      <c r="HGA1" s="136"/>
      <c r="HGB1" s="136"/>
      <c r="HGC1" s="136"/>
      <c r="HGD1" s="136"/>
      <c r="HGE1" s="136"/>
      <c r="HGF1" s="136"/>
      <c r="HGG1" s="136"/>
      <c r="HGH1" s="136"/>
      <c r="HGI1" s="136"/>
      <c r="HGJ1" s="136"/>
      <c r="HGK1" s="136"/>
      <c r="HGL1" s="136"/>
      <c r="HGM1" s="136"/>
      <c r="HGN1" s="136"/>
      <c r="HGO1" s="136"/>
      <c r="HGP1" s="136"/>
      <c r="HGQ1" s="136"/>
      <c r="HGR1" s="136"/>
      <c r="HGS1" s="136"/>
      <c r="HGT1" s="136"/>
      <c r="HGU1" s="136"/>
      <c r="HGV1" s="136"/>
      <c r="HGW1" s="136"/>
      <c r="HGX1" s="136"/>
      <c r="HGY1" s="136"/>
      <c r="HGZ1" s="136"/>
      <c r="HHA1" s="136"/>
      <c r="HHB1" s="136"/>
      <c r="HHC1" s="136"/>
      <c r="HHD1" s="136"/>
      <c r="HHE1" s="136"/>
      <c r="HHF1" s="136"/>
      <c r="HHG1" s="136"/>
      <c r="HHH1" s="136"/>
      <c r="HHI1" s="136"/>
      <c r="HHJ1" s="136"/>
      <c r="HHK1" s="136"/>
      <c r="HHL1" s="136"/>
      <c r="HHM1" s="136"/>
      <c r="HHN1" s="136"/>
      <c r="HHO1" s="136"/>
      <c r="HHP1" s="136"/>
      <c r="HHQ1" s="136"/>
      <c r="HHR1" s="136"/>
      <c r="HHS1" s="136"/>
      <c r="HHT1" s="136"/>
      <c r="HHU1" s="136"/>
      <c r="HHV1" s="136"/>
      <c r="HHW1" s="136"/>
      <c r="HHX1" s="136"/>
      <c r="HHY1" s="136"/>
      <c r="HHZ1" s="136"/>
      <c r="HIA1" s="136"/>
      <c r="HIB1" s="136"/>
      <c r="HIC1" s="136"/>
      <c r="HID1" s="136"/>
      <c r="HIE1" s="136"/>
      <c r="HIF1" s="136"/>
      <c r="HIG1" s="136"/>
      <c r="HIH1" s="136"/>
      <c r="HII1" s="136"/>
      <c r="HIJ1" s="136"/>
      <c r="HIK1" s="136"/>
      <c r="HIL1" s="136"/>
      <c r="HIM1" s="136"/>
      <c r="HIN1" s="136"/>
      <c r="HIO1" s="136"/>
      <c r="HIP1" s="136"/>
      <c r="HIQ1" s="136"/>
      <c r="HIR1" s="136"/>
      <c r="HIS1" s="136"/>
      <c r="HIT1" s="136"/>
      <c r="HIU1" s="136"/>
      <c r="HIV1" s="136"/>
      <c r="HIW1" s="136"/>
      <c r="HIX1" s="136"/>
      <c r="HIY1" s="136"/>
      <c r="HIZ1" s="136"/>
      <c r="HJA1" s="136"/>
      <c r="HJB1" s="136"/>
      <c r="HJC1" s="136"/>
      <c r="HJD1" s="136"/>
      <c r="HJE1" s="136"/>
      <c r="HJF1" s="136"/>
      <c r="HJG1" s="136"/>
      <c r="HJH1" s="136"/>
      <c r="HJI1" s="136"/>
      <c r="HJJ1" s="136"/>
      <c r="HJK1" s="136"/>
      <c r="HJL1" s="136"/>
      <c r="HJM1" s="136"/>
      <c r="HJN1" s="136"/>
      <c r="HJO1" s="136"/>
      <c r="HJP1" s="136"/>
      <c r="HJQ1" s="136"/>
      <c r="HJR1" s="136"/>
      <c r="HJS1" s="136"/>
      <c r="HJT1" s="136"/>
      <c r="HJU1" s="136"/>
      <c r="HJV1" s="136"/>
      <c r="HJW1" s="136"/>
      <c r="HJX1" s="136"/>
      <c r="HJY1" s="136"/>
      <c r="HJZ1" s="136"/>
      <c r="HKA1" s="136"/>
      <c r="HKB1" s="136"/>
      <c r="HKC1" s="136"/>
      <c r="HKD1" s="136"/>
      <c r="HKE1" s="136"/>
      <c r="HKF1" s="136"/>
      <c r="HKG1" s="136"/>
      <c r="HKH1" s="136"/>
      <c r="HKI1" s="136"/>
      <c r="HKJ1" s="136"/>
      <c r="HKK1" s="136"/>
      <c r="HKL1" s="136"/>
      <c r="HKM1" s="136"/>
      <c r="HKN1" s="136"/>
      <c r="HKO1" s="136"/>
      <c r="HKP1" s="136"/>
      <c r="HKQ1" s="136"/>
      <c r="HKR1" s="136"/>
      <c r="HKS1" s="136"/>
      <c r="HKT1" s="136"/>
      <c r="HKU1" s="136"/>
      <c r="HKV1" s="136"/>
      <c r="HKW1" s="136"/>
      <c r="HKX1" s="136"/>
      <c r="HKY1" s="136"/>
      <c r="HKZ1" s="136"/>
      <c r="HLA1" s="136"/>
      <c r="HLB1" s="136"/>
      <c r="HLC1" s="136"/>
      <c r="HLD1" s="136"/>
      <c r="HLE1" s="136"/>
      <c r="HLF1" s="136"/>
      <c r="HLG1" s="136"/>
      <c r="HLH1" s="136"/>
      <c r="HLI1" s="136"/>
      <c r="HLJ1" s="136"/>
      <c r="HLK1" s="136"/>
      <c r="HLL1" s="136"/>
      <c r="HLM1" s="136"/>
      <c r="HLN1" s="136"/>
      <c r="HLO1" s="136"/>
      <c r="HLP1" s="136"/>
      <c r="HLQ1" s="136"/>
      <c r="HLR1" s="136"/>
      <c r="HLS1" s="136"/>
      <c r="HLT1" s="136"/>
      <c r="HLU1" s="136"/>
      <c r="HLV1" s="136"/>
      <c r="HLW1" s="136"/>
      <c r="HLX1" s="136"/>
      <c r="HLY1" s="136"/>
      <c r="HLZ1" s="136"/>
      <c r="HMA1" s="136"/>
      <c r="HMB1" s="136"/>
      <c r="HMC1" s="136"/>
      <c r="HMD1" s="136"/>
      <c r="HME1" s="136"/>
      <c r="HMF1" s="136"/>
      <c r="HMG1" s="136"/>
      <c r="HMH1" s="136"/>
      <c r="HMI1" s="136"/>
      <c r="HMJ1" s="136"/>
      <c r="HMK1" s="136"/>
      <c r="HML1" s="136"/>
      <c r="HMM1" s="136"/>
      <c r="HMN1" s="136"/>
      <c r="HMO1" s="136"/>
      <c r="HMP1" s="136"/>
      <c r="HMQ1" s="136"/>
      <c r="HMR1" s="136"/>
      <c r="HMS1" s="136"/>
      <c r="HMT1" s="136"/>
      <c r="HMU1" s="136"/>
      <c r="HMV1" s="136"/>
      <c r="HMW1" s="136"/>
      <c r="HMX1" s="136"/>
      <c r="HMY1" s="136"/>
      <c r="HMZ1" s="136"/>
      <c r="HNA1" s="136"/>
      <c r="HNB1" s="136"/>
      <c r="HNC1" s="136"/>
      <c r="HND1" s="136"/>
      <c r="HNE1" s="136"/>
      <c r="HNF1" s="136"/>
      <c r="HNG1" s="136"/>
      <c r="HNH1" s="136"/>
      <c r="HNI1" s="136"/>
      <c r="HNJ1" s="136"/>
      <c r="HNK1" s="136"/>
      <c r="HNL1" s="136"/>
      <c r="HNM1" s="136"/>
      <c r="HNN1" s="136"/>
      <c r="HNO1" s="136"/>
      <c r="HNP1" s="136"/>
      <c r="HNQ1" s="136"/>
      <c r="HNR1" s="136"/>
      <c r="HNS1" s="136"/>
      <c r="HNT1" s="136"/>
      <c r="HNU1" s="136"/>
      <c r="HNV1" s="136"/>
      <c r="HNW1" s="136"/>
      <c r="HNX1" s="136"/>
      <c r="HNY1" s="136"/>
      <c r="HNZ1" s="136"/>
      <c r="HOA1" s="136"/>
      <c r="HOB1" s="136"/>
      <c r="HOC1" s="136"/>
      <c r="HOD1" s="136"/>
      <c r="HOE1" s="136"/>
      <c r="HOF1" s="136"/>
      <c r="HOG1" s="136"/>
      <c r="HOH1" s="136"/>
      <c r="HOI1" s="136"/>
      <c r="HOJ1" s="136"/>
      <c r="HOK1" s="136"/>
      <c r="HOL1" s="136"/>
      <c r="HOM1" s="136"/>
      <c r="HON1" s="136"/>
      <c r="HOO1" s="136"/>
      <c r="HOP1" s="136"/>
      <c r="HOQ1" s="136"/>
      <c r="HOR1" s="136"/>
      <c r="HOS1" s="136"/>
      <c r="HOT1" s="136"/>
      <c r="HOU1" s="136"/>
      <c r="HOV1" s="136"/>
      <c r="HOW1" s="136"/>
      <c r="HOX1" s="136"/>
      <c r="HOY1" s="136"/>
      <c r="HOZ1" s="136"/>
      <c r="HPA1" s="136"/>
      <c r="HPB1" s="136"/>
      <c r="HPC1" s="136"/>
      <c r="HPD1" s="136"/>
      <c r="HPE1" s="136"/>
      <c r="HPF1" s="136"/>
      <c r="HPG1" s="136"/>
      <c r="HPH1" s="136"/>
      <c r="HPI1" s="136"/>
      <c r="HPJ1" s="136"/>
      <c r="HPK1" s="136"/>
      <c r="HPL1" s="136"/>
      <c r="HPM1" s="136"/>
      <c r="HPN1" s="136"/>
      <c r="HPO1" s="136"/>
      <c r="HPP1" s="136"/>
      <c r="HPQ1" s="136"/>
      <c r="HPR1" s="136"/>
      <c r="HPS1" s="136"/>
      <c r="HPT1" s="136"/>
      <c r="HPU1" s="136"/>
      <c r="HPV1" s="136"/>
      <c r="HPW1" s="136"/>
      <c r="HPX1" s="136"/>
      <c r="HPY1" s="136"/>
      <c r="HPZ1" s="136"/>
      <c r="HQA1" s="136"/>
      <c r="HQB1" s="136"/>
      <c r="HQC1" s="136"/>
      <c r="HQD1" s="136"/>
      <c r="HQE1" s="136"/>
      <c r="HQF1" s="136"/>
      <c r="HQG1" s="136"/>
      <c r="HQH1" s="136"/>
      <c r="HQI1" s="136"/>
      <c r="HQJ1" s="136"/>
      <c r="HQK1" s="136"/>
      <c r="HQL1" s="136"/>
      <c r="HQM1" s="136"/>
      <c r="HQN1" s="136"/>
      <c r="HQO1" s="136"/>
      <c r="HQP1" s="136"/>
      <c r="HQQ1" s="136"/>
      <c r="HQR1" s="136"/>
      <c r="HQS1" s="136"/>
      <c r="HQT1" s="136"/>
      <c r="HQU1" s="136"/>
      <c r="HQV1" s="136"/>
      <c r="HQW1" s="136"/>
      <c r="HQX1" s="136"/>
      <c r="HQY1" s="136"/>
      <c r="HQZ1" s="136"/>
      <c r="HRA1" s="136"/>
      <c r="HRB1" s="136"/>
      <c r="HRC1" s="136"/>
      <c r="HRD1" s="136"/>
      <c r="HRE1" s="136"/>
      <c r="HRF1" s="136"/>
      <c r="HRG1" s="136"/>
      <c r="HRH1" s="136"/>
      <c r="HRI1" s="136"/>
      <c r="HRJ1" s="136"/>
      <c r="HRK1" s="136"/>
      <c r="HRL1" s="136"/>
      <c r="HRM1" s="136"/>
      <c r="HRN1" s="136"/>
      <c r="HRO1" s="136"/>
      <c r="HRP1" s="136"/>
      <c r="HRQ1" s="136"/>
      <c r="HRR1" s="136"/>
      <c r="HRS1" s="136"/>
      <c r="HRT1" s="136"/>
      <c r="HRU1" s="136"/>
      <c r="HRV1" s="136"/>
      <c r="HRW1" s="136"/>
      <c r="HRX1" s="136"/>
      <c r="HRY1" s="136"/>
      <c r="HRZ1" s="136"/>
      <c r="HSA1" s="136"/>
      <c r="HSB1" s="136"/>
      <c r="HSC1" s="136"/>
      <c r="HSD1" s="136"/>
      <c r="HSE1" s="136"/>
      <c r="HSF1" s="136"/>
      <c r="HSG1" s="136"/>
      <c r="HSH1" s="136"/>
      <c r="HSI1" s="136"/>
      <c r="HSJ1" s="136"/>
      <c r="HSK1" s="136"/>
      <c r="HSL1" s="136"/>
      <c r="HSM1" s="136"/>
      <c r="HSN1" s="136"/>
      <c r="HSO1" s="136"/>
      <c r="HSP1" s="136"/>
      <c r="HSQ1" s="136"/>
      <c r="HSR1" s="136"/>
      <c r="HSS1" s="136"/>
      <c r="HST1" s="136"/>
      <c r="HSU1" s="136"/>
      <c r="HSV1" s="136"/>
      <c r="HSW1" s="136"/>
      <c r="HSX1" s="136"/>
      <c r="HSY1" s="136"/>
      <c r="HSZ1" s="136"/>
      <c r="HTA1" s="136"/>
      <c r="HTB1" s="136"/>
      <c r="HTC1" s="136"/>
      <c r="HTD1" s="136"/>
      <c r="HTE1" s="136"/>
      <c r="HTF1" s="136"/>
      <c r="HTG1" s="136"/>
      <c r="HTH1" s="136"/>
      <c r="HTI1" s="136"/>
      <c r="HTJ1" s="136"/>
      <c r="HTK1" s="136"/>
      <c r="HTL1" s="136"/>
      <c r="HTM1" s="136"/>
      <c r="HTN1" s="136"/>
      <c r="HTO1" s="136"/>
      <c r="HTP1" s="136"/>
      <c r="HTQ1" s="136"/>
      <c r="HTR1" s="136"/>
      <c r="HTS1" s="136"/>
      <c r="HTT1" s="136"/>
      <c r="HTU1" s="136"/>
      <c r="HTV1" s="136"/>
      <c r="HTW1" s="136"/>
      <c r="HTX1" s="136"/>
      <c r="HTY1" s="136"/>
      <c r="HTZ1" s="136"/>
      <c r="HUA1" s="136"/>
      <c r="HUB1" s="136"/>
      <c r="HUC1" s="136"/>
      <c r="HUD1" s="136"/>
      <c r="HUE1" s="136"/>
      <c r="HUF1" s="136"/>
      <c r="HUG1" s="136"/>
      <c r="HUH1" s="136"/>
      <c r="HUI1" s="136"/>
      <c r="HUJ1" s="136"/>
      <c r="HUK1" s="136"/>
      <c r="HUL1" s="136"/>
      <c r="HUM1" s="136"/>
      <c r="HUN1" s="136"/>
      <c r="HUO1" s="136"/>
      <c r="HUP1" s="136"/>
      <c r="HUQ1" s="136"/>
      <c r="HUR1" s="136"/>
      <c r="HUS1" s="136"/>
      <c r="HUT1" s="136"/>
      <c r="HUU1" s="136"/>
      <c r="HUV1" s="136"/>
      <c r="HUW1" s="136"/>
      <c r="HUX1" s="136"/>
      <c r="HUY1" s="136"/>
      <c r="HUZ1" s="136"/>
      <c r="HVA1" s="136"/>
      <c r="HVB1" s="136"/>
      <c r="HVC1" s="136"/>
      <c r="HVD1" s="136"/>
      <c r="HVE1" s="136"/>
      <c r="HVF1" s="136"/>
      <c r="HVG1" s="136"/>
      <c r="HVH1" s="136"/>
      <c r="HVI1" s="136"/>
      <c r="HVJ1" s="136"/>
      <c r="HVK1" s="136"/>
      <c r="HVL1" s="136"/>
      <c r="HVM1" s="136"/>
      <c r="HVN1" s="136"/>
      <c r="HVO1" s="136"/>
      <c r="HVP1" s="136"/>
      <c r="HVQ1" s="136"/>
      <c r="HVR1" s="136"/>
      <c r="HVS1" s="136"/>
      <c r="HVT1" s="136"/>
      <c r="HVU1" s="136"/>
      <c r="HVV1" s="136"/>
      <c r="HVW1" s="136"/>
      <c r="HVX1" s="136"/>
      <c r="HVY1" s="136"/>
      <c r="HVZ1" s="136"/>
      <c r="HWA1" s="136"/>
      <c r="HWB1" s="136"/>
      <c r="HWC1" s="136"/>
      <c r="HWD1" s="136"/>
      <c r="HWE1" s="136"/>
      <c r="HWF1" s="136"/>
      <c r="HWG1" s="136"/>
      <c r="HWH1" s="136"/>
      <c r="HWI1" s="136"/>
      <c r="HWJ1" s="136"/>
      <c r="HWK1" s="136"/>
      <c r="HWL1" s="136"/>
      <c r="HWM1" s="136"/>
      <c r="HWN1" s="136"/>
      <c r="HWO1" s="136"/>
      <c r="HWP1" s="136"/>
      <c r="HWQ1" s="136"/>
      <c r="HWR1" s="136"/>
      <c r="HWS1" s="136"/>
      <c r="HWT1" s="136"/>
      <c r="HWU1" s="136"/>
      <c r="HWV1" s="136"/>
      <c r="HWW1" s="136"/>
      <c r="HWX1" s="136"/>
      <c r="HWY1" s="136"/>
      <c r="HWZ1" s="136"/>
      <c r="HXA1" s="136"/>
      <c r="HXB1" s="136"/>
      <c r="HXC1" s="136"/>
      <c r="HXD1" s="136"/>
      <c r="HXE1" s="136"/>
      <c r="HXF1" s="136"/>
      <c r="HXG1" s="136"/>
      <c r="HXH1" s="136"/>
      <c r="HXI1" s="136"/>
      <c r="HXJ1" s="136"/>
      <c r="HXK1" s="136"/>
      <c r="HXL1" s="136"/>
      <c r="HXM1" s="136"/>
      <c r="HXN1" s="136"/>
      <c r="HXO1" s="136"/>
      <c r="HXP1" s="136"/>
      <c r="HXQ1" s="136"/>
      <c r="HXR1" s="136"/>
      <c r="HXS1" s="136"/>
      <c r="HXT1" s="136"/>
      <c r="HXU1" s="136"/>
      <c r="HXV1" s="136"/>
      <c r="HXW1" s="136"/>
      <c r="HXX1" s="136"/>
      <c r="HXY1" s="136"/>
      <c r="HXZ1" s="136"/>
      <c r="HYA1" s="136"/>
      <c r="HYB1" s="136"/>
      <c r="HYC1" s="136"/>
      <c r="HYD1" s="136"/>
      <c r="HYE1" s="136"/>
      <c r="HYF1" s="136"/>
      <c r="HYG1" s="136"/>
      <c r="HYH1" s="136"/>
      <c r="HYI1" s="136"/>
      <c r="HYJ1" s="136"/>
      <c r="HYK1" s="136"/>
      <c r="HYL1" s="136"/>
      <c r="HYM1" s="136"/>
      <c r="HYN1" s="136"/>
      <c r="HYO1" s="136"/>
      <c r="HYP1" s="136"/>
      <c r="HYQ1" s="136"/>
      <c r="HYR1" s="136"/>
      <c r="HYS1" s="136"/>
      <c r="HYT1" s="136"/>
      <c r="HYU1" s="136"/>
      <c r="HYV1" s="136"/>
      <c r="HYW1" s="136"/>
      <c r="HYX1" s="136"/>
      <c r="HYY1" s="136"/>
      <c r="HYZ1" s="136"/>
      <c r="HZA1" s="136"/>
      <c r="HZB1" s="136"/>
      <c r="HZC1" s="136"/>
      <c r="HZD1" s="136"/>
      <c r="HZE1" s="136"/>
      <c r="HZF1" s="136"/>
      <c r="HZG1" s="136"/>
      <c r="HZH1" s="136"/>
      <c r="HZI1" s="136"/>
      <c r="HZJ1" s="136"/>
      <c r="HZK1" s="136"/>
      <c r="HZL1" s="136"/>
      <c r="HZM1" s="136"/>
      <c r="HZN1" s="136"/>
      <c r="HZO1" s="136"/>
      <c r="HZP1" s="136"/>
      <c r="HZQ1" s="136"/>
      <c r="HZR1" s="136"/>
      <c r="HZS1" s="136"/>
      <c r="HZT1" s="136"/>
      <c r="HZU1" s="136"/>
      <c r="HZV1" s="136"/>
      <c r="HZW1" s="136"/>
      <c r="HZX1" s="136"/>
      <c r="HZY1" s="136"/>
      <c r="HZZ1" s="136"/>
      <c r="IAA1" s="136"/>
      <c r="IAB1" s="136"/>
      <c r="IAC1" s="136"/>
      <c r="IAD1" s="136"/>
      <c r="IAE1" s="136"/>
      <c r="IAF1" s="136"/>
      <c r="IAG1" s="136"/>
      <c r="IAH1" s="136"/>
      <c r="IAI1" s="136"/>
      <c r="IAJ1" s="136"/>
      <c r="IAK1" s="136"/>
      <c r="IAL1" s="136"/>
      <c r="IAM1" s="136"/>
      <c r="IAN1" s="136"/>
      <c r="IAO1" s="136"/>
      <c r="IAP1" s="136"/>
      <c r="IAQ1" s="136"/>
      <c r="IAR1" s="136"/>
      <c r="IAS1" s="136"/>
      <c r="IAT1" s="136"/>
      <c r="IAU1" s="136"/>
      <c r="IAV1" s="136"/>
      <c r="IAW1" s="136"/>
      <c r="IAX1" s="136"/>
      <c r="IAY1" s="136"/>
      <c r="IAZ1" s="136"/>
      <c r="IBA1" s="136"/>
      <c r="IBB1" s="136"/>
      <c r="IBC1" s="136"/>
      <c r="IBD1" s="136"/>
      <c r="IBE1" s="136"/>
      <c r="IBF1" s="136"/>
      <c r="IBG1" s="136"/>
      <c r="IBH1" s="136"/>
      <c r="IBI1" s="136"/>
      <c r="IBJ1" s="136"/>
      <c r="IBK1" s="136"/>
      <c r="IBL1" s="136"/>
      <c r="IBM1" s="136"/>
      <c r="IBN1" s="136"/>
      <c r="IBO1" s="136"/>
      <c r="IBP1" s="136"/>
      <c r="IBQ1" s="136"/>
      <c r="IBR1" s="136"/>
      <c r="IBS1" s="136"/>
      <c r="IBT1" s="136"/>
      <c r="IBU1" s="136"/>
      <c r="IBV1" s="136"/>
      <c r="IBW1" s="136"/>
      <c r="IBX1" s="136"/>
      <c r="IBY1" s="136"/>
      <c r="IBZ1" s="136"/>
      <c r="ICA1" s="136"/>
      <c r="ICB1" s="136"/>
      <c r="ICC1" s="136"/>
      <c r="ICD1" s="136"/>
      <c r="ICE1" s="136"/>
      <c r="ICF1" s="136"/>
      <c r="ICG1" s="136"/>
      <c r="ICH1" s="136"/>
      <c r="ICI1" s="136"/>
      <c r="ICJ1" s="136"/>
      <c r="ICK1" s="136"/>
      <c r="ICL1" s="136"/>
      <c r="ICM1" s="136"/>
      <c r="ICN1" s="136"/>
      <c r="ICO1" s="136"/>
      <c r="ICP1" s="136"/>
      <c r="ICQ1" s="136"/>
      <c r="ICR1" s="136"/>
      <c r="ICS1" s="136"/>
      <c r="ICT1" s="136"/>
      <c r="ICU1" s="136"/>
      <c r="ICV1" s="136"/>
      <c r="ICW1" s="136"/>
      <c r="ICX1" s="136"/>
      <c r="ICY1" s="136"/>
      <c r="ICZ1" s="136"/>
      <c r="IDA1" s="136"/>
      <c r="IDB1" s="136"/>
      <c r="IDC1" s="136"/>
      <c r="IDD1" s="136"/>
      <c r="IDE1" s="136"/>
      <c r="IDF1" s="136"/>
      <c r="IDG1" s="136"/>
      <c r="IDH1" s="136"/>
      <c r="IDI1" s="136"/>
      <c r="IDJ1" s="136"/>
      <c r="IDK1" s="136"/>
      <c r="IDL1" s="136"/>
      <c r="IDM1" s="136"/>
      <c r="IDN1" s="136"/>
      <c r="IDO1" s="136"/>
      <c r="IDP1" s="136"/>
      <c r="IDQ1" s="136"/>
      <c r="IDR1" s="136"/>
      <c r="IDS1" s="136"/>
      <c r="IDT1" s="136"/>
      <c r="IDU1" s="136"/>
      <c r="IDV1" s="136"/>
      <c r="IDW1" s="136"/>
      <c r="IDX1" s="136"/>
      <c r="IDY1" s="136"/>
      <c r="IDZ1" s="136"/>
      <c r="IEA1" s="136"/>
      <c r="IEB1" s="136"/>
      <c r="IEC1" s="136"/>
      <c r="IED1" s="136"/>
      <c r="IEE1" s="136"/>
      <c r="IEF1" s="136"/>
      <c r="IEG1" s="136"/>
      <c r="IEH1" s="136"/>
      <c r="IEI1" s="136"/>
      <c r="IEJ1" s="136"/>
      <c r="IEK1" s="136"/>
      <c r="IEL1" s="136"/>
      <c r="IEM1" s="136"/>
      <c r="IEN1" s="136"/>
      <c r="IEO1" s="136"/>
      <c r="IEP1" s="136"/>
      <c r="IEQ1" s="136"/>
      <c r="IER1" s="136"/>
      <c r="IES1" s="136"/>
      <c r="IET1" s="136"/>
      <c r="IEU1" s="136"/>
      <c r="IEV1" s="136"/>
      <c r="IEW1" s="136"/>
      <c r="IEX1" s="136"/>
      <c r="IEY1" s="136"/>
      <c r="IEZ1" s="136"/>
      <c r="IFA1" s="136"/>
      <c r="IFB1" s="136"/>
      <c r="IFC1" s="136"/>
      <c r="IFD1" s="136"/>
      <c r="IFE1" s="136"/>
      <c r="IFF1" s="136"/>
      <c r="IFG1" s="136"/>
      <c r="IFH1" s="136"/>
      <c r="IFI1" s="136"/>
      <c r="IFJ1" s="136"/>
      <c r="IFK1" s="136"/>
      <c r="IFL1" s="136"/>
      <c r="IFM1" s="136"/>
      <c r="IFN1" s="136"/>
      <c r="IFO1" s="136"/>
      <c r="IFP1" s="136"/>
      <c r="IFQ1" s="136"/>
      <c r="IFR1" s="136"/>
      <c r="IFS1" s="136"/>
      <c r="IFT1" s="136"/>
      <c r="IFU1" s="136"/>
      <c r="IFV1" s="136"/>
      <c r="IFW1" s="136"/>
      <c r="IFX1" s="136"/>
      <c r="IFY1" s="136"/>
      <c r="IFZ1" s="136"/>
      <c r="IGA1" s="136"/>
      <c r="IGB1" s="136"/>
      <c r="IGC1" s="136"/>
      <c r="IGD1" s="136"/>
      <c r="IGE1" s="136"/>
      <c r="IGF1" s="136"/>
      <c r="IGG1" s="136"/>
      <c r="IGH1" s="136"/>
      <c r="IGI1" s="136"/>
      <c r="IGJ1" s="136"/>
      <c r="IGK1" s="136"/>
      <c r="IGL1" s="136"/>
      <c r="IGM1" s="136"/>
      <c r="IGN1" s="136"/>
      <c r="IGO1" s="136"/>
      <c r="IGP1" s="136"/>
      <c r="IGQ1" s="136"/>
      <c r="IGR1" s="136"/>
      <c r="IGS1" s="136"/>
      <c r="IGT1" s="136"/>
      <c r="IGU1" s="136"/>
      <c r="IGV1" s="136"/>
      <c r="IGW1" s="136"/>
      <c r="IGX1" s="136"/>
      <c r="IGY1" s="136"/>
      <c r="IGZ1" s="136"/>
      <c r="IHA1" s="136"/>
      <c r="IHB1" s="136"/>
      <c r="IHC1" s="136"/>
      <c r="IHD1" s="136"/>
      <c r="IHE1" s="136"/>
      <c r="IHF1" s="136"/>
      <c r="IHG1" s="136"/>
      <c r="IHH1" s="136"/>
      <c r="IHI1" s="136"/>
      <c r="IHJ1" s="136"/>
      <c r="IHK1" s="136"/>
      <c r="IHL1" s="136"/>
      <c r="IHM1" s="136"/>
      <c r="IHN1" s="136"/>
      <c r="IHO1" s="136"/>
      <c r="IHP1" s="136"/>
      <c r="IHQ1" s="136"/>
      <c r="IHR1" s="136"/>
      <c r="IHS1" s="136"/>
      <c r="IHT1" s="136"/>
      <c r="IHU1" s="136"/>
      <c r="IHV1" s="136"/>
      <c r="IHW1" s="136"/>
      <c r="IHX1" s="136"/>
      <c r="IHY1" s="136"/>
      <c r="IHZ1" s="136"/>
      <c r="IIA1" s="136"/>
      <c r="IIB1" s="136"/>
      <c r="IIC1" s="136"/>
      <c r="IID1" s="136"/>
      <c r="IIE1" s="136"/>
      <c r="IIF1" s="136"/>
      <c r="IIG1" s="136"/>
      <c r="IIH1" s="136"/>
      <c r="III1" s="136"/>
      <c r="IIJ1" s="136"/>
      <c r="IIK1" s="136"/>
      <c r="IIL1" s="136"/>
      <c r="IIM1" s="136"/>
      <c r="IIN1" s="136"/>
      <c r="IIO1" s="136"/>
      <c r="IIP1" s="136"/>
      <c r="IIQ1" s="136"/>
      <c r="IIR1" s="136"/>
      <c r="IIS1" s="136"/>
      <c r="IIT1" s="136"/>
      <c r="IIU1" s="136"/>
      <c r="IIV1" s="136"/>
      <c r="IIW1" s="136"/>
      <c r="IIX1" s="136"/>
      <c r="IIY1" s="136"/>
      <c r="IIZ1" s="136"/>
      <c r="IJA1" s="136"/>
      <c r="IJB1" s="136"/>
      <c r="IJC1" s="136"/>
      <c r="IJD1" s="136"/>
      <c r="IJE1" s="136"/>
      <c r="IJF1" s="136"/>
      <c r="IJG1" s="136"/>
      <c r="IJH1" s="136"/>
      <c r="IJI1" s="136"/>
      <c r="IJJ1" s="136"/>
      <c r="IJK1" s="136"/>
      <c r="IJL1" s="136"/>
      <c r="IJM1" s="136"/>
      <c r="IJN1" s="136"/>
      <c r="IJO1" s="136"/>
      <c r="IJP1" s="136"/>
      <c r="IJQ1" s="136"/>
      <c r="IJR1" s="136"/>
      <c r="IJS1" s="136"/>
      <c r="IJT1" s="136"/>
      <c r="IJU1" s="136"/>
      <c r="IJV1" s="136"/>
      <c r="IJW1" s="136"/>
      <c r="IJX1" s="136"/>
      <c r="IJY1" s="136"/>
      <c r="IJZ1" s="136"/>
      <c r="IKA1" s="136"/>
      <c r="IKB1" s="136"/>
      <c r="IKC1" s="136"/>
      <c r="IKD1" s="136"/>
      <c r="IKE1" s="136"/>
      <c r="IKF1" s="136"/>
      <c r="IKG1" s="136"/>
      <c r="IKH1" s="136"/>
      <c r="IKI1" s="136"/>
      <c r="IKJ1" s="136"/>
      <c r="IKK1" s="136"/>
      <c r="IKL1" s="136"/>
      <c r="IKM1" s="136"/>
      <c r="IKN1" s="136"/>
      <c r="IKO1" s="136"/>
      <c r="IKP1" s="136"/>
      <c r="IKQ1" s="136"/>
      <c r="IKR1" s="136"/>
      <c r="IKS1" s="136"/>
      <c r="IKT1" s="136"/>
      <c r="IKU1" s="136"/>
      <c r="IKV1" s="136"/>
      <c r="IKW1" s="136"/>
      <c r="IKX1" s="136"/>
      <c r="IKY1" s="136"/>
      <c r="IKZ1" s="136"/>
      <c r="ILA1" s="136"/>
      <c r="ILB1" s="136"/>
      <c r="ILC1" s="136"/>
      <c r="ILD1" s="136"/>
      <c r="ILE1" s="136"/>
      <c r="ILF1" s="136"/>
      <c r="ILG1" s="136"/>
      <c r="ILH1" s="136"/>
      <c r="ILI1" s="136"/>
      <c r="ILJ1" s="136"/>
      <c r="ILK1" s="136"/>
      <c r="ILL1" s="136"/>
      <c r="ILM1" s="136"/>
      <c r="ILN1" s="136"/>
      <c r="ILO1" s="136"/>
      <c r="ILP1" s="136"/>
      <c r="ILQ1" s="136"/>
      <c r="ILR1" s="136"/>
      <c r="ILS1" s="136"/>
      <c r="ILT1" s="136"/>
      <c r="ILU1" s="136"/>
      <c r="ILV1" s="136"/>
      <c r="ILW1" s="136"/>
      <c r="ILX1" s="136"/>
      <c r="ILY1" s="136"/>
      <c r="ILZ1" s="136"/>
      <c r="IMA1" s="136"/>
      <c r="IMB1" s="136"/>
      <c r="IMC1" s="136"/>
      <c r="IMD1" s="136"/>
      <c r="IME1" s="136"/>
      <c r="IMF1" s="136"/>
      <c r="IMG1" s="136"/>
      <c r="IMH1" s="136"/>
      <c r="IMI1" s="136"/>
      <c r="IMJ1" s="136"/>
      <c r="IMK1" s="136"/>
      <c r="IML1" s="136"/>
      <c r="IMM1" s="136"/>
      <c r="IMN1" s="136"/>
      <c r="IMO1" s="136"/>
      <c r="IMP1" s="136"/>
      <c r="IMQ1" s="136"/>
      <c r="IMR1" s="136"/>
      <c r="IMS1" s="136"/>
      <c r="IMT1" s="136"/>
      <c r="IMU1" s="136"/>
      <c r="IMV1" s="136"/>
      <c r="IMW1" s="136"/>
      <c r="IMX1" s="136"/>
      <c r="IMY1" s="136"/>
      <c r="IMZ1" s="136"/>
      <c r="INA1" s="136"/>
      <c r="INB1" s="136"/>
      <c r="INC1" s="136"/>
      <c r="IND1" s="136"/>
      <c r="INE1" s="136"/>
      <c r="INF1" s="136"/>
      <c r="ING1" s="136"/>
      <c r="INH1" s="136"/>
      <c r="INI1" s="136"/>
      <c r="INJ1" s="136"/>
      <c r="INK1" s="136"/>
      <c r="INL1" s="136"/>
      <c r="INM1" s="136"/>
      <c r="INN1" s="136"/>
      <c r="INO1" s="136"/>
      <c r="INP1" s="136"/>
      <c r="INQ1" s="136"/>
      <c r="INR1" s="136"/>
      <c r="INS1" s="136"/>
      <c r="INT1" s="136"/>
      <c r="INU1" s="136"/>
      <c r="INV1" s="136"/>
      <c r="INW1" s="136"/>
      <c r="INX1" s="136"/>
      <c r="INY1" s="136"/>
      <c r="INZ1" s="136"/>
      <c r="IOA1" s="136"/>
      <c r="IOB1" s="136"/>
      <c r="IOC1" s="136"/>
      <c r="IOD1" s="136"/>
      <c r="IOE1" s="136"/>
      <c r="IOF1" s="136"/>
      <c r="IOG1" s="136"/>
      <c r="IOH1" s="136"/>
      <c r="IOI1" s="136"/>
      <c r="IOJ1" s="136"/>
      <c r="IOK1" s="136"/>
      <c r="IOL1" s="136"/>
      <c r="IOM1" s="136"/>
      <c r="ION1" s="136"/>
      <c r="IOO1" s="136"/>
      <c r="IOP1" s="136"/>
      <c r="IOQ1" s="136"/>
      <c r="IOR1" s="136"/>
      <c r="IOS1" s="136"/>
      <c r="IOT1" s="136"/>
      <c r="IOU1" s="136"/>
      <c r="IOV1" s="136"/>
      <c r="IOW1" s="136"/>
      <c r="IOX1" s="136"/>
      <c r="IOY1" s="136"/>
      <c r="IOZ1" s="136"/>
      <c r="IPA1" s="136"/>
      <c r="IPB1" s="136"/>
      <c r="IPC1" s="136"/>
      <c r="IPD1" s="136"/>
      <c r="IPE1" s="136"/>
      <c r="IPF1" s="136"/>
      <c r="IPG1" s="136"/>
      <c r="IPH1" s="136"/>
      <c r="IPI1" s="136"/>
      <c r="IPJ1" s="136"/>
      <c r="IPK1" s="136"/>
      <c r="IPL1" s="136"/>
      <c r="IPM1" s="136"/>
      <c r="IPN1" s="136"/>
      <c r="IPO1" s="136"/>
      <c r="IPP1" s="136"/>
      <c r="IPQ1" s="136"/>
      <c r="IPR1" s="136"/>
      <c r="IPS1" s="136"/>
      <c r="IPT1" s="136"/>
      <c r="IPU1" s="136"/>
      <c r="IPV1" s="136"/>
      <c r="IPW1" s="136"/>
      <c r="IPX1" s="136"/>
      <c r="IPY1" s="136"/>
      <c r="IPZ1" s="136"/>
      <c r="IQA1" s="136"/>
      <c r="IQB1" s="136"/>
      <c r="IQC1" s="136"/>
      <c r="IQD1" s="136"/>
      <c r="IQE1" s="136"/>
      <c r="IQF1" s="136"/>
      <c r="IQG1" s="136"/>
      <c r="IQH1" s="136"/>
      <c r="IQI1" s="136"/>
      <c r="IQJ1" s="136"/>
      <c r="IQK1" s="136"/>
      <c r="IQL1" s="136"/>
      <c r="IQM1" s="136"/>
      <c r="IQN1" s="136"/>
      <c r="IQO1" s="136"/>
      <c r="IQP1" s="136"/>
      <c r="IQQ1" s="136"/>
      <c r="IQR1" s="136"/>
      <c r="IQS1" s="136"/>
      <c r="IQT1" s="136"/>
      <c r="IQU1" s="136"/>
      <c r="IQV1" s="136"/>
      <c r="IQW1" s="136"/>
      <c r="IQX1" s="136"/>
      <c r="IQY1" s="136"/>
      <c r="IQZ1" s="136"/>
      <c r="IRA1" s="136"/>
      <c r="IRB1" s="136"/>
      <c r="IRC1" s="136"/>
      <c r="IRD1" s="136"/>
      <c r="IRE1" s="136"/>
      <c r="IRF1" s="136"/>
      <c r="IRG1" s="136"/>
      <c r="IRH1" s="136"/>
      <c r="IRI1" s="136"/>
      <c r="IRJ1" s="136"/>
      <c r="IRK1" s="136"/>
      <c r="IRL1" s="136"/>
      <c r="IRM1" s="136"/>
      <c r="IRN1" s="136"/>
      <c r="IRO1" s="136"/>
      <c r="IRP1" s="136"/>
      <c r="IRQ1" s="136"/>
      <c r="IRR1" s="136"/>
      <c r="IRS1" s="136"/>
      <c r="IRT1" s="136"/>
      <c r="IRU1" s="136"/>
      <c r="IRV1" s="136"/>
      <c r="IRW1" s="136"/>
      <c r="IRX1" s="136"/>
      <c r="IRY1" s="136"/>
      <c r="IRZ1" s="136"/>
      <c r="ISA1" s="136"/>
      <c r="ISB1" s="136"/>
      <c r="ISC1" s="136"/>
      <c r="ISD1" s="136"/>
      <c r="ISE1" s="136"/>
      <c r="ISF1" s="136"/>
      <c r="ISG1" s="136"/>
      <c r="ISH1" s="136"/>
      <c r="ISI1" s="136"/>
      <c r="ISJ1" s="136"/>
      <c r="ISK1" s="136"/>
      <c r="ISL1" s="136"/>
      <c r="ISM1" s="136"/>
      <c r="ISN1" s="136"/>
      <c r="ISO1" s="136"/>
      <c r="ISP1" s="136"/>
      <c r="ISQ1" s="136"/>
      <c r="ISR1" s="136"/>
      <c r="ISS1" s="136"/>
      <c r="IST1" s="136"/>
      <c r="ISU1" s="136"/>
      <c r="ISV1" s="136"/>
      <c r="ISW1" s="136"/>
      <c r="ISX1" s="136"/>
      <c r="ISY1" s="136"/>
      <c r="ISZ1" s="136"/>
      <c r="ITA1" s="136"/>
      <c r="ITB1" s="136"/>
      <c r="ITC1" s="136"/>
      <c r="ITD1" s="136"/>
      <c r="ITE1" s="136"/>
      <c r="ITF1" s="136"/>
      <c r="ITG1" s="136"/>
      <c r="ITH1" s="136"/>
      <c r="ITI1" s="136"/>
      <c r="ITJ1" s="136"/>
      <c r="ITK1" s="136"/>
      <c r="ITL1" s="136"/>
      <c r="ITM1" s="136"/>
      <c r="ITN1" s="136"/>
      <c r="ITO1" s="136"/>
      <c r="ITP1" s="136"/>
      <c r="ITQ1" s="136"/>
      <c r="ITR1" s="136"/>
      <c r="ITS1" s="136"/>
      <c r="ITT1" s="136"/>
      <c r="ITU1" s="136"/>
      <c r="ITV1" s="136"/>
      <c r="ITW1" s="136"/>
      <c r="ITX1" s="136"/>
      <c r="ITY1" s="136"/>
      <c r="ITZ1" s="136"/>
      <c r="IUA1" s="136"/>
      <c r="IUB1" s="136"/>
      <c r="IUC1" s="136"/>
      <c r="IUD1" s="136"/>
      <c r="IUE1" s="136"/>
      <c r="IUF1" s="136"/>
      <c r="IUG1" s="136"/>
      <c r="IUH1" s="136"/>
      <c r="IUI1" s="136"/>
      <c r="IUJ1" s="136"/>
      <c r="IUK1" s="136"/>
      <c r="IUL1" s="136"/>
      <c r="IUM1" s="136"/>
      <c r="IUN1" s="136"/>
      <c r="IUO1" s="136"/>
      <c r="IUP1" s="136"/>
      <c r="IUQ1" s="136"/>
      <c r="IUR1" s="136"/>
      <c r="IUS1" s="136"/>
      <c r="IUT1" s="136"/>
      <c r="IUU1" s="136"/>
      <c r="IUV1" s="136"/>
      <c r="IUW1" s="136"/>
      <c r="IUX1" s="136"/>
      <c r="IUY1" s="136"/>
      <c r="IUZ1" s="136"/>
      <c r="IVA1" s="136"/>
      <c r="IVB1" s="136"/>
      <c r="IVC1" s="136"/>
      <c r="IVD1" s="136"/>
      <c r="IVE1" s="136"/>
      <c r="IVF1" s="136"/>
      <c r="IVG1" s="136"/>
      <c r="IVH1" s="136"/>
      <c r="IVI1" s="136"/>
      <c r="IVJ1" s="136"/>
      <c r="IVK1" s="136"/>
      <c r="IVL1" s="136"/>
      <c r="IVM1" s="136"/>
      <c r="IVN1" s="136"/>
      <c r="IVO1" s="136"/>
      <c r="IVP1" s="136"/>
      <c r="IVQ1" s="136"/>
      <c r="IVR1" s="136"/>
      <c r="IVS1" s="136"/>
      <c r="IVT1" s="136"/>
      <c r="IVU1" s="136"/>
      <c r="IVV1" s="136"/>
      <c r="IVW1" s="136"/>
      <c r="IVX1" s="136"/>
      <c r="IVY1" s="136"/>
      <c r="IVZ1" s="136"/>
      <c r="IWA1" s="136"/>
      <c r="IWB1" s="136"/>
      <c r="IWC1" s="136"/>
      <c r="IWD1" s="136"/>
      <c r="IWE1" s="136"/>
      <c r="IWF1" s="136"/>
      <c r="IWG1" s="136"/>
      <c r="IWH1" s="136"/>
      <c r="IWI1" s="136"/>
      <c r="IWJ1" s="136"/>
      <c r="IWK1" s="136"/>
      <c r="IWL1" s="136"/>
      <c r="IWM1" s="136"/>
      <c r="IWN1" s="136"/>
      <c r="IWO1" s="136"/>
      <c r="IWP1" s="136"/>
      <c r="IWQ1" s="136"/>
      <c r="IWR1" s="136"/>
      <c r="IWS1" s="136"/>
      <c r="IWT1" s="136"/>
      <c r="IWU1" s="136"/>
      <c r="IWV1" s="136"/>
      <c r="IWW1" s="136"/>
      <c r="IWX1" s="136"/>
      <c r="IWY1" s="136"/>
      <c r="IWZ1" s="136"/>
      <c r="IXA1" s="136"/>
      <c r="IXB1" s="136"/>
      <c r="IXC1" s="136"/>
      <c r="IXD1" s="136"/>
      <c r="IXE1" s="136"/>
      <c r="IXF1" s="136"/>
      <c r="IXG1" s="136"/>
      <c r="IXH1" s="136"/>
      <c r="IXI1" s="136"/>
      <c r="IXJ1" s="136"/>
      <c r="IXK1" s="136"/>
      <c r="IXL1" s="136"/>
      <c r="IXM1" s="136"/>
      <c r="IXN1" s="136"/>
      <c r="IXO1" s="136"/>
      <c r="IXP1" s="136"/>
      <c r="IXQ1" s="136"/>
      <c r="IXR1" s="136"/>
      <c r="IXS1" s="136"/>
      <c r="IXT1" s="136"/>
      <c r="IXU1" s="136"/>
      <c r="IXV1" s="136"/>
      <c r="IXW1" s="136"/>
      <c r="IXX1" s="136"/>
      <c r="IXY1" s="136"/>
      <c r="IXZ1" s="136"/>
      <c r="IYA1" s="136"/>
      <c r="IYB1" s="136"/>
      <c r="IYC1" s="136"/>
      <c r="IYD1" s="136"/>
      <c r="IYE1" s="136"/>
      <c r="IYF1" s="136"/>
      <c r="IYG1" s="136"/>
      <c r="IYH1" s="136"/>
      <c r="IYI1" s="136"/>
      <c r="IYJ1" s="136"/>
      <c r="IYK1" s="136"/>
      <c r="IYL1" s="136"/>
      <c r="IYM1" s="136"/>
      <c r="IYN1" s="136"/>
      <c r="IYO1" s="136"/>
      <c r="IYP1" s="136"/>
      <c r="IYQ1" s="136"/>
      <c r="IYR1" s="136"/>
      <c r="IYS1" s="136"/>
      <c r="IYT1" s="136"/>
      <c r="IYU1" s="136"/>
      <c r="IYV1" s="136"/>
      <c r="IYW1" s="136"/>
      <c r="IYX1" s="136"/>
      <c r="IYY1" s="136"/>
      <c r="IYZ1" s="136"/>
      <c r="IZA1" s="136"/>
      <c r="IZB1" s="136"/>
      <c r="IZC1" s="136"/>
      <c r="IZD1" s="136"/>
      <c r="IZE1" s="136"/>
      <c r="IZF1" s="136"/>
      <c r="IZG1" s="136"/>
      <c r="IZH1" s="136"/>
      <c r="IZI1" s="136"/>
      <c r="IZJ1" s="136"/>
      <c r="IZK1" s="136"/>
      <c r="IZL1" s="136"/>
      <c r="IZM1" s="136"/>
      <c r="IZN1" s="136"/>
      <c r="IZO1" s="136"/>
      <c r="IZP1" s="136"/>
      <c r="IZQ1" s="136"/>
      <c r="IZR1" s="136"/>
      <c r="IZS1" s="136"/>
      <c r="IZT1" s="136"/>
      <c r="IZU1" s="136"/>
      <c r="IZV1" s="136"/>
      <c r="IZW1" s="136"/>
      <c r="IZX1" s="136"/>
      <c r="IZY1" s="136"/>
      <c r="IZZ1" s="136"/>
      <c r="JAA1" s="136"/>
      <c r="JAB1" s="136"/>
      <c r="JAC1" s="136"/>
      <c r="JAD1" s="136"/>
      <c r="JAE1" s="136"/>
      <c r="JAF1" s="136"/>
      <c r="JAG1" s="136"/>
      <c r="JAH1" s="136"/>
      <c r="JAI1" s="136"/>
      <c r="JAJ1" s="136"/>
      <c r="JAK1" s="136"/>
      <c r="JAL1" s="136"/>
      <c r="JAM1" s="136"/>
      <c r="JAN1" s="136"/>
      <c r="JAO1" s="136"/>
      <c r="JAP1" s="136"/>
      <c r="JAQ1" s="136"/>
      <c r="JAR1" s="136"/>
      <c r="JAS1" s="136"/>
      <c r="JAT1" s="136"/>
      <c r="JAU1" s="136"/>
      <c r="JAV1" s="136"/>
      <c r="JAW1" s="136"/>
      <c r="JAX1" s="136"/>
      <c r="JAY1" s="136"/>
      <c r="JAZ1" s="136"/>
      <c r="JBA1" s="136"/>
      <c r="JBB1" s="136"/>
      <c r="JBC1" s="136"/>
      <c r="JBD1" s="136"/>
      <c r="JBE1" s="136"/>
      <c r="JBF1" s="136"/>
      <c r="JBG1" s="136"/>
      <c r="JBH1" s="136"/>
      <c r="JBI1" s="136"/>
      <c r="JBJ1" s="136"/>
      <c r="JBK1" s="136"/>
      <c r="JBL1" s="136"/>
      <c r="JBM1" s="136"/>
      <c r="JBN1" s="136"/>
      <c r="JBO1" s="136"/>
      <c r="JBP1" s="136"/>
      <c r="JBQ1" s="136"/>
      <c r="JBR1" s="136"/>
      <c r="JBS1" s="136"/>
      <c r="JBT1" s="136"/>
      <c r="JBU1" s="136"/>
      <c r="JBV1" s="136"/>
      <c r="JBW1" s="136"/>
      <c r="JBX1" s="136"/>
      <c r="JBY1" s="136"/>
      <c r="JBZ1" s="136"/>
      <c r="JCA1" s="136"/>
      <c r="JCB1" s="136"/>
      <c r="JCC1" s="136"/>
      <c r="JCD1" s="136"/>
      <c r="JCE1" s="136"/>
      <c r="JCF1" s="136"/>
      <c r="JCG1" s="136"/>
      <c r="JCH1" s="136"/>
      <c r="JCI1" s="136"/>
      <c r="JCJ1" s="136"/>
      <c r="JCK1" s="136"/>
      <c r="JCL1" s="136"/>
      <c r="JCM1" s="136"/>
      <c r="JCN1" s="136"/>
      <c r="JCO1" s="136"/>
      <c r="JCP1" s="136"/>
      <c r="JCQ1" s="136"/>
      <c r="JCR1" s="136"/>
      <c r="JCS1" s="136"/>
      <c r="JCT1" s="136"/>
      <c r="JCU1" s="136"/>
      <c r="JCV1" s="136"/>
      <c r="JCW1" s="136"/>
      <c r="JCX1" s="136"/>
      <c r="JCY1" s="136"/>
      <c r="JCZ1" s="136"/>
      <c r="JDA1" s="136"/>
      <c r="JDB1" s="136"/>
      <c r="JDC1" s="136"/>
      <c r="JDD1" s="136"/>
      <c r="JDE1" s="136"/>
      <c r="JDF1" s="136"/>
      <c r="JDG1" s="136"/>
      <c r="JDH1" s="136"/>
      <c r="JDI1" s="136"/>
      <c r="JDJ1" s="136"/>
      <c r="JDK1" s="136"/>
      <c r="JDL1" s="136"/>
      <c r="JDM1" s="136"/>
      <c r="JDN1" s="136"/>
      <c r="JDO1" s="136"/>
      <c r="JDP1" s="136"/>
      <c r="JDQ1" s="136"/>
      <c r="JDR1" s="136"/>
      <c r="JDS1" s="136"/>
      <c r="JDT1" s="136"/>
      <c r="JDU1" s="136"/>
      <c r="JDV1" s="136"/>
      <c r="JDW1" s="136"/>
      <c r="JDX1" s="136"/>
      <c r="JDY1" s="136"/>
      <c r="JDZ1" s="136"/>
      <c r="JEA1" s="136"/>
      <c r="JEB1" s="136"/>
      <c r="JEC1" s="136"/>
      <c r="JED1" s="136"/>
      <c r="JEE1" s="136"/>
      <c r="JEF1" s="136"/>
      <c r="JEG1" s="136"/>
      <c r="JEH1" s="136"/>
      <c r="JEI1" s="136"/>
      <c r="JEJ1" s="136"/>
      <c r="JEK1" s="136"/>
      <c r="JEL1" s="136"/>
      <c r="JEM1" s="136"/>
      <c r="JEN1" s="136"/>
      <c r="JEO1" s="136"/>
      <c r="JEP1" s="136"/>
      <c r="JEQ1" s="136"/>
      <c r="JER1" s="136"/>
      <c r="JES1" s="136"/>
      <c r="JET1" s="136"/>
      <c r="JEU1" s="136"/>
      <c r="JEV1" s="136"/>
      <c r="JEW1" s="136"/>
      <c r="JEX1" s="136"/>
      <c r="JEY1" s="136"/>
      <c r="JEZ1" s="136"/>
      <c r="JFA1" s="136"/>
      <c r="JFB1" s="136"/>
      <c r="JFC1" s="136"/>
      <c r="JFD1" s="136"/>
      <c r="JFE1" s="136"/>
      <c r="JFF1" s="136"/>
      <c r="JFG1" s="136"/>
      <c r="JFH1" s="136"/>
      <c r="JFI1" s="136"/>
      <c r="JFJ1" s="136"/>
      <c r="JFK1" s="136"/>
      <c r="JFL1" s="136"/>
      <c r="JFM1" s="136"/>
      <c r="JFN1" s="136"/>
      <c r="JFO1" s="136"/>
      <c r="JFP1" s="136"/>
      <c r="JFQ1" s="136"/>
      <c r="JFR1" s="136"/>
      <c r="JFS1" s="136"/>
      <c r="JFT1" s="136"/>
      <c r="JFU1" s="136"/>
      <c r="JFV1" s="136"/>
      <c r="JFW1" s="136"/>
      <c r="JFX1" s="136"/>
      <c r="JFY1" s="136"/>
      <c r="JFZ1" s="136"/>
      <c r="JGA1" s="136"/>
      <c r="JGB1" s="136"/>
      <c r="JGC1" s="136"/>
      <c r="JGD1" s="136"/>
      <c r="JGE1" s="136"/>
      <c r="JGF1" s="136"/>
      <c r="JGG1" s="136"/>
      <c r="JGH1" s="136"/>
      <c r="JGI1" s="136"/>
      <c r="JGJ1" s="136"/>
      <c r="JGK1" s="136"/>
      <c r="JGL1" s="136"/>
      <c r="JGM1" s="136"/>
      <c r="JGN1" s="136"/>
      <c r="JGO1" s="136"/>
      <c r="JGP1" s="136"/>
      <c r="JGQ1" s="136"/>
      <c r="JGR1" s="136"/>
      <c r="JGS1" s="136"/>
      <c r="JGT1" s="136"/>
      <c r="JGU1" s="136"/>
      <c r="JGV1" s="136"/>
      <c r="JGW1" s="136"/>
      <c r="JGX1" s="136"/>
      <c r="JGY1" s="136"/>
      <c r="JGZ1" s="136"/>
      <c r="JHA1" s="136"/>
      <c r="JHB1" s="136"/>
      <c r="JHC1" s="136"/>
      <c r="JHD1" s="136"/>
      <c r="JHE1" s="136"/>
      <c r="JHF1" s="136"/>
      <c r="JHG1" s="136"/>
      <c r="JHH1" s="136"/>
      <c r="JHI1" s="136"/>
      <c r="JHJ1" s="136"/>
      <c r="JHK1" s="136"/>
      <c r="JHL1" s="136"/>
      <c r="JHM1" s="136"/>
      <c r="JHN1" s="136"/>
      <c r="JHO1" s="136"/>
      <c r="JHP1" s="136"/>
      <c r="JHQ1" s="136"/>
      <c r="JHR1" s="136"/>
      <c r="JHS1" s="136"/>
      <c r="JHT1" s="136"/>
      <c r="JHU1" s="136"/>
      <c r="JHV1" s="136"/>
      <c r="JHW1" s="136"/>
      <c r="JHX1" s="136"/>
      <c r="JHY1" s="136"/>
      <c r="JHZ1" s="136"/>
      <c r="JIA1" s="136"/>
      <c r="JIB1" s="136"/>
      <c r="JIC1" s="136"/>
      <c r="JID1" s="136"/>
      <c r="JIE1" s="136"/>
      <c r="JIF1" s="136"/>
      <c r="JIG1" s="136"/>
      <c r="JIH1" s="136"/>
      <c r="JII1" s="136"/>
      <c r="JIJ1" s="136"/>
      <c r="JIK1" s="136"/>
      <c r="JIL1" s="136"/>
      <c r="JIM1" s="136"/>
      <c r="JIN1" s="136"/>
      <c r="JIO1" s="136"/>
      <c r="JIP1" s="136"/>
      <c r="JIQ1" s="136"/>
      <c r="JIR1" s="136"/>
      <c r="JIS1" s="136"/>
      <c r="JIT1" s="136"/>
      <c r="JIU1" s="136"/>
      <c r="JIV1" s="136"/>
      <c r="JIW1" s="136"/>
      <c r="JIX1" s="136"/>
      <c r="JIY1" s="136"/>
      <c r="JIZ1" s="136"/>
      <c r="JJA1" s="136"/>
      <c r="JJB1" s="136"/>
      <c r="JJC1" s="136"/>
      <c r="JJD1" s="136"/>
      <c r="JJE1" s="136"/>
      <c r="JJF1" s="136"/>
      <c r="JJG1" s="136"/>
      <c r="JJH1" s="136"/>
      <c r="JJI1" s="136"/>
      <c r="JJJ1" s="136"/>
      <c r="JJK1" s="136"/>
      <c r="JJL1" s="136"/>
      <c r="JJM1" s="136"/>
      <c r="JJN1" s="136"/>
      <c r="JJO1" s="136"/>
      <c r="JJP1" s="136"/>
      <c r="JJQ1" s="136"/>
      <c r="JJR1" s="136"/>
      <c r="JJS1" s="136"/>
      <c r="JJT1" s="136"/>
      <c r="JJU1" s="136"/>
      <c r="JJV1" s="136"/>
      <c r="JJW1" s="136"/>
      <c r="JJX1" s="136"/>
      <c r="JJY1" s="136"/>
      <c r="JJZ1" s="136"/>
      <c r="JKA1" s="136"/>
      <c r="JKB1" s="136"/>
      <c r="JKC1" s="136"/>
      <c r="JKD1" s="136"/>
      <c r="JKE1" s="136"/>
      <c r="JKF1" s="136"/>
      <c r="JKG1" s="136"/>
      <c r="JKH1" s="136"/>
      <c r="JKI1" s="136"/>
      <c r="JKJ1" s="136"/>
      <c r="JKK1" s="136"/>
      <c r="JKL1" s="136"/>
      <c r="JKM1" s="136"/>
      <c r="JKN1" s="136"/>
      <c r="JKO1" s="136"/>
      <c r="JKP1" s="136"/>
      <c r="JKQ1" s="136"/>
      <c r="JKR1" s="136"/>
      <c r="JKS1" s="136"/>
      <c r="JKT1" s="136"/>
      <c r="JKU1" s="136"/>
      <c r="JKV1" s="136"/>
      <c r="JKW1" s="136"/>
      <c r="JKX1" s="136"/>
      <c r="JKY1" s="136"/>
      <c r="JKZ1" s="136"/>
      <c r="JLA1" s="136"/>
      <c r="JLB1" s="136"/>
      <c r="JLC1" s="136"/>
      <c r="JLD1" s="136"/>
      <c r="JLE1" s="136"/>
      <c r="JLF1" s="136"/>
      <c r="JLG1" s="136"/>
      <c r="JLH1" s="136"/>
      <c r="JLI1" s="136"/>
      <c r="JLJ1" s="136"/>
      <c r="JLK1" s="136"/>
      <c r="JLL1" s="136"/>
      <c r="JLM1" s="136"/>
      <c r="JLN1" s="136"/>
      <c r="JLO1" s="136"/>
      <c r="JLP1" s="136"/>
      <c r="JLQ1" s="136"/>
      <c r="JLR1" s="136"/>
      <c r="JLS1" s="136"/>
      <c r="JLT1" s="136"/>
      <c r="JLU1" s="136"/>
      <c r="JLV1" s="136"/>
      <c r="JLW1" s="136"/>
      <c r="JLX1" s="136"/>
      <c r="JLY1" s="136"/>
      <c r="JLZ1" s="136"/>
      <c r="JMA1" s="136"/>
      <c r="JMB1" s="136"/>
      <c r="JMC1" s="136"/>
      <c r="JMD1" s="136"/>
      <c r="JME1" s="136"/>
      <c r="JMF1" s="136"/>
      <c r="JMG1" s="136"/>
      <c r="JMH1" s="136"/>
      <c r="JMI1" s="136"/>
      <c r="JMJ1" s="136"/>
      <c r="JMK1" s="136"/>
      <c r="JML1" s="136"/>
      <c r="JMM1" s="136"/>
      <c r="JMN1" s="136"/>
      <c r="JMO1" s="136"/>
      <c r="JMP1" s="136"/>
      <c r="JMQ1" s="136"/>
      <c r="JMR1" s="136"/>
      <c r="JMS1" s="136"/>
      <c r="JMT1" s="136"/>
      <c r="JMU1" s="136"/>
      <c r="JMV1" s="136"/>
      <c r="JMW1" s="136"/>
      <c r="JMX1" s="136"/>
      <c r="JMY1" s="136"/>
      <c r="JMZ1" s="136"/>
      <c r="JNA1" s="136"/>
      <c r="JNB1" s="136"/>
      <c r="JNC1" s="136"/>
      <c r="JND1" s="136"/>
      <c r="JNE1" s="136"/>
      <c r="JNF1" s="136"/>
      <c r="JNG1" s="136"/>
      <c r="JNH1" s="136"/>
      <c r="JNI1" s="136"/>
      <c r="JNJ1" s="136"/>
      <c r="JNK1" s="136"/>
      <c r="JNL1" s="136"/>
      <c r="JNM1" s="136"/>
      <c r="JNN1" s="136"/>
      <c r="JNO1" s="136"/>
      <c r="JNP1" s="136"/>
      <c r="JNQ1" s="136"/>
      <c r="JNR1" s="136"/>
      <c r="JNS1" s="136"/>
      <c r="JNT1" s="136"/>
      <c r="JNU1" s="136"/>
      <c r="JNV1" s="136"/>
      <c r="JNW1" s="136"/>
      <c r="JNX1" s="136"/>
      <c r="JNY1" s="136"/>
      <c r="JNZ1" s="136"/>
      <c r="JOA1" s="136"/>
      <c r="JOB1" s="136"/>
      <c r="JOC1" s="136"/>
      <c r="JOD1" s="136"/>
      <c r="JOE1" s="136"/>
      <c r="JOF1" s="136"/>
      <c r="JOG1" s="136"/>
      <c r="JOH1" s="136"/>
      <c r="JOI1" s="136"/>
      <c r="JOJ1" s="136"/>
      <c r="JOK1" s="136"/>
      <c r="JOL1" s="136"/>
      <c r="JOM1" s="136"/>
      <c r="JON1" s="136"/>
      <c r="JOO1" s="136"/>
      <c r="JOP1" s="136"/>
      <c r="JOQ1" s="136"/>
      <c r="JOR1" s="136"/>
      <c r="JOS1" s="136"/>
      <c r="JOT1" s="136"/>
      <c r="JOU1" s="136"/>
      <c r="JOV1" s="136"/>
      <c r="JOW1" s="136"/>
      <c r="JOX1" s="136"/>
      <c r="JOY1" s="136"/>
      <c r="JOZ1" s="136"/>
      <c r="JPA1" s="136"/>
      <c r="JPB1" s="136"/>
      <c r="JPC1" s="136"/>
      <c r="JPD1" s="136"/>
      <c r="JPE1" s="136"/>
      <c r="JPF1" s="136"/>
      <c r="JPG1" s="136"/>
      <c r="JPH1" s="136"/>
      <c r="JPI1" s="136"/>
      <c r="JPJ1" s="136"/>
      <c r="JPK1" s="136"/>
      <c r="JPL1" s="136"/>
      <c r="JPM1" s="136"/>
      <c r="JPN1" s="136"/>
      <c r="JPO1" s="136"/>
      <c r="JPP1" s="136"/>
      <c r="JPQ1" s="136"/>
      <c r="JPR1" s="136"/>
      <c r="JPS1" s="136"/>
      <c r="JPT1" s="136"/>
      <c r="JPU1" s="136"/>
      <c r="JPV1" s="136"/>
      <c r="JPW1" s="136"/>
      <c r="JPX1" s="136"/>
      <c r="JPY1" s="136"/>
      <c r="JPZ1" s="136"/>
      <c r="JQA1" s="136"/>
      <c r="JQB1" s="136"/>
      <c r="JQC1" s="136"/>
      <c r="JQD1" s="136"/>
      <c r="JQE1" s="136"/>
      <c r="JQF1" s="136"/>
      <c r="JQG1" s="136"/>
      <c r="JQH1" s="136"/>
      <c r="JQI1" s="136"/>
      <c r="JQJ1" s="136"/>
      <c r="JQK1" s="136"/>
      <c r="JQL1" s="136"/>
      <c r="JQM1" s="136"/>
      <c r="JQN1" s="136"/>
      <c r="JQO1" s="136"/>
      <c r="JQP1" s="136"/>
      <c r="JQQ1" s="136"/>
      <c r="JQR1" s="136"/>
      <c r="JQS1" s="136"/>
      <c r="JQT1" s="136"/>
      <c r="JQU1" s="136"/>
      <c r="JQV1" s="136"/>
      <c r="JQW1" s="136"/>
      <c r="JQX1" s="136"/>
      <c r="JQY1" s="136"/>
      <c r="JQZ1" s="136"/>
      <c r="JRA1" s="136"/>
      <c r="JRB1" s="136"/>
      <c r="JRC1" s="136"/>
      <c r="JRD1" s="136"/>
      <c r="JRE1" s="136"/>
      <c r="JRF1" s="136"/>
      <c r="JRG1" s="136"/>
      <c r="JRH1" s="136"/>
      <c r="JRI1" s="136"/>
      <c r="JRJ1" s="136"/>
      <c r="JRK1" s="136"/>
      <c r="JRL1" s="136"/>
      <c r="JRM1" s="136"/>
      <c r="JRN1" s="136"/>
      <c r="JRO1" s="136"/>
      <c r="JRP1" s="136"/>
      <c r="JRQ1" s="136"/>
      <c r="JRR1" s="136"/>
      <c r="JRS1" s="136"/>
      <c r="JRT1" s="136"/>
      <c r="JRU1" s="136"/>
      <c r="JRV1" s="136"/>
      <c r="JRW1" s="136"/>
      <c r="JRX1" s="136"/>
      <c r="JRY1" s="136"/>
      <c r="JRZ1" s="136"/>
      <c r="JSA1" s="136"/>
      <c r="JSB1" s="136"/>
      <c r="JSC1" s="136"/>
      <c r="JSD1" s="136"/>
      <c r="JSE1" s="136"/>
      <c r="JSF1" s="136"/>
      <c r="JSG1" s="136"/>
      <c r="JSH1" s="136"/>
      <c r="JSI1" s="136"/>
      <c r="JSJ1" s="136"/>
      <c r="JSK1" s="136"/>
      <c r="JSL1" s="136"/>
      <c r="JSM1" s="136"/>
      <c r="JSN1" s="136"/>
      <c r="JSO1" s="136"/>
      <c r="JSP1" s="136"/>
      <c r="JSQ1" s="136"/>
      <c r="JSR1" s="136"/>
      <c r="JSS1" s="136"/>
      <c r="JST1" s="136"/>
      <c r="JSU1" s="136"/>
      <c r="JSV1" s="136"/>
      <c r="JSW1" s="136"/>
      <c r="JSX1" s="136"/>
      <c r="JSY1" s="136"/>
      <c r="JSZ1" s="136"/>
      <c r="JTA1" s="136"/>
      <c r="JTB1" s="136"/>
      <c r="JTC1" s="136"/>
      <c r="JTD1" s="136"/>
      <c r="JTE1" s="136"/>
      <c r="JTF1" s="136"/>
      <c r="JTG1" s="136"/>
      <c r="JTH1" s="136"/>
      <c r="JTI1" s="136"/>
      <c r="JTJ1" s="136"/>
      <c r="JTK1" s="136"/>
      <c r="JTL1" s="136"/>
      <c r="JTM1" s="136"/>
      <c r="JTN1" s="136"/>
      <c r="JTO1" s="136"/>
      <c r="JTP1" s="136"/>
      <c r="JTQ1" s="136"/>
      <c r="JTR1" s="136"/>
      <c r="JTS1" s="136"/>
      <c r="JTT1" s="136"/>
      <c r="JTU1" s="136"/>
      <c r="JTV1" s="136"/>
      <c r="JTW1" s="136"/>
      <c r="JTX1" s="136"/>
      <c r="JTY1" s="136"/>
      <c r="JTZ1" s="136"/>
      <c r="JUA1" s="136"/>
      <c r="JUB1" s="136"/>
      <c r="JUC1" s="136"/>
      <c r="JUD1" s="136"/>
      <c r="JUE1" s="136"/>
      <c r="JUF1" s="136"/>
      <c r="JUG1" s="136"/>
      <c r="JUH1" s="136"/>
      <c r="JUI1" s="136"/>
      <c r="JUJ1" s="136"/>
      <c r="JUK1" s="136"/>
      <c r="JUL1" s="136"/>
      <c r="JUM1" s="136"/>
      <c r="JUN1" s="136"/>
      <c r="JUO1" s="136"/>
      <c r="JUP1" s="136"/>
      <c r="JUQ1" s="136"/>
      <c r="JUR1" s="136"/>
      <c r="JUS1" s="136"/>
      <c r="JUT1" s="136"/>
      <c r="JUU1" s="136"/>
      <c r="JUV1" s="136"/>
      <c r="JUW1" s="136"/>
      <c r="JUX1" s="136"/>
      <c r="JUY1" s="136"/>
      <c r="JUZ1" s="136"/>
      <c r="JVA1" s="136"/>
      <c r="JVB1" s="136"/>
      <c r="JVC1" s="136"/>
      <c r="JVD1" s="136"/>
      <c r="JVE1" s="136"/>
      <c r="JVF1" s="136"/>
      <c r="JVG1" s="136"/>
      <c r="JVH1" s="136"/>
      <c r="JVI1" s="136"/>
      <c r="JVJ1" s="136"/>
      <c r="JVK1" s="136"/>
      <c r="JVL1" s="136"/>
      <c r="JVM1" s="136"/>
      <c r="JVN1" s="136"/>
      <c r="JVO1" s="136"/>
      <c r="JVP1" s="136"/>
      <c r="JVQ1" s="136"/>
      <c r="JVR1" s="136"/>
      <c r="JVS1" s="136"/>
      <c r="JVT1" s="136"/>
      <c r="JVU1" s="136"/>
      <c r="JVV1" s="136"/>
      <c r="JVW1" s="136"/>
      <c r="JVX1" s="136"/>
      <c r="JVY1" s="136"/>
      <c r="JVZ1" s="136"/>
      <c r="JWA1" s="136"/>
      <c r="JWB1" s="136"/>
      <c r="JWC1" s="136"/>
      <c r="JWD1" s="136"/>
      <c r="JWE1" s="136"/>
      <c r="JWF1" s="136"/>
      <c r="JWG1" s="136"/>
      <c r="JWH1" s="136"/>
      <c r="JWI1" s="136"/>
      <c r="JWJ1" s="136"/>
      <c r="JWK1" s="136"/>
      <c r="JWL1" s="136"/>
      <c r="JWM1" s="136"/>
      <c r="JWN1" s="136"/>
      <c r="JWO1" s="136"/>
      <c r="JWP1" s="136"/>
      <c r="JWQ1" s="136"/>
      <c r="JWR1" s="136"/>
      <c r="JWS1" s="136"/>
      <c r="JWT1" s="136"/>
      <c r="JWU1" s="136"/>
      <c r="JWV1" s="136"/>
      <c r="JWW1" s="136"/>
      <c r="JWX1" s="136"/>
      <c r="JWY1" s="136"/>
      <c r="JWZ1" s="136"/>
      <c r="JXA1" s="136"/>
      <c r="JXB1" s="136"/>
      <c r="JXC1" s="136"/>
      <c r="JXD1" s="136"/>
      <c r="JXE1" s="136"/>
      <c r="JXF1" s="136"/>
      <c r="JXG1" s="136"/>
      <c r="JXH1" s="136"/>
      <c r="JXI1" s="136"/>
      <c r="JXJ1" s="136"/>
      <c r="JXK1" s="136"/>
      <c r="JXL1" s="136"/>
      <c r="JXM1" s="136"/>
      <c r="JXN1" s="136"/>
      <c r="JXO1" s="136"/>
      <c r="JXP1" s="136"/>
      <c r="JXQ1" s="136"/>
      <c r="JXR1" s="136"/>
      <c r="JXS1" s="136"/>
      <c r="JXT1" s="136"/>
      <c r="JXU1" s="136"/>
      <c r="JXV1" s="136"/>
      <c r="JXW1" s="136"/>
      <c r="JXX1" s="136"/>
      <c r="JXY1" s="136"/>
      <c r="JXZ1" s="136"/>
      <c r="JYA1" s="136"/>
      <c r="JYB1" s="136"/>
      <c r="JYC1" s="136"/>
      <c r="JYD1" s="136"/>
      <c r="JYE1" s="136"/>
      <c r="JYF1" s="136"/>
      <c r="JYG1" s="136"/>
      <c r="JYH1" s="136"/>
      <c r="JYI1" s="136"/>
      <c r="JYJ1" s="136"/>
      <c r="JYK1" s="136"/>
      <c r="JYL1" s="136"/>
      <c r="JYM1" s="136"/>
      <c r="JYN1" s="136"/>
      <c r="JYO1" s="136"/>
      <c r="JYP1" s="136"/>
      <c r="JYQ1" s="136"/>
      <c r="JYR1" s="136"/>
      <c r="JYS1" s="136"/>
      <c r="JYT1" s="136"/>
      <c r="JYU1" s="136"/>
      <c r="JYV1" s="136"/>
      <c r="JYW1" s="136"/>
      <c r="JYX1" s="136"/>
      <c r="JYY1" s="136"/>
      <c r="JYZ1" s="136"/>
      <c r="JZA1" s="136"/>
      <c r="JZB1" s="136"/>
      <c r="JZC1" s="136"/>
      <c r="JZD1" s="136"/>
      <c r="JZE1" s="136"/>
      <c r="JZF1" s="136"/>
      <c r="JZG1" s="136"/>
      <c r="JZH1" s="136"/>
      <c r="JZI1" s="136"/>
      <c r="JZJ1" s="136"/>
      <c r="JZK1" s="136"/>
      <c r="JZL1" s="136"/>
      <c r="JZM1" s="136"/>
      <c r="JZN1" s="136"/>
      <c r="JZO1" s="136"/>
      <c r="JZP1" s="136"/>
      <c r="JZQ1" s="136"/>
      <c r="JZR1" s="136"/>
      <c r="JZS1" s="136"/>
      <c r="JZT1" s="136"/>
      <c r="JZU1" s="136"/>
      <c r="JZV1" s="136"/>
      <c r="JZW1" s="136"/>
      <c r="JZX1" s="136"/>
      <c r="JZY1" s="136"/>
      <c r="JZZ1" s="136"/>
      <c r="KAA1" s="136"/>
      <c r="KAB1" s="136"/>
      <c r="KAC1" s="136"/>
      <c r="KAD1" s="136"/>
      <c r="KAE1" s="136"/>
      <c r="KAF1" s="136"/>
      <c r="KAG1" s="136"/>
      <c r="KAH1" s="136"/>
      <c r="KAI1" s="136"/>
      <c r="KAJ1" s="136"/>
      <c r="KAK1" s="136"/>
      <c r="KAL1" s="136"/>
      <c r="KAM1" s="136"/>
      <c r="KAN1" s="136"/>
      <c r="KAO1" s="136"/>
      <c r="KAP1" s="136"/>
      <c r="KAQ1" s="136"/>
      <c r="KAR1" s="136"/>
      <c r="KAS1" s="136"/>
      <c r="KAT1" s="136"/>
      <c r="KAU1" s="136"/>
      <c r="KAV1" s="136"/>
      <c r="KAW1" s="136"/>
      <c r="KAX1" s="136"/>
      <c r="KAY1" s="136"/>
      <c r="KAZ1" s="136"/>
      <c r="KBA1" s="136"/>
      <c r="KBB1" s="136"/>
      <c r="KBC1" s="136"/>
      <c r="KBD1" s="136"/>
      <c r="KBE1" s="136"/>
      <c r="KBF1" s="136"/>
      <c r="KBG1" s="136"/>
      <c r="KBH1" s="136"/>
      <c r="KBI1" s="136"/>
      <c r="KBJ1" s="136"/>
      <c r="KBK1" s="136"/>
      <c r="KBL1" s="136"/>
      <c r="KBM1" s="136"/>
      <c r="KBN1" s="136"/>
      <c r="KBO1" s="136"/>
      <c r="KBP1" s="136"/>
      <c r="KBQ1" s="136"/>
      <c r="KBR1" s="136"/>
      <c r="KBS1" s="136"/>
      <c r="KBT1" s="136"/>
      <c r="KBU1" s="136"/>
      <c r="KBV1" s="136"/>
      <c r="KBW1" s="136"/>
      <c r="KBX1" s="136"/>
      <c r="KBY1" s="136"/>
      <c r="KBZ1" s="136"/>
      <c r="KCA1" s="136"/>
      <c r="KCB1" s="136"/>
      <c r="KCC1" s="136"/>
      <c r="KCD1" s="136"/>
      <c r="KCE1" s="136"/>
      <c r="KCF1" s="136"/>
      <c r="KCG1" s="136"/>
      <c r="KCH1" s="136"/>
      <c r="KCI1" s="136"/>
      <c r="KCJ1" s="136"/>
      <c r="KCK1" s="136"/>
      <c r="KCL1" s="136"/>
      <c r="KCM1" s="136"/>
      <c r="KCN1" s="136"/>
      <c r="KCO1" s="136"/>
      <c r="KCP1" s="136"/>
      <c r="KCQ1" s="136"/>
      <c r="KCR1" s="136"/>
      <c r="KCS1" s="136"/>
      <c r="KCT1" s="136"/>
      <c r="KCU1" s="136"/>
      <c r="KCV1" s="136"/>
      <c r="KCW1" s="136"/>
      <c r="KCX1" s="136"/>
      <c r="KCY1" s="136"/>
      <c r="KCZ1" s="136"/>
      <c r="KDA1" s="136"/>
      <c r="KDB1" s="136"/>
      <c r="KDC1" s="136"/>
      <c r="KDD1" s="136"/>
      <c r="KDE1" s="136"/>
      <c r="KDF1" s="136"/>
      <c r="KDG1" s="136"/>
      <c r="KDH1" s="136"/>
      <c r="KDI1" s="136"/>
      <c r="KDJ1" s="136"/>
      <c r="KDK1" s="136"/>
      <c r="KDL1" s="136"/>
      <c r="KDM1" s="136"/>
      <c r="KDN1" s="136"/>
      <c r="KDO1" s="136"/>
      <c r="KDP1" s="136"/>
      <c r="KDQ1" s="136"/>
      <c r="KDR1" s="136"/>
      <c r="KDS1" s="136"/>
      <c r="KDT1" s="136"/>
      <c r="KDU1" s="136"/>
      <c r="KDV1" s="136"/>
      <c r="KDW1" s="136"/>
      <c r="KDX1" s="136"/>
      <c r="KDY1" s="136"/>
      <c r="KDZ1" s="136"/>
      <c r="KEA1" s="136"/>
      <c r="KEB1" s="136"/>
      <c r="KEC1" s="136"/>
      <c r="KED1" s="136"/>
      <c r="KEE1" s="136"/>
      <c r="KEF1" s="136"/>
      <c r="KEG1" s="136"/>
      <c r="KEH1" s="136"/>
      <c r="KEI1" s="136"/>
      <c r="KEJ1" s="136"/>
      <c r="KEK1" s="136"/>
      <c r="KEL1" s="136"/>
      <c r="KEM1" s="136"/>
      <c r="KEN1" s="136"/>
      <c r="KEO1" s="136"/>
      <c r="KEP1" s="136"/>
      <c r="KEQ1" s="136"/>
      <c r="KER1" s="136"/>
      <c r="KES1" s="136"/>
      <c r="KET1" s="136"/>
      <c r="KEU1" s="136"/>
      <c r="KEV1" s="136"/>
      <c r="KEW1" s="136"/>
      <c r="KEX1" s="136"/>
      <c r="KEY1" s="136"/>
      <c r="KEZ1" s="136"/>
      <c r="KFA1" s="136"/>
      <c r="KFB1" s="136"/>
      <c r="KFC1" s="136"/>
      <c r="KFD1" s="136"/>
      <c r="KFE1" s="136"/>
      <c r="KFF1" s="136"/>
      <c r="KFG1" s="136"/>
      <c r="KFH1" s="136"/>
      <c r="KFI1" s="136"/>
      <c r="KFJ1" s="136"/>
      <c r="KFK1" s="136"/>
      <c r="KFL1" s="136"/>
      <c r="KFM1" s="136"/>
      <c r="KFN1" s="136"/>
      <c r="KFO1" s="136"/>
      <c r="KFP1" s="136"/>
      <c r="KFQ1" s="136"/>
      <c r="KFR1" s="136"/>
      <c r="KFS1" s="136"/>
      <c r="KFT1" s="136"/>
      <c r="KFU1" s="136"/>
      <c r="KFV1" s="136"/>
      <c r="KFW1" s="136"/>
      <c r="KFX1" s="136"/>
      <c r="KFY1" s="136"/>
      <c r="KFZ1" s="136"/>
      <c r="KGA1" s="136"/>
      <c r="KGB1" s="136"/>
      <c r="KGC1" s="136"/>
      <c r="KGD1" s="136"/>
      <c r="KGE1" s="136"/>
      <c r="KGF1" s="136"/>
      <c r="KGG1" s="136"/>
      <c r="KGH1" s="136"/>
      <c r="KGI1" s="136"/>
      <c r="KGJ1" s="136"/>
      <c r="KGK1" s="136"/>
      <c r="KGL1" s="136"/>
      <c r="KGM1" s="136"/>
      <c r="KGN1" s="136"/>
      <c r="KGO1" s="136"/>
      <c r="KGP1" s="136"/>
      <c r="KGQ1" s="136"/>
      <c r="KGR1" s="136"/>
      <c r="KGS1" s="136"/>
      <c r="KGT1" s="136"/>
      <c r="KGU1" s="136"/>
      <c r="KGV1" s="136"/>
      <c r="KGW1" s="136"/>
      <c r="KGX1" s="136"/>
      <c r="KGY1" s="136"/>
      <c r="KGZ1" s="136"/>
      <c r="KHA1" s="136"/>
      <c r="KHB1" s="136"/>
      <c r="KHC1" s="136"/>
      <c r="KHD1" s="136"/>
      <c r="KHE1" s="136"/>
      <c r="KHF1" s="136"/>
      <c r="KHG1" s="136"/>
      <c r="KHH1" s="136"/>
      <c r="KHI1" s="136"/>
      <c r="KHJ1" s="136"/>
      <c r="KHK1" s="136"/>
      <c r="KHL1" s="136"/>
      <c r="KHM1" s="136"/>
      <c r="KHN1" s="136"/>
      <c r="KHO1" s="136"/>
      <c r="KHP1" s="136"/>
      <c r="KHQ1" s="136"/>
      <c r="KHR1" s="136"/>
      <c r="KHS1" s="136"/>
      <c r="KHT1" s="136"/>
      <c r="KHU1" s="136"/>
      <c r="KHV1" s="136"/>
      <c r="KHW1" s="136"/>
      <c r="KHX1" s="136"/>
      <c r="KHY1" s="136"/>
      <c r="KHZ1" s="136"/>
      <c r="KIA1" s="136"/>
      <c r="KIB1" s="136"/>
      <c r="KIC1" s="136"/>
      <c r="KID1" s="136"/>
      <c r="KIE1" s="136"/>
      <c r="KIF1" s="136"/>
      <c r="KIG1" s="136"/>
      <c r="KIH1" s="136"/>
      <c r="KII1" s="136"/>
      <c r="KIJ1" s="136"/>
      <c r="KIK1" s="136"/>
      <c r="KIL1" s="136"/>
      <c r="KIM1" s="136"/>
      <c r="KIN1" s="136"/>
      <c r="KIO1" s="136"/>
      <c r="KIP1" s="136"/>
      <c r="KIQ1" s="136"/>
      <c r="KIR1" s="136"/>
      <c r="KIS1" s="136"/>
      <c r="KIT1" s="136"/>
      <c r="KIU1" s="136"/>
      <c r="KIV1" s="136"/>
      <c r="KIW1" s="136"/>
      <c r="KIX1" s="136"/>
      <c r="KIY1" s="136"/>
      <c r="KIZ1" s="136"/>
      <c r="KJA1" s="136"/>
      <c r="KJB1" s="136"/>
      <c r="KJC1" s="136"/>
      <c r="KJD1" s="136"/>
      <c r="KJE1" s="136"/>
      <c r="KJF1" s="136"/>
      <c r="KJG1" s="136"/>
      <c r="KJH1" s="136"/>
      <c r="KJI1" s="136"/>
      <c r="KJJ1" s="136"/>
      <c r="KJK1" s="136"/>
      <c r="KJL1" s="136"/>
      <c r="KJM1" s="136"/>
      <c r="KJN1" s="136"/>
      <c r="KJO1" s="136"/>
      <c r="KJP1" s="136"/>
      <c r="KJQ1" s="136"/>
      <c r="KJR1" s="136"/>
      <c r="KJS1" s="136"/>
      <c r="KJT1" s="136"/>
      <c r="KJU1" s="136"/>
      <c r="KJV1" s="136"/>
      <c r="KJW1" s="136"/>
      <c r="KJX1" s="136"/>
      <c r="KJY1" s="136"/>
      <c r="KJZ1" s="136"/>
      <c r="KKA1" s="136"/>
      <c r="KKB1" s="136"/>
      <c r="KKC1" s="136"/>
      <c r="KKD1" s="136"/>
      <c r="KKE1" s="136"/>
      <c r="KKF1" s="136"/>
      <c r="KKG1" s="136"/>
      <c r="KKH1" s="136"/>
      <c r="KKI1" s="136"/>
      <c r="KKJ1" s="136"/>
      <c r="KKK1" s="136"/>
      <c r="KKL1" s="136"/>
      <c r="KKM1" s="136"/>
      <c r="KKN1" s="136"/>
      <c r="KKO1" s="136"/>
      <c r="KKP1" s="136"/>
      <c r="KKQ1" s="136"/>
      <c r="KKR1" s="136"/>
      <c r="KKS1" s="136"/>
      <c r="KKT1" s="136"/>
      <c r="KKU1" s="136"/>
      <c r="KKV1" s="136"/>
      <c r="KKW1" s="136"/>
      <c r="KKX1" s="136"/>
      <c r="KKY1" s="136"/>
      <c r="KKZ1" s="136"/>
      <c r="KLA1" s="136"/>
      <c r="KLB1" s="136"/>
      <c r="KLC1" s="136"/>
      <c r="KLD1" s="136"/>
      <c r="KLE1" s="136"/>
      <c r="KLF1" s="136"/>
      <c r="KLG1" s="136"/>
      <c r="KLH1" s="136"/>
      <c r="KLI1" s="136"/>
      <c r="KLJ1" s="136"/>
      <c r="KLK1" s="136"/>
      <c r="KLL1" s="136"/>
      <c r="KLM1" s="136"/>
      <c r="KLN1" s="136"/>
      <c r="KLO1" s="136"/>
      <c r="KLP1" s="136"/>
      <c r="KLQ1" s="136"/>
      <c r="KLR1" s="136"/>
      <c r="KLS1" s="136"/>
      <c r="KLT1" s="136"/>
      <c r="KLU1" s="136"/>
      <c r="KLV1" s="136"/>
      <c r="KLW1" s="136"/>
      <c r="KLX1" s="136"/>
      <c r="KLY1" s="136"/>
      <c r="KLZ1" s="136"/>
      <c r="KMA1" s="136"/>
      <c r="KMB1" s="136"/>
      <c r="KMC1" s="136"/>
      <c r="KMD1" s="136"/>
      <c r="KME1" s="136"/>
      <c r="KMF1" s="136"/>
      <c r="KMG1" s="136"/>
      <c r="KMH1" s="136"/>
      <c r="KMI1" s="136"/>
      <c r="KMJ1" s="136"/>
      <c r="KMK1" s="136"/>
      <c r="KML1" s="136"/>
      <c r="KMM1" s="136"/>
      <c r="KMN1" s="136"/>
      <c r="KMO1" s="136"/>
      <c r="KMP1" s="136"/>
      <c r="KMQ1" s="136"/>
      <c r="KMR1" s="136"/>
      <c r="KMS1" s="136"/>
      <c r="KMT1" s="136"/>
      <c r="KMU1" s="136"/>
      <c r="KMV1" s="136"/>
      <c r="KMW1" s="136"/>
      <c r="KMX1" s="136"/>
      <c r="KMY1" s="136"/>
      <c r="KMZ1" s="136"/>
      <c r="KNA1" s="136"/>
      <c r="KNB1" s="136"/>
      <c r="KNC1" s="136"/>
      <c r="KND1" s="136"/>
      <c r="KNE1" s="136"/>
      <c r="KNF1" s="136"/>
      <c r="KNG1" s="136"/>
      <c r="KNH1" s="136"/>
      <c r="KNI1" s="136"/>
      <c r="KNJ1" s="136"/>
      <c r="KNK1" s="136"/>
      <c r="KNL1" s="136"/>
      <c r="KNM1" s="136"/>
      <c r="KNN1" s="136"/>
      <c r="KNO1" s="136"/>
      <c r="KNP1" s="136"/>
      <c r="KNQ1" s="136"/>
      <c r="KNR1" s="136"/>
      <c r="KNS1" s="136"/>
      <c r="KNT1" s="136"/>
      <c r="KNU1" s="136"/>
      <c r="KNV1" s="136"/>
      <c r="KNW1" s="136"/>
      <c r="KNX1" s="136"/>
      <c r="KNY1" s="136"/>
      <c r="KNZ1" s="136"/>
      <c r="KOA1" s="136"/>
      <c r="KOB1" s="136"/>
      <c r="KOC1" s="136"/>
      <c r="KOD1" s="136"/>
      <c r="KOE1" s="136"/>
      <c r="KOF1" s="136"/>
      <c r="KOG1" s="136"/>
      <c r="KOH1" s="136"/>
      <c r="KOI1" s="136"/>
      <c r="KOJ1" s="136"/>
      <c r="KOK1" s="136"/>
      <c r="KOL1" s="136"/>
      <c r="KOM1" s="136"/>
      <c r="KON1" s="136"/>
      <c r="KOO1" s="136"/>
      <c r="KOP1" s="136"/>
      <c r="KOQ1" s="136"/>
      <c r="KOR1" s="136"/>
      <c r="KOS1" s="136"/>
      <c r="KOT1" s="136"/>
      <c r="KOU1" s="136"/>
      <c r="KOV1" s="136"/>
      <c r="KOW1" s="136"/>
      <c r="KOX1" s="136"/>
      <c r="KOY1" s="136"/>
      <c r="KOZ1" s="136"/>
      <c r="KPA1" s="136"/>
      <c r="KPB1" s="136"/>
      <c r="KPC1" s="136"/>
      <c r="KPD1" s="136"/>
      <c r="KPE1" s="136"/>
      <c r="KPF1" s="136"/>
      <c r="KPG1" s="136"/>
      <c r="KPH1" s="136"/>
      <c r="KPI1" s="136"/>
      <c r="KPJ1" s="136"/>
      <c r="KPK1" s="136"/>
      <c r="KPL1" s="136"/>
      <c r="KPM1" s="136"/>
      <c r="KPN1" s="136"/>
      <c r="KPO1" s="136"/>
      <c r="KPP1" s="136"/>
      <c r="KPQ1" s="136"/>
      <c r="KPR1" s="136"/>
      <c r="KPS1" s="136"/>
      <c r="KPT1" s="136"/>
      <c r="KPU1" s="136"/>
      <c r="KPV1" s="136"/>
      <c r="KPW1" s="136"/>
      <c r="KPX1" s="136"/>
      <c r="KPY1" s="136"/>
      <c r="KPZ1" s="136"/>
      <c r="KQA1" s="136"/>
      <c r="KQB1" s="136"/>
      <c r="KQC1" s="136"/>
      <c r="KQD1" s="136"/>
      <c r="KQE1" s="136"/>
      <c r="KQF1" s="136"/>
      <c r="KQG1" s="136"/>
      <c r="KQH1" s="136"/>
      <c r="KQI1" s="136"/>
      <c r="KQJ1" s="136"/>
      <c r="KQK1" s="136"/>
      <c r="KQL1" s="136"/>
      <c r="KQM1" s="136"/>
      <c r="KQN1" s="136"/>
      <c r="KQO1" s="136"/>
      <c r="KQP1" s="136"/>
      <c r="KQQ1" s="136"/>
      <c r="KQR1" s="136"/>
      <c r="KQS1" s="136"/>
      <c r="KQT1" s="136"/>
      <c r="KQU1" s="136"/>
      <c r="KQV1" s="136"/>
      <c r="KQW1" s="136"/>
      <c r="KQX1" s="136"/>
      <c r="KQY1" s="136"/>
      <c r="KQZ1" s="136"/>
      <c r="KRA1" s="136"/>
      <c r="KRB1" s="136"/>
      <c r="KRC1" s="136"/>
      <c r="KRD1" s="136"/>
      <c r="KRE1" s="136"/>
      <c r="KRF1" s="136"/>
      <c r="KRG1" s="136"/>
      <c r="KRH1" s="136"/>
      <c r="KRI1" s="136"/>
      <c r="KRJ1" s="136"/>
      <c r="KRK1" s="136"/>
      <c r="KRL1" s="136"/>
      <c r="KRM1" s="136"/>
      <c r="KRN1" s="136"/>
      <c r="KRO1" s="136"/>
      <c r="KRP1" s="136"/>
      <c r="KRQ1" s="136"/>
      <c r="KRR1" s="136"/>
      <c r="KRS1" s="136"/>
      <c r="KRT1" s="136"/>
      <c r="KRU1" s="136"/>
      <c r="KRV1" s="136"/>
      <c r="KRW1" s="136"/>
      <c r="KRX1" s="136"/>
      <c r="KRY1" s="136"/>
      <c r="KRZ1" s="136"/>
      <c r="KSA1" s="136"/>
      <c r="KSB1" s="136"/>
      <c r="KSC1" s="136"/>
      <c r="KSD1" s="136"/>
      <c r="KSE1" s="136"/>
      <c r="KSF1" s="136"/>
      <c r="KSG1" s="136"/>
      <c r="KSH1" s="136"/>
      <c r="KSI1" s="136"/>
      <c r="KSJ1" s="136"/>
      <c r="KSK1" s="136"/>
      <c r="KSL1" s="136"/>
      <c r="KSM1" s="136"/>
      <c r="KSN1" s="136"/>
      <c r="KSO1" s="136"/>
      <c r="KSP1" s="136"/>
      <c r="KSQ1" s="136"/>
      <c r="KSR1" s="136"/>
      <c r="KSS1" s="136"/>
      <c r="KST1" s="136"/>
      <c r="KSU1" s="136"/>
      <c r="KSV1" s="136"/>
      <c r="KSW1" s="136"/>
      <c r="KSX1" s="136"/>
      <c r="KSY1" s="136"/>
      <c r="KSZ1" s="136"/>
      <c r="KTA1" s="136"/>
      <c r="KTB1" s="136"/>
      <c r="KTC1" s="136"/>
      <c r="KTD1" s="136"/>
      <c r="KTE1" s="136"/>
      <c r="KTF1" s="136"/>
      <c r="KTG1" s="136"/>
      <c r="KTH1" s="136"/>
      <c r="KTI1" s="136"/>
      <c r="KTJ1" s="136"/>
      <c r="KTK1" s="136"/>
      <c r="KTL1" s="136"/>
      <c r="KTM1" s="136"/>
      <c r="KTN1" s="136"/>
      <c r="KTO1" s="136"/>
      <c r="KTP1" s="136"/>
      <c r="KTQ1" s="136"/>
      <c r="KTR1" s="136"/>
      <c r="KTS1" s="136"/>
      <c r="KTT1" s="136"/>
      <c r="KTU1" s="136"/>
      <c r="KTV1" s="136"/>
      <c r="KTW1" s="136"/>
      <c r="KTX1" s="136"/>
      <c r="KTY1" s="136"/>
      <c r="KTZ1" s="136"/>
      <c r="KUA1" s="136"/>
      <c r="KUB1" s="136"/>
      <c r="KUC1" s="136"/>
      <c r="KUD1" s="136"/>
      <c r="KUE1" s="136"/>
      <c r="KUF1" s="136"/>
      <c r="KUG1" s="136"/>
      <c r="KUH1" s="136"/>
      <c r="KUI1" s="136"/>
      <c r="KUJ1" s="136"/>
      <c r="KUK1" s="136"/>
      <c r="KUL1" s="136"/>
      <c r="KUM1" s="136"/>
      <c r="KUN1" s="136"/>
      <c r="KUO1" s="136"/>
      <c r="KUP1" s="136"/>
      <c r="KUQ1" s="136"/>
      <c r="KUR1" s="136"/>
      <c r="KUS1" s="136"/>
      <c r="KUT1" s="136"/>
      <c r="KUU1" s="136"/>
      <c r="KUV1" s="136"/>
      <c r="KUW1" s="136"/>
      <c r="KUX1" s="136"/>
      <c r="KUY1" s="136"/>
      <c r="KUZ1" s="136"/>
      <c r="KVA1" s="136"/>
      <c r="KVB1" s="136"/>
      <c r="KVC1" s="136"/>
      <c r="KVD1" s="136"/>
      <c r="KVE1" s="136"/>
      <c r="KVF1" s="136"/>
      <c r="KVG1" s="136"/>
      <c r="KVH1" s="136"/>
      <c r="KVI1" s="136"/>
      <c r="KVJ1" s="136"/>
      <c r="KVK1" s="136"/>
      <c r="KVL1" s="136"/>
      <c r="KVM1" s="136"/>
      <c r="KVN1" s="136"/>
      <c r="KVO1" s="136"/>
      <c r="KVP1" s="136"/>
      <c r="KVQ1" s="136"/>
      <c r="KVR1" s="136"/>
      <c r="KVS1" s="136"/>
      <c r="KVT1" s="136"/>
      <c r="KVU1" s="136"/>
      <c r="KVV1" s="136"/>
      <c r="KVW1" s="136"/>
      <c r="KVX1" s="136"/>
      <c r="KVY1" s="136"/>
      <c r="KVZ1" s="136"/>
      <c r="KWA1" s="136"/>
      <c r="KWB1" s="136"/>
      <c r="KWC1" s="136"/>
      <c r="KWD1" s="136"/>
      <c r="KWE1" s="136"/>
      <c r="KWF1" s="136"/>
      <c r="KWG1" s="136"/>
      <c r="KWH1" s="136"/>
      <c r="KWI1" s="136"/>
      <c r="KWJ1" s="136"/>
      <c r="KWK1" s="136"/>
      <c r="KWL1" s="136"/>
      <c r="KWM1" s="136"/>
      <c r="KWN1" s="136"/>
      <c r="KWO1" s="136"/>
      <c r="KWP1" s="136"/>
      <c r="KWQ1" s="136"/>
      <c r="KWR1" s="136"/>
      <c r="KWS1" s="136"/>
      <c r="KWT1" s="136"/>
      <c r="KWU1" s="136"/>
      <c r="KWV1" s="136"/>
      <c r="KWW1" s="136"/>
      <c r="KWX1" s="136"/>
      <c r="KWY1" s="136"/>
      <c r="KWZ1" s="136"/>
      <c r="KXA1" s="136"/>
      <c r="KXB1" s="136"/>
      <c r="KXC1" s="136"/>
      <c r="KXD1" s="136"/>
      <c r="KXE1" s="136"/>
      <c r="KXF1" s="136"/>
      <c r="KXG1" s="136"/>
      <c r="KXH1" s="136"/>
      <c r="KXI1" s="136"/>
      <c r="KXJ1" s="136"/>
      <c r="KXK1" s="136"/>
      <c r="KXL1" s="136"/>
      <c r="KXM1" s="136"/>
      <c r="KXN1" s="136"/>
      <c r="KXO1" s="136"/>
      <c r="KXP1" s="136"/>
      <c r="KXQ1" s="136"/>
      <c r="KXR1" s="136"/>
      <c r="KXS1" s="136"/>
      <c r="KXT1" s="136"/>
      <c r="KXU1" s="136"/>
      <c r="KXV1" s="136"/>
      <c r="KXW1" s="136"/>
      <c r="KXX1" s="136"/>
      <c r="KXY1" s="136"/>
      <c r="KXZ1" s="136"/>
      <c r="KYA1" s="136"/>
      <c r="KYB1" s="136"/>
      <c r="KYC1" s="136"/>
      <c r="KYD1" s="136"/>
      <c r="KYE1" s="136"/>
      <c r="KYF1" s="136"/>
      <c r="KYG1" s="136"/>
      <c r="KYH1" s="136"/>
      <c r="KYI1" s="136"/>
      <c r="KYJ1" s="136"/>
      <c r="KYK1" s="136"/>
      <c r="KYL1" s="136"/>
      <c r="KYM1" s="136"/>
      <c r="KYN1" s="136"/>
      <c r="KYO1" s="136"/>
      <c r="KYP1" s="136"/>
      <c r="KYQ1" s="136"/>
      <c r="KYR1" s="136"/>
      <c r="KYS1" s="136"/>
      <c r="KYT1" s="136"/>
      <c r="KYU1" s="136"/>
      <c r="KYV1" s="136"/>
      <c r="KYW1" s="136"/>
      <c r="KYX1" s="136"/>
      <c r="KYY1" s="136"/>
      <c r="KYZ1" s="136"/>
      <c r="KZA1" s="136"/>
      <c r="KZB1" s="136"/>
      <c r="KZC1" s="136"/>
      <c r="KZD1" s="136"/>
      <c r="KZE1" s="136"/>
      <c r="KZF1" s="136"/>
      <c r="KZG1" s="136"/>
      <c r="KZH1" s="136"/>
      <c r="KZI1" s="136"/>
      <c r="KZJ1" s="136"/>
      <c r="KZK1" s="136"/>
      <c r="KZL1" s="136"/>
      <c r="KZM1" s="136"/>
      <c r="KZN1" s="136"/>
      <c r="KZO1" s="136"/>
      <c r="KZP1" s="136"/>
      <c r="KZQ1" s="136"/>
      <c r="KZR1" s="136"/>
      <c r="KZS1" s="136"/>
      <c r="KZT1" s="136"/>
      <c r="KZU1" s="136"/>
      <c r="KZV1" s="136"/>
      <c r="KZW1" s="136"/>
      <c r="KZX1" s="136"/>
      <c r="KZY1" s="136"/>
      <c r="KZZ1" s="136"/>
      <c r="LAA1" s="136"/>
      <c r="LAB1" s="136"/>
      <c r="LAC1" s="136"/>
      <c r="LAD1" s="136"/>
      <c r="LAE1" s="136"/>
      <c r="LAF1" s="136"/>
      <c r="LAG1" s="136"/>
      <c r="LAH1" s="136"/>
      <c r="LAI1" s="136"/>
      <c r="LAJ1" s="136"/>
      <c r="LAK1" s="136"/>
      <c r="LAL1" s="136"/>
      <c r="LAM1" s="136"/>
      <c r="LAN1" s="136"/>
      <c r="LAO1" s="136"/>
      <c r="LAP1" s="136"/>
      <c r="LAQ1" s="136"/>
      <c r="LAR1" s="136"/>
      <c r="LAS1" s="136"/>
      <c r="LAT1" s="136"/>
      <c r="LAU1" s="136"/>
      <c r="LAV1" s="136"/>
      <c r="LAW1" s="136"/>
      <c r="LAX1" s="136"/>
      <c r="LAY1" s="136"/>
      <c r="LAZ1" s="136"/>
      <c r="LBA1" s="136"/>
      <c r="LBB1" s="136"/>
      <c r="LBC1" s="136"/>
      <c r="LBD1" s="136"/>
      <c r="LBE1" s="136"/>
      <c r="LBF1" s="136"/>
      <c r="LBG1" s="136"/>
      <c r="LBH1" s="136"/>
      <c r="LBI1" s="136"/>
      <c r="LBJ1" s="136"/>
      <c r="LBK1" s="136"/>
      <c r="LBL1" s="136"/>
      <c r="LBM1" s="136"/>
      <c r="LBN1" s="136"/>
      <c r="LBO1" s="136"/>
      <c r="LBP1" s="136"/>
      <c r="LBQ1" s="136"/>
      <c r="LBR1" s="136"/>
      <c r="LBS1" s="136"/>
      <c r="LBT1" s="136"/>
      <c r="LBU1" s="136"/>
      <c r="LBV1" s="136"/>
      <c r="LBW1" s="136"/>
      <c r="LBX1" s="136"/>
      <c r="LBY1" s="136"/>
      <c r="LBZ1" s="136"/>
      <c r="LCA1" s="136"/>
      <c r="LCB1" s="136"/>
      <c r="LCC1" s="136"/>
      <c r="LCD1" s="136"/>
      <c r="LCE1" s="136"/>
      <c r="LCF1" s="136"/>
      <c r="LCG1" s="136"/>
      <c r="LCH1" s="136"/>
      <c r="LCI1" s="136"/>
      <c r="LCJ1" s="136"/>
      <c r="LCK1" s="136"/>
      <c r="LCL1" s="136"/>
      <c r="LCM1" s="136"/>
      <c r="LCN1" s="136"/>
      <c r="LCO1" s="136"/>
      <c r="LCP1" s="136"/>
      <c r="LCQ1" s="136"/>
      <c r="LCR1" s="136"/>
      <c r="LCS1" s="136"/>
      <c r="LCT1" s="136"/>
      <c r="LCU1" s="136"/>
      <c r="LCV1" s="136"/>
      <c r="LCW1" s="136"/>
      <c r="LCX1" s="136"/>
      <c r="LCY1" s="136"/>
      <c r="LCZ1" s="136"/>
      <c r="LDA1" s="136"/>
      <c r="LDB1" s="136"/>
      <c r="LDC1" s="136"/>
      <c r="LDD1" s="136"/>
      <c r="LDE1" s="136"/>
      <c r="LDF1" s="136"/>
      <c r="LDG1" s="136"/>
      <c r="LDH1" s="136"/>
      <c r="LDI1" s="136"/>
      <c r="LDJ1" s="136"/>
      <c r="LDK1" s="136"/>
      <c r="LDL1" s="136"/>
      <c r="LDM1" s="136"/>
      <c r="LDN1" s="136"/>
      <c r="LDO1" s="136"/>
      <c r="LDP1" s="136"/>
      <c r="LDQ1" s="136"/>
      <c r="LDR1" s="136"/>
      <c r="LDS1" s="136"/>
      <c r="LDT1" s="136"/>
      <c r="LDU1" s="136"/>
      <c r="LDV1" s="136"/>
      <c r="LDW1" s="136"/>
      <c r="LDX1" s="136"/>
      <c r="LDY1" s="136"/>
      <c r="LDZ1" s="136"/>
      <c r="LEA1" s="136"/>
      <c r="LEB1" s="136"/>
      <c r="LEC1" s="136"/>
      <c r="LED1" s="136"/>
      <c r="LEE1" s="136"/>
      <c r="LEF1" s="136"/>
      <c r="LEG1" s="136"/>
      <c r="LEH1" s="136"/>
      <c r="LEI1" s="136"/>
      <c r="LEJ1" s="136"/>
      <c r="LEK1" s="136"/>
      <c r="LEL1" s="136"/>
      <c r="LEM1" s="136"/>
      <c r="LEN1" s="136"/>
      <c r="LEO1" s="136"/>
      <c r="LEP1" s="136"/>
      <c r="LEQ1" s="136"/>
      <c r="LER1" s="136"/>
      <c r="LES1" s="136"/>
      <c r="LET1" s="136"/>
      <c r="LEU1" s="136"/>
      <c r="LEV1" s="136"/>
      <c r="LEW1" s="136"/>
      <c r="LEX1" s="136"/>
      <c r="LEY1" s="136"/>
      <c r="LEZ1" s="136"/>
      <c r="LFA1" s="136"/>
      <c r="LFB1" s="136"/>
      <c r="LFC1" s="136"/>
      <c r="LFD1" s="136"/>
      <c r="LFE1" s="136"/>
      <c r="LFF1" s="136"/>
      <c r="LFG1" s="136"/>
      <c r="LFH1" s="136"/>
      <c r="LFI1" s="136"/>
      <c r="LFJ1" s="136"/>
      <c r="LFK1" s="136"/>
      <c r="LFL1" s="136"/>
      <c r="LFM1" s="136"/>
      <c r="LFN1" s="136"/>
      <c r="LFO1" s="136"/>
      <c r="LFP1" s="136"/>
      <c r="LFQ1" s="136"/>
      <c r="LFR1" s="136"/>
      <c r="LFS1" s="136"/>
      <c r="LFT1" s="136"/>
      <c r="LFU1" s="136"/>
      <c r="LFV1" s="136"/>
      <c r="LFW1" s="136"/>
      <c r="LFX1" s="136"/>
      <c r="LFY1" s="136"/>
      <c r="LFZ1" s="136"/>
      <c r="LGA1" s="136"/>
      <c r="LGB1" s="136"/>
      <c r="LGC1" s="136"/>
      <c r="LGD1" s="136"/>
      <c r="LGE1" s="136"/>
      <c r="LGF1" s="136"/>
      <c r="LGG1" s="136"/>
      <c r="LGH1" s="136"/>
      <c r="LGI1" s="136"/>
      <c r="LGJ1" s="136"/>
      <c r="LGK1" s="136"/>
      <c r="LGL1" s="136"/>
      <c r="LGM1" s="136"/>
      <c r="LGN1" s="136"/>
      <c r="LGO1" s="136"/>
      <c r="LGP1" s="136"/>
      <c r="LGQ1" s="136"/>
      <c r="LGR1" s="136"/>
      <c r="LGS1" s="136"/>
      <c r="LGT1" s="136"/>
      <c r="LGU1" s="136"/>
      <c r="LGV1" s="136"/>
      <c r="LGW1" s="136"/>
      <c r="LGX1" s="136"/>
      <c r="LGY1" s="136"/>
      <c r="LGZ1" s="136"/>
      <c r="LHA1" s="136"/>
      <c r="LHB1" s="136"/>
      <c r="LHC1" s="136"/>
      <c r="LHD1" s="136"/>
      <c r="LHE1" s="136"/>
      <c r="LHF1" s="136"/>
      <c r="LHG1" s="136"/>
      <c r="LHH1" s="136"/>
      <c r="LHI1" s="136"/>
      <c r="LHJ1" s="136"/>
      <c r="LHK1" s="136"/>
      <c r="LHL1" s="136"/>
      <c r="LHM1" s="136"/>
      <c r="LHN1" s="136"/>
      <c r="LHO1" s="136"/>
      <c r="LHP1" s="136"/>
      <c r="LHQ1" s="136"/>
      <c r="LHR1" s="136"/>
      <c r="LHS1" s="136"/>
      <c r="LHT1" s="136"/>
      <c r="LHU1" s="136"/>
      <c r="LHV1" s="136"/>
      <c r="LHW1" s="136"/>
      <c r="LHX1" s="136"/>
      <c r="LHY1" s="136"/>
      <c r="LHZ1" s="136"/>
      <c r="LIA1" s="136"/>
      <c r="LIB1" s="136"/>
      <c r="LIC1" s="136"/>
      <c r="LID1" s="136"/>
      <c r="LIE1" s="136"/>
      <c r="LIF1" s="136"/>
      <c r="LIG1" s="136"/>
      <c r="LIH1" s="136"/>
      <c r="LII1" s="136"/>
      <c r="LIJ1" s="136"/>
      <c r="LIK1" s="136"/>
      <c r="LIL1" s="136"/>
      <c r="LIM1" s="136"/>
      <c r="LIN1" s="136"/>
      <c r="LIO1" s="136"/>
      <c r="LIP1" s="136"/>
      <c r="LIQ1" s="136"/>
      <c r="LIR1" s="136"/>
      <c r="LIS1" s="136"/>
      <c r="LIT1" s="136"/>
      <c r="LIU1" s="136"/>
      <c r="LIV1" s="136"/>
      <c r="LIW1" s="136"/>
      <c r="LIX1" s="136"/>
      <c r="LIY1" s="136"/>
      <c r="LIZ1" s="136"/>
      <c r="LJA1" s="136"/>
      <c r="LJB1" s="136"/>
      <c r="LJC1" s="136"/>
      <c r="LJD1" s="136"/>
      <c r="LJE1" s="136"/>
      <c r="LJF1" s="136"/>
      <c r="LJG1" s="136"/>
      <c r="LJH1" s="136"/>
      <c r="LJI1" s="136"/>
      <c r="LJJ1" s="136"/>
      <c r="LJK1" s="136"/>
      <c r="LJL1" s="136"/>
      <c r="LJM1" s="136"/>
      <c r="LJN1" s="136"/>
      <c r="LJO1" s="136"/>
      <c r="LJP1" s="136"/>
      <c r="LJQ1" s="136"/>
      <c r="LJR1" s="136"/>
      <c r="LJS1" s="136"/>
      <c r="LJT1" s="136"/>
      <c r="LJU1" s="136"/>
      <c r="LJV1" s="136"/>
      <c r="LJW1" s="136"/>
      <c r="LJX1" s="136"/>
      <c r="LJY1" s="136"/>
      <c r="LJZ1" s="136"/>
      <c r="LKA1" s="136"/>
      <c r="LKB1" s="136"/>
      <c r="LKC1" s="136"/>
      <c r="LKD1" s="136"/>
      <c r="LKE1" s="136"/>
      <c r="LKF1" s="136"/>
      <c r="LKG1" s="136"/>
      <c r="LKH1" s="136"/>
      <c r="LKI1" s="136"/>
      <c r="LKJ1" s="136"/>
      <c r="LKK1" s="136"/>
      <c r="LKL1" s="136"/>
      <c r="LKM1" s="136"/>
      <c r="LKN1" s="136"/>
      <c r="LKO1" s="136"/>
      <c r="LKP1" s="136"/>
      <c r="LKQ1" s="136"/>
      <c r="LKR1" s="136"/>
      <c r="LKS1" s="136"/>
      <c r="LKT1" s="136"/>
      <c r="LKU1" s="136"/>
      <c r="LKV1" s="136"/>
      <c r="LKW1" s="136"/>
      <c r="LKX1" s="136"/>
      <c r="LKY1" s="136"/>
      <c r="LKZ1" s="136"/>
      <c r="LLA1" s="136"/>
      <c r="LLB1" s="136"/>
      <c r="LLC1" s="136"/>
      <c r="LLD1" s="136"/>
      <c r="LLE1" s="136"/>
      <c r="LLF1" s="136"/>
      <c r="LLG1" s="136"/>
      <c r="LLH1" s="136"/>
      <c r="LLI1" s="136"/>
      <c r="LLJ1" s="136"/>
      <c r="LLK1" s="136"/>
      <c r="LLL1" s="136"/>
      <c r="LLM1" s="136"/>
      <c r="LLN1" s="136"/>
      <c r="LLO1" s="136"/>
      <c r="LLP1" s="136"/>
      <c r="LLQ1" s="136"/>
      <c r="LLR1" s="136"/>
      <c r="LLS1" s="136"/>
      <c r="LLT1" s="136"/>
      <c r="LLU1" s="136"/>
      <c r="LLV1" s="136"/>
      <c r="LLW1" s="136"/>
      <c r="LLX1" s="136"/>
      <c r="LLY1" s="136"/>
      <c r="LLZ1" s="136"/>
      <c r="LMA1" s="136"/>
      <c r="LMB1" s="136"/>
      <c r="LMC1" s="136"/>
      <c r="LMD1" s="136"/>
      <c r="LME1" s="136"/>
      <c r="LMF1" s="136"/>
      <c r="LMG1" s="136"/>
      <c r="LMH1" s="136"/>
      <c r="LMI1" s="136"/>
      <c r="LMJ1" s="136"/>
      <c r="LMK1" s="136"/>
      <c r="LML1" s="136"/>
      <c r="LMM1" s="136"/>
      <c r="LMN1" s="136"/>
      <c r="LMO1" s="136"/>
      <c r="LMP1" s="136"/>
      <c r="LMQ1" s="136"/>
      <c r="LMR1" s="136"/>
      <c r="LMS1" s="136"/>
      <c r="LMT1" s="136"/>
      <c r="LMU1" s="136"/>
      <c r="LMV1" s="136"/>
      <c r="LMW1" s="136"/>
      <c r="LMX1" s="136"/>
      <c r="LMY1" s="136"/>
      <c r="LMZ1" s="136"/>
      <c r="LNA1" s="136"/>
      <c r="LNB1" s="136"/>
      <c r="LNC1" s="136"/>
      <c r="LND1" s="136"/>
      <c r="LNE1" s="136"/>
      <c r="LNF1" s="136"/>
      <c r="LNG1" s="136"/>
      <c r="LNH1" s="136"/>
      <c r="LNI1" s="136"/>
      <c r="LNJ1" s="136"/>
      <c r="LNK1" s="136"/>
      <c r="LNL1" s="136"/>
      <c r="LNM1" s="136"/>
      <c r="LNN1" s="136"/>
      <c r="LNO1" s="136"/>
      <c r="LNP1" s="136"/>
      <c r="LNQ1" s="136"/>
      <c r="LNR1" s="136"/>
      <c r="LNS1" s="136"/>
      <c r="LNT1" s="136"/>
      <c r="LNU1" s="136"/>
      <c r="LNV1" s="136"/>
      <c r="LNW1" s="136"/>
      <c r="LNX1" s="136"/>
      <c r="LNY1" s="136"/>
      <c r="LNZ1" s="136"/>
      <c r="LOA1" s="136"/>
      <c r="LOB1" s="136"/>
      <c r="LOC1" s="136"/>
      <c r="LOD1" s="136"/>
      <c r="LOE1" s="136"/>
      <c r="LOF1" s="136"/>
      <c r="LOG1" s="136"/>
      <c r="LOH1" s="136"/>
      <c r="LOI1" s="136"/>
      <c r="LOJ1" s="136"/>
      <c r="LOK1" s="136"/>
      <c r="LOL1" s="136"/>
      <c r="LOM1" s="136"/>
      <c r="LON1" s="136"/>
      <c r="LOO1" s="136"/>
      <c r="LOP1" s="136"/>
      <c r="LOQ1" s="136"/>
      <c r="LOR1" s="136"/>
      <c r="LOS1" s="136"/>
      <c r="LOT1" s="136"/>
      <c r="LOU1" s="136"/>
      <c r="LOV1" s="136"/>
      <c r="LOW1" s="136"/>
      <c r="LOX1" s="136"/>
      <c r="LOY1" s="136"/>
      <c r="LOZ1" s="136"/>
      <c r="LPA1" s="136"/>
      <c r="LPB1" s="136"/>
      <c r="LPC1" s="136"/>
      <c r="LPD1" s="136"/>
      <c r="LPE1" s="136"/>
      <c r="LPF1" s="136"/>
      <c r="LPG1" s="136"/>
      <c r="LPH1" s="136"/>
      <c r="LPI1" s="136"/>
      <c r="LPJ1" s="136"/>
      <c r="LPK1" s="136"/>
      <c r="LPL1" s="136"/>
      <c r="LPM1" s="136"/>
      <c r="LPN1" s="136"/>
      <c r="LPO1" s="136"/>
      <c r="LPP1" s="136"/>
      <c r="LPQ1" s="136"/>
      <c r="LPR1" s="136"/>
      <c r="LPS1" s="136"/>
      <c r="LPT1" s="136"/>
      <c r="LPU1" s="136"/>
      <c r="LPV1" s="136"/>
      <c r="LPW1" s="136"/>
      <c r="LPX1" s="136"/>
      <c r="LPY1" s="136"/>
      <c r="LPZ1" s="136"/>
      <c r="LQA1" s="136"/>
      <c r="LQB1" s="136"/>
      <c r="LQC1" s="136"/>
      <c r="LQD1" s="136"/>
      <c r="LQE1" s="136"/>
      <c r="LQF1" s="136"/>
      <c r="LQG1" s="136"/>
      <c r="LQH1" s="136"/>
      <c r="LQI1" s="136"/>
      <c r="LQJ1" s="136"/>
      <c r="LQK1" s="136"/>
      <c r="LQL1" s="136"/>
      <c r="LQM1" s="136"/>
      <c r="LQN1" s="136"/>
      <c r="LQO1" s="136"/>
      <c r="LQP1" s="136"/>
      <c r="LQQ1" s="136"/>
      <c r="LQR1" s="136"/>
      <c r="LQS1" s="136"/>
      <c r="LQT1" s="136"/>
      <c r="LQU1" s="136"/>
      <c r="LQV1" s="136"/>
      <c r="LQW1" s="136"/>
      <c r="LQX1" s="136"/>
      <c r="LQY1" s="136"/>
      <c r="LQZ1" s="136"/>
      <c r="LRA1" s="136"/>
      <c r="LRB1" s="136"/>
      <c r="LRC1" s="136"/>
      <c r="LRD1" s="136"/>
      <c r="LRE1" s="136"/>
      <c r="LRF1" s="136"/>
      <c r="LRG1" s="136"/>
      <c r="LRH1" s="136"/>
      <c r="LRI1" s="136"/>
      <c r="LRJ1" s="136"/>
      <c r="LRK1" s="136"/>
      <c r="LRL1" s="136"/>
      <c r="LRM1" s="136"/>
      <c r="LRN1" s="136"/>
      <c r="LRO1" s="136"/>
      <c r="LRP1" s="136"/>
      <c r="LRQ1" s="136"/>
      <c r="LRR1" s="136"/>
      <c r="LRS1" s="136"/>
      <c r="LRT1" s="136"/>
      <c r="LRU1" s="136"/>
      <c r="LRV1" s="136"/>
      <c r="LRW1" s="136"/>
      <c r="LRX1" s="136"/>
      <c r="LRY1" s="136"/>
      <c r="LRZ1" s="136"/>
      <c r="LSA1" s="136"/>
      <c r="LSB1" s="136"/>
      <c r="LSC1" s="136"/>
      <c r="LSD1" s="136"/>
      <c r="LSE1" s="136"/>
      <c r="LSF1" s="136"/>
      <c r="LSG1" s="136"/>
      <c r="LSH1" s="136"/>
      <c r="LSI1" s="136"/>
      <c r="LSJ1" s="136"/>
      <c r="LSK1" s="136"/>
      <c r="LSL1" s="136"/>
      <c r="LSM1" s="136"/>
      <c r="LSN1" s="136"/>
      <c r="LSO1" s="136"/>
      <c r="LSP1" s="136"/>
      <c r="LSQ1" s="136"/>
      <c r="LSR1" s="136"/>
      <c r="LSS1" s="136"/>
      <c r="LST1" s="136"/>
      <c r="LSU1" s="136"/>
      <c r="LSV1" s="136"/>
      <c r="LSW1" s="136"/>
      <c r="LSX1" s="136"/>
      <c r="LSY1" s="136"/>
      <c r="LSZ1" s="136"/>
      <c r="LTA1" s="136"/>
      <c r="LTB1" s="136"/>
      <c r="LTC1" s="136"/>
      <c r="LTD1" s="136"/>
      <c r="LTE1" s="136"/>
      <c r="LTF1" s="136"/>
      <c r="LTG1" s="136"/>
      <c r="LTH1" s="136"/>
      <c r="LTI1" s="136"/>
      <c r="LTJ1" s="136"/>
      <c r="LTK1" s="136"/>
      <c r="LTL1" s="136"/>
      <c r="LTM1" s="136"/>
      <c r="LTN1" s="136"/>
      <c r="LTO1" s="136"/>
      <c r="LTP1" s="136"/>
      <c r="LTQ1" s="136"/>
      <c r="LTR1" s="136"/>
      <c r="LTS1" s="136"/>
      <c r="LTT1" s="136"/>
      <c r="LTU1" s="136"/>
      <c r="LTV1" s="136"/>
      <c r="LTW1" s="136"/>
      <c r="LTX1" s="136"/>
      <c r="LTY1" s="136"/>
      <c r="LTZ1" s="136"/>
      <c r="LUA1" s="136"/>
      <c r="LUB1" s="136"/>
      <c r="LUC1" s="136"/>
      <c r="LUD1" s="136"/>
      <c r="LUE1" s="136"/>
      <c r="LUF1" s="136"/>
      <c r="LUG1" s="136"/>
      <c r="LUH1" s="136"/>
      <c r="LUI1" s="136"/>
      <c r="LUJ1" s="136"/>
      <c r="LUK1" s="136"/>
      <c r="LUL1" s="136"/>
      <c r="LUM1" s="136"/>
      <c r="LUN1" s="136"/>
      <c r="LUO1" s="136"/>
      <c r="LUP1" s="136"/>
      <c r="LUQ1" s="136"/>
      <c r="LUR1" s="136"/>
      <c r="LUS1" s="136"/>
      <c r="LUT1" s="136"/>
      <c r="LUU1" s="136"/>
      <c r="LUV1" s="136"/>
      <c r="LUW1" s="136"/>
      <c r="LUX1" s="136"/>
      <c r="LUY1" s="136"/>
      <c r="LUZ1" s="136"/>
      <c r="LVA1" s="136"/>
      <c r="LVB1" s="136"/>
      <c r="LVC1" s="136"/>
      <c r="LVD1" s="136"/>
      <c r="LVE1" s="136"/>
      <c r="LVF1" s="136"/>
      <c r="LVG1" s="136"/>
      <c r="LVH1" s="136"/>
      <c r="LVI1" s="136"/>
      <c r="LVJ1" s="136"/>
      <c r="LVK1" s="136"/>
      <c r="LVL1" s="136"/>
      <c r="LVM1" s="136"/>
      <c r="LVN1" s="136"/>
      <c r="LVO1" s="136"/>
      <c r="LVP1" s="136"/>
      <c r="LVQ1" s="136"/>
      <c r="LVR1" s="136"/>
      <c r="LVS1" s="136"/>
      <c r="LVT1" s="136"/>
      <c r="LVU1" s="136"/>
      <c r="LVV1" s="136"/>
      <c r="LVW1" s="136"/>
      <c r="LVX1" s="136"/>
      <c r="LVY1" s="136"/>
      <c r="LVZ1" s="136"/>
      <c r="LWA1" s="136"/>
      <c r="LWB1" s="136"/>
      <c r="LWC1" s="136"/>
      <c r="LWD1" s="136"/>
      <c r="LWE1" s="136"/>
      <c r="LWF1" s="136"/>
      <c r="LWG1" s="136"/>
      <c r="LWH1" s="136"/>
      <c r="LWI1" s="136"/>
      <c r="LWJ1" s="136"/>
      <c r="LWK1" s="136"/>
      <c r="LWL1" s="136"/>
      <c r="LWM1" s="136"/>
      <c r="LWN1" s="136"/>
      <c r="LWO1" s="136"/>
      <c r="LWP1" s="136"/>
      <c r="LWQ1" s="136"/>
      <c r="LWR1" s="136"/>
      <c r="LWS1" s="136"/>
      <c r="LWT1" s="136"/>
      <c r="LWU1" s="136"/>
      <c r="LWV1" s="136"/>
      <c r="LWW1" s="136"/>
      <c r="LWX1" s="136"/>
      <c r="LWY1" s="136"/>
      <c r="LWZ1" s="136"/>
      <c r="LXA1" s="136"/>
      <c r="LXB1" s="136"/>
      <c r="LXC1" s="136"/>
      <c r="LXD1" s="136"/>
      <c r="LXE1" s="136"/>
      <c r="LXF1" s="136"/>
      <c r="LXG1" s="136"/>
      <c r="LXH1" s="136"/>
      <c r="LXI1" s="136"/>
      <c r="LXJ1" s="136"/>
      <c r="LXK1" s="136"/>
      <c r="LXL1" s="136"/>
      <c r="LXM1" s="136"/>
      <c r="LXN1" s="136"/>
      <c r="LXO1" s="136"/>
      <c r="LXP1" s="136"/>
      <c r="LXQ1" s="136"/>
      <c r="LXR1" s="136"/>
      <c r="LXS1" s="136"/>
      <c r="LXT1" s="136"/>
      <c r="LXU1" s="136"/>
      <c r="LXV1" s="136"/>
      <c r="LXW1" s="136"/>
      <c r="LXX1" s="136"/>
      <c r="LXY1" s="136"/>
      <c r="LXZ1" s="136"/>
      <c r="LYA1" s="136"/>
      <c r="LYB1" s="136"/>
      <c r="LYC1" s="136"/>
      <c r="LYD1" s="136"/>
      <c r="LYE1" s="136"/>
      <c r="LYF1" s="136"/>
      <c r="LYG1" s="136"/>
      <c r="LYH1" s="136"/>
      <c r="LYI1" s="136"/>
      <c r="LYJ1" s="136"/>
      <c r="LYK1" s="136"/>
      <c r="LYL1" s="136"/>
      <c r="LYM1" s="136"/>
      <c r="LYN1" s="136"/>
      <c r="LYO1" s="136"/>
      <c r="LYP1" s="136"/>
      <c r="LYQ1" s="136"/>
      <c r="LYR1" s="136"/>
      <c r="LYS1" s="136"/>
      <c r="LYT1" s="136"/>
      <c r="LYU1" s="136"/>
      <c r="LYV1" s="136"/>
      <c r="LYW1" s="136"/>
      <c r="LYX1" s="136"/>
      <c r="LYY1" s="136"/>
      <c r="LYZ1" s="136"/>
      <c r="LZA1" s="136"/>
      <c r="LZB1" s="136"/>
      <c r="LZC1" s="136"/>
      <c r="LZD1" s="136"/>
      <c r="LZE1" s="136"/>
      <c r="LZF1" s="136"/>
      <c r="LZG1" s="136"/>
      <c r="LZH1" s="136"/>
      <c r="LZI1" s="136"/>
      <c r="LZJ1" s="136"/>
      <c r="LZK1" s="136"/>
      <c r="LZL1" s="136"/>
      <c r="LZM1" s="136"/>
      <c r="LZN1" s="136"/>
      <c r="LZO1" s="136"/>
      <c r="LZP1" s="136"/>
      <c r="LZQ1" s="136"/>
      <c r="LZR1" s="136"/>
      <c r="LZS1" s="136"/>
      <c r="LZT1" s="136"/>
      <c r="LZU1" s="136"/>
      <c r="LZV1" s="136"/>
      <c r="LZW1" s="136"/>
      <c r="LZX1" s="136"/>
      <c r="LZY1" s="136"/>
      <c r="LZZ1" s="136"/>
      <c r="MAA1" s="136"/>
      <c r="MAB1" s="136"/>
      <c r="MAC1" s="136"/>
      <c r="MAD1" s="136"/>
      <c r="MAE1" s="136"/>
      <c r="MAF1" s="136"/>
      <c r="MAG1" s="136"/>
      <c r="MAH1" s="136"/>
      <c r="MAI1" s="136"/>
      <c r="MAJ1" s="136"/>
      <c r="MAK1" s="136"/>
      <c r="MAL1" s="136"/>
      <c r="MAM1" s="136"/>
      <c r="MAN1" s="136"/>
      <c r="MAO1" s="136"/>
      <c r="MAP1" s="136"/>
      <c r="MAQ1" s="136"/>
      <c r="MAR1" s="136"/>
      <c r="MAS1" s="136"/>
      <c r="MAT1" s="136"/>
      <c r="MAU1" s="136"/>
      <c r="MAV1" s="136"/>
      <c r="MAW1" s="136"/>
      <c r="MAX1" s="136"/>
      <c r="MAY1" s="136"/>
      <c r="MAZ1" s="136"/>
      <c r="MBA1" s="136"/>
      <c r="MBB1" s="136"/>
      <c r="MBC1" s="136"/>
      <c r="MBD1" s="136"/>
      <c r="MBE1" s="136"/>
      <c r="MBF1" s="136"/>
      <c r="MBG1" s="136"/>
      <c r="MBH1" s="136"/>
      <c r="MBI1" s="136"/>
      <c r="MBJ1" s="136"/>
      <c r="MBK1" s="136"/>
      <c r="MBL1" s="136"/>
      <c r="MBM1" s="136"/>
      <c r="MBN1" s="136"/>
      <c r="MBO1" s="136"/>
      <c r="MBP1" s="136"/>
      <c r="MBQ1" s="136"/>
      <c r="MBR1" s="136"/>
      <c r="MBS1" s="136"/>
      <c r="MBT1" s="136"/>
      <c r="MBU1" s="136"/>
      <c r="MBV1" s="136"/>
      <c r="MBW1" s="136"/>
      <c r="MBX1" s="136"/>
      <c r="MBY1" s="136"/>
      <c r="MBZ1" s="136"/>
      <c r="MCA1" s="136"/>
      <c r="MCB1" s="136"/>
      <c r="MCC1" s="136"/>
      <c r="MCD1" s="136"/>
      <c r="MCE1" s="136"/>
      <c r="MCF1" s="136"/>
      <c r="MCG1" s="136"/>
      <c r="MCH1" s="136"/>
      <c r="MCI1" s="136"/>
      <c r="MCJ1" s="136"/>
      <c r="MCK1" s="136"/>
      <c r="MCL1" s="136"/>
      <c r="MCM1" s="136"/>
      <c r="MCN1" s="136"/>
      <c r="MCO1" s="136"/>
      <c r="MCP1" s="136"/>
      <c r="MCQ1" s="136"/>
      <c r="MCR1" s="136"/>
      <c r="MCS1" s="136"/>
      <c r="MCT1" s="136"/>
      <c r="MCU1" s="136"/>
      <c r="MCV1" s="136"/>
      <c r="MCW1" s="136"/>
      <c r="MCX1" s="136"/>
      <c r="MCY1" s="136"/>
      <c r="MCZ1" s="136"/>
      <c r="MDA1" s="136"/>
      <c r="MDB1" s="136"/>
      <c r="MDC1" s="136"/>
      <c r="MDD1" s="136"/>
      <c r="MDE1" s="136"/>
      <c r="MDF1" s="136"/>
      <c r="MDG1" s="136"/>
      <c r="MDH1" s="136"/>
      <c r="MDI1" s="136"/>
      <c r="MDJ1" s="136"/>
      <c r="MDK1" s="136"/>
      <c r="MDL1" s="136"/>
      <c r="MDM1" s="136"/>
      <c r="MDN1" s="136"/>
      <c r="MDO1" s="136"/>
      <c r="MDP1" s="136"/>
      <c r="MDQ1" s="136"/>
      <c r="MDR1" s="136"/>
      <c r="MDS1" s="136"/>
      <c r="MDT1" s="136"/>
      <c r="MDU1" s="136"/>
      <c r="MDV1" s="136"/>
      <c r="MDW1" s="136"/>
      <c r="MDX1" s="136"/>
      <c r="MDY1" s="136"/>
      <c r="MDZ1" s="136"/>
      <c r="MEA1" s="136"/>
      <c r="MEB1" s="136"/>
      <c r="MEC1" s="136"/>
      <c r="MED1" s="136"/>
      <c r="MEE1" s="136"/>
      <c r="MEF1" s="136"/>
      <c r="MEG1" s="136"/>
      <c r="MEH1" s="136"/>
      <c r="MEI1" s="136"/>
      <c r="MEJ1" s="136"/>
      <c r="MEK1" s="136"/>
      <c r="MEL1" s="136"/>
      <c r="MEM1" s="136"/>
      <c r="MEN1" s="136"/>
      <c r="MEO1" s="136"/>
      <c r="MEP1" s="136"/>
      <c r="MEQ1" s="136"/>
      <c r="MER1" s="136"/>
      <c r="MES1" s="136"/>
      <c r="MET1" s="136"/>
      <c r="MEU1" s="136"/>
      <c r="MEV1" s="136"/>
      <c r="MEW1" s="136"/>
      <c r="MEX1" s="136"/>
      <c r="MEY1" s="136"/>
      <c r="MEZ1" s="136"/>
      <c r="MFA1" s="136"/>
      <c r="MFB1" s="136"/>
      <c r="MFC1" s="136"/>
      <c r="MFD1" s="136"/>
      <c r="MFE1" s="136"/>
      <c r="MFF1" s="136"/>
      <c r="MFG1" s="136"/>
      <c r="MFH1" s="136"/>
      <c r="MFI1" s="136"/>
      <c r="MFJ1" s="136"/>
      <c r="MFK1" s="136"/>
      <c r="MFL1" s="136"/>
      <c r="MFM1" s="136"/>
      <c r="MFN1" s="136"/>
      <c r="MFO1" s="136"/>
      <c r="MFP1" s="136"/>
      <c r="MFQ1" s="136"/>
      <c r="MFR1" s="136"/>
      <c r="MFS1" s="136"/>
      <c r="MFT1" s="136"/>
      <c r="MFU1" s="136"/>
      <c r="MFV1" s="136"/>
      <c r="MFW1" s="136"/>
      <c r="MFX1" s="136"/>
      <c r="MFY1" s="136"/>
      <c r="MFZ1" s="136"/>
      <c r="MGA1" s="136"/>
      <c r="MGB1" s="136"/>
      <c r="MGC1" s="136"/>
      <c r="MGD1" s="136"/>
      <c r="MGE1" s="136"/>
      <c r="MGF1" s="136"/>
      <c r="MGG1" s="136"/>
      <c r="MGH1" s="136"/>
      <c r="MGI1" s="136"/>
      <c r="MGJ1" s="136"/>
      <c r="MGK1" s="136"/>
      <c r="MGL1" s="136"/>
      <c r="MGM1" s="136"/>
      <c r="MGN1" s="136"/>
      <c r="MGO1" s="136"/>
      <c r="MGP1" s="136"/>
      <c r="MGQ1" s="136"/>
      <c r="MGR1" s="136"/>
      <c r="MGS1" s="136"/>
      <c r="MGT1" s="136"/>
      <c r="MGU1" s="136"/>
      <c r="MGV1" s="136"/>
      <c r="MGW1" s="136"/>
      <c r="MGX1" s="136"/>
      <c r="MGY1" s="136"/>
      <c r="MGZ1" s="136"/>
      <c r="MHA1" s="136"/>
      <c r="MHB1" s="136"/>
      <c r="MHC1" s="136"/>
      <c r="MHD1" s="136"/>
      <c r="MHE1" s="136"/>
      <c r="MHF1" s="136"/>
      <c r="MHG1" s="136"/>
      <c r="MHH1" s="136"/>
      <c r="MHI1" s="136"/>
      <c r="MHJ1" s="136"/>
      <c r="MHK1" s="136"/>
      <c r="MHL1" s="136"/>
      <c r="MHM1" s="136"/>
      <c r="MHN1" s="136"/>
      <c r="MHO1" s="136"/>
      <c r="MHP1" s="136"/>
      <c r="MHQ1" s="136"/>
      <c r="MHR1" s="136"/>
      <c r="MHS1" s="136"/>
      <c r="MHT1" s="136"/>
      <c r="MHU1" s="136"/>
      <c r="MHV1" s="136"/>
      <c r="MHW1" s="136"/>
      <c r="MHX1" s="136"/>
      <c r="MHY1" s="136"/>
      <c r="MHZ1" s="136"/>
      <c r="MIA1" s="136"/>
      <c r="MIB1" s="136"/>
      <c r="MIC1" s="136"/>
      <c r="MID1" s="136"/>
      <c r="MIE1" s="136"/>
      <c r="MIF1" s="136"/>
      <c r="MIG1" s="136"/>
      <c r="MIH1" s="136"/>
      <c r="MII1" s="136"/>
      <c r="MIJ1" s="136"/>
      <c r="MIK1" s="136"/>
      <c r="MIL1" s="136"/>
      <c r="MIM1" s="136"/>
      <c r="MIN1" s="136"/>
      <c r="MIO1" s="136"/>
      <c r="MIP1" s="136"/>
      <c r="MIQ1" s="136"/>
      <c r="MIR1" s="136"/>
      <c r="MIS1" s="136"/>
      <c r="MIT1" s="136"/>
      <c r="MIU1" s="136"/>
      <c r="MIV1" s="136"/>
      <c r="MIW1" s="136"/>
      <c r="MIX1" s="136"/>
      <c r="MIY1" s="136"/>
      <c r="MIZ1" s="136"/>
      <c r="MJA1" s="136"/>
      <c r="MJB1" s="136"/>
      <c r="MJC1" s="136"/>
      <c r="MJD1" s="136"/>
      <c r="MJE1" s="136"/>
      <c r="MJF1" s="136"/>
      <c r="MJG1" s="136"/>
      <c r="MJH1" s="136"/>
      <c r="MJI1" s="136"/>
      <c r="MJJ1" s="136"/>
      <c r="MJK1" s="136"/>
      <c r="MJL1" s="136"/>
      <c r="MJM1" s="136"/>
      <c r="MJN1" s="136"/>
      <c r="MJO1" s="136"/>
      <c r="MJP1" s="136"/>
      <c r="MJQ1" s="136"/>
      <c r="MJR1" s="136"/>
      <c r="MJS1" s="136"/>
      <c r="MJT1" s="136"/>
      <c r="MJU1" s="136"/>
      <c r="MJV1" s="136"/>
      <c r="MJW1" s="136"/>
      <c r="MJX1" s="136"/>
      <c r="MJY1" s="136"/>
      <c r="MJZ1" s="136"/>
      <c r="MKA1" s="136"/>
      <c r="MKB1" s="136"/>
      <c r="MKC1" s="136"/>
      <c r="MKD1" s="136"/>
      <c r="MKE1" s="136"/>
      <c r="MKF1" s="136"/>
      <c r="MKG1" s="136"/>
      <c r="MKH1" s="136"/>
      <c r="MKI1" s="136"/>
      <c r="MKJ1" s="136"/>
      <c r="MKK1" s="136"/>
      <c r="MKL1" s="136"/>
      <c r="MKM1" s="136"/>
      <c r="MKN1" s="136"/>
      <c r="MKO1" s="136"/>
      <c r="MKP1" s="136"/>
      <c r="MKQ1" s="136"/>
      <c r="MKR1" s="136"/>
      <c r="MKS1" s="136"/>
      <c r="MKT1" s="136"/>
      <c r="MKU1" s="136"/>
      <c r="MKV1" s="136"/>
      <c r="MKW1" s="136"/>
      <c r="MKX1" s="136"/>
      <c r="MKY1" s="136"/>
      <c r="MKZ1" s="136"/>
      <c r="MLA1" s="136"/>
      <c r="MLB1" s="136"/>
      <c r="MLC1" s="136"/>
      <c r="MLD1" s="136"/>
      <c r="MLE1" s="136"/>
      <c r="MLF1" s="136"/>
      <c r="MLG1" s="136"/>
      <c r="MLH1" s="136"/>
      <c r="MLI1" s="136"/>
      <c r="MLJ1" s="136"/>
      <c r="MLK1" s="136"/>
      <c r="MLL1" s="136"/>
      <c r="MLM1" s="136"/>
      <c r="MLN1" s="136"/>
      <c r="MLO1" s="136"/>
      <c r="MLP1" s="136"/>
      <c r="MLQ1" s="136"/>
      <c r="MLR1" s="136"/>
      <c r="MLS1" s="136"/>
      <c r="MLT1" s="136"/>
      <c r="MLU1" s="136"/>
      <c r="MLV1" s="136"/>
      <c r="MLW1" s="136"/>
      <c r="MLX1" s="136"/>
      <c r="MLY1" s="136"/>
      <c r="MLZ1" s="136"/>
      <c r="MMA1" s="136"/>
      <c r="MMB1" s="136"/>
      <c r="MMC1" s="136"/>
      <c r="MMD1" s="136"/>
      <c r="MME1" s="136"/>
      <c r="MMF1" s="136"/>
      <c r="MMG1" s="136"/>
      <c r="MMH1" s="136"/>
      <c r="MMI1" s="136"/>
      <c r="MMJ1" s="136"/>
      <c r="MMK1" s="136"/>
      <c r="MML1" s="136"/>
      <c r="MMM1" s="136"/>
      <c r="MMN1" s="136"/>
      <c r="MMO1" s="136"/>
      <c r="MMP1" s="136"/>
      <c r="MMQ1" s="136"/>
      <c r="MMR1" s="136"/>
      <c r="MMS1" s="136"/>
      <c r="MMT1" s="136"/>
      <c r="MMU1" s="136"/>
      <c r="MMV1" s="136"/>
      <c r="MMW1" s="136"/>
      <c r="MMX1" s="136"/>
      <c r="MMY1" s="136"/>
      <c r="MMZ1" s="136"/>
      <c r="MNA1" s="136"/>
      <c r="MNB1" s="136"/>
      <c r="MNC1" s="136"/>
      <c r="MND1" s="136"/>
      <c r="MNE1" s="136"/>
      <c r="MNF1" s="136"/>
      <c r="MNG1" s="136"/>
      <c r="MNH1" s="136"/>
      <c r="MNI1" s="136"/>
      <c r="MNJ1" s="136"/>
      <c r="MNK1" s="136"/>
      <c r="MNL1" s="136"/>
      <c r="MNM1" s="136"/>
      <c r="MNN1" s="136"/>
      <c r="MNO1" s="136"/>
      <c r="MNP1" s="136"/>
      <c r="MNQ1" s="136"/>
      <c r="MNR1" s="136"/>
      <c r="MNS1" s="136"/>
      <c r="MNT1" s="136"/>
      <c r="MNU1" s="136"/>
      <c r="MNV1" s="136"/>
      <c r="MNW1" s="136"/>
      <c r="MNX1" s="136"/>
      <c r="MNY1" s="136"/>
      <c r="MNZ1" s="136"/>
      <c r="MOA1" s="136"/>
      <c r="MOB1" s="136"/>
      <c r="MOC1" s="136"/>
      <c r="MOD1" s="136"/>
      <c r="MOE1" s="136"/>
      <c r="MOF1" s="136"/>
      <c r="MOG1" s="136"/>
      <c r="MOH1" s="136"/>
      <c r="MOI1" s="136"/>
      <c r="MOJ1" s="136"/>
      <c r="MOK1" s="136"/>
      <c r="MOL1" s="136"/>
      <c r="MOM1" s="136"/>
      <c r="MON1" s="136"/>
      <c r="MOO1" s="136"/>
      <c r="MOP1" s="136"/>
      <c r="MOQ1" s="136"/>
      <c r="MOR1" s="136"/>
      <c r="MOS1" s="136"/>
      <c r="MOT1" s="136"/>
      <c r="MOU1" s="136"/>
      <c r="MOV1" s="136"/>
      <c r="MOW1" s="136"/>
      <c r="MOX1" s="136"/>
      <c r="MOY1" s="136"/>
      <c r="MOZ1" s="136"/>
      <c r="MPA1" s="136"/>
      <c r="MPB1" s="136"/>
      <c r="MPC1" s="136"/>
      <c r="MPD1" s="136"/>
      <c r="MPE1" s="136"/>
      <c r="MPF1" s="136"/>
      <c r="MPG1" s="136"/>
      <c r="MPH1" s="136"/>
      <c r="MPI1" s="136"/>
      <c r="MPJ1" s="136"/>
      <c r="MPK1" s="136"/>
      <c r="MPL1" s="136"/>
      <c r="MPM1" s="136"/>
      <c r="MPN1" s="136"/>
      <c r="MPO1" s="136"/>
      <c r="MPP1" s="136"/>
      <c r="MPQ1" s="136"/>
      <c r="MPR1" s="136"/>
      <c r="MPS1" s="136"/>
      <c r="MPT1" s="136"/>
      <c r="MPU1" s="136"/>
      <c r="MPV1" s="136"/>
      <c r="MPW1" s="136"/>
      <c r="MPX1" s="136"/>
      <c r="MPY1" s="136"/>
      <c r="MPZ1" s="136"/>
      <c r="MQA1" s="136"/>
      <c r="MQB1" s="136"/>
      <c r="MQC1" s="136"/>
      <c r="MQD1" s="136"/>
      <c r="MQE1" s="136"/>
      <c r="MQF1" s="136"/>
      <c r="MQG1" s="136"/>
      <c r="MQH1" s="136"/>
      <c r="MQI1" s="136"/>
      <c r="MQJ1" s="136"/>
      <c r="MQK1" s="136"/>
      <c r="MQL1" s="136"/>
      <c r="MQM1" s="136"/>
      <c r="MQN1" s="136"/>
      <c r="MQO1" s="136"/>
      <c r="MQP1" s="136"/>
      <c r="MQQ1" s="136"/>
      <c r="MQR1" s="136"/>
      <c r="MQS1" s="136"/>
      <c r="MQT1" s="136"/>
      <c r="MQU1" s="136"/>
      <c r="MQV1" s="136"/>
      <c r="MQW1" s="136"/>
      <c r="MQX1" s="136"/>
      <c r="MQY1" s="136"/>
      <c r="MQZ1" s="136"/>
      <c r="MRA1" s="136"/>
      <c r="MRB1" s="136"/>
      <c r="MRC1" s="136"/>
      <c r="MRD1" s="136"/>
      <c r="MRE1" s="136"/>
      <c r="MRF1" s="136"/>
      <c r="MRG1" s="136"/>
      <c r="MRH1" s="136"/>
      <c r="MRI1" s="136"/>
      <c r="MRJ1" s="136"/>
      <c r="MRK1" s="136"/>
      <c r="MRL1" s="136"/>
      <c r="MRM1" s="136"/>
      <c r="MRN1" s="136"/>
      <c r="MRO1" s="136"/>
      <c r="MRP1" s="136"/>
      <c r="MRQ1" s="136"/>
      <c r="MRR1" s="136"/>
      <c r="MRS1" s="136"/>
      <c r="MRT1" s="136"/>
      <c r="MRU1" s="136"/>
      <c r="MRV1" s="136"/>
      <c r="MRW1" s="136"/>
      <c r="MRX1" s="136"/>
      <c r="MRY1" s="136"/>
      <c r="MRZ1" s="136"/>
      <c r="MSA1" s="136"/>
      <c r="MSB1" s="136"/>
      <c r="MSC1" s="136"/>
      <c r="MSD1" s="136"/>
      <c r="MSE1" s="136"/>
      <c r="MSF1" s="136"/>
      <c r="MSG1" s="136"/>
      <c r="MSH1" s="136"/>
      <c r="MSI1" s="136"/>
      <c r="MSJ1" s="136"/>
      <c r="MSK1" s="136"/>
      <c r="MSL1" s="136"/>
      <c r="MSM1" s="136"/>
      <c r="MSN1" s="136"/>
      <c r="MSO1" s="136"/>
      <c r="MSP1" s="136"/>
      <c r="MSQ1" s="136"/>
      <c r="MSR1" s="136"/>
      <c r="MSS1" s="136"/>
      <c r="MST1" s="136"/>
      <c r="MSU1" s="136"/>
      <c r="MSV1" s="136"/>
      <c r="MSW1" s="136"/>
      <c r="MSX1" s="136"/>
      <c r="MSY1" s="136"/>
      <c r="MSZ1" s="136"/>
      <c r="MTA1" s="136"/>
      <c r="MTB1" s="136"/>
      <c r="MTC1" s="136"/>
      <c r="MTD1" s="136"/>
      <c r="MTE1" s="136"/>
      <c r="MTF1" s="136"/>
      <c r="MTG1" s="136"/>
      <c r="MTH1" s="136"/>
      <c r="MTI1" s="136"/>
      <c r="MTJ1" s="136"/>
      <c r="MTK1" s="136"/>
      <c r="MTL1" s="136"/>
      <c r="MTM1" s="136"/>
      <c r="MTN1" s="136"/>
      <c r="MTO1" s="136"/>
      <c r="MTP1" s="136"/>
      <c r="MTQ1" s="136"/>
      <c r="MTR1" s="136"/>
      <c r="MTS1" s="136"/>
      <c r="MTT1" s="136"/>
      <c r="MTU1" s="136"/>
      <c r="MTV1" s="136"/>
      <c r="MTW1" s="136"/>
      <c r="MTX1" s="136"/>
      <c r="MTY1" s="136"/>
      <c r="MTZ1" s="136"/>
      <c r="MUA1" s="136"/>
      <c r="MUB1" s="136"/>
      <c r="MUC1" s="136"/>
      <c r="MUD1" s="136"/>
      <c r="MUE1" s="136"/>
      <c r="MUF1" s="136"/>
      <c r="MUG1" s="136"/>
      <c r="MUH1" s="136"/>
      <c r="MUI1" s="136"/>
      <c r="MUJ1" s="136"/>
      <c r="MUK1" s="136"/>
      <c r="MUL1" s="136"/>
      <c r="MUM1" s="136"/>
      <c r="MUN1" s="136"/>
      <c r="MUO1" s="136"/>
      <c r="MUP1" s="136"/>
      <c r="MUQ1" s="136"/>
      <c r="MUR1" s="136"/>
      <c r="MUS1" s="136"/>
      <c r="MUT1" s="136"/>
      <c r="MUU1" s="136"/>
      <c r="MUV1" s="136"/>
      <c r="MUW1" s="136"/>
      <c r="MUX1" s="136"/>
      <c r="MUY1" s="136"/>
      <c r="MUZ1" s="136"/>
      <c r="MVA1" s="136"/>
      <c r="MVB1" s="136"/>
      <c r="MVC1" s="136"/>
      <c r="MVD1" s="136"/>
      <c r="MVE1" s="136"/>
      <c r="MVF1" s="136"/>
      <c r="MVG1" s="136"/>
      <c r="MVH1" s="136"/>
      <c r="MVI1" s="136"/>
      <c r="MVJ1" s="136"/>
      <c r="MVK1" s="136"/>
      <c r="MVL1" s="136"/>
      <c r="MVM1" s="136"/>
      <c r="MVN1" s="136"/>
      <c r="MVO1" s="136"/>
      <c r="MVP1" s="136"/>
      <c r="MVQ1" s="136"/>
      <c r="MVR1" s="136"/>
      <c r="MVS1" s="136"/>
      <c r="MVT1" s="136"/>
      <c r="MVU1" s="136"/>
      <c r="MVV1" s="136"/>
      <c r="MVW1" s="136"/>
      <c r="MVX1" s="136"/>
      <c r="MVY1" s="136"/>
      <c r="MVZ1" s="136"/>
      <c r="MWA1" s="136"/>
      <c r="MWB1" s="136"/>
      <c r="MWC1" s="136"/>
      <c r="MWD1" s="136"/>
      <c r="MWE1" s="136"/>
      <c r="MWF1" s="136"/>
      <c r="MWG1" s="136"/>
      <c r="MWH1" s="136"/>
      <c r="MWI1" s="136"/>
      <c r="MWJ1" s="136"/>
      <c r="MWK1" s="136"/>
      <c r="MWL1" s="136"/>
      <c r="MWM1" s="136"/>
      <c r="MWN1" s="136"/>
      <c r="MWO1" s="136"/>
      <c r="MWP1" s="136"/>
      <c r="MWQ1" s="136"/>
      <c r="MWR1" s="136"/>
      <c r="MWS1" s="136"/>
      <c r="MWT1" s="136"/>
      <c r="MWU1" s="136"/>
      <c r="MWV1" s="136"/>
      <c r="MWW1" s="136"/>
      <c r="MWX1" s="136"/>
      <c r="MWY1" s="136"/>
      <c r="MWZ1" s="136"/>
      <c r="MXA1" s="136"/>
      <c r="MXB1" s="136"/>
      <c r="MXC1" s="136"/>
      <c r="MXD1" s="136"/>
      <c r="MXE1" s="136"/>
      <c r="MXF1" s="136"/>
      <c r="MXG1" s="136"/>
      <c r="MXH1" s="136"/>
      <c r="MXI1" s="136"/>
      <c r="MXJ1" s="136"/>
      <c r="MXK1" s="136"/>
      <c r="MXL1" s="136"/>
      <c r="MXM1" s="136"/>
      <c r="MXN1" s="136"/>
      <c r="MXO1" s="136"/>
      <c r="MXP1" s="136"/>
      <c r="MXQ1" s="136"/>
      <c r="MXR1" s="136"/>
      <c r="MXS1" s="136"/>
      <c r="MXT1" s="136"/>
      <c r="MXU1" s="136"/>
      <c r="MXV1" s="136"/>
      <c r="MXW1" s="136"/>
      <c r="MXX1" s="136"/>
      <c r="MXY1" s="136"/>
      <c r="MXZ1" s="136"/>
      <c r="MYA1" s="136"/>
      <c r="MYB1" s="136"/>
      <c r="MYC1" s="136"/>
      <c r="MYD1" s="136"/>
      <c r="MYE1" s="136"/>
      <c r="MYF1" s="136"/>
      <c r="MYG1" s="136"/>
      <c r="MYH1" s="136"/>
      <c r="MYI1" s="136"/>
      <c r="MYJ1" s="136"/>
      <c r="MYK1" s="136"/>
      <c r="MYL1" s="136"/>
      <c r="MYM1" s="136"/>
      <c r="MYN1" s="136"/>
      <c r="MYO1" s="136"/>
      <c r="MYP1" s="136"/>
      <c r="MYQ1" s="136"/>
      <c r="MYR1" s="136"/>
      <c r="MYS1" s="136"/>
      <c r="MYT1" s="136"/>
      <c r="MYU1" s="136"/>
      <c r="MYV1" s="136"/>
      <c r="MYW1" s="136"/>
      <c r="MYX1" s="136"/>
      <c r="MYY1" s="136"/>
      <c r="MYZ1" s="136"/>
      <c r="MZA1" s="136"/>
      <c r="MZB1" s="136"/>
      <c r="MZC1" s="136"/>
      <c r="MZD1" s="136"/>
      <c r="MZE1" s="136"/>
      <c r="MZF1" s="136"/>
      <c r="MZG1" s="136"/>
      <c r="MZH1" s="136"/>
      <c r="MZI1" s="136"/>
      <c r="MZJ1" s="136"/>
      <c r="MZK1" s="136"/>
      <c r="MZL1" s="136"/>
      <c r="MZM1" s="136"/>
      <c r="MZN1" s="136"/>
      <c r="MZO1" s="136"/>
      <c r="MZP1" s="136"/>
      <c r="MZQ1" s="136"/>
      <c r="MZR1" s="136"/>
      <c r="MZS1" s="136"/>
      <c r="MZT1" s="136"/>
      <c r="MZU1" s="136"/>
      <c r="MZV1" s="136"/>
      <c r="MZW1" s="136"/>
      <c r="MZX1" s="136"/>
      <c r="MZY1" s="136"/>
      <c r="MZZ1" s="136"/>
      <c r="NAA1" s="136"/>
      <c r="NAB1" s="136"/>
      <c r="NAC1" s="136"/>
      <c r="NAD1" s="136"/>
      <c r="NAE1" s="136"/>
      <c r="NAF1" s="136"/>
      <c r="NAG1" s="136"/>
      <c r="NAH1" s="136"/>
      <c r="NAI1" s="136"/>
      <c r="NAJ1" s="136"/>
      <c r="NAK1" s="136"/>
      <c r="NAL1" s="136"/>
      <c r="NAM1" s="136"/>
      <c r="NAN1" s="136"/>
      <c r="NAO1" s="136"/>
      <c r="NAP1" s="136"/>
      <c r="NAQ1" s="136"/>
      <c r="NAR1" s="136"/>
      <c r="NAS1" s="136"/>
      <c r="NAT1" s="136"/>
      <c r="NAU1" s="136"/>
      <c r="NAV1" s="136"/>
      <c r="NAW1" s="136"/>
      <c r="NAX1" s="136"/>
      <c r="NAY1" s="136"/>
      <c r="NAZ1" s="136"/>
      <c r="NBA1" s="136"/>
      <c r="NBB1" s="136"/>
      <c r="NBC1" s="136"/>
      <c r="NBD1" s="136"/>
      <c r="NBE1" s="136"/>
      <c r="NBF1" s="136"/>
      <c r="NBG1" s="136"/>
      <c r="NBH1" s="136"/>
      <c r="NBI1" s="136"/>
      <c r="NBJ1" s="136"/>
      <c r="NBK1" s="136"/>
      <c r="NBL1" s="136"/>
      <c r="NBM1" s="136"/>
      <c r="NBN1" s="136"/>
      <c r="NBO1" s="136"/>
      <c r="NBP1" s="136"/>
      <c r="NBQ1" s="136"/>
      <c r="NBR1" s="136"/>
      <c r="NBS1" s="136"/>
      <c r="NBT1" s="136"/>
      <c r="NBU1" s="136"/>
      <c r="NBV1" s="136"/>
      <c r="NBW1" s="136"/>
      <c r="NBX1" s="136"/>
      <c r="NBY1" s="136"/>
      <c r="NBZ1" s="136"/>
      <c r="NCA1" s="136"/>
      <c r="NCB1" s="136"/>
      <c r="NCC1" s="136"/>
      <c r="NCD1" s="136"/>
      <c r="NCE1" s="136"/>
      <c r="NCF1" s="136"/>
      <c r="NCG1" s="136"/>
      <c r="NCH1" s="136"/>
      <c r="NCI1" s="136"/>
      <c r="NCJ1" s="136"/>
      <c r="NCK1" s="136"/>
      <c r="NCL1" s="136"/>
      <c r="NCM1" s="136"/>
      <c r="NCN1" s="136"/>
      <c r="NCO1" s="136"/>
      <c r="NCP1" s="136"/>
      <c r="NCQ1" s="136"/>
      <c r="NCR1" s="136"/>
      <c r="NCS1" s="136"/>
      <c r="NCT1" s="136"/>
      <c r="NCU1" s="136"/>
      <c r="NCV1" s="136"/>
      <c r="NCW1" s="136"/>
      <c r="NCX1" s="136"/>
      <c r="NCY1" s="136"/>
      <c r="NCZ1" s="136"/>
      <c r="NDA1" s="136"/>
      <c r="NDB1" s="136"/>
      <c r="NDC1" s="136"/>
      <c r="NDD1" s="136"/>
      <c r="NDE1" s="136"/>
      <c r="NDF1" s="136"/>
      <c r="NDG1" s="136"/>
      <c r="NDH1" s="136"/>
      <c r="NDI1" s="136"/>
      <c r="NDJ1" s="136"/>
      <c r="NDK1" s="136"/>
      <c r="NDL1" s="136"/>
      <c r="NDM1" s="136"/>
      <c r="NDN1" s="136"/>
      <c r="NDO1" s="136"/>
      <c r="NDP1" s="136"/>
      <c r="NDQ1" s="136"/>
      <c r="NDR1" s="136"/>
      <c r="NDS1" s="136"/>
      <c r="NDT1" s="136"/>
      <c r="NDU1" s="136"/>
      <c r="NDV1" s="136"/>
      <c r="NDW1" s="136"/>
      <c r="NDX1" s="136"/>
      <c r="NDY1" s="136"/>
      <c r="NDZ1" s="136"/>
      <c r="NEA1" s="136"/>
      <c r="NEB1" s="136"/>
      <c r="NEC1" s="136"/>
      <c r="NED1" s="136"/>
      <c r="NEE1" s="136"/>
      <c r="NEF1" s="136"/>
      <c r="NEG1" s="136"/>
      <c r="NEH1" s="136"/>
      <c r="NEI1" s="136"/>
      <c r="NEJ1" s="136"/>
      <c r="NEK1" s="136"/>
      <c r="NEL1" s="136"/>
      <c r="NEM1" s="136"/>
      <c r="NEN1" s="136"/>
      <c r="NEO1" s="136"/>
      <c r="NEP1" s="136"/>
      <c r="NEQ1" s="136"/>
      <c r="NER1" s="136"/>
      <c r="NES1" s="136"/>
      <c r="NET1" s="136"/>
      <c r="NEU1" s="136"/>
      <c r="NEV1" s="136"/>
      <c r="NEW1" s="136"/>
      <c r="NEX1" s="136"/>
      <c r="NEY1" s="136"/>
      <c r="NEZ1" s="136"/>
      <c r="NFA1" s="136"/>
      <c r="NFB1" s="136"/>
      <c r="NFC1" s="136"/>
      <c r="NFD1" s="136"/>
      <c r="NFE1" s="136"/>
      <c r="NFF1" s="136"/>
      <c r="NFG1" s="136"/>
      <c r="NFH1" s="136"/>
      <c r="NFI1" s="136"/>
      <c r="NFJ1" s="136"/>
      <c r="NFK1" s="136"/>
      <c r="NFL1" s="136"/>
      <c r="NFM1" s="136"/>
      <c r="NFN1" s="136"/>
      <c r="NFO1" s="136"/>
      <c r="NFP1" s="136"/>
      <c r="NFQ1" s="136"/>
      <c r="NFR1" s="136"/>
      <c r="NFS1" s="136"/>
      <c r="NFT1" s="136"/>
      <c r="NFU1" s="136"/>
      <c r="NFV1" s="136"/>
      <c r="NFW1" s="136"/>
      <c r="NFX1" s="136"/>
      <c r="NFY1" s="136"/>
      <c r="NFZ1" s="136"/>
      <c r="NGA1" s="136"/>
      <c r="NGB1" s="136"/>
      <c r="NGC1" s="136"/>
      <c r="NGD1" s="136"/>
      <c r="NGE1" s="136"/>
      <c r="NGF1" s="136"/>
      <c r="NGG1" s="136"/>
      <c r="NGH1" s="136"/>
      <c r="NGI1" s="136"/>
      <c r="NGJ1" s="136"/>
      <c r="NGK1" s="136"/>
      <c r="NGL1" s="136"/>
      <c r="NGM1" s="136"/>
      <c r="NGN1" s="136"/>
      <c r="NGO1" s="136"/>
      <c r="NGP1" s="136"/>
      <c r="NGQ1" s="136"/>
      <c r="NGR1" s="136"/>
      <c r="NGS1" s="136"/>
      <c r="NGT1" s="136"/>
      <c r="NGU1" s="136"/>
      <c r="NGV1" s="136"/>
      <c r="NGW1" s="136"/>
      <c r="NGX1" s="136"/>
      <c r="NGY1" s="136"/>
      <c r="NGZ1" s="136"/>
      <c r="NHA1" s="136"/>
      <c r="NHB1" s="136"/>
      <c r="NHC1" s="136"/>
      <c r="NHD1" s="136"/>
      <c r="NHE1" s="136"/>
      <c r="NHF1" s="136"/>
      <c r="NHG1" s="136"/>
      <c r="NHH1" s="136"/>
      <c r="NHI1" s="136"/>
      <c r="NHJ1" s="136"/>
      <c r="NHK1" s="136"/>
      <c r="NHL1" s="136"/>
      <c r="NHM1" s="136"/>
      <c r="NHN1" s="136"/>
      <c r="NHO1" s="136"/>
      <c r="NHP1" s="136"/>
      <c r="NHQ1" s="136"/>
      <c r="NHR1" s="136"/>
      <c r="NHS1" s="136"/>
      <c r="NHT1" s="136"/>
      <c r="NHU1" s="136"/>
      <c r="NHV1" s="136"/>
      <c r="NHW1" s="136"/>
      <c r="NHX1" s="136"/>
      <c r="NHY1" s="136"/>
      <c r="NHZ1" s="136"/>
      <c r="NIA1" s="136"/>
      <c r="NIB1" s="136"/>
      <c r="NIC1" s="136"/>
      <c r="NID1" s="136"/>
      <c r="NIE1" s="136"/>
      <c r="NIF1" s="136"/>
      <c r="NIG1" s="136"/>
      <c r="NIH1" s="136"/>
      <c r="NII1" s="136"/>
      <c r="NIJ1" s="136"/>
      <c r="NIK1" s="136"/>
      <c r="NIL1" s="136"/>
      <c r="NIM1" s="136"/>
      <c r="NIN1" s="136"/>
      <c r="NIO1" s="136"/>
      <c r="NIP1" s="136"/>
      <c r="NIQ1" s="136"/>
      <c r="NIR1" s="136"/>
      <c r="NIS1" s="136"/>
      <c r="NIT1" s="136"/>
      <c r="NIU1" s="136"/>
      <c r="NIV1" s="136"/>
      <c r="NIW1" s="136"/>
      <c r="NIX1" s="136"/>
      <c r="NIY1" s="136"/>
      <c r="NIZ1" s="136"/>
      <c r="NJA1" s="136"/>
      <c r="NJB1" s="136"/>
      <c r="NJC1" s="136"/>
      <c r="NJD1" s="136"/>
      <c r="NJE1" s="136"/>
      <c r="NJF1" s="136"/>
      <c r="NJG1" s="136"/>
      <c r="NJH1" s="136"/>
      <c r="NJI1" s="136"/>
      <c r="NJJ1" s="136"/>
      <c r="NJK1" s="136"/>
      <c r="NJL1" s="136"/>
      <c r="NJM1" s="136"/>
      <c r="NJN1" s="136"/>
      <c r="NJO1" s="136"/>
      <c r="NJP1" s="136"/>
      <c r="NJQ1" s="136"/>
      <c r="NJR1" s="136"/>
      <c r="NJS1" s="136"/>
      <c r="NJT1" s="136"/>
      <c r="NJU1" s="136"/>
      <c r="NJV1" s="136"/>
      <c r="NJW1" s="136"/>
      <c r="NJX1" s="136"/>
      <c r="NJY1" s="136"/>
      <c r="NJZ1" s="136"/>
      <c r="NKA1" s="136"/>
      <c r="NKB1" s="136"/>
      <c r="NKC1" s="136"/>
      <c r="NKD1" s="136"/>
      <c r="NKE1" s="136"/>
      <c r="NKF1" s="136"/>
      <c r="NKG1" s="136"/>
      <c r="NKH1" s="136"/>
      <c r="NKI1" s="136"/>
      <c r="NKJ1" s="136"/>
      <c r="NKK1" s="136"/>
      <c r="NKL1" s="136"/>
      <c r="NKM1" s="136"/>
      <c r="NKN1" s="136"/>
      <c r="NKO1" s="136"/>
      <c r="NKP1" s="136"/>
      <c r="NKQ1" s="136"/>
      <c r="NKR1" s="136"/>
      <c r="NKS1" s="136"/>
      <c r="NKT1" s="136"/>
      <c r="NKU1" s="136"/>
      <c r="NKV1" s="136"/>
      <c r="NKW1" s="136"/>
      <c r="NKX1" s="136"/>
      <c r="NKY1" s="136"/>
      <c r="NKZ1" s="136"/>
      <c r="NLA1" s="136"/>
      <c r="NLB1" s="136"/>
      <c r="NLC1" s="136"/>
      <c r="NLD1" s="136"/>
      <c r="NLE1" s="136"/>
      <c r="NLF1" s="136"/>
      <c r="NLG1" s="136"/>
      <c r="NLH1" s="136"/>
      <c r="NLI1" s="136"/>
      <c r="NLJ1" s="136"/>
      <c r="NLK1" s="136"/>
      <c r="NLL1" s="136"/>
      <c r="NLM1" s="136"/>
      <c r="NLN1" s="136"/>
      <c r="NLO1" s="136"/>
      <c r="NLP1" s="136"/>
      <c r="NLQ1" s="136"/>
      <c r="NLR1" s="136"/>
      <c r="NLS1" s="136"/>
      <c r="NLT1" s="136"/>
      <c r="NLU1" s="136"/>
      <c r="NLV1" s="136"/>
      <c r="NLW1" s="136"/>
      <c r="NLX1" s="136"/>
      <c r="NLY1" s="136"/>
      <c r="NLZ1" s="136"/>
      <c r="NMA1" s="136"/>
      <c r="NMB1" s="136"/>
      <c r="NMC1" s="136"/>
      <c r="NMD1" s="136"/>
      <c r="NME1" s="136"/>
      <c r="NMF1" s="136"/>
      <c r="NMG1" s="136"/>
      <c r="NMH1" s="136"/>
      <c r="NMI1" s="136"/>
      <c r="NMJ1" s="136"/>
      <c r="NMK1" s="136"/>
      <c r="NML1" s="136"/>
      <c r="NMM1" s="136"/>
      <c r="NMN1" s="136"/>
      <c r="NMO1" s="136"/>
      <c r="NMP1" s="136"/>
      <c r="NMQ1" s="136"/>
      <c r="NMR1" s="136"/>
      <c r="NMS1" s="136"/>
      <c r="NMT1" s="136"/>
      <c r="NMU1" s="136"/>
      <c r="NMV1" s="136"/>
      <c r="NMW1" s="136"/>
      <c r="NMX1" s="136"/>
      <c r="NMY1" s="136"/>
      <c r="NMZ1" s="136"/>
      <c r="NNA1" s="136"/>
      <c r="NNB1" s="136"/>
      <c r="NNC1" s="136"/>
      <c r="NND1" s="136"/>
      <c r="NNE1" s="136"/>
      <c r="NNF1" s="136"/>
      <c r="NNG1" s="136"/>
      <c r="NNH1" s="136"/>
      <c r="NNI1" s="136"/>
      <c r="NNJ1" s="136"/>
      <c r="NNK1" s="136"/>
      <c r="NNL1" s="136"/>
      <c r="NNM1" s="136"/>
      <c r="NNN1" s="136"/>
      <c r="NNO1" s="136"/>
      <c r="NNP1" s="136"/>
      <c r="NNQ1" s="136"/>
      <c r="NNR1" s="136"/>
      <c r="NNS1" s="136"/>
      <c r="NNT1" s="136"/>
      <c r="NNU1" s="136"/>
      <c r="NNV1" s="136"/>
      <c r="NNW1" s="136"/>
      <c r="NNX1" s="136"/>
      <c r="NNY1" s="136"/>
      <c r="NNZ1" s="136"/>
      <c r="NOA1" s="136"/>
      <c r="NOB1" s="136"/>
      <c r="NOC1" s="136"/>
      <c r="NOD1" s="136"/>
      <c r="NOE1" s="136"/>
      <c r="NOF1" s="136"/>
      <c r="NOG1" s="136"/>
      <c r="NOH1" s="136"/>
      <c r="NOI1" s="136"/>
      <c r="NOJ1" s="136"/>
      <c r="NOK1" s="136"/>
      <c r="NOL1" s="136"/>
      <c r="NOM1" s="136"/>
      <c r="NON1" s="136"/>
      <c r="NOO1" s="136"/>
      <c r="NOP1" s="136"/>
      <c r="NOQ1" s="136"/>
      <c r="NOR1" s="136"/>
      <c r="NOS1" s="136"/>
      <c r="NOT1" s="136"/>
      <c r="NOU1" s="136"/>
      <c r="NOV1" s="136"/>
      <c r="NOW1" s="136"/>
      <c r="NOX1" s="136"/>
      <c r="NOY1" s="136"/>
      <c r="NOZ1" s="136"/>
      <c r="NPA1" s="136"/>
      <c r="NPB1" s="136"/>
      <c r="NPC1" s="136"/>
      <c r="NPD1" s="136"/>
      <c r="NPE1" s="136"/>
      <c r="NPF1" s="136"/>
      <c r="NPG1" s="136"/>
      <c r="NPH1" s="136"/>
      <c r="NPI1" s="136"/>
      <c r="NPJ1" s="136"/>
      <c r="NPK1" s="136"/>
      <c r="NPL1" s="136"/>
      <c r="NPM1" s="136"/>
      <c r="NPN1" s="136"/>
      <c r="NPO1" s="136"/>
      <c r="NPP1" s="136"/>
      <c r="NPQ1" s="136"/>
      <c r="NPR1" s="136"/>
      <c r="NPS1" s="136"/>
      <c r="NPT1" s="136"/>
      <c r="NPU1" s="136"/>
      <c r="NPV1" s="136"/>
      <c r="NPW1" s="136"/>
      <c r="NPX1" s="136"/>
      <c r="NPY1" s="136"/>
      <c r="NPZ1" s="136"/>
      <c r="NQA1" s="136"/>
      <c r="NQB1" s="136"/>
      <c r="NQC1" s="136"/>
      <c r="NQD1" s="136"/>
      <c r="NQE1" s="136"/>
      <c r="NQF1" s="136"/>
      <c r="NQG1" s="136"/>
      <c r="NQH1" s="136"/>
      <c r="NQI1" s="136"/>
      <c r="NQJ1" s="136"/>
      <c r="NQK1" s="136"/>
      <c r="NQL1" s="136"/>
      <c r="NQM1" s="136"/>
      <c r="NQN1" s="136"/>
      <c r="NQO1" s="136"/>
      <c r="NQP1" s="136"/>
      <c r="NQQ1" s="136"/>
      <c r="NQR1" s="136"/>
      <c r="NQS1" s="136"/>
      <c r="NQT1" s="136"/>
      <c r="NQU1" s="136"/>
      <c r="NQV1" s="136"/>
      <c r="NQW1" s="136"/>
      <c r="NQX1" s="136"/>
      <c r="NQY1" s="136"/>
      <c r="NQZ1" s="136"/>
      <c r="NRA1" s="136"/>
      <c r="NRB1" s="136"/>
      <c r="NRC1" s="136"/>
      <c r="NRD1" s="136"/>
      <c r="NRE1" s="136"/>
      <c r="NRF1" s="136"/>
      <c r="NRG1" s="136"/>
      <c r="NRH1" s="136"/>
      <c r="NRI1" s="136"/>
      <c r="NRJ1" s="136"/>
      <c r="NRK1" s="136"/>
      <c r="NRL1" s="136"/>
      <c r="NRM1" s="136"/>
      <c r="NRN1" s="136"/>
      <c r="NRO1" s="136"/>
      <c r="NRP1" s="136"/>
      <c r="NRQ1" s="136"/>
      <c r="NRR1" s="136"/>
      <c r="NRS1" s="136"/>
      <c r="NRT1" s="136"/>
      <c r="NRU1" s="136"/>
      <c r="NRV1" s="136"/>
      <c r="NRW1" s="136"/>
      <c r="NRX1" s="136"/>
      <c r="NRY1" s="136"/>
      <c r="NRZ1" s="136"/>
      <c r="NSA1" s="136"/>
      <c r="NSB1" s="136"/>
      <c r="NSC1" s="136"/>
      <c r="NSD1" s="136"/>
      <c r="NSE1" s="136"/>
      <c r="NSF1" s="136"/>
      <c r="NSG1" s="136"/>
      <c r="NSH1" s="136"/>
      <c r="NSI1" s="136"/>
      <c r="NSJ1" s="136"/>
      <c r="NSK1" s="136"/>
      <c r="NSL1" s="136"/>
      <c r="NSM1" s="136"/>
      <c r="NSN1" s="136"/>
      <c r="NSO1" s="136"/>
      <c r="NSP1" s="136"/>
      <c r="NSQ1" s="136"/>
      <c r="NSR1" s="136"/>
      <c r="NSS1" s="136"/>
      <c r="NST1" s="136"/>
      <c r="NSU1" s="136"/>
      <c r="NSV1" s="136"/>
      <c r="NSW1" s="136"/>
      <c r="NSX1" s="136"/>
      <c r="NSY1" s="136"/>
      <c r="NSZ1" s="136"/>
      <c r="NTA1" s="136"/>
      <c r="NTB1" s="136"/>
      <c r="NTC1" s="136"/>
      <c r="NTD1" s="136"/>
      <c r="NTE1" s="136"/>
      <c r="NTF1" s="136"/>
      <c r="NTG1" s="136"/>
      <c r="NTH1" s="136"/>
      <c r="NTI1" s="136"/>
      <c r="NTJ1" s="136"/>
      <c r="NTK1" s="136"/>
      <c r="NTL1" s="136"/>
      <c r="NTM1" s="136"/>
      <c r="NTN1" s="136"/>
      <c r="NTO1" s="136"/>
      <c r="NTP1" s="136"/>
      <c r="NTQ1" s="136"/>
      <c r="NTR1" s="136"/>
      <c r="NTS1" s="136"/>
      <c r="NTT1" s="136"/>
      <c r="NTU1" s="136"/>
      <c r="NTV1" s="136"/>
      <c r="NTW1" s="136"/>
      <c r="NTX1" s="136"/>
      <c r="NTY1" s="136"/>
      <c r="NTZ1" s="136"/>
      <c r="NUA1" s="136"/>
      <c r="NUB1" s="136"/>
      <c r="NUC1" s="136"/>
      <c r="NUD1" s="136"/>
      <c r="NUE1" s="136"/>
      <c r="NUF1" s="136"/>
      <c r="NUG1" s="136"/>
      <c r="NUH1" s="136"/>
      <c r="NUI1" s="136"/>
      <c r="NUJ1" s="136"/>
      <c r="NUK1" s="136"/>
      <c r="NUL1" s="136"/>
      <c r="NUM1" s="136"/>
      <c r="NUN1" s="136"/>
      <c r="NUO1" s="136"/>
      <c r="NUP1" s="136"/>
      <c r="NUQ1" s="136"/>
      <c r="NUR1" s="136"/>
      <c r="NUS1" s="136"/>
      <c r="NUT1" s="136"/>
      <c r="NUU1" s="136"/>
      <c r="NUV1" s="136"/>
      <c r="NUW1" s="136"/>
      <c r="NUX1" s="136"/>
      <c r="NUY1" s="136"/>
      <c r="NUZ1" s="136"/>
      <c r="NVA1" s="136"/>
      <c r="NVB1" s="136"/>
      <c r="NVC1" s="136"/>
      <c r="NVD1" s="136"/>
      <c r="NVE1" s="136"/>
      <c r="NVF1" s="136"/>
      <c r="NVG1" s="136"/>
      <c r="NVH1" s="136"/>
      <c r="NVI1" s="136"/>
      <c r="NVJ1" s="136"/>
      <c r="NVK1" s="136"/>
      <c r="NVL1" s="136"/>
      <c r="NVM1" s="136"/>
      <c r="NVN1" s="136"/>
      <c r="NVO1" s="136"/>
      <c r="NVP1" s="136"/>
      <c r="NVQ1" s="136"/>
      <c r="NVR1" s="136"/>
      <c r="NVS1" s="136"/>
      <c r="NVT1" s="136"/>
      <c r="NVU1" s="136"/>
      <c r="NVV1" s="136"/>
      <c r="NVW1" s="136"/>
      <c r="NVX1" s="136"/>
      <c r="NVY1" s="136"/>
      <c r="NVZ1" s="136"/>
      <c r="NWA1" s="136"/>
      <c r="NWB1" s="136"/>
      <c r="NWC1" s="136"/>
      <c r="NWD1" s="136"/>
      <c r="NWE1" s="136"/>
      <c r="NWF1" s="136"/>
      <c r="NWG1" s="136"/>
      <c r="NWH1" s="136"/>
      <c r="NWI1" s="136"/>
      <c r="NWJ1" s="136"/>
      <c r="NWK1" s="136"/>
      <c r="NWL1" s="136"/>
      <c r="NWM1" s="136"/>
      <c r="NWN1" s="136"/>
      <c r="NWO1" s="136"/>
      <c r="NWP1" s="136"/>
      <c r="NWQ1" s="136"/>
      <c r="NWR1" s="136"/>
      <c r="NWS1" s="136"/>
      <c r="NWT1" s="136"/>
      <c r="NWU1" s="136"/>
      <c r="NWV1" s="136"/>
      <c r="NWW1" s="136"/>
      <c r="NWX1" s="136"/>
      <c r="NWY1" s="136"/>
      <c r="NWZ1" s="136"/>
      <c r="NXA1" s="136"/>
      <c r="NXB1" s="136"/>
      <c r="NXC1" s="136"/>
      <c r="NXD1" s="136"/>
      <c r="NXE1" s="136"/>
      <c r="NXF1" s="136"/>
      <c r="NXG1" s="136"/>
      <c r="NXH1" s="136"/>
      <c r="NXI1" s="136"/>
      <c r="NXJ1" s="136"/>
      <c r="NXK1" s="136"/>
      <c r="NXL1" s="136"/>
      <c r="NXM1" s="136"/>
      <c r="NXN1" s="136"/>
      <c r="NXO1" s="136"/>
      <c r="NXP1" s="136"/>
      <c r="NXQ1" s="136"/>
      <c r="NXR1" s="136"/>
      <c r="NXS1" s="136"/>
      <c r="NXT1" s="136"/>
      <c r="NXU1" s="136"/>
      <c r="NXV1" s="136"/>
      <c r="NXW1" s="136"/>
      <c r="NXX1" s="136"/>
      <c r="NXY1" s="136"/>
      <c r="NXZ1" s="136"/>
      <c r="NYA1" s="136"/>
      <c r="NYB1" s="136"/>
      <c r="NYC1" s="136"/>
      <c r="NYD1" s="136"/>
      <c r="NYE1" s="136"/>
      <c r="NYF1" s="136"/>
      <c r="NYG1" s="136"/>
      <c r="NYH1" s="136"/>
      <c r="NYI1" s="136"/>
      <c r="NYJ1" s="136"/>
      <c r="NYK1" s="136"/>
      <c r="NYL1" s="136"/>
      <c r="NYM1" s="136"/>
      <c r="NYN1" s="136"/>
      <c r="NYO1" s="136"/>
      <c r="NYP1" s="136"/>
      <c r="NYQ1" s="136"/>
      <c r="NYR1" s="136"/>
      <c r="NYS1" s="136"/>
      <c r="NYT1" s="136"/>
      <c r="NYU1" s="136"/>
      <c r="NYV1" s="136"/>
      <c r="NYW1" s="136"/>
      <c r="NYX1" s="136"/>
      <c r="NYY1" s="136"/>
      <c r="NYZ1" s="136"/>
      <c r="NZA1" s="136"/>
      <c r="NZB1" s="136"/>
      <c r="NZC1" s="136"/>
      <c r="NZD1" s="136"/>
      <c r="NZE1" s="136"/>
      <c r="NZF1" s="136"/>
      <c r="NZG1" s="136"/>
      <c r="NZH1" s="136"/>
      <c r="NZI1" s="136"/>
      <c r="NZJ1" s="136"/>
      <c r="NZK1" s="136"/>
      <c r="NZL1" s="136"/>
      <c r="NZM1" s="136"/>
      <c r="NZN1" s="136"/>
      <c r="NZO1" s="136"/>
      <c r="NZP1" s="136"/>
      <c r="NZQ1" s="136"/>
      <c r="NZR1" s="136"/>
      <c r="NZS1" s="136"/>
      <c r="NZT1" s="136"/>
      <c r="NZU1" s="136"/>
      <c r="NZV1" s="136"/>
      <c r="NZW1" s="136"/>
      <c r="NZX1" s="136"/>
      <c r="NZY1" s="136"/>
      <c r="NZZ1" s="136"/>
      <c r="OAA1" s="136"/>
      <c r="OAB1" s="136"/>
      <c r="OAC1" s="136"/>
      <c r="OAD1" s="136"/>
      <c r="OAE1" s="136"/>
      <c r="OAF1" s="136"/>
      <c r="OAG1" s="136"/>
      <c r="OAH1" s="136"/>
      <c r="OAI1" s="136"/>
      <c r="OAJ1" s="136"/>
      <c r="OAK1" s="136"/>
      <c r="OAL1" s="136"/>
      <c r="OAM1" s="136"/>
      <c r="OAN1" s="136"/>
      <c r="OAO1" s="136"/>
      <c r="OAP1" s="136"/>
      <c r="OAQ1" s="136"/>
      <c r="OAR1" s="136"/>
      <c r="OAS1" s="136"/>
      <c r="OAT1" s="136"/>
      <c r="OAU1" s="136"/>
      <c r="OAV1" s="136"/>
      <c r="OAW1" s="136"/>
      <c r="OAX1" s="136"/>
      <c r="OAY1" s="136"/>
      <c r="OAZ1" s="136"/>
      <c r="OBA1" s="136"/>
      <c r="OBB1" s="136"/>
      <c r="OBC1" s="136"/>
      <c r="OBD1" s="136"/>
      <c r="OBE1" s="136"/>
      <c r="OBF1" s="136"/>
      <c r="OBG1" s="136"/>
      <c r="OBH1" s="136"/>
      <c r="OBI1" s="136"/>
      <c r="OBJ1" s="136"/>
      <c r="OBK1" s="136"/>
      <c r="OBL1" s="136"/>
      <c r="OBM1" s="136"/>
      <c r="OBN1" s="136"/>
      <c r="OBO1" s="136"/>
      <c r="OBP1" s="136"/>
      <c r="OBQ1" s="136"/>
      <c r="OBR1" s="136"/>
      <c r="OBS1" s="136"/>
      <c r="OBT1" s="136"/>
      <c r="OBU1" s="136"/>
      <c r="OBV1" s="136"/>
      <c r="OBW1" s="136"/>
      <c r="OBX1" s="136"/>
      <c r="OBY1" s="136"/>
      <c r="OBZ1" s="136"/>
      <c r="OCA1" s="136"/>
      <c r="OCB1" s="136"/>
      <c r="OCC1" s="136"/>
      <c r="OCD1" s="136"/>
      <c r="OCE1" s="136"/>
      <c r="OCF1" s="136"/>
      <c r="OCG1" s="136"/>
      <c r="OCH1" s="136"/>
      <c r="OCI1" s="136"/>
      <c r="OCJ1" s="136"/>
      <c r="OCK1" s="136"/>
      <c r="OCL1" s="136"/>
      <c r="OCM1" s="136"/>
      <c r="OCN1" s="136"/>
      <c r="OCO1" s="136"/>
      <c r="OCP1" s="136"/>
      <c r="OCQ1" s="136"/>
      <c r="OCR1" s="136"/>
      <c r="OCS1" s="136"/>
      <c r="OCT1" s="136"/>
      <c r="OCU1" s="136"/>
      <c r="OCV1" s="136"/>
      <c r="OCW1" s="136"/>
      <c r="OCX1" s="136"/>
      <c r="OCY1" s="136"/>
      <c r="OCZ1" s="136"/>
      <c r="ODA1" s="136"/>
      <c r="ODB1" s="136"/>
      <c r="ODC1" s="136"/>
      <c r="ODD1" s="136"/>
      <c r="ODE1" s="136"/>
      <c r="ODF1" s="136"/>
      <c r="ODG1" s="136"/>
      <c r="ODH1" s="136"/>
      <c r="ODI1" s="136"/>
      <c r="ODJ1" s="136"/>
      <c r="ODK1" s="136"/>
      <c r="ODL1" s="136"/>
      <c r="ODM1" s="136"/>
      <c r="ODN1" s="136"/>
      <c r="ODO1" s="136"/>
      <c r="ODP1" s="136"/>
      <c r="ODQ1" s="136"/>
      <c r="ODR1" s="136"/>
      <c r="ODS1" s="136"/>
      <c r="ODT1" s="136"/>
      <c r="ODU1" s="136"/>
      <c r="ODV1" s="136"/>
      <c r="ODW1" s="136"/>
      <c r="ODX1" s="136"/>
      <c r="ODY1" s="136"/>
      <c r="ODZ1" s="136"/>
      <c r="OEA1" s="136"/>
      <c r="OEB1" s="136"/>
      <c r="OEC1" s="136"/>
      <c r="OED1" s="136"/>
      <c r="OEE1" s="136"/>
      <c r="OEF1" s="136"/>
      <c r="OEG1" s="136"/>
      <c r="OEH1" s="136"/>
      <c r="OEI1" s="136"/>
      <c r="OEJ1" s="136"/>
      <c r="OEK1" s="136"/>
      <c r="OEL1" s="136"/>
      <c r="OEM1" s="136"/>
      <c r="OEN1" s="136"/>
      <c r="OEO1" s="136"/>
      <c r="OEP1" s="136"/>
      <c r="OEQ1" s="136"/>
      <c r="OER1" s="136"/>
      <c r="OES1" s="136"/>
      <c r="OET1" s="136"/>
      <c r="OEU1" s="136"/>
      <c r="OEV1" s="136"/>
      <c r="OEW1" s="136"/>
      <c r="OEX1" s="136"/>
      <c r="OEY1" s="136"/>
      <c r="OEZ1" s="136"/>
      <c r="OFA1" s="136"/>
      <c r="OFB1" s="136"/>
      <c r="OFC1" s="136"/>
      <c r="OFD1" s="136"/>
      <c r="OFE1" s="136"/>
      <c r="OFF1" s="136"/>
      <c r="OFG1" s="136"/>
      <c r="OFH1" s="136"/>
      <c r="OFI1" s="136"/>
      <c r="OFJ1" s="136"/>
      <c r="OFK1" s="136"/>
      <c r="OFL1" s="136"/>
      <c r="OFM1" s="136"/>
      <c r="OFN1" s="136"/>
      <c r="OFO1" s="136"/>
      <c r="OFP1" s="136"/>
      <c r="OFQ1" s="136"/>
      <c r="OFR1" s="136"/>
      <c r="OFS1" s="136"/>
      <c r="OFT1" s="136"/>
      <c r="OFU1" s="136"/>
      <c r="OFV1" s="136"/>
      <c r="OFW1" s="136"/>
      <c r="OFX1" s="136"/>
      <c r="OFY1" s="136"/>
      <c r="OFZ1" s="136"/>
      <c r="OGA1" s="136"/>
      <c r="OGB1" s="136"/>
      <c r="OGC1" s="136"/>
      <c r="OGD1" s="136"/>
      <c r="OGE1" s="136"/>
      <c r="OGF1" s="136"/>
      <c r="OGG1" s="136"/>
      <c r="OGH1" s="136"/>
      <c r="OGI1" s="136"/>
      <c r="OGJ1" s="136"/>
      <c r="OGK1" s="136"/>
      <c r="OGL1" s="136"/>
      <c r="OGM1" s="136"/>
      <c r="OGN1" s="136"/>
      <c r="OGO1" s="136"/>
      <c r="OGP1" s="136"/>
      <c r="OGQ1" s="136"/>
      <c r="OGR1" s="136"/>
      <c r="OGS1" s="136"/>
      <c r="OGT1" s="136"/>
      <c r="OGU1" s="136"/>
      <c r="OGV1" s="136"/>
      <c r="OGW1" s="136"/>
      <c r="OGX1" s="136"/>
      <c r="OGY1" s="136"/>
      <c r="OGZ1" s="136"/>
      <c r="OHA1" s="136"/>
      <c r="OHB1" s="136"/>
      <c r="OHC1" s="136"/>
      <c r="OHD1" s="136"/>
      <c r="OHE1" s="136"/>
      <c r="OHF1" s="136"/>
      <c r="OHG1" s="136"/>
      <c r="OHH1" s="136"/>
      <c r="OHI1" s="136"/>
      <c r="OHJ1" s="136"/>
      <c r="OHK1" s="136"/>
      <c r="OHL1" s="136"/>
      <c r="OHM1" s="136"/>
      <c r="OHN1" s="136"/>
      <c r="OHO1" s="136"/>
      <c r="OHP1" s="136"/>
      <c r="OHQ1" s="136"/>
      <c r="OHR1" s="136"/>
      <c r="OHS1" s="136"/>
      <c r="OHT1" s="136"/>
      <c r="OHU1" s="136"/>
      <c r="OHV1" s="136"/>
      <c r="OHW1" s="136"/>
      <c r="OHX1" s="136"/>
      <c r="OHY1" s="136"/>
      <c r="OHZ1" s="136"/>
      <c r="OIA1" s="136"/>
      <c r="OIB1" s="136"/>
      <c r="OIC1" s="136"/>
      <c r="OID1" s="136"/>
      <c r="OIE1" s="136"/>
      <c r="OIF1" s="136"/>
      <c r="OIG1" s="136"/>
      <c r="OIH1" s="136"/>
      <c r="OII1" s="136"/>
      <c r="OIJ1" s="136"/>
      <c r="OIK1" s="136"/>
      <c r="OIL1" s="136"/>
      <c r="OIM1" s="136"/>
      <c r="OIN1" s="136"/>
      <c r="OIO1" s="136"/>
      <c r="OIP1" s="136"/>
      <c r="OIQ1" s="136"/>
      <c r="OIR1" s="136"/>
      <c r="OIS1" s="136"/>
      <c r="OIT1" s="136"/>
      <c r="OIU1" s="136"/>
      <c r="OIV1" s="136"/>
      <c r="OIW1" s="136"/>
      <c r="OIX1" s="136"/>
      <c r="OIY1" s="136"/>
      <c r="OIZ1" s="136"/>
      <c r="OJA1" s="136"/>
      <c r="OJB1" s="136"/>
      <c r="OJC1" s="136"/>
      <c r="OJD1" s="136"/>
      <c r="OJE1" s="136"/>
      <c r="OJF1" s="136"/>
      <c r="OJG1" s="136"/>
      <c r="OJH1" s="136"/>
      <c r="OJI1" s="136"/>
      <c r="OJJ1" s="136"/>
      <c r="OJK1" s="136"/>
      <c r="OJL1" s="136"/>
      <c r="OJM1" s="136"/>
      <c r="OJN1" s="136"/>
      <c r="OJO1" s="136"/>
      <c r="OJP1" s="136"/>
      <c r="OJQ1" s="136"/>
      <c r="OJR1" s="136"/>
      <c r="OJS1" s="136"/>
      <c r="OJT1" s="136"/>
      <c r="OJU1" s="136"/>
      <c r="OJV1" s="136"/>
      <c r="OJW1" s="136"/>
      <c r="OJX1" s="136"/>
      <c r="OJY1" s="136"/>
      <c r="OJZ1" s="136"/>
      <c r="OKA1" s="136"/>
      <c r="OKB1" s="136"/>
      <c r="OKC1" s="136"/>
      <c r="OKD1" s="136"/>
      <c r="OKE1" s="136"/>
      <c r="OKF1" s="136"/>
      <c r="OKG1" s="136"/>
      <c r="OKH1" s="136"/>
      <c r="OKI1" s="136"/>
      <c r="OKJ1" s="136"/>
      <c r="OKK1" s="136"/>
      <c r="OKL1" s="136"/>
      <c r="OKM1" s="136"/>
      <c r="OKN1" s="136"/>
      <c r="OKO1" s="136"/>
      <c r="OKP1" s="136"/>
      <c r="OKQ1" s="136"/>
      <c r="OKR1" s="136"/>
      <c r="OKS1" s="136"/>
      <c r="OKT1" s="136"/>
      <c r="OKU1" s="136"/>
      <c r="OKV1" s="136"/>
      <c r="OKW1" s="136"/>
      <c r="OKX1" s="136"/>
      <c r="OKY1" s="136"/>
      <c r="OKZ1" s="136"/>
      <c r="OLA1" s="136"/>
      <c r="OLB1" s="136"/>
      <c r="OLC1" s="136"/>
      <c r="OLD1" s="136"/>
      <c r="OLE1" s="136"/>
      <c r="OLF1" s="136"/>
      <c r="OLG1" s="136"/>
      <c r="OLH1" s="136"/>
      <c r="OLI1" s="136"/>
      <c r="OLJ1" s="136"/>
      <c r="OLK1" s="136"/>
      <c r="OLL1" s="136"/>
      <c r="OLM1" s="136"/>
      <c r="OLN1" s="136"/>
      <c r="OLO1" s="136"/>
      <c r="OLP1" s="136"/>
      <c r="OLQ1" s="136"/>
      <c r="OLR1" s="136"/>
      <c r="OLS1" s="136"/>
      <c r="OLT1" s="136"/>
      <c r="OLU1" s="136"/>
      <c r="OLV1" s="136"/>
      <c r="OLW1" s="136"/>
      <c r="OLX1" s="136"/>
      <c r="OLY1" s="136"/>
      <c r="OLZ1" s="136"/>
      <c r="OMA1" s="136"/>
      <c r="OMB1" s="136"/>
      <c r="OMC1" s="136"/>
      <c r="OMD1" s="136"/>
      <c r="OME1" s="136"/>
      <c r="OMF1" s="136"/>
      <c r="OMG1" s="136"/>
      <c r="OMH1" s="136"/>
      <c r="OMI1" s="136"/>
      <c r="OMJ1" s="136"/>
      <c r="OMK1" s="136"/>
      <c r="OML1" s="136"/>
      <c r="OMM1" s="136"/>
      <c r="OMN1" s="136"/>
      <c r="OMO1" s="136"/>
      <c r="OMP1" s="136"/>
      <c r="OMQ1" s="136"/>
      <c r="OMR1" s="136"/>
      <c r="OMS1" s="136"/>
      <c r="OMT1" s="136"/>
      <c r="OMU1" s="136"/>
      <c r="OMV1" s="136"/>
      <c r="OMW1" s="136"/>
      <c r="OMX1" s="136"/>
      <c r="OMY1" s="136"/>
      <c r="OMZ1" s="136"/>
      <c r="ONA1" s="136"/>
      <c r="ONB1" s="136"/>
      <c r="ONC1" s="136"/>
      <c r="OND1" s="136"/>
      <c r="ONE1" s="136"/>
      <c r="ONF1" s="136"/>
      <c r="ONG1" s="136"/>
      <c r="ONH1" s="136"/>
      <c r="ONI1" s="136"/>
      <c r="ONJ1" s="136"/>
      <c r="ONK1" s="136"/>
      <c r="ONL1" s="136"/>
      <c r="ONM1" s="136"/>
      <c r="ONN1" s="136"/>
      <c r="ONO1" s="136"/>
      <c r="ONP1" s="136"/>
      <c r="ONQ1" s="136"/>
      <c r="ONR1" s="136"/>
      <c r="ONS1" s="136"/>
      <c r="ONT1" s="136"/>
      <c r="ONU1" s="136"/>
      <c r="ONV1" s="136"/>
      <c r="ONW1" s="136"/>
      <c r="ONX1" s="136"/>
      <c r="ONY1" s="136"/>
      <c r="ONZ1" s="136"/>
      <c r="OOA1" s="136"/>
      <c r="OOB1" s="136"/>
      <c r="OOC1" s="136"/>
      <c r="OOD1" s="136"/>
      <c r="OOE1" s="136"/>
      <c r="OOF1" s="136"/>
      <c r="OOG1" s="136"/>
      <c r="OOH1" s="136"/>
      <c r="OOI1" s="136"/>
      <c r="OOJ1" s="136"/>
      <c r="OOK1" s="136"/>
      <c r="OOL1" s="136"/>
      <c r="OOM1" s="136"/>
      <c r="OON1" s="136"/>
      <c r="OOO1" s="136"/>
      <c r="OOP1" s="136"/>
      <c r="OOQ1" s="136"/>
      <c r="OOR1" s="136"/>
      <c r="OOS1" s="136"/>
      <c r="OOT1" s="136"/>
      <c r="OOU1" s="136"/>
      <c r="OOV1" s="136"/>
      <c r="OOW1" s="136"/>
      <c r="OOX1" s="136"/>
      <c r="OOY1" s="136"/>
      <c r="OOZ1" s="136"/>
      <c r="OPA1" s="136"/>
      <c r="OPB1" s="136"/>
      <c r="OPC1" s="136"/>
      <c r="OPD1" s="136"/>
      <c r="OPE1" s="136"/>
      <c r="OPF1" s="136"/>
      <c r="OPG1" s="136"/>
      <c r="OPH1" s="136"/>
      <c r="OPI1" s="136"/>
      <c r="OPJ1" s="136"/>
      <c r="OPK1" s="136"/>
      <c r="OPL1" s="136"/>
      <c r="OPM1" s="136"/>
      <c r="OPN1" s="136"/>
      <c r="OPO1" s="136"/>
      <c r="OPP1" s="136"/>
      <c r="OPQ1" s="136"/>
      <c r="OPR1" s="136"/>
      <c r="OPS1" s="136"/>
      <c r="OPT1" s="136"/>
      <c r="OPU1" s="136"/>
      <c r="OPV1" s="136"/>
      <c r="OPW1" s="136"/>
      <c r="OPX1" s="136"/>
      <c r="OPY1" s="136"/>
      <c r="OPZ1" s="136"/>
      <c r="OQA1" s="136"/>
      <c r="OQB1" s="136"/>
      <c r="OQC1" s="136"/>
      <c r="OQD1" s="136"/>
      <c r="OQE1" s="136"/>
      <c r="OQF1" s="136"/>
      <c r="OQG1" s="136"/>
      <c r="OQH1" s="136"/>
      <c r="OQI1" s="136"/>
      <c r="OQJ1" s="136"/>
      <c r="OQK1" s="136"/>
      <c r="OQL1" s="136"/>
      <c r="OQM1" s="136"/>
      <c r="OQN1" s="136"/>
      <c r="OQO1" s="136"/>
      <c r="OQP1" s="136"/>
      <c r="OQQ1" s="136"/>
      <c r="OQR1" s="136"/>
      <c r="OQS1" s="136"/>
      <c r="OQT1" s="136"/>
      <c r="OQU1" s="136"/>
      <c r="OQV1" s="136"/>
      <c r="OQW1" s="136"/>
      <c r="OQX1" s="136"/>
      <c r="OQY1" s="136"/>
      <c r="OQZ1" s="136"/>
      <c r="ORA1" s="136"/>
      <c r="ORB1" s="136"/>
      <c r="ORC1" s="136"/>
      <c r="ORD1" s="136"/>
      <c r="ORE1" s="136"/>
      <c r="ORF1" s="136"/>
      <c r="ORG1" s="136"/>
      <c r="ORH1" s="136"/>
      <c r="ORI1" s="136"/>
      <c r="ORJ1" s="136"/>
      <c r="ORK1" s="136"/>
      <c r="ORL1" s="136"/>
      <c r="ORM1" s="136"/>
      <c r="ORN1" s="136"/>
      <c r="ORO1" s="136"/>
      <c r="ORP1" s="136"/>
      <c r="ORQ1" s="136"/>
      <c r="ORR1" s="136"/>
      <c r="ORS1" s="136"/>
      <c r="ORT1" s="136"/>
      <c r="ORU1" s="136"/>
      <c r="ORV1" s="136"/>
      <c r="ORW1" s="136"/>
      <c r="ORX1" s="136"/>
      <c r="ORY1" s="136"/>
      <c r="ORZ1" s="136"/>
      <c r="OSA1" s="136"/>
      <c r="OSB1" s="136"/>
      <c r="OSC1" s="136"/>
      <c r="OSD1" s="136"/>
      <c r="OSE1" s="136"/>
      <c r="OSF1" s="136"/>
      <c r="OSG1" s="136"/>
      <c r="OSH1" s="136"/>
      <c r="OSI1" s="136"/>
      <c r="OSJ1" s="136"/>
      <c r="OSK1" s="136"/>
      <c r="OSL1" s="136"/>
      <c r="OSM1" s="136"/>
      <c r="OSN1" s="136"/>
      <c r="OSO1" s="136"/>
      <c r="OSP1" s="136"/>
      <c r="OSQ1" s="136"/>
      <c r="OSR1" s="136"/>
      <c r="OSS1" s="136"/>
      <c r="OST1" s="136"/>
      <c r="OSU1" s="136"/>
      <c r="OSV1" s="136"/>
      <c r="OSW1" s="136"/>
      <c r="OSX1" s="136"/>
      <c r="OSY1" s="136"/>
      <c r="OSZ1" s="136"/>
      <c r="OTA1" s="136"/>
      <c r="OTB1" s="136"/>
      <c r="OTC1" s="136"/>
      <c r="OTD1" s="136"/>
      <c r="OTE1" s="136"/>
      <c r="OTF1" s="136"/>
      <c r="OTG1" s="136"/>
      <c r="OTH1" s="136"/>
      <c r="OTI1" s="136"/>
      <c r="OTJ1" s="136"/>
      <c r="OTK1" s="136"/>
      <c r="OTL1" s="136"/>
      <c r="OTM1" s="136"/>
      <c r="OTN1" s="136"/>
      <c r="OTO1" s="136"/>
      <c r="OTP1" s="136"/>
      <c r="OTQ1" s="136"/>
      <c r="OTR1" s="136"/>
      <c r="OTS1" s="136"/>
      <c r="OTT1" s="136"/>
      <c r="OTU1" s="136"/>
      <c r="OTV1" s="136"/>
      <c r="OTW1" s="136"/>
      <c r="OTX1" s="136"/>
      <c r="OTY1" s="136"/>
      <c r="OTZ1" s="136"/>
      <c r="OUA1" s="136"/>
      <c r="OUB1" s="136"/>
      <c r="OUC1" s="136"/>
      <c r="OUD1" s="136"/>
      <c r="OUE1" s="136"/>
      <c r="OUF1" s="136"/>
      <c r="OUG1" s="136"/>
      <c r="OUH1" s="136"/>
      <c r="OUI1" s="136"/>
      <c r="OUJ1" s="136"/>
      <c r="OUK1" s="136"/>
      <c r="OUL1" s="136"/>
      <c r="OUM1" s="136"/>
      <c r="OUN1" s="136"/>
      <c r="OUO1" s="136"/>
      <c r="OUP1" s="136"/>
      <c r="OUQ1" s="136"/>
      <c r="OUR1" s="136"/>
      <c r="OUS1" s="136"/>
      <c r="OUT1" s="136"/>
      <c r="OUU1" s="136"/>
      <c r="OUV1" s="136"/>
      <c r="OUW1" s="136"/>
      <c r="OUX1" s="136"/>
      <c r="OUY1" s="136"/>
      <c r="OUZ1" s="136"/>
      <c r="OVA1" s="136"/>
      <c r="OVB1" s="136"/>
      <c r="OVC1" s="136"/>
      <c r="OVD1" s="136"/>
      <c r="OVE1" s="136"/>
      <c r="OVF1" s="136"/>
      <c r="OVG1" s="136"/>
      <c r="OVH1" s="136"/>
      <c r="OVI1" s="136"/>
      <c r="OVJ1" s="136"/>
      <c r="OVK1" s="136"/>
      <c r="OVL1" s="136"/>
      <c r="OVM1" s="136"/>
      <c r="OVN1" s="136"/>
      <c r="OVO1" s="136"/>
      <c r="OVP1" s="136"/>
      <c r="OVQ1" s="136"/>
      <c r="OVR1" s="136"/>
      <c r="OVS1" s="136"/>
      <c r="OVT1" s="136"/>
      <c r="OVU1" s="136"/>
      <c r="OVV1" s="136"/>
      <c r="OVW1" s="136"/>
      <c r="OVX1" s="136"/>
      <c r="OVY1" s="136"/>
      <c r="OVZ1" s="136"/>
      <c r="OWA1" s="136"/>
      <c r="OWB1" s="136"/>
      <c r="OWC1" s="136"/>
      <c r="OWD1" s="136"/>
      <c r="OWE1" s="136"/>
      <c r="OWF1" s="136"/>
      <c r="OWG1" s="136"/>
      <c r="OWH1" s="136"/>
      <c r="OWI1" s="136"/>
      <c r="OWJ1" s="136"/>
      <c r="OWK1" s="136"/>
      <c r="OWL1" s="136"/>
      <c r="OWM1" s="136"/>
      <c r="OWN1" s="136"/>
      <c r="OWO1" s="136"/>
      <c r="OWP1" s="136"/>
      <c r="OWQ1" s="136"/>
      <c r="OWR1" s="136"/>
      <c r="OWS1" s="136"/>
      <c r="OWT1" s="136"/>
      <c r="OWU1" s="136"/>
      <c r="OWV1" s="136"/>
      <c r="OWW1" s="136"/>
      <c r="OWX1" s="136"/>
      <c r="OWY1" s="136"/>
      <c r="OWZ1" s="136"/>
      <c r="OXA1" s="136"/>
      <c r="OXB1" s="136"/>
      <c r="OXC1" s="136"/>
      <c r="OXD1" s="136"/>
      <c r="OXE1" s="136"/>
      <c r="OXF1" s="136"/>
      <c r="OXG1" s="136"/>
      <c r="OXH1" s="136"/>
      <c r="OXI1" s="136"/>
      <c r="OXJ1" s="136"/>
      <c r="OXK1" s="136"/>
      <c r="OXL1" s="136"/>
      <c r="OXM1" s="136"/>
      <c r="OXN1" s="136"/>
      <c r="OXO1" s="136"/>
      <c r="OXP1" s="136"/>
      <c r="OXQ1" s="136"/>
      <c r="OXR1" s="136"/>
      <c r="OXS1" s="136"/>
      <c r="OXT1" s="136"/>
      <c r="OXU1" s="136"/>
      <c r="OXV1" s="136"/>
      <c r="OXW1" s="136"/>
      <c r="OXX1" s="136"/>
      <c r="OXY1" s="136"/>
      <c r="OXZ1" s="136"/>
      <c r="OYA1" s="136"/>
      <c r="OYB1" s="136"/>
      <c r="OYC1" s="136"/>
      <c r="OYD1" s="136"/>
      <c r="OYE1" s="136"/>
      <c r="OYF1" s="136"/>
      <c r="OYG1" s="136"/>
      <c r="OYH1" s="136"/>
      <c r="OYI1" s="136"/>
      <c r="OYJ1" s="136"/>
      <c r="OYK1" s="136"/>
      <c r="OYL1" s="136"/>
      <c r="OYM1" s="136"/>
      <c r="OYN1" s="136"/>
      <c r="OYO1" s="136"/>
      <c r="OYP1" s="136"/>
      <c r="OYQ1" s="136"/>
      <c r="OYR1" s="136"/>
      <c r="OYS1" s="136"/>
      <c r="OYT1" s="136"/>
      <c r="OYU1" s="136"/>
      <c r="OYV1" s="136"/>
      <c r="OYW1" s="136"/>
      <c r="OYX1" s="136"/>
      <c r="OYY1" s="136"/>
      <c r="OYZ1" s="136"/>
      <c r="OZA1" s="136"/>
      <c r="OZB1" s="136"/>
      <c r="OZC1" s="136"/>
      <c r="OZD1" s="136"/>
      <c r="OZE1" s="136"/>
      <c r="OZF1" s="136"/>
      <c r="OZG1" s="136"/>
      <c r="OZH1" s="136"/>
      <c r="OZI1" s="136"/>
      <c r="OZJ1" s="136"/>
      <c r="OZK1" s="136"/>
      <c r="OZL1" s="136"/>
      <c r="OZM1" s="136"/>
      <c r="OZN1" s="136"/>
      <c r="OZO1" s="136"/>
      <c r="OZP1" s="136"/>
      <c r="OZQ1" s="136"/>
      <c r="OZR1" s="136"/>
      <c r="OZS1" s="136"/>
      <c r="OZT1" s="136"/>
      <c r="OZU1" s="136"/>
      <c r="OZV1" s="136"/>
      <c r="OZW1" s="136"/>
      <c r="OZX1" s="136"/>
      <c r="OZY1" s="136"/>
      <c r="OZZ1" s="136"/>
      <c r="PAA1" s="136"/>
      <c r="PAB1" s="136"/>
      <c r="PAC1" s="136"/>
      <c r="PAD1" s="136"/>
      <c r="PAE1" s="136"/>
      <c r="PAF1" s="136"/>
      <c r="PAG1" s="136"/>
      <c r="PAH1" s="136"/>
      <c r="PAI1" s="136"/>
      <c r="PAJ1" s="136"/>
      <c r="PAK1" s="136"/>
      <c r="PAL1" s="136"/>
      <c r="PAM1" s="136"/>
      <c r="PAN1" s="136"/>
      <c r="PAO1" s="136"/>
      <c r="PAP1" s="136"/>
      <c r="PAQ1" s="136"/>
      <c r="PAR1" s="136"/>
      <c r="PAS1" s="136"/>
      <c r="PAT1" s="136"/>
      <c r="PAU1" s="136"/>
      <c r="PAV1" s="136"/>
      <c r="PAW1" s="136"/>
      <c r="PAX1" s="136"/>
      <c r="PAY1" s="136"/>
      <c r="PAZ1" s="136"/>
      <c r="PBA1" s="136"/>
      <c r="PBB1" s="136"/>
      <c r="PBC1" s="136"/>
      <c r="PBD1" s="136"/>
      <c r="PBE1" s="136"/>
      <c r="PBF1" s="136"/>
      <c r="PBG1" s="136"/>
      <c r="PBH1" s="136"/>
      <c r="PBI1" s="136"/>
      <c r="PBJ1" s="136"/>
      <c r="PBK1" s="136"/>
      <c r="PBL1" s="136"/>
      <c r="PBM1" s="136"/>
      <c r="PBN1" s="136"/>
      <c r="PBO1" s="136"/>
      <c r="PBP1" s="136"/>
      <c r="PBQ1" s="136"/>
      <c r="PBR1" s="136"/>
      <c r="PBS1" s="136"/>
      <c r="PBT1" s="136"/>
      <c r="PBU1" s="136"/>
      <c r="PBV1" s="136"/>
      <c r="PBW1" s="136"/>
      <c r="PBX1" s="136"/>
      <c r="PBY1" s="136"/>
      <c r="PBZ1" s="136"/>
      <c r="PCA1" s="136"/>
      <c r="PCB1" s="136"/>
      <c r="PCC1" s="136"/>
      <c r="PCD1" s="136"/>
      <c r="PCE1" s="136"/>
      <c r="PCF1" s="136"/>
      <c r="PCG1" s="136"/>
      <c r="PCH1" s="136"/>
      <c r="PCI1" s="136"/>
      <c r="PCJ1" s="136"/>
      <c r="PCK1" s="136"/>
      <c r="PCL1" s="136"/>
      <c r="PCM1" s="136"/>
      <c r="PCN1" s="136"/>
      <c r="PCO1" s="136"/>
      <c r="PCP1" s="136"/>
      <c r="PCQ1" s="136"/>
      <c r="PCR1" s="136"/>
      <c r="PCS1" s="136"/>
      <c r="PCT1" s="136"/>
      <c r="PCU1" s="136"/>
      <c r="PCV1" s="136"/>
      <c r="PCW1" s="136"/>
      <c r="PCX1" s="136"/>
      <c r="PCY1" s="136"/>
      <c r="PCZ1" s="136"/>
      <c r="PDA1" s="136"/>
      <c r="PDB1" s="136"/>
      <c r="PDC1" s="136"/>
      <c r="PDD1" s="136"/>
      <c r="PDE1" s="136"/>
      <c r="PDF1" s="136"/>
      <c r="PDG1" s="136"/>
      <c r="PDH1" s="136"/>
      <c r="PDI1" s="136"/>
      <c r="PDJ1" s="136"/>
      <c r="PDK1" s="136"/>
      <c r="PDL1" s="136"/>
      <c r="PDM1" s="136"/>
      <c r="PDN1" s="136"/>
      <c r="PDO1" s="136"/>
      <c r="PDP1" s="136"/>
      <c r="PDQ1" s="136"/>
      <c r="PDR1" s="136"/>
      <c r="PDS1" s="136"/>
      <c r="PDT1" s="136"/>
      <c r="PDU1" s="136"/>
      <c r="PDV1" s="136"/>
      <c r="PDW1" s="136"/>
      <c r="PDX1" s="136"/>
      <c r="PDY1" s="136"/>
      <c r="PDZ1" s="136"/>
      <c r="PEA1" s="136"/>
      <c r="PEB1" s="136"/>
      <c r="PEC1" s="136"/>
      <c r="PED1" s="136"/>
      <c r="PEE1" s="136"/>
      <c r="PEF1" s="136"/>
      <c r="PEG1" s="136"/>
      <c r="PEH1" s="136"/>
      <c r="PEI1" s="136"/>
      <c r="PEJ1" s="136"/>
      <c r="PEK1" s="136"/>
      <c r="PEL1" s="136"/>
      <c r="PEM1" s="136"/>
      <c r="PEN1" s="136"/>
      <c r="PEO1" s="136"/>
      <c r="PEP1" s="136"/>
      <c r="PEQ1" s="136"/>
      <c r="PER1" s="136"/>
      <c r="PES1" s="136"/>
      <c r="PET1" s="136"/>
      <c r="PEU1" s="136"/>
      <c r="PEV1" s="136"/>
      <c r="PEW1" s="136"/>
      <c r="PEX1" s="136"/>
      <c r="PEY1" s="136"/>
      <c r="PEZ1" s="136"/>
      <c r="PFA1" s="136"/>
      <c r="PFB1" s="136"/>
      <c r="PFC1" s="136"/>
      <c r="PFD1" s="136"/>
      <c r="PFE1" s="136"/>
      <c r="PFF1" s="136"/>
      <c r="PFG1" s="136"/>
      <c r="PFH1" s="136"/>
      <c r="PFI1" s="136"/>
      <c r="PFJ1" s="136"/>
      <c r="PFK1" s="136"/>
      <c r="PFL1" s="136"/>
      <c r="PFM1" s="136"/>
      <c r="PFN1" s="136"/>
      <c r="PFO1" s="136"/>
      <c r="PFP1" s="136"/>
      <c r="PFQ1" s="136"/>
      <c r="PFR1" s="136"/>
      <c r="PFS1" s="136"/>
      <c r="PFT1" s="136"/>
      <c r="PFU1" s="136"/>
      <c r="PFV1" s="136"/>
      <c r="PFW1" s="136"/>
      <c r="PFX1" s="136"/>
      <c r="PFY1" s="136"/>
      <c r="PFZ1" s="136"/>
      <c r="PGA1" s="136"/>
      <c r="PGB1" s="136"/>
      <c r="PGC1" s="136"/>
      <c r="PGD1" s="136"/>
      <c r="PGE1" s="136"/>
      <c r="PGF1" s="136"/>
      <c r="PGG1" s="136"/>
      <c r="PGH1" s="136"/>
      <c r="PGI1" s="136"/>
      <c r="PGJ1" s="136"/>
      <c r="PGK1" s="136"/>
      <c r="PGL1" s="136"/>
      <c r="PGM1" s="136"/>
      <c r="PGN1" s="136"/>
      <c r="PGO1" s="136"/>
      <c r="PGP1" s="136"/>
      <c r="PGQ1" s="136"/>
      <c r="PGR1" s="136"/>
      <c r="PGS1" s="136"/>
      <c r="PGT1" s="136"/>
      <c r="PGU1" s="136"/>
      <c r="PGV1" s="136"/>
      <c r="PGW1" s="136"/>
      <c r="PGX1" s="136"/>
      <c r="PGY1" s="136"/>
      <c r="PGZ1" s="136"/>
      <c r="PHA1" s="136"/>
      <c r="PHB1" s="136"/>
      <c r="PHC1" s="136"/>
      <c r="PHD1" s="136"/>
      <c r="PHE1" s="136"/>
      <c r="PHF1" s="136"/>
      <c r="PHG1" s="136"/>
      <c r="PHH1" s="136"/>
      <c r="PHI1" s="136"/>
      <c r="PHJ1" s="136"/>
      <c r="PHK1" s="136"/>
      <c r="PHL1" s="136"/>
      <c r="PHM1" s="136"/>
      <c r="PHN1" s="136"/>
      <c r="PHO1" s="136"/>
      <c r="PHP1" s="136"/>
      <c r="PHQ1" s="136"/>
      <c r="PHR1" s="136"/>
      <c r="PHS1" s="136"/>
      <c r="PHT1" s="136"/>
      <c r="PHU1" s="136"/>
      <c r="PHV1" s="136"/>
      <c r="PHW1" s="136"/>
      <c r="PHX1" s="136"/>
      <c r="PHY1" s="136"/>
      <c r="PHZ1" s="136"/>
      <c r="PIA1" s="136"/>
      <c r="PIB1" s="136"/>
      <c r="PIC1" s="136"/>
      <c r="PID1" s="136"/>
      <c r="PIE1" s="136"/>
      <c r="PIF1" s="136"/>
      <c r="PIG1" s="136"/>
      <c r="PIH1" s="136"/>
      <c r="PII1" s="136"/>
      <c r="PIJ1" s="136"/>
      <c r="PIK1" s="136"/>
      <c r="PIL1" s="136"/>
      <c r="PIM1" s="136"/>
      <c r="PIN1" s="136"/>
      <c r="PIO1" s="136"/>
      <c r="PIP1" s="136"/>
      <c r="PIQ1" s="136"/>
      <c r="PIR1" s="136"/>
      <c r="PIS1" s="136"/>
      <c r="PIT1" s="136"/>
      <c r="PIU1" s="136"/>
      <c r="PIV1" s="136"/>
      <c r="PIW1" s="136"/>
      <c r="PIX1" s="136"/>
      <c r="PIY1" s="136"/>
      <c r="PIZ1" s="136"/>
      <c r="PJA1" s="136"/>
      <c r="PJB1" s="136"/>
      <c r="PJC1" s="136"/>
      <c r="PJD1" s="136"/>
      <c r="PJE1" s="136"/>
      <c r="PJF1" s="136"/>
      <c r="PJG1" s="136"/>
      <c r="PJH1" s="136"/>
      <c r="PJI1" s="136"/>
      <c r="PJJ1" s="136"/>
      <c r="PJK1" s="136"/>
      <c r="PJL1" s="136"/>
      <c r="PJM1" s="136"/>
      <c r="PJN1" s="136"/>
      <c r="PJO1" s="136"/>
      <c r="PJP1" s="136"/>
      <c r="PJQ1" s="136"/>
      <c r="PJR1" s="136"/>
      <c r="PJS1" s="136"/>
      <c r="PJT1" s="136"/>
      <c r="PJU1" s="136"/>
      <c r="PJV1" s="136"/>
      <c r="PJW1" s="136"/>
      <c r="PJX1" s="136"/>
      <c r="PJY1" s="136"/>
      <c r="PJZ1" s="136"/>
      <c r="PKA1" s="136"/>
      <c r="PKB1" s="136"/>
      <c r="PKC1" s="136"/>
      <c r="PKD1" s="136"/>
      <c r="PKE1" s="136"/>
      <c r="PKF1" s="136"/>
      <c r="PKG1" s="136"/>
      <c r="PKH1" s="136"/>
      <c r="PKI1" s="136"/>
      <c r="PKJ1" s="136"/>
      <c r="PKK1" s="136"/>
      <c r="PKL1" s="136"/>
      <c r="PKM1" s="136"/>
      <c r="PKN1" s="136"/>
      <c r="PKO1" s="136"/>
      <c r="PKP1" s="136"/>
      <c r="PKQ1" s="136"/>
      <c r="PKR1" s="136"/>
      <c r="PKS1" s="136"/>
      <c r="PKT1" s="136"/>
      <c r="PKU1" s="136"/>
      <c r="PKV1" s="136"/>
      <c r="PKW1" s="136"/>
      <c r="PKX1" s="136"/>
      <c r="PKY1" s="136"/>
      <c r="PKZ1" s="136"/>
      <c r="PLA1" s="136"/>
      <c r="PLB1" s="136"/>
      <c r="PLC1" s="136"/>
      <c r="PLD1" s="136"/>
      <c r="PLE1" s="136"/>
      <c r="PLF1" s="136"/>
      <c r="PLG1" s="136"/>
      <c r="PLH1" s="136"/>
      <c r="PLI1" s="136"/>
      <c r="PLJ1" s="136"/>
      <c r="PLK1" s="136"/>
      <c r="PLL1" s="136"/>
      <c r="PLM1" s="136"/>
      <c r="PLN1" s="136"/>
      <c r="PLO1" s="136"/>
      <c r="PLP1" s="136"/>
      <c r="PLQ1" s="136"/>
      <c r="PLR1" s="136"/>
      <c r="PLS1" s="136"/>
      <c r="PLT1" s="136"/>
      <c r="PLU1" s="136"/>
      <c r="PLV1" s="136"/>
      <c r="PLW1" s="136"/>
      <c r="PLX1" s="136"/>
      <c r="PLY1" s="136"/>
      <c r="PLZ1" s="136"/>
      <c r="PMA1" s="136"/>
      <c r="PMB1" s="136"/>
      <c r="PMC1" s="136"/>
      <c r="PMD1" s="136"/>
      <c r="PME1" s="136"/>
      <c r="PMF1" s="136"/>
      <c r="PMG1" s="136"/>
      <c r="PMH1" s="136"/>
      <c r="PMI1" s="136"/>
      <c r="PMJ1" s="136"/>
      <c r="PMK1" s="136"/>
      <c r="PML1" s="136"/>
      <c r="PMM1" s="136"/>
      <c r="PMN1" s="136"/>
      <c r="PMO1" s="136"/>
      <c r="PMP1" s="136"/>
      <c r="PMQ1" s="136"/>
      <c r="PMR1" s="136"/>
      <c r="PMS1" s="136"/>
      <c r="PMT1" s="136"/>
      <c r="PMU1" s="136"/>
      <c r="PMV1" s="136"/>
      <c r="PMW1" s="136"/>
      <c r="PMX1" s="136"/>
      <c r="PMY1" s="136"/>
      <c r="PMZ1" s="136"/>
      <c r="PNA1" s="136"/>
      <c r="PNB1" s="136"/>
      <c r="PNC1" s="136"/>
      <c r="PND1" s="136"/>
      <c r="PNE1" s="136"/>
      <c r="PNF1" s="136"/>
      <c r="PNG1" s="136"/>
      <c r="PNH1" s="136"/>
      <c r="PNI1" s="136"/>
      <c r="PNJ1" s="136"/>
      <c r="PNK1" s="136"/>
      <c r="PNL1" s="136"/>
      <c r="PNM1" s="136"/>
      <c r="PNN1" s="136"/>
      <c r="PNO1" s="136"/>
      <c r="PNP1" s="136"/>
      <c r="PNQ1" s="136"/>
      <c r="PNR1" s="136"/>
      <c r="PNS1" s="136"/>
      <c r="PNT1" s="136"/>
      <c r="PNU1" s="136"/>
      <c r="PNV1" s="136"/>
      <c r="PNW1" s="136"/>
      <c r="PNX1" s="136"/>
      <c r="PNY1" s="136"/>
      <c r="PNZ1" s="136"/>
      <c r="POA1" s="136"/>
      <c r="POB1" s="136"/>
      <c r="POC1" s="136"/>
      <c r="POD1" s="136"/>
      <c r="POE1" s="136"/>
      <c r="POF1" s="136"/>
      <c r="POG1" s="136"/>
      <c r="POH1" s="136"/>
      <c r="POI1" s="136"/>
      <c r="POJ1" s="136"/>
      <c r="POK1" s="136"/>
      <c r="POL1" s="136"/>
      <c r="POM1" s="136"/>
      <c r="PON1" s="136"/>
      <c r="POO1" s="136"/>
      <c r="POP1" s="136"/>
      <c r="POQ1" s="136"/>
      <c r="POR1" s="136"/>
      <c r="POS1" s="136"/>
      <c r="POT1" s="136"/>
      <c r="POU1" s="136"/>
      <c r="POV1" s="136"/>
      <c r="POW1" s="136"/>
      <c r="POX1" s="136"/>
      <c r="POY1" s="136"/>
      <c r="POZ1" s="136"/>
      <c r="PPA1" s="136"/>
      <c r="PPB1" s="136"/>
      <c r="PPC1" s="136"/>
      <c r="PPD1" s="136"/>
      <c r="PPE1" s="136"/>
      <c r="PPF1" s="136"/>
      <c r="PPG1" s="136"/>
      <c r="PPH1" s="136"/>
      <c r="PPI1" s="136"/>
      <c r="PPJ1" s="136"/>
      <c r="PPK1" s="136"/>
      <c r="PPL1" s="136"/>
      <c r="PPM1" s="136"/>
      <c r="PPN1" s="136"/>
      <c r="PPO1" s="136"/>
      <c r="PPP1" s="136"/>
      <c r="PPQ1" s="136"/>
      <c r="PPR1" s="136"/>
      <c r="PPS1" s="136"/>
      <c r="PPT1" s="136"/>
      <c r="PPU1" s="136"/>
      <c r="PPV1" s="136"/>
      <c r="PPW1" s="136"/>
      <c r="PPX1" s="136"/>
      <c r="PPY1" s="136"/>
      <c r="PPZ1" s="136"/>
      <c r="PQA1" s="136"/>
      <c r="PQB1" s="136"/>
      <c r="PQC1" s="136"/>
      <c r="PQD1" s="136"/>
      <c r="PQE1" s="136"/>
      <c r="PQF1" s="136"/>
      <c r="PQG1" s="136"/>
      <c r="PQH1" s="136"/>
      <c r="PQI1" s="136"/>
      <c r="PQJ1" s="136"/>
      <c r="PQK1" s="136"/>
      <c r="PQL1" s="136"/>
      <c r="PQM1" s="136"/>
      <c r="PQN1" s="136"/>
      <c r="PQO1" s="136"/>
      <c r="PQP1" s="136"/>
      <c r="PQQ1" s="136"/>
      <c r="PQR1" s="136"/>
      <c r="PQS1" s="136"/>
      <c r="PQT1" s="136"/>
      <c r="PQU1" s="136"/>
      <c r="PQV1" s="136"/>
      <c r="PQW1" s="136"/>
      <c r="PQX1" s="136"/>
      <c r="PQY1" s="136"/>
      <c r="PQZ1" s="136"/>
      <c r="PRA1" s="136"/>
      <c r="PRB1" s="136"/>
      <c r="PRC1" s="136"/>
      <c r="PRD1" s="136"/>
      <c r="PRE1" s="136"/>
      <c r="PRF1" s="136"/>
      <c r="PRG1" s="136"/>
      <c r="PRH1" s="136"/>
      <c r="PRI1" s="136"/>
      <c r="PRJ1" s="136"/>
      <c r="PRK1" s="136"/>
      <c r="PRL1" s="136"/>
      <c r="PRM1" s="136"/>
      <c r="PRN1" s="136"/>
      <c r="PRO1" s="136"/>
      <c r="PRP1" s="136"/>
      <c r="PRQ1" s="136"/>
      <c r="PRR1" s="136"/>
      <c r="PRS1" s="136"/>
      <c r="PRT1" s="136"/>
      <c r="PRU1" s="136"/>
      <c r="PRV1" s="136"/>
      <c r="PRW1" s="136"/>
      <c r="PRX1" s="136"/>
      <c r="PRY1" s="136"/>
      <c r="PRZ1" s="136"/>
      <c r="PSA1" s="136"/>
      <c r="PSB1" s="136"/>
      <c r="PSC1" s="136"/>
      <c r="PSD1" s="136"/>
      <c r="PSE1" s="136"/>
      <c r="PSF1" s="136"/>
      <c r="PSG1" s="136"/>
      <c r="PSH1" s="136"/>
      <c r="PSI1" s="136"/>
      <c r="PSJ1" s="136"/>
      <c r="PSK1" s="136"/>
      <c r="PSL1" s="136"/>
      <c r="PSM1" s="136"/>
      <c r="PSN1" s="136"/>
      <c r="PSO1" s="136"/>
      <c r="PSP1" s="136"/>
      <c r="PSQ1" s="136"/>
      <c r="PSR1" s="136"/>
      <c r="PSS1" s="136"/>
      <c r="PST1" s="136"/>
      <c r="PSU1" s="136"/>
      <c r="PSV1" s="136"/>
      <c r="PSW1" s="136"/>
      <c r="PSX1" s="136"/>
      <c r="PSY1" s="136"/>
      <c r="PSZ1" s="136"/>
      <c r="PTA1" s="136"/>
      <c r="PTB1" s="136"/>
      <c r="PTC1" s="136"/>
      <c r="PTD1" s="136"/>
      <c r="PTE1" s="136"/>
      <c r="PTF1" s="136"/>
      <c r="PTG1" s="136"/>
      <c r="PTH1" s="136"/>
      <c r="PTI1" s="136"/>
      <c r="PTJ1" s="136"/>
      <c r="PTK1" s="136"/>
      <c r="PTL1" s="136"/>
      <c r="PTM1" s="136"/>
      <c r="PTN1" s="136"/>
      <c r="PTO1" s="136"/>
      <c r="PTP1" s="136"/>
      <c r="PTQ1" s="136"/>
      <c r="PTR1" s="136"/>
      <c r="PTS1" s="136"/>
      <c r="PTT1" s="136"/>
      <c r="PTU1" s="136"/>
      <c r="PTV1" s="136"/>
      <c r="PTW1" s="136"/>
      <c r="PTX1" s="136"/>
      <c r="PTY1" s="136"/>
      <c r="PTZ1" s="136"/>
      <c r="PUA1" s="136"/>
      <c r="PUB1" s="136"/>
      <c r="PUC1" s="136"/>
      <c r="PUD1" s="136"/>
      <c r="PUE1" s="136"/>
      <c r="PUF1" s="136"/>
      <c r="PUG1" s="136"/>
      <c r="PUH1" s="136"/>
      <c r="PUI1" s="136"/>
      <c r="PUJ1" s="136"/>
      <c r="PUK1" s="136"/>
      <c r="PUL1" s="136"/>
      <c r="PUM1" s="136"/>
      <c r="PUN1" s="136"/>
      <c r="PUO1" s="136"/>
      <c r="PUP1" s="136"/>
      <c r="PUQ1" s="136"/>
      <c r="PUR1" s="136"/>
      <c r="PUS1" s="136"/>
      <c r="PUT1" s="136"/>
      <c r="PUU1" s="136"/>
      <c r="PUV1" s="136"/>
      <c r="PUW1" s="136"/>
      <c r="PUX1" s="136"/>
      <c r="PUY1" s="136"/>
      <c r="PUZ1" s="136"/>
      <c r="PVA1" s="136"/>
      <c r="PVB1" s="136"/>
      <c r="PVC1" s="136"/>
      <c r="PVD1" s="136"/>
      <c r="PVE1" s="136"/>
      <c r="PVF1" s="136"/>
      <c r="PVG1" s="136"/>
      <c r="PVH1" s="136"/>
      <c r="PVI1" s="136"/>
      <c r="PVJ1" s="136"/>
      <c r="PVK1" s="136"/>
      <c r="PVL1" s="136"/>
      <c r="PVM1" s="136"/>
      <c r="PVN1" s="136"/>
      <c r="PVO1" s="136"/>
      <c r="PVP1" s="136"/>
      <c r="PVQ1" s="136"/>
      <c r="PVR1" s="136"/>
      <c r="PVS1" s="136"/>
      <c r="PVT1" s="136"/>
      <c r="PVU1" s="136"/>
      <c r="PVV1" s="136"/>
      <c r="PVW1" s="136"/>
      <c r="PVX1" s="136"/>
      <c r="PVY1" s="136"/>
      <c r="PVZ1" s="136"/>
      <c r="PWA1" s="136"/>
      <c r="PWB1" s="136"/>
      <c r="PWC1" s="136"/>
      <c r="PWD1" s="136"/>
      <c r="PWE1" s="136"/>
      <c r="PWF1" s="136"/>
      <c r="PWG1" s="136"/>
      <c r="PWH1" s="136"/>
      <c r="PWI1" s="136"/>
      <c r="PWJ1" s="136"/>
      <c r="PWK1" s="136"/>
      <c r="PWL1" s="136"/>
      <c r="PWM1" s="136"/>
      <c r="PWN1" s="136"/>
      <c r="PWO1" s="136"/>
      <c r="PWP1" s="136"/>
      <c r="PWQ1" s="136"/>
      <c r="PWR1" s="136"/>
      <c r="PWS1" s="136"/>
      <c r="PWT1" s="136"/>
      <c r="PWU1" s="136"/>
      <c r="PWV1" s="136"/>
      <c r="PWW1" s="136"/>
      <c r="PWX1" s="136"/>
      <c r="PWY1" s="136"/>
      <c r="PWZ1" s="136"/>
      <c r="PXA1" s="136"/>
      <c r="PXB1" s="136"/>
      <c r="PXC1" s="136"/>
      <c r="PXD1" s="136"/>
      <c r="PXE1" s="136"/>
      <c r="PXF1" s="136"/>
      <c r="PXG1" s="136"/>
      <c r="PXH1" s="136"/>
      <c r="PXI1" s="136"/>
      <c r="PXJ1" s="136"/>
      <c r="PXK1" s="136"/>
      <c r="PXL1" s="136"/>
      <c r="PXM1" s="136"/>
      <c r="PXN1" s="136"/>
      <c r="PXO1" s="136"/>
      <c r="PXP1" s="136"/>
      <c r="PXQ1" s="136"/>
      <c r="PXR1" s="136"/>
      <c r="PXS1" s="136"/>
      <c r="PXT1" s="136"/>
      <c r="PXU1" s="136"/>
      <c r="PXV1" s="136"/>
      <c r="PXW1" s="136"/>
      <c r="PXX1" s="136"/>
      <c r="PXY1" s="136"/>
      <c r="PXZ1" s="136"/>
      <c r="PYA1" s="136"/>
      <c r="PYB1" s="136"/>
      <c r="PYC1" s="136"/>
      <c r="PYD1" s="136"/>
      <c r="PYE1" s="136"/>
      <c r="PYF1" s="136"/>
      <c r="PYG1" s="136"/>
      <c r="PYH1" s="136"/>
      <c r="PYI1" s="136"/>
      <c r="PYJ1" s="136"/>
      <c r="PYK1" s="136"/>
      <c r="PYL1" s="136"/>
      <c r="PYM1" s="136"/>
      <c r="PYN1" s="136"/>
      <c r="PYO1" s="136"/>
      <c r="PYP1" s="136"/>
      <c r="PYQ1" s="136"/>
      <c r="PYR1" s="136"/>
      <c r="PYS1" s="136"/>
      <c r="PYT1" s="136"/>
      <c r="PYU1" s="136"/>
      <c r="PYV1" s="136"/>
      <c r="PYW1" s="136"/>
      <c r="PYX1" s="136"/>
      <c r="PYY1" s="136"/>
      <c r="PYZ1" s="136"/>
      <c r="PZA1" s="136"/>
      <c r="PZB1" s="136"/>
      <c r="PZC1" s="136"/>
      <c r="PZD1" s="136"/>
      <c r="PZE1" s="136"/>
      <c r="PZF1" s="136"/>
      <c r="PZG1" s="136"/>
      <c r="PZH1" s="136"/>
      <c r="PZI1" s="136"/>
      <c r="PZJ1" s="136"/>
      <c r="PZK1" s="136"/>
      <c r="PZL1" s="136"/>
      <c r="PZM1" s="136"/>
      <c r="PZN1" s="136"/>
      <c r="PZO1" s="136"/>
      <c r="PZP1" s="136"/>
      <c r="PZQ1" s="136"/>
      <c r="PZR1" s="136"/>
      <c r="PZS1" s="136"/>
      <c r="PZT1" s="136"/>
      <c r="PZU1" s="136"/>
      <c r="PZV1" s="136"/>
      <c r="PZW1" s="136"/>
      <c r="PZX1" s="136"/>
      <c r="PZY1" s="136"/>
      <c r="PZZ1" s="136"/>
      <c r="QAA1" s="136"/>
      <c r="QAB1" s="136"/>
      <c r="QAC1" s="136"/>
      <c r="QAD1" s="136"/>
      <c r="QAE1" s="136"/>
      <c r="QAF1" s="136"/>
      <c r="QAG1" s="136"/>
      <c r="QAH1" s="136"/>
      <c r="QAI1" s="136"/>
      <c r="QAJ1" s="136"/>
      <c r="QAK1" s="136"/>
      <c r="QAL1" s="136"/>
      <c r="QAM1" s="136"/>
      <c r="QAN1" s="136"/>
      <c r="QAO1" s="136"/>
      <c r="QAP1" s="136"/>
      <c r="QAQ1" s="136"/>
      <c r="QAR1" s="136"/>
      <c r="QAS1" s="136"/>
      <c r="QAT1" s="136"/>
      <c r="QAU1" s="136"/>
      <c r="QAV1" s="136"/>
      <c r="QAW1" s="136"/>
      <c r="QAX1" s="136"/>
      <c r="QAY1" s="136"/>
      <c r="QAZ1" s="136"/>
      <c r="QBA1" s="136"/>
      <c r="QBB1" s="136"/>
      <c r="QBC1" s="136"/>
      <c r="QBD1" s="136"/>
      <c r="QBE1" s="136"/>
      <c r="QBF1" s="136"/>
      <c r="QBG1" s="136"/>
      <c r="QBH1" s="136"/>
      <c r="QBI1" s="136"/>
      <c r="QBJ1" s="136"/>
      <c r="QBK1" s="136"/>
      <c r="QBL1" s="136"/>
      <c r="QBM1" s="136"/>
      <c r="QBN1" s="136"/>
      <c r="QBO1" s="136"/>
      <c r="QBP1" s="136"/>
      <c r="QBQ1" s="136"/>
      <c r="QBR1" s="136"/>
      <c r="QBS1" s="136"/>
      <c r="QBT1" s="136"/>
      <c r="QBU1" s="136"/>
      <c r="QBV1" s="136"/>
      <c r="QBW1" s="136"/>
      <c r="QBX1" s="136"/>
      <c r="QBY1" s="136"/>
      <c r="QBZ1" s="136"/>
      <c r="QCA1" s="136"/>
      <c r="QCB1" s="136"/>
      <c r="QCC1" s="136"/>
      <c r="QCD1" s="136"/>
      <c r="QCE1" s="136"/>
      <c r="QCF1" s="136"/>
      <c r="QCG1" s="136"/>
      <c r="QCH1" s="136"/>
      <c r="QCI1" s="136"/>
      <c r="QCJ1" s="136"/>
      <c r="QCK1" s="136"/>
      <c r="QCL1" s="136"/>
      <c r="QCM1" s="136"/>
      <c r="QCN1" s="136"/>
      <c r="QCO1" s="136"/>
      <c r="QCP1" s="136"/>
      <c r="QCQ1" s="136"/>
      <c r="QCR1" s="136"/>
      <c r="QCS1" s="136"/>
      <c r="QCT1" s="136"/>
      <c r="QCU1" s="136"/>
      <c r="QCV1" s="136"/>
      <c r="QCW1" s="136"/>
      <c r="QCX1" s="136"/>
      <c r="QCY1" s="136"/>
      <c r="QCZ1" s="136"/>
      <c r="QDA1" s="136"/>
      <c r="QDB1" s="136"/>
      <c r="QDC1" s="136"/>
      <c r="QDD1" s="136"/>
      <c r="QDE1" s="136"/>
      <c r="QDF1" s="136"/>
      <c r="QDG1" s="136"/>
      <c r="QDH1" s="136"/>
      <c r="QDI1" s="136"/>
      <c r="QDJ1" s="136"/>
      <c r="QDK1" s="136"/>
      <c r="QDL1" s="136"/>
      <c r="QDM1" s="136"/>
      <c r="QDN1" s="136"/>
      <c r="QDO1" s="136"/>
      <c r="QDP1" s="136"/>
      <c r="QDQ1" s="136"/>
      <c r="QDR1" s="136"/>
      <c r="QDS1" s="136"/>
      <c r="QDT1" s="136"/>
      <c r="QDU1" s="136"/>
      <c r="QDV1" s="136"/>
      <c r="QDW1" s="136"/>
      <c r="QDX1" s="136"/>
      <c r="QDY1" s="136"/>
      <c r="QDZ1" s="136"/>
      <c r="QEA1" s="136"/>
      <c r="QEB1" s="136"/>
      <c r="QEC1" s="136"/>
      <c r="QED1" s="136"/>
      <c r="QEE1" s="136"/>
      <c r="QEF1" s="136"/>
      <c r="QEG1" s="136"/>
      <c r="QEH1" s="136"/>
      <c r="QEI1" s="136"/>
      <c r="QEJ1" s="136"/>
      <c r="QEK1" s="136"/>
      <c r="QEL1" s="136"/>
      <c r="QEM1" s="136"/>
      <c r="QEN1" s="136"/>
      <c r="QEO1" s="136"/>
      <c r="QEP1" s="136"/>
      <c r="QEQ1" s="136"/>
      <c r="QER1" s="136"/>
      <c r="QES1" s="136"/>
      <c r="QET1" s="136"/>
      <c r="QEU1" s="136"/>
      <c r="QEV1" s="136"/>
      <c r="QEW1" s="136"/>
      <c r="QEX1" s="136"/>
      <c r="QEY1" s="136"/>
      <c r="QEZ1" s="136"/>
      <c r="QFA1" s="136"/>
      <c r="QFB1" s="136"/>
      <c r="QFC1" s="136"/>
      <c r="QFD1" s="136"/>
      <c r="QFE1" s="136"/>
      <c r="QFF1" s="136"/>
      <c r="QFG1" s="136"/>
      <c r="QFH1" s="136"/>
      <c r="QFI1" s="136"/>
      <c r="QFJ1" s="136"/>
      <c r="QFK1" s="136"/>
      <c r="QFL1" s="136"/>
      <c r="QFM1" s="136"/>
      <c r="QFN1" s="136"/>
      <c r="QFO1" s="136"/>
      <c r="QFP1" s="136"/>
      <c r="QFQ1" s="136"/>
      <c r="QFR1" s="136"/>
      <c r="QFS1" s="136"/>
      <c r="QFT1" s="136"/>
      <c r="QFU1" s="136"/>
      <c r="QFV1" s="136"/>
      <c r="QFW1" s="136"/>
      <c r="QFX1" s="136"/>
      <c r="QFY1" s="136"/>
      <c r="QFZ1" s="136"/>
      <c r="QGA1" s="136"/>
      <c r="QGB1" s="136"/>
      <c r="QGC1" s="136"/>
      <c r="QGD1" s="136"/>
      <c r="QGE1" s="136"/>
      <c r="QGF1" s="136"/>
      <c r="QGG1" s="136"/>
      <c r="QGH1" s="136"/>
      <c r="QGI1" s="136"/>
      <c r="QGJ1" s="136"/>
      <c r="QGK1" s="136"/>
      <c r="QGL1" s="136"/>
      <c r="QGM1" s="136"/>
      <c r="QGN1" s="136"/>
      <c r="QGO1" s="136"/>
      <c r="QGP1" s="136"/>
      <c r="QGQ1" s="136"/>
      <c r="QGR1" s="136"/>
      <c r="QGS1" s="136"/>
      <c r="QGT1" s="136"/>
      <c r="QGU1" s="136"/>
      <c r="QGV1" s="136"/>
      <c r="QGW1" s="136"/>
      <c r="QGX1" s="136"/>
      <c r="QGY1" s="136"/>
      <c r="QGZ1" s="136"/>
      <c r="QHA1" s="136"/>
      <c r="QHB1" s="136"/>
      <c r="QHC1" s="136"/>
      <c r="QHD1" s="136"/>
      <c r="QHE1" s="136"/>
      <c r="QHF1" s="136"/>
      <c r="QHG1" s="136"/>
      <c r="QHH1" s="136"/>
      <c r="QHI1" s="136"/>
      <c r="QHJ1" s="136"/>
      <c r="QHK1" s="136"/>
      <c r="QHL1" s="136"/>
      <c r="QHM1" s="136"/>
      <c r="QHN1" s="136"/>
      <c r="QHO1" s="136"/>
      <c r="QHP1" s="136"/>
      <c r="QHQ1" s="136"/>
      <c r="QHR1" s="136"/>
      <c r="QHS1" s="136"/>
      <c r="QHT1" s="136"/>
      <c r="QHU1" s="136"/>
      <c r="QHV1" s="136"/>
      <c r="QHW1" s="136"/>
      <c r="QHX1" s="136"/>
      <c r="QHY1" s="136"/>
      <c r="QHZ1" s="136"/>
      <c r="QIA1" s="136"/>
      <c r="QIB1" s="136"/>
      <c r="QIC1" s="136"/>
      <c r="QID1" s="136"/>
      <c r="QIE1" s="136"/>
      <c r="QIF1" s="136"/>
      <c r="QIG1" s="136"/>
      <c r="QIH1" s="136"/>
      <c r="QII1" s="136"/>
      <c r="QIJ1" s="136"/>
      <c r="QIK1" s="136"/>
      <c r="QIL1" s="136"/>
      <c r="QIM1" s="136"/>
      <c r="QIN1" s="136"/>
      <c r="QIO1" s="136"/>
      <c r="QIP1" s="136"/>
      <c r="QIQ1" s="136"/>
      <c r="QIR1" s="136"/>
      <c r="QIS1" s="136"/>
      <c r="QIT1" s="136"/>
      <c r="QIU1" s="136"/>
      <c r="QIV1" s="136"/>
      <c r="QIW1" s="136"/>
      <c r="QIX1" s="136"/>
      <c r="QIY1" s="136"/>
      <c r="QIZ1" s="136"/>
      <c r="QJA1" s="136"/>
      <c r="QJB1" s="136"/>
      <c r="QJC1" s="136"/>
      <c r="QJD1" s="136"/>
      <c r="QJE1" s="136"/>
      <c r="QJF1" s="136"/>
      <c r="QJG1" s="136"/>
      <c r="QJH1" s="136"/>
      <c r="QJI1" s="136"/>
      <c r="QJJ1" s="136"/>
      <c r="QJK1" s="136"/>
      <c r="QJL1" s="136"/>
      <c r="QJM1" s="136"/>
      <c r="QJN1" s="136"/>
      <c r="QJO1" s="136"/>
      <c r="QJP1" s="136"/>
      <c r="QJQ1" s="136"/>
      <c r="QJR1" s="136"/>
      <c r="QJS1" s="136"/>
      <c r="QJT1" s="136"/>
      <c r="QJU1" s="136"/>
      <c r="QJV1" s="136"/>
      <c r="QJW1" s="136"/>
      <c r="QJX1" s="136"/>
      <c r="QJY1" s="136"/>
      <c r="QJZ1" s="136"/>
      <c r="QKA1" s="136"/>
      <c r="QKB1" s="136"/>
      <c r="QKC1" s="136"/>
      <c r="QKD1" s="136"/>
      <c r="QKE1" s="136"/>
      <c r="QKF1" s="136"/>
      <c r="QKG1" s="136"/>
      <c r="QKH1" s="136"/>
      <c r="QKI1" s="136"/>
      <c r="QKJ1" s="136"/>
      <c r="QKK1" s="136"/>
      <c r="QKL1" s="136"/>
      <c r="QKM1" s="136"/>
      <c r="QKN1" s="136"/>
      <c r="QKO1" s="136"/>
      <c r="QKP1" s="136"/>
      <c r="QKQ1" s="136"/>
      <c r="QKR1" s="136"/>
      <c r="QKS1" s="136"/>
      <c r="QKT1" s="136"/>
      <c r="QKU1" s="136"/>
      <c r="QKV1" s="136"/>
      <c r="QKW1" s="136"/>
      <c r="QKX1" s="136"/>
      <c r="QKY1" s="136"/>
      <c r="QKZ1" s="136"/>
      <c r="QLA1" s="136"/>
      <c r="QLB1" s="136"/>
      <c r="QLC1" s="136"/>
      <c r="QLD1" s="136"/>
      <c r="QLE1" s="136"/>
      <c r="QLF1" s="136"/>
      <c r="QLG1" s="136"/>
      <c r="QLH1" s="136"/>
      <c r="QLI1" s="136"/>
      <c r="QLJ1" s="136"/>
      <c r="QLK1" s="136"/>
      <c r="QLL1" s="136"/>
      <c r="QLM1" s="136"/>
      <c r="QLN1" s="136"/>
      <c r="QLO1" s="136"/>
      <c r="QLP1" s="136"/>
      <c r="QLQ1" s="136"/>
      <c r="QLR1" s="136"/>
      <c r="QLS1" s="136"/>
      <c r="QLT1" s="136"/>
      <c r="QLU1" s="136"/>
      <c r="QLV1" s="136"/>
      <c r="QLW1" s="136"/>
      <c r="QLX1" s="136"/>
      <c r="QLY1" s="136"/>
      <c r="QLZ1" s="136"/>
      <c r="QMA1" s="136"/>
      <c r="QMB1" s="136"/>
      <c r="QMC1" s="136"/>
      <c r="QMD1" s="136"/>
      <c r="QME1" s="136"/>
      <c r="QMF1" s="136"/>
      <c r="QMG1" s="136"/>
      <c r="QMH1" s="136"/>
      <c r="QMI1" s="136"/>
      <c r="QMJ1" s="136"/>
      <c r="QMK1" s="136"/>
      <c r="QML1" s="136"/>
      <c r="QMM1" s="136"/>
      <c r="QMN1" s="136"/>
      <c r="QMO1" s="136"/>
      <c r="QMP1" s="136"/>
      <c r="QMQ1" s="136"/>
      <c r="QMR1" s="136"/>
      <c r="QMS1" s="136"/>
      <c r="QMT1" s="136"/>
      <c r="QMU1" s="136"/>
      <c r="QMV1" s="136"/>
      <c r="QMW1" s="136"/>
      <c r="QMX1" s="136"/>
      <c r="QMY1" s="136"/>
      <c r="QMZ1" s="136"/>
      <c r="QNA1" s="136"/>
      <c r="QNB1" s="136"/>
      <c r="QNC1" s="136"/>
      <c r="QND1" s="136"/>
      <c r="QNE1" s="136"/>
      <c r="QNF1" s="136"/>
      <c r="QNG1" s="136"/>
      <c r="QNH1" s="136"/>
      <c r="QNI1" s="136"/>
      <c r="QNJ1" s="136"/>
      <c r="QNK1" s="136"/>
      <c r="QNL1" s="136"/>
      <c r="QNM1" s="136"/>
      <c r="QNN1" s="136"/>
      <c r="QNO1" s="136"/>
      <c r="QNP1" s="136"/>
      <c r="QNQ1" s="136"/>
      <c r="QNR1" s="136"/>
      <c r="QNS1" s="136"/>
      <c r="QNT1" s="136"/>
      <c r="QNU1" s="136"/>
      <c r="QNV1" s="136"/>
      <c r="QNW1" s="136"/>
      <c r="QNX1" s="136"/>
      <c r="QNY1" s="136"/>
      <c r="QNZ1" s="136"/>
      <c r="QOA1" s="136"/>
      <c r="QOB1" s="136"/>
      <c r="QOC1" s="136"/>
      <c r="QOD1" s="136"/>
      <c r="QOE1" s="136"/>
      <c r="QOF1" s="136"/>
      <c r="QOG1" s="136"/>
      <c r="QOH1" s="136"/>
      <c r="QOI1" s="136"/>
      <c r="QOJ1" s="136"/>
      <c r="QOK1" s="136"/>
      <c r="QOL1" s="136"/>
      <c r="QOM1" s="136"/>
      <c r="QON1" s="136"/>
      <c r="QOO1" s="136"/>
      <c r="QOP1" s="136"/>
      <c r="QOQ1" s="136"/>
      <c r="QOR1" s="136"/>
      <c r="QOS1" s="136"/>
      <c r="QOT1" s="136"/>
      <c r="QOU1" s="136"/>
      <c r="QOV1" s="136"/>
      <c r="QOW1" s="136"/>
      <c r="QOX1" s="136"/>
      <c r="QOY1" s="136"/>
      <c r="QOZ1" s="136"/>
      <c r="QPA1" s="136"/>
      <c r="QPB1" s="136"/>
      <c r="QPC1" s="136"/>
      <c r="QPD1" s="136"/>
      <c r="QPE1" s="136"/>
      <c r="QPF1" s="136"/>
      <c r="QPG1" s="136"/>
      <c r="QPH1" s="136"/>
      <c r="QPI1" s="136"/>
      <c r="QPJ1" s="136"/>
      <c r="QPK1" s="136"/>
      <c r="QPL1" s="136"/>
      <c r="QPM1" s="136"/>
      <c r="QPN1" s="136"/>
      <c r="QPO1" s="136"/>
      <c r="QPP1" s="136"/>
      <c r="QPQ1" s="136"/>
      <c r="QPR1" s="136"/>
      <c r="QPS1" s="136"/>
      <c r="QPT1" s="136"/>
      <c r="QPU1" s="136"/>
      <c r="QPV1" s="136"/>
      <c r="QPW1" s="136"/>
      <c r="QPX1" s="136"/>
      <c r="QPY1" s="136"/>
      <c r="QPZ1" s="136"/>
      <c r="QQA1" s="136"/>
      <c r="QQB1" s="136"/>
      <c r="QQC1" s="136"/>
      <c r="QQD1" s="136"/>
      <c r="QQE1" s="136"/>
      <c r="QQF1" s="136"/>
      <c r="QQG1" s="136"/>
      <c r="QQH1" s="136"/>
      <c r="QQI1" s="136"/>
      <c r="QQJ1" s="136"/>
      <c r="QQK1" s="136"/>
      <c r="QQL1" s="136"/>
      <c r="QQM1" s="136"/>
      <c r="QQN1" s="136"/>
      <c r="QQO1" s="136"/>
      <c r="QQP1" s="136"/>
      <c r="QQQ1" s="136"/>
      <c r="QQR1" s="136"/>
      <c r="QQS1" s="136"/>
      <c r="QQT1" s="136"/>
      <c r="QQU1" s="136"/>
      <c r="QQV1" s="136"/>
      <c r="QQW1" s="136"/>
      <c r="QQX1" s="136"/>
      <c r="QQY1" s="136"/>
      <c r="QQZ1" s="136"/>
      <c r="QRA1" s="136"/>
      <c r="QRB1" s="136"/>
      <c r="QRC1" s="136"/>
      <c r="QRD1" s="136"/>
      <c r="QRE1" s="136"/>
      <c r="QRF1" s="136"/>
      <c r="QRG1" s="136"/>
      <c r="QRH1" s="136"/>
      <c r="QRI1" s="136"/>
      <c r="QRJ1" s="136"/>
      <c r="QRK1" s="136"/>
      <c r="QRL1" s="136"/>
      <c r="QRM1" s="136"/>
      <c r="QRN1" s="136"/>
      <c r="QRO1" s="136"/>
      <c r="QRP1" s="136"/>
      <c r="QRQ1" s="136"/>
      <c r="QRR1" s="136"/>
      <c r="QRS1" s="136"/>
      <c r="QRT1" s="136"/>
      <c r="QRU1" s="136"/>
      <c r="QRV1" s="136"/>
      <c r="QRW1" s="136"/>
      <c r="QRX1" s="136"/>
      <c r="QRY1" s="136"/>
      <c r="QRZ1" s="136"/>
      <c r="QSA1" s="136"/>
      <c r="QSB1" s="136"/>
      <c r="QSC1" s="136"/>
      <c r="QSD1" s="136"/>
      <c r="QSE1" s="136"/>
      <c r="QSF1" s="136"/>
      <c r="QSG1" s="136"/>
      <c r="QSH1" s="136"/>
      <c r="QSI1" s="136"/>
      <c r="QSJ1" s="136"/>
      <c r="QSK1" s="136"/>
      <c r="QSL1" s="136"/>
      <c r="QSM1" s="136"/>
      <c r="QSN1" s="136"/>
      <c r="QSO1" s="136"/>
      <c r="QSP1" s="136"/>
      <c r="QSQ1" s="136"/>
      <c r="QSR1" s="136"/>
      <c r="QSS1" s="136"/>
      <c r="QST1" s="136"/>
      <c r="QSU1" s="136"/>
      <c r="QSV1" s="136"/>
      <c r="QSW1" s="136"/>
      <c r="QSX1" s="136"/>
      <c r="QSY1" s="136"/>
      <c r="QSZ1" s="136"/>
      <c r="QTA1" s="136"/>
      <c r="QTB1" s="136"/>
      <c r="QTC1" s="136"/>
      <c r="QTD1" s="136"/>
      <c r="QTE1" s="136"/>
      <c r="QTF1" s="136"/>
      <c r="QTG1" s="136"/>
      <c r="QTH1" s="136"/>
      <c r="QTI1" s="136"/>
      <c r="QTJ1" s="136"/>
      <c r="QTK1" s="136"/>
      <c r="QTL1" s="136"/>
      <c r="QTM1" s="136"/>
      <c r="QTN1" s="136"/>
      <c r="QTO1" s="136"/>
      <c r="QTP1" s="136"/>
      <c r="QTQ1" s="136"/>
      <c r="QTR1" s="136"/>
      <c r="QTS1" s="136"/>
      <c r="QTT1" s="136"/>
      <c r="QTU1" s="136"/>
      <c r="QTV1" s="136"/>
      <c r="QTW1" s="136"/>
      <c r="QTX1" s="136"/>
      <c r="QTY1" s="136"/>
      <c r="QTZ1" s="136"/>
      <c r="QUA1" s="136"/>
      <c r="QUB1" s="136"/>
      <c r="QUC1" s="136"/>
      <c r="QUD1" s="136"/>
      <c r="QUE1" s="136"/>
      <c r="QUF1" s="136"/>
      <c r="QUG1" s="136"/>
      <c r="QUH1" s="136"/>
      <c r="QUI1" s="136"/>
      <c r="QUJ1" s="136"/>
      <c r="QUK1" s="136"/>
      <c r="QUL1" s="136"/>
      <c r="QUM1" s="136"/>
      <c r="QUN1" s="136"/>
      <c r="QUO1" s="136"/>
      <c r="QUP1" s="136"/>
      <c r="QUQ1" s="136"/>
      <c r="QUR1" s="136"/>
      <c r="QUS1" s="136"/>
      <c r="QUT1" s="136"/>
      <c r="QUU1" s="136"/>
      <c r="QUV1" s="136"/>
      <c r="QUW1" s="136"/>
      <c r="QUX1" s="136"/>
      <c r="QUY1" s="136"/>
      <c r="QUZ1" s="136"/>
      <c r="QVA1" s="136"/>
      <c r="QVB1" s="136"/>
      <c r="QVC1" s="136"/>
      <c r="QVD1" s="136"/>
      <c r="QVE1" s="136"/>
      <c r="QVF1" s="136"/>
      <c r="QVG1" s="136"/>
      <c r="QVH1" s="136"/>
      <c r="QVI1" s="136"/>
      <c r="QVJ1" s="136"/>
      <c r="QVK1" s="136"/>
      <c r="QVL1" s="136"/>
      <c r="QVM1" s="136"/>
      <c r="QVN1" s="136"/>
      <c r="QVO1" s="136"/>
      <c r="QVP1" s="136"/>
      <c r="QVQ1" s="136"/>
      <c r="QVR1" s="136"/>
      <c r="QVS1" s="136"/>
      <c r="QVT1" s="136"/>
      <c r="QVU1" s="136"/>
      <c r="QVV1" s="136"/>
      <c r="QVW1" s="136"/>
      <c r="QVX1" s="136"/>
      <c r="QVY1" s="136"/>
      <c r="QVZ1" s="136"/>
      <c r="QWA1" s="136"/>
      <c r="QWB1" s="136"/>
      <c r="QWC1" s="136"/>
      <c r="QWD1" s="136"/>
      <c r="QWE1" s="136"/>
      <c r="QWF1" s="136"/>
      <c r="QWG1" s="136"/>
      <c r="QWH1" s="136"/>
      <c r="QWI1" s="136"/>
      <c r="QWJ1" s="136"/>
      <c r="QWK1" s="136"/>
      <c r="QWL1" s="136"/>
      <c r="QWM1" s="136"/>
      <c r="QWN1" s="136"/>
      <c r="QWO1" s="136"/>
      <c r="QWP1" s="136"/>
      <c r="QWQ1" s="136"/>
      <c r="QWR1" s="136"/>
      <c r="QWS1" s="136"/>
      <c r="QWT1" s="136"/>
      <c r="QWU1" s="136"/>
      <c r="QWV1" s="136"/>
      <c r="QWW1" s="136"/>
      <c r="QWX1" s="136"/>
      <c r="QWY1" s="136"/>
      <c r="QWZ1" s="136"/>
      <c r="QXA1" s="136"/>
      <c r="QXB1" s="136"/>
      <c r="QXC1" s="136"/>
      <c r="QXD1" s="136"/>
      <c r="QXE1" s="136"/>
      <c r="QXF1" s="136"/>
      <c r="QXG1" s="136"/>
      <c r="QXH1" s="136"/>
      <c r="QXI1" s="136"/>
      <c r="QXJ1" s="136"/>
      <c r="QXK1" s="136"/>
      <c r="QXL1" s="136"/>
      <c r="QXM1" s="136"/>
      <c r="QXN1" s="136"/>
      <c r="QXO1" s="136"/>
      <c r="QXP1" s="136"/>
      <c r="QXQ1" s="136"/>
      <c r="QXR1" s="136"/>
      <c r="QXS1" s="136"/>
      <c r="QXT1" s="136"/>
      <c r="QXU1" s="136"/>
      <c r="QXV1" s="136"/>
      <c r="QXW1" s="136"/>
      <c r="QXX1" s="136"/>
      <c r="QXY1" s="136"/>
      <c r="QXZ1" s="136"/>
      <c r="QYA1" s="136"/>
      <c r="QYB1" s="136"/>
      <c r="QYC1" s="136"/>
      <c r="QYD1" s="136"/>
      <c r="QYE1" s="136"/>
      <c r="QYF1" s="136"/>
      <c r="QYG1" s="136"/>
      <c r="QYH1" s="136"/>
      <c r="QYI1" s="136"/>
      <c r="QYJ1" s="136"/>
      <c r="QYK1" s="136"/>
      <c r="QYL1" s="136"/>
      <c r="QYM1" s="136"/>
      <c r="QYN1" s="136"/>
      <c r="QYO1" s="136"/>
      <c r="QYP1" s="136"/>
      <c r="QYQ1" s="136"/>
      <c r="QYR1" s="136"/>
      <c r="QYS1" s="136"/>
      <c r="QYT1" s="136"/>
      <c r="QYU1" s="136"/>
      <c r="QYV1" s="136"/>
      <c r="QYW1" s="136"/>
      <c r="QYX1" s="136"/>
      <c r="QYY1" s="136"/>
      <c r="QYZ1" s="136"/>
      <c r="QZA1" s="136"/>
      <c r="QZB1" s="136"/>
      <c r="QZC1" s="136"/>
      <c r="QZD1" s="136"/>
      <c r="QZE1" s="136"/>
      <c r="QZF1" s="136"/>
      <c r="QZG1" s="136"/>
      <c r="QZH1" s="136"/>
      <c r="QZI1" s="136"/>
      <c r="QZJ1" s="136"/>
      <c r="QZK1" s="136"/>
      <c r="QZL1" s="136"/>
      <c r="QZM1" s="136"/>
      <c r="QZN1" s="136"/>
      <c r="QZO1" s="136"/>
      <c r="QZP1" s="136"/>
      <c r="QZQ1" s="136"/>
      <c r="QZR1" s="136"/>
      <c r="QZS1" s="136"/>
      <c r="QZT1" s="136"/>
      <c r="QZU1" s="136"/>
      <c r="QZV1" s="136"/>
      <c r="QZW1" s="136"/>
      <c r="QZX1" s="136"/>
      <c r="QZY1" s="136"/>
      <c r="QZZ1" s="136"/>
      <c r="RAA1" s="136"/>
      <c r="RAB1" s="136"/>
      <c r="RAC1" s="136"/>
      <c r="RAD1" s="136"/>
      <c r="RAE1" s="136"/>
      <c r="RAF1" s="136"/>
      <c r="RAG1" s="136"/>
      <c r="RAH1" s="136"/>
      <c r="RAI1" s="136"/>
      <c r="RAJ1" s="136"/>
      <c r="RAK1" s="136"/>
      <c r="RAL1" s="136"/>
      <c r="RAM1" s="136"/>
      <c r="RAN1" s="136"/>
      <c r="RAO1" s="136"/>
      <c r="RAP1" s="136"/>
      <c r="RAQ1" s="136"/>
      <c r="RAR1" s="136"/>
      <c r="RAS1" s="136"/>
      <c r="RAT1" s="136"/>
      <c r="RAU1" s="136"/>
      <c r="RAV1" s="136"/>
      <c r="RAW1" s="136"/>
      <c r="RAX1" s="136"/>
      <c r="RAY1" s="136"/>
      <c r="RAZ1" s="136"/>
      <c r="RBA1" s="136"/>
      <c r="RBB1" s="136"/>
      <c r="RBC1" s="136"/>
      <c r="RBD1" s="136"/>
      <c r="RBE1" s="136"/>
      <c r="RBF1" s="136"/>
      <c r="RBG1" s="136"/>
      <c r="RBH1" s="136"/>
      <c r="RBI1" s="136"/>
      <c r="RBJ1" s="136"/>
      <c r="RBK1" s="136"/>
      <c r="RBL1" s="136"/>
      <c r="RBM1" s="136"/>
      <c r="RBN1" s="136"/>
      <c r="RBO1" s="136"/>
      <c r="RBP1" s="136"/>
      <c r="RBQ1" s="136"/>
      <c r="RBR1" s="136"/>
      <c r="RBS1" s="136"/>
      <c r="RBT1" s="136"/>
      <c r="RBU1" s="136"/>
      <c r="RBV1" s="136"/>
      <c r="RBW1" s="136"/>
      <c r="RBX1" s="136"/>
      <c r="RBY1" s="136"/>
      <c r="RBZ1" s="136"/>
      <c r="RCA1" s="136"/>
      <c r="RCB1" s="136"/>
      <c r="RCC1" s="136"/>
      <c r="RCD1" s="136"/>
      <c r="RCE1" s="136"/>
      <c r="RCF1" s="136"/>
      <c r="RCG1" s="136"/>
      <c r="RCH1" s="136"/>
      <c r="RCI1" s="136"/>
      <c r="RCJ1" s="136"/>
      <c r="RCK1" s="136"/>
      <c r="RCL1" s="136"/>
      <c r="RCM1" s="136"/>
      <c r="RCN1" s="136"/>
      <c r="RCO1" s="136"/>
      <c r="RCP1" s="136"/>
      <c r="RCQ1" s="136"/>
      <c r="RCR1" s="136"/>
      <c r="RCS1" s="136"/>
      <c r="RCT1" s="136"/>
      <c r="RCU1" s="136"/>
      <c r="RCV1" s="136"/>
      <c r="RCW1" s="136"/>
      <c r="RCX1" s="136"/>
      <c r="RCY1" s="136"/>
      <c r="RCZ1" s="136"/>
      <c r="RDA1" s="136"/>
      <c r="RDB1" s="136"/>
      <c r="RDC1" s="136"/>
      <c r="RDD1" s="136"/>
      <c r="RDE1" s="136"/>
      <c r="RDF1" s="136"/>
      <c r="RDG1" s="136"/>
      <c r="RDH1" s="136"/>
      <c r="RDI1" s="136"/>
      <c r="RDJ1" s="136"/>
      <c r="RDK1" s="136"/>
      <c r="RDL1" s="136"/>
      <c r="RDM1" s="136"/>
      <c r="RDN1" s="136"/>
      <c r="RDO1" s="136"/>
      <c r="RDP1" s="136"/>
      <c r="RDQ1" s="136"/>
      <c r="RDR1" s="136"/>
      <c r="RDS1" s="136"/>
      <c r="RDT1" s="136"/>
      <c r="RDU1" s="136"/>
      <c r="RDV1" s="136"/>
      <c r="RDW1" s="136"/>
      <c r="RDX1" s="136"/>
      <c r="RDY1" s="136"/>
      <c r="RDZ1" s="136"/>
      <c r="REA1" s="136"/>
      <c r="REB1" s="136"/>
      <c r="REC1" s="136"/>
      <c r="RED1" s="136"/>
      <c r="REE1" s="136"/>
      <c r="REF1" s="136"/>
      <c r="REG1" s="136"/>
      <c r="REH1" s="136"/>
      <c r="REI1" s="136"/>
      <c r="REJ1" s="136"/>
      <c r="REK1" s="136"/>
      <c r="REL1" s="136"/>
      <c r="REM1" s="136"/>
      <c r="REN1" s="136"/>
      <c r="REO1" s="136"/>
      <c r="REP1" s="136"/>
      <c r="REQ1" s="136"/>
      <c r="RER1" s="136"/>
      <c r="RES1" s="136"/>
      <c r="RET1" s="136"/>
      <c r="REU1" s="136"/>
      <c r="REV1" s="136"/>
      <c r="REW1" s="136"/>
      <c r="REX1" s="136"/>
      <c r="REY1" s="136"/>
      <c r="REZ1" s="136"/>
      <c r="RFA1" s="136"/>
      <c r="RFB1" s="136"/>
      <c r="RFC1" s="136"/>
      <c r="RFD1" s="136"/>
      <c r="RFE1" s="136"/>
      <c r="RFF1" s="136"/>
      <c r="RFG1" s="136"/>
      <c r="RFH1" s="136"/>
      <c r="RFI1" s="136"/>
      <c r="RFJ1" s="136"/>
      <c r="RFK1" s="136"/>
      <c r="RFL1" s="136"/>
      <c r="RFM1" s="136"/>
      <c r="RFN1" s="136"/>
      <c r="RFO1" s="136"/>
      <c r="RFP1" s="136"/>
      <c r="RFQ1" s="136"/>
      <c r="RFR1" s="136"/>
      <c r="RFS1" s="136"/>
      <c r="RFT1" s="136"/>
      <c r="RFU1" s="136"/>
      <c r="RFV1" s="136"/>
      <c r="RFW1" s="136"/>
      <c r="RFX1" s="136"/>
      <c r="RFY1" s="136"/>
      <c r="RFZ1" s="136"/>
      <c r="RGA1" s="136"/>
      <c r="RGB1" s="136"/>
      <c r="RGC1" s="136"/>
      <c r="RGD1" s="136"/>
      <c r="RGE1" s="136"/>
      <c r="RGF1" s="136"/>
      <c r="RGG1" s="136"/>
      <c r="RGH1" s="136"/>
      <c r="RGI1" s="136"/>
      <c r="RGJ1" s="136"/>
      <c r="RGK1" s="136"/>
      <c r="RGL1" s="136"/>
      <c r="RGM1" s="136"/>
      <c r="RGN1" s="136"/>
      <c r="RGO1" s="136"/>
      <c r="RGP1" s="136"/>
      <c r="RGQ1" s="136"/>
      <c r="RGR1" s="136"/>
      <c r="RGS1" s="136"/>
      <c r="RGT1" s="136"/>
      <c r="RGU1" s="136"/>
      <c r="RGV1" s="136"/>
      <c r="RGW1" s="136"/>
      <c r="RGX1" s="136"/>
      <c r="RGY1" s="136"/>
      <c r="RGZ1" s="136"/>
      <c r="RHA1" s="136"/>
      <c r="RHB1" s="136"/>
      <c r="RHC1" s="136"/>
      <c r="RHD1" s="136"/>
      <c r="RHE1" s="136"/>
      <c r="RHF1" s="136"/>
      <c r="RHG1" s="136"/>
      <c r="RHH1" s="136"/>
      <c r="RHI1" s="136"/>
      <c r="RHJ1" s="136"/>
      <c r="RHK1" s="136"/>
      <c r="RHL1" s="136"/>
      <c r="RHM1" s="136"/>
      <c r="RHN1" s="136"/>
      <c r="RHO1" s="136"/>
      <c r="RHP1" s="136"/>
      <c r="RHQ1" s="136"/>
      <c r="RHR1" s="136"/>
      <c r="RHS1" s="136"/>
      <c r="RHT1" s="136"/>
      <c r="RHU1" s="136"/>
      <c r="RHV1" s="136"/>
      <c r="RHW1" s="136"/>
      <c r="RHX1" s="136"/>
      <c r="RHY1" s="136"/>
      <c r="RHZ1" s="136"/>
      <c r="RIA1" s="136"/>
      <c r="RIB1" s="136"/>
      <c r="RIC1" s="136"/>
      <c r="RID1" s="136"/>
      <c r="RIE1" s="136"/>
      <c r="RIF1" s="136"/>
      <c r="RIG1" s="136"/>
      <c r="RIH1" s="136"/>
      <c r="RII1" s="136"/>
      <c r="RIJ1" s="136"/>
      <c r="RIK1" s="136"/>
      <c r="RIL1" s="136"/>
      <c r="RIM1" s="136"/>
      <c r="RIN1" s="136"/>
      <c r="RIO1" s="136"/>
      <c r="RIP1" s="136"/>
      <c r="RIQ1" s="136"/>
      <c r="RIR1" s="136"/>
      <c r="RIS1" s="136"/>
      <c r="RIT1" s="136"/>
      <c r="RIU1" s="136"/>
      <c r="RIV1" s="136"/>
      <c r="RIW1" s="136"/>
      <c r="RIX1" s="136"/>
      <c r="RIY1" s="136"/>
      <c r="RIZ1" s="136"/>
      <c r="RJA1" s="136"/>
      <c r="RJB1" s="136"/>
      <c r="RJC1" s="136"/>
      <c r="RJD1" s="136"/>
      <c r="RJE1" s="136"/>
      <c r="RJF1" s="136"/>
      <c r="RJG1" s="136"/>
      <c r="RJH1" s="136"/>
      <c r="RJI1" s="136"/>
      <c r="RJJ1" s="136"/>
      <c r="RJK1" s="136"/>
      <c r="RJL1" s="136"/>
      <c r="RJM1" s="136"/>
      <c r="RJN1" s="136"/>
      <c r="RJO1" s="136"/>
      <c r="RJP1" s="136"/>
      <c r="RJQ1" s="136"/>
      <c r="RJR1" s="136"/>
      <c r="RJS1" s="136"/>
      <c r="RJT1" s="136"/>
      <c r="RJU1" s="136"/>
      <c r="RJV1" s="136"/>
      <c r="RJW1" s="136"/>
      <c r="RJX1" s="136"/>
      <c r="RJY1" s="136"/>
      <c r="RJZ1" s="136"/>
      <c r="RKA1" s="136"/>
      <c r="RKB1" s="136"/>
      <c r="RKC1" s="136"/>
      <c r="RKD1" s="136"/>
      <c r="RKE1" s="136"/>
      <c r="RKF1" s="136"/>
      <c r="RKG1" s="136"/>
      <c r="RKH1" s="136"/>
      <c r="RKI1" s="136"/>
      <c r="RKJ1" s="136"/>
      <c r="RKK1" s="136"/>
      <c r="RKL1" s="136"/>
      <c r="RKM1" s="136"/>
      <c r="RKN1" s="136"/>
      <c r="RKO1" s="136"/>
      <c r="RKP1" s="136"/>
      <c r="RKQ1" s="136"/>
      <c r="RKR1" s="136"/>
      <c r="RKS1" s="136"/>
      <c r="RKT1" s="136"/>
      <c r="RKU1" s="136"/>
      <c r="RKV1" s="136"/>
      <c r="RKW1" s="136"/>
      <c r="RKX1" s="136"/>
      <c r="RKY1" s="136"/>
      <c r="RKZ1" s="136"/>
      <c r="RLA1" s="136"/>
      <c r="RLB1" s="136"/>
      <c r="RLC1" s="136"/>
      <c r="RLD1" s="136"/>
      <c r="RLE1" s="136"/>
      <c r="RLF1" s="136"/>
      <c r="RLG1" s="136"/>
      <c r="RLH1" s="136"/>
      <c r="RLI1" s="136"/>
      <c r="RLJ1" s="136"/>
      <c r="RLK1" s="136"/>
      <c r="RLL1" s="136"/>
      <c r="RLM1" s="136"/>
      <c r="RLN1" s="136"/>
      <c r="RLO1" s="136"/>
      <c r="RLP1" s="136"/>
      <c r="RLQ1" s="136"/>
      <c r="RLR1" s="136"/>
      <c r="RLS1" s="136"/>
      <c r="RLT1" s="136"/>
      <c r="RLU1" s="136"/>
      <c r="RLV1" s="136"/>
      <c r="RLW1" s="136"/>
      <c r="RLX1" s="136"/>
      <c r="RLY1" s="136"/>
      <c r="RLZ1" s="136"/>
      <c r="RMA1" s="136"/>
      <c r="RMB1" s="136"/>
      <c r="RMC1" s="136"/>
      <c r="RMD1" s="136"/>
      <c r="RME1" s="136"/>
      <c r="RMF1" s="136"/>
      <c r="RMG1" s="136"/>
      <c r="RMH1" s="136"/>
      <c r="RMI1" s="136"/>
      <c r="RMJ1" s="136"/>
      <c r="RMK1" s="136"/>
      <c r="RML1" s="136"/>
      <c r="RMM1" s="136"/>
      <c r="RMN1" s="136"/>
      <c r="RMO1" s="136"/>
      <c r="RMP1" s="136"/>
      <c r="RMQ1" s="136"/>
      <c r="RMR1" s="136"/>
      <c r="RMS1" s="136"/>
      <c r="RMT1" s="136"/>
      <c r="RMU1" s="136"/>
      <c r="RMV1" s="136"/>
      <c r="RMW1" s="136"/>
      <c r="RMX1" s="136"/>
      <c r="RMY1" s="136"/>
      <c r="RMZ1" s="136"/>
      <c r="RNA1" s="136"/>
      <c r="RNB1" s="136"/>
      <c r="RNC1" s="136"/>
      <c r="RND1" s="136"/>
      <c r="RNE1" s="136"/>
      <c r="RNF1" s="136"/>
      <c r="RNG1" s="136"/>
      <c r="RNH1" s="136"/>
      <c r="RNI1" s="136"/>
      <c r="RNJ1" s="136"/>
      <c r="RNK1" s="136"/>
      <c r="RNL1" s="136"/>
      <c r="RNM1" s="136"/>
      <c r="RNN1" s="136"/>
      <c r="RNO1" s="136"/>
      <c r="RNP1" s="136"/>
      <c r="RNQ1" s="136"/>
      <c r="RNR1" s="136"/>
      <c r="RNS1" s="136"/>
      <c r="RNT1" s="136"/>
      <c r="RNU1" s="136"/>
      <c r="RNV1" s="136"/>
      <c r="RNW1" s="136"/>
      <c r="RNX1" s="136"/>
      <c r="RNY1" s="136"/>
      <c r="RNZ1" s="136"/>
      <c r="ROA1" s="136"/>
      <c r="ROB1" s="136"/>
      <c r="ROC1" s="136"/>
      <c r="ROD1" s="136"/>
      <c r="ROE1" s="136"/>
      <c r="ROF1" s="136"/>
      <c r="ROG1" s="136"/>
      <c r="ROH1" s="136"/>
      <c r="ROI1" s="136"/>
      <c r="ROJ1" s="136"/>
      <c r="ROK1" s="136"/>
      <c r="ROL1" s="136"/>
      <c r="ROM1" s="136"/>
      <c r="RON1" s="136"/>
      <c r="ROO1" s="136"/>
      <c r="ROP1" s="136"/>
      <c r="ROQ1" s="136"/>
      <c r="ROR1" s="136"/>
      <c r="ROS1" s="136"/>
      <c r="ROT1" s="136"/>
      <c r="ROU1" s="136"/>
      <c r="ROV1" s="136"/>
      <c r="ROW1" s="136"/>
      <c r="ROX1" s="136"/>
      <c r="ROY1" s="136"/>
      <c r="ROZ1" s="136"/>
      <c r="RPA1" s="136"/>
      <c r="RPB1" s="136"/>
      <c r="RPC1" s="136"/>
      <c r="RPD1" s="136"/>
      <c r="RPE1" s="136"/>
      <c r="RPF1" s="136"/>
      <c r="RPG1" s="136"/>
      <c r="RPH1" s="136"/>
      <c r="RPI1" s="136"/>
      <c r="RPJ1" s="136"/>
      <c r="RPK1" s="136"/>
      <c r="RPL1" s="136"/>
      <c r="RPM1" s="136"/>
      <c r="RPN1" s="136"/>
      <c r="RPO1" s="136"/>
      <c r="RPP1" s="136"/>
      <c r="RPQ1" s="136"/>
      <c r="RPR1" s="136"/>
      <c r="RPS1" s="136"/>
      <c r="RPT1" s="136"/>
      <c r="RPU1" s="136"/>
      <c r="RPV1" s="136"/>
      <c r="RPW1" s="136"/>
      <c r="RPX1" s="136"/>
      <c r="RPY1" s="136"/>
      <c r="RPZ1" s="136"/>
      <c r="RQA1" s="136"/>
      <c r="RQB1" s="136"/>
      <c r="RQC1" s="136"/>
      <c r="RQD1" s="136"/>
      <c r="RQE1" s="136"/>
      <c r="RQF1" s="136"/>
      <c r="RQG1" s="136"/>
      <c r="RQH1" s="136"/>
      <c r="RQI1" s="136"/>
      <c r="RQJ1" s="136"/>
      <c r="RQK1" s="136"/>
      <c r="RQL1" s="136"/>
      <c r="RQM1" s="136"/>
      <c r="RQN1" s="136"/>
      <c r="RQO1" s="136"/>
      <c r="RQP1" s="136"/>
      <c r="RQQ1" s="136"/>
      <c r="RQR1" s="136"/>
      <c r="RQS1" s="136"/>
      <c r="RQT1" s="136"/>
      <c r="RQU1" s="136"/>
      <c r="RQV1" s="136"/>
      <c r="RQW1" s="136"/>
      <c r="RQX1" s="136"/>
      <c r="RQY1" s="136"/>
      <c r="RQZ1" s="136"/>
      <c r="RRA1" s="136"/>
      <c r="RRB1" s="136"/>
      <c r="RRC1" s="136"/>
      <c r="RRD1" s="136"/>
      <c r="RRE1" s="136"/>
      <c r="RRF1" s="136"/>
      <c r="RRG1" s="136"/>
      <c r="RRH1" s="136"/>
      <c r="RRI1" s="136"/>
      <c r="RRJ1" s="136"/>
      <c r="RRK1" s="136"/>
      <c r="RRL1" s="136"/>
      <c r="RRM1" s="136"/>
      <c r="RRN1" s="136"/>
      <c r="RRO1" s="136"/>
      <c r="RRP1" s="136"/>
      <c r="RRQ1" s="136"/>
      <c r="RRR1" s="136"/>
      <c r="RRS1" s="136"/>
      <c r="RRT1" s="136"/>
      <c r="RRU1" s="136"/>
      <c r="RRV1" s="136"/>
      <c r="RRW1" s="136"/>
      <c r="RRX1" s="136"/>
      <c r="RRY1" s="136"/>
      <c r="RRZ1" s="136"/>
      <c r="RSA1" s="136"/>
      <c r="RSB1" s="136"/>
      <c r="RSC1" s="136"/>
      <c r="RSD1" s="136"/>
      <c r="RSE1" s="136"/>
      <c r="RSF1" s="136"/>
      <c r="RSG1" s="136"/>
      <c r="RSH1" s="136"/>
      <c r="RSI1" s="136"/>
      <c r="RSJ1" s="136"/>
      <c r="RSK1" s="136"/>
      <c r="RSL1" s="136"/>
      <c r="RSM1" s="136"/>
      <c r="RSN1" s="136"/>
      <c r="RSO1" s="136"/>
      <c r="RSP1" s="136"/>
      <c r="RSQ1" s="136"/>
      <c r="RSR1" s="136"/>
      <c r="RSS1" s="136"/>
      <c r="RST1" s="136"/>
      <c r="RSU1" s="136"/>
      <c r="RSV1" s="136"/>
      <c r="RSW1" s="136"/>
      <c r="RSX1" s="136"/>
      <c r="RSY1" s="136"/>
      <c r="RSZ1" s="136"/>
      <c r="RTA1" s="136"/>
      <c r="RTB1" s="136"/>
      <c r="RTC1" s="136"/>
      <c r="RTD1" s="136"/>
      <c r="RTE1" s="136"/>
      <c r="RTF1" s="136"/>
      <c r="RTG1" s="136"/>
      <c r="RTH1" s="136"/>
      <c r="RTI1" s="136"/>
      <c r="RTJ1" s="136"/>
      <c r="RTK1" s="136"/>
      <c r="RTL1" s="136"/>
      <c r="RTM1" s="136"/>
      <c r="RTN1" s="136"/>
      <c r="RTO1" s="136"/>
      <c r="RTP1" s="136"/>
      <c r="RTQ1" s="136"/>
      <c r="RTR1" s="136"/>
      <c r="RTS1" s="136"/>
      <c r="RTT1" s="136"/>
      <c r="RTU1" s="136"/>
      <c r="RTV1" s="136"/>
      <c r="RTW1" s="136"/>
      <c r="RTX1" s="136"/>
      <c r="RTY1" s="136"/>
      <c r="RTZ1" s="136"/>
      <c r="RUA1" s="136"/>
      <c r="RUB1" s="136"/>
      <c r="RUC1" s="136"/>
      <c r="RUD1" s="136"/>
      <c r="RUE1" s="136"/>
      <c r="RUF1" s="136"/>
      <c r="RUG1" s="136"/>
      <c r="RUH1" s="136"/>
      <c r="RUI1" s="136"/>
      <c r="RUJ1" s="136"/>
      <c r="RUK1" s="136"/>
      <c r="RUL1" s="136"/>
      <c r="RUM1" s="136"/>
      <c r="RUN1" s="136"/>
      <c r="RUO1" s="136"/>
      <c r="RUP1" s="136"/>
      <c r="RUQ1" s="136"/>
      <c r="RUR1" s="136"/>
      <c r="RUS1" s="136"/>
      <c r="RUT1" s="136"/>
      <c r="RUU1" s="136"/>
      <c r="RUV1" s="136"/>
      <c r="RUW1" s="136"/>
      <c r="RUX1" s="136"/>
      <c r="RUY1" s="136"/>
      <c r="RUZ1" s="136"/>
      <c r="RVA1" s="136"/>
      <c r="RVB1" s="136"/>
      <c r="RVC1" s="136"/>
      <c r="RVD1" s="136"/>
      <c r="RVE1" s="136"/>
      <c r="RVF1" s="136"/>
      <c r="RVG1" s="136"/>
      <c r="RVH1" s="136"/>
      <c r="RVI1" s="136"/>
      <c r="RVJ1" s="136"/>
      <c r="RVK1" s="136"/>
      <c r="RVL1" s="136"/>
      <c r="RVM1" s="136"/>
      <c r="RVN1" s="136"/>
      <c r="RVO1" s="136"/>
      <c r="RVP1" s="136"/>
      <c r="RVQ1" s="136"/>
      <c r="RVR1" s="136"/>
      <c r="RVS1" s="136"/>
      <c r="RVT1" s="136"/>
      <c r="RVU1" s="136"/>
      <c r="RVV1" s="136"/>
      <c r="RVW1" s="136"/>
      <c r="RVX1" s="136"/>
      <c r="RVY1" s="136"/>
      <c r="RVZ1" s="136"/>
      <c r="RWA1" s="136"/>
      <c r="RWB1" s="136"/>
      <c r="RWC1" s="136"/>
      <c r="RWD1" s="136"/>
      <c r="RWE1" s="136"/>
      <c r="RWF1" s="136"/>
      <c r="RWG1" s="136"/>
      <c r="RWH1" s="136"/>
      <c r="RWI1" s="136"/>
      <c r="RWJ1" s="136"/>
      <c r="RWK1" s="136"/>
      <c r="RWL1" s="136"/>
      <c r="RWM1" s="136"/>
      <c r="RWN1" s="136"/>
      <c r="RWO1" s="136"/>
      <c r="RWP1" s="136"/>
      <c r="RWQ1" s="136"/>
      <c r="RWR1" s="136"/>
      <c r="RWS1" s="136"/>
      <c r="RWT1" s="136"/>
      <c r="RWU1" s="136"/>
      <c r="RWV1" s="136"/>
      <c r="RWW1" s="136"/>
      <c r="RWX1" s="136"/>
      <c r="RWY1" s="136"/>
      <c r="RWZ1" s="136"/>
      <c r="RXA1" s="136"/>
      <c r="RXB1" s="136"/>
      <c r="RXC1" s="136"/>
      <c r="RXD1" s="136"/>
      <c r="RXE1" s="136"/>
      <c r="RXF1" s="136"/>
      <c r="RXG1" s="136"/>
      <c r="RXH1" s="136"/>
      <c r="RXI1" s="136"/>
      <c r="RXJ1" s="136"/>
      <c r="RXK1" s="136"/>
      <c r="RXL1" s="136"/>
      <c r="RXM1" s="136"/>
      <c r="RXN1" s="136"/>
      <c r="RXO1" s="136"/>
      <c r="RXP1" s="136"/>
      <c r="RXQ1" s="136"/>
      <c r="RXR1" s="136"/>
      <c r="RXS1" s="136"/>
      <c r="RXT1" s="136"/>
      <c r="RXU1" s="136"/>
      <c r="RXV1" s="136"/>
      <c r="RXW1" s="136"/>
      <c r="RXX1" s="136"/>
      <c r="RXY1" s="136"/>
      <c r="RXZ1" s="136"/>
      <c r="RYA1" s="136"/>
      <c r="RYB1" s="136"/>
      <c r="RYC1" s="136"/>
      <c r="RYD1" s="136"/>
      <c r="RYE1" s="136"/>
      <c r="RYF1" s="136"/>
      <c r="RYG1" s="136"/>
      <c r="RYH1" s="136"/>
      <c r="RYI1" s="136"/>
      <c r="RYJ1" s="136"/>
      <c r="RYK1" s="136"/>
      <c r="RYL1" s="136"/>
      <c r="RYM1" s="136"/>
      <c r="RYN1" s="136"/>
      <c r="RYO1" s="136"/>
      <c r="RYP1" s="136"/>
      <c r="RYQ1" s="136"/>
      <c r="RYR1" s="136"/>
      <c r="RYS1" s="136"/>
      <c r="RYT1" s="136"/>
      <c r="RYU1" s="136"/>
      <c r="RYV1" s="136"/>
      <c r="RYW1" s="136"/>
      <c r="RYX1" s="136"/>
      <c r="RYY1" s="136"/>
      <c r="RYZ1" s="136"/>
      <c r="RZA1" s="136"/>
      <c r="RZB1" s="136"/>
      <c r="RZC1" s="136"/>
      <c r="RZD1" s="136"/>
      <c r="RZE1" s="136"/>
      <c r="RZF1" s="136"/>
      <c r="RZG1" s="136"/>
      <c r="RZH1" s="136"/>
      <c r="RZI1" s="136"/>
      <c r="RZJ1" s="136"/>
      <c r="RZK1" s="136"/>
      <c r="RZL1" s="136"/>
      <c r="RZM1" s="136"/>
      <c r="RZN1" s="136"/>
      <c r="RZO1" s="136"/>
      <c r="RZP1" s="136"/>
      <c r="RZQ1" s="136"/>
      <c r="RZR1" s="136"/>
      <c r="RZS1" s="136"/>
      <c r="RZT1" s="136"/>
      <c r="RZU1" s="136"/>
      <c r="RZV1" s="136"/>
      <c r="RZW1" s="136"/>
      <c r="RZX1" s="136"/>
      <c r="RZY1" s="136"/>
      <c r="RZZ1" s="136"/>
      <c r="SAA1" s="136"/>
      <c r="SAB1" s="136"/>
      <c r="SAC1" s="136"/>
      <c r="SAD1" s="136"/>
      <c r="SAE1" s="136"/>
      <c r="SAF1" s="136"/>
      <c r="SAG1" s="136"/>
      <c r="SAH1" s="136"/>
      <c r="SAI1" s="136"/>
      <c r="SAJ1" s="136"/>
      <c r="SAK1" s="136"/>
      <c r="SAL1" s="136"/>
      <c r="SAM1" s="136"/>
      <c r="SAN1" s="136"/>
      <c r="SAO1" s="136"/>
      <c r="SAP1" s="136"/>
      <c r="SAQ1" s="136"/>
      <c r="SAR1" s="136"/>
      <c r="SAS1" s="136"/>
      <c r="SAT1" s="136"/>
      <c r="SAU1" s="136"/>
      <c r="SAV1" s="136"/>
      <c r="SAW1" s="136"/>
      <c r="SAX1" s="136"/>
      <c r="SAY1" s="136"/>
      <c r="SAZ1" s="136"/>
      <c r="SBA1" s="136"/>
      <c r="SBB1" s="136"/>
      <c r="SBC1" s="136"/>
      <c r="SBD1" s="136"/>
      <c r="SBE1" s="136"/>
      <c r="SBF1" s="136"/>
      <c r="SBG1" s="136"/>
      <c r="SBH1" s="136"/>
      <c r="SBI1" s="136"/>
      <c r="SBJ1" s="136"/>
      <c r="SBK1" s="136"/>
      <c r="SBL1" s="136"/>
      <c r="SBM1" s="136"/>
      <c r="SBN1" s="136"/>
      <c r="SBO1" s="136"/>
      <c r="SBP1" s="136"/>
      <c r="SBQ1" s="136"/>
      <c r="SBR1" s="136"/>
      <c r="SBS1" s="136"/>
      <c r="SBT1" s="136"/>
      <c r="SBU1" s="136"/>
      <c r="SBV1" s="136"/>
      <c r="SBW1" s="136"/>
      <c r="SBX1" s="136"/>
      <c r="SBY1" s="136"/>
      <c r="SBZ1" s="136"/>
      <c r="SCA1" s="136"/>
      <c r="SCB1" s="136"/>
      <c r="SCC1" s="136"/>
      <c r="SCD1" s="136"/>
      <c r="SCE1" s="136"/>
      <c r="SCF1" s="136"/>
      <c r="SCG1" s="136"/>
      <c r="SCH1" s="136"/>
      <c r="SCI1" s="136"/>
      <c r="SCJ1" s="136"/>
      <c r="SCK1" s="136"/>
      <c r="SCL1" s="136"/>
      <c r="SCM1" s="136"/>
      <c r="SCN1" s="136"/>
      <c r="SCO1" s="136"/>
      <c r="SCP1" s="136"/>
      <c r="SCQ1" s="136"/>
      <c r="SCR1" s="136"/>
      <c r="SCS1" s="136"/>
      <c r="SCT1" s="136"/>
      <c r="SCU1" s="136"/>
      <c r="SCV1" s="136"/>
      <c r="SCW1" s="136"/>
      <c r="SCX1" s="136"/>
      <c r="SCY1" s="136"/>
      <c r="SCZ1" s="136"/>
      <c r="SDA1" s="136"/>
      <c r="SDB1" s="136"/>
      <c r="SDC1" s="136"/>
      <c r="SDD1" s="136"/>
      <c r="SDE1" s="136"/>
      <c r="SDF1" s="136"/>
      <c r="SDG1" s="136"/>
      <c r="SDH1" s="136"/>
      <c r="SDI1" s="136"/>
      <c r="SDJ1" s="136"/>
      <c r="SDK1" s="136"/>
      <c r="SDL1" s="136"/>
      <c r="SDM1" s="136"/>
      <c r="SDN1" s="136"/>
      <c r="SDO1" s="136"/>
      <c r="SDP1" s="136"/>
      <c r="SDQ1" s="136"/>
      <c r="SDR1" s="136"/>
      <c r="SDS1" s="136"/>
      <c r="SDT1" s="136"/>
      <c r="SDU1" s="136"/>
      <c r="SDV1" s="136"/>
      <c r="SDW1" s="136"/>
      <c r="SDX1" s="136"/>
      <c r="SDY1" s="136"/>
      <c r="SDZ1" s="136"/>
      <c r="SEA1" s="136"/>
      <c r="SEB1" s="136"/>
      <c r="SEC1" s="136"/>
      <c r="SED1" s="136"/>
      <c r="SEE1" s="136"/>
      <c r="SEF1" s="136"/>
      <c r="SEG1" s="136"/>
      <c r="SEH1" s="136"/>
      <c r="SEI1" s="136"/>
      <c r="SEJ1" s="136"/>
      <c r="SEK1" s="136"/>
      <c r="SEL1" s="136"/>
      <c r="SEM1" s="136"/>
      <c r="SEN1" s="136"/>
      <c r="SEO1" s="136"/>
      <c r="SEP1" s="136"/>
      <c r="SEQ1" s="136"/>
      <c r="SER1" s="136"/>
      <c r="SES1" s="136"/>
      <c r="SET1" s="136"/>
      <c r="SEU1" s="136"/>
      <c r="SEV1" s="136"/>
      <c r="SEW1" s="136"/>
      <c r="SEX1" s="136"/>
      <c r="SEY1" s="136"/>
      <c r="SEZ1" s="136"/>
      <c r="SFA1" s="136"/>
      <c r="SFB1" s="136"/>
      <c r="SFC1" s="136"/>
      <c r="SFD1" s="136"/>
      <c r="SFE1" s="136"/>
      <c r="SFF1" s="136"/>
      <c r="SFG1" s="136"/>
      <c r="SFH1" s="136"/>
      <c r="SFI1" s="136"/>
      <c r="SFJ1" s="136"/>
      <c r="SFK1" s="136"/>
      <c r="SFL1" s="136"/>
      <c r="SFM1" s="136"/>
      <c r="SFN1" s="136"/>
      <c r="SFO1" s="136"/>
      <c r="SFP1" s="136"/>
      <c r="SFQ1" s="136"/>
      <c r="SFR1" s="136"/>
      <c r="SFS1" s="136"/>
      <c r="SFT1" s="136"/>
      <c r="SFU1" s="136"/>
      <c r="SFV1" s="136"/>
      <c r="SFW1" s="136"/>
      <c r="SFX1" s="136"/>
      <c r="SFY1" s="136"/>
      <c r="SFZ1" s="136"/>
      <c r="SGA1" s="136"/>
      <c r="SGB1" s="136"/>
      <c r="SGC1" s="136"/>
      <c r="SGD1" s="136"/>
      <c r="SGE1" s="136"/>
      <c r="SGF1" s="136"/>
      <c r="SGG1" s="136"/>
      <c r="SGH1" s="136"/>
      <c r="SGI1" s="136"/>
      <c r="SGJ1" s="136"/>
      <c r="SGK1" s="136"/>
      <c r="SGL1" s="136"/>
      <c r="SGM1" s="136"/>
      <c r="SGN1" s="136"/>
      <c r="SGO1" s="136"/>
      <c r="SGP1" s="136"/>
      <c r="SGQ1" s="136"/>
      <c r="SGR1" s="136"/>
      <c r="SGS1" s="136"/>
      <c r="SGT1" s="136"/>
      <c r="SGU1" s="136"/>
      <c r="SGV1" s="136"/>
      <c r="SGW1" s="136"/>
      <c r="SGX1" s="136"/>
      <c r="SGY1" s="136"/>
      <c r="SGZ1" s="136"/>
      <c r="SHA1" s="136"/>
      <c r="SHB1" s="136"/>
      <c r="SHC1" s="136"/>
      <c r="SHD1" s="136"/>
      <c r="SHE1" s="136"/>
      <c r="SHF1" s="136"/>
      <c r="SHG1" s="136"/>
      <c r="SHH1" s="136"/>
      <c r="SHI1" s="136"/>
      <c r="SHJ1" s="136"/>
      <c r="SHK1" s="136"/>
      <c r="SHL1" s="136"/>
      <c r="SHM1" s="136"/>
      <c r="SHN1" s="136"/>
      <c r="SHO1" s="136"/>
      <c r="SHP1" s="136"/>
      <c r="SHQ1" s="136"/>
      <c r="SHR1" s="136"/>
      <c r="SHS1" s="136"/>
      <c r="SHT1" s="136"/>
      <c r="SHU1" s="136"/>
      <c r="SHV1" s="136"/>
      <c r="SHW1" s="136"/>
      <c r="SHX1" s="136"/>
      <c r="SHY1" s="136"/>
      <c r="SHZ1" s="136"/>
      <c r="SIA1" s="136"/>
      <c r="SIB1" s="136"/>
      <c r="SIC1" s="136"/>
      <c r="SID1" s="136"/>
      <c r="SIE1" s="136"/>
      <c r="SIF1" s="136"/>
      <c r="SIG1" s="136"/>
      <c r="SIH1" s="136"/>
      <c r="SII1" s="136"/>
      <c r="SIJ1" s="136"/>
      <c r="SIK1" s="136"/>
      <c r="SIL1" s="136"/>
      <c r="SIM1" s="136"/>
      <c r="SIN1" s="136"/>
      <c r="SIO1" s="136"/>
      <c r="SIP1" s="136"/>
      <c r="SIQ1" s="136"/>
      <c r="SIR1" s="136"/>
      <c r="SIS1" s="136"/>
      <c r="SIT1" s="136"/>
      <c r="SIU1" s="136"/>
      <c r="SIV1" s="136"/>
      <c r="SIW1" s="136"/>
      <c r="SIX1" s="136"/>
      <c r="SIY1" s="136"/>
      <c r="SIZ1" s="136"/>
      <c r="SJA1" s="136"/>
      <c r="SJB1" s="136"/>
      <c r="SJC1" s="136"/>
      <c r="SJD1" s="136"/>
      <c r="SJE1" s="136"/>
      <c r="SJF1" s="136"/>
      <c r="SJG1" s="136"/>
      <c r="SJH1" s="136"/>
      <c r="SJI1" s="136"/>
      <c r="SJJ1" s="136"/>
      <c r="SJK1" s="136"/>
      <c r="SJL1" s="136"/>
      <c r="SJM1" s="136"/>
      <c r="SJN1" s="136"/>
      <c r="SJO1" s="136"/>
      <c r="SJP1" s="136"/>
      <c r="SJQ1" s="136"/>
      <c r="SJR1" s="136"/>
      <c r="SJS1" s="136"/>
      <c r="SJT1" s="136"/>
      <c r="SJU1" s="136"/>
      <c r="SJV1" s="136"/>
      <c r="SJW1" s="136"/>
      <c r="SJX1" s="136"/>
      <c r="SJY1" s="136"/>
      <c r="SJZ1" s="136"/>
      <c r="SKA1" s="136"/>
      <c r="SKB1" s="136"/>
      <c r="SKC1" s="136"/>
      <c r="SKD1" s="136"/>
      <c r="SKE1" s="136"/>
      <c r="SKF1" s="136"/>
      <c r="SKG1" s="136"/>
      <c r="SKH1" s="136"/>
      <c r="SKI1" s="136"/>
      <c r="SKJ1" s="136"/>
      <c r="SKK1" s="136"/>
      <c r="SKL1" s="136"/>
      <c r="SKM1" s="136"/>
      <c r="SKN1" s="136"/>
      <c r="SKO1" s="136"/>
      <c r="SKP1" s="136"/>
      <c r="SKQ1" s="136"/>
      <c r="SKR1" s="136"/>
      <c r="SKS1" s="136"/>
      <c r="SKT1" s="136"/>
      <c r="SKU1" s="136"/>
      <c r="SKV1" s="136"/>
      <c r="SKW1" s="136"/>
      <c r="SKX1" s="136"/>
      <c r="SKY1" s="136"/>
      <c r="SKZ1" s="136"/>
      <c r="SLA1" s="136"/>
      <c r="SLB1" s="136"/>
      <c r="SLC1" s="136"/>
      <c r="SLD1" s="136"/>
      <c r="SLE1" s="136"/>
      <c r="SLF1" s="136"/>
      <c r="SLG1" s="136"/>
      <c r="SLH1" s="136"/>
      <c r="SLI1" s="136"/>
      <c r="SLJ1" s="136"/>
      <c r="SLK1" s="136"/>
      <c r="SLL1" s="136"/>
      <c r="SLM1" s="136"/>
      <c r="SLN1" s="136"/>
      <c r="SLO1" s="136"/>
      <c r="SLP1" s="136"/>
      <c r="SLQ1" s="136"/>
      <c r="SLR1" s="136"/>
      <c r="SLS1" s="136"/>
      <c r="SLT1" s="136"/>
      <c r="SLU1" s="136"/>
      <c r="SLV1" s="136"/>
      <c r="SLW1" s="136"/>
      <c r="SLX1" s="136"/>
      <c r="SLY1" s="136"/>
      <c r="SLZ1" s="136"/>
      <c r="SMA1" s="136"/>
      <c r="SMB1" s="136"/>
      <c r="SMC1" s="136"/>
      <c r="SMD1" s="136"/>
      <c r="SME1" s="136"/>
      <c r="SMF1" s="136"/>
      <c r="SMG1" s="136"/>
      <c r="SMH1" s="136"/>
      <c r="SMI1" s="136"/>
      <c r="SMJ1" s="136"/>
      <c r="SMK1" s="136"/>
      <c r="SML1" s="136"/>
      <c r="SMM1" s="136"/>
      <c r="SMN1" s="136"/>
      <c r="SMO1" s="136"/>
      <c r="SMP1" s="136"/>
      <c r="SMQ1" s="136"/>
      <c r="SMR1" s="136"/>
      <c r="SMS1" s="136"/>
      <c r="SMT1" s="136"/>
      <c r="SMU1" s="136"/>
      <c r="SMV1" s="136"/>
      <c r="SMW1" s="136"/>
      <c r="SMX1" s="136"/>
      <c r="SMY1" s="136"/>
      <c r="SMZ1" s="136"/>
      <c r="SNA1" s="136"/>
      <c r="SNB1" s="136"/>
      <c r="SNC1" s="136"/>
      <c r="SND1" s="136"/>
      <c r="SNE1" s="136"/>
      <c r="SNF1" s="136"/>
      <c r="SNG1" s="136"/>
      <c r="SNH1" s="136"/>
      <c r="SNI1" s="136"/>
      <c r="SNJ1" s="136"/>
      <c r="SNK1" s="136"/>
      <c r="SNL1" s="136"/>
      <c r="SNM1" s="136"/>
      <c r="SNN1" s="136"/>
      <c r="SNO1" s="136"/>
      <c r="SNP1" s="136"/>
      <c r="SNQ1" s="136"/>
      <c r="SNR1" s="136"/>
      <c r="SNS1" s="136"/>
      <c r="SNT1" s="136"/>
      <c r="SNU1" s="136"/>
      <c r="SNV1" s="136"/>
      <c r="SNW1" s="136"/>
      <c r="SNX1" s="136"/>
      <c r="SNY1" s="136"/>
      <c r="SNZ1" s="136"/>
      <c r="SOA1" s="136"/>
      <c r="SOB1" s="136"/>
      <c r="SOC1" s="136"/>
      <c r="SOD1" s="136"/>
      <c r="SOE1" s="136"/>
      <c r="SOF1" s="136"/>
      <c r="SOG1" s="136"/>
      <c r="SOH1" s="136"/>
      <c r="SOI1" s="136"/>
      <c r="SOJ1" s="136"/>
      <c r="SOK1" s="136"/>
      <c r="SOL1" s="136"/>
      <c r="SOM1" s="136"/>
      <c r="SON1" s="136"/>
      <c r="SOO1" s="136"/>
      <c r="SOP1" s="136"/>
      <c r="SOQ1" s="136"/>
      <c r="SOR1" s="136"/>
      <c r="SOS1" s="136"/>
      <c r="SOT1" s="136"/>
      <c r="SOU1" s="136"/>
      <c r="SOV1" s="136"/>
      <c r="SOW1" s="136"/>
      <c r="SOX1" s="136"/>
      <c r="SOY1" s="136"/>
      <c r="SOZ1" s="136"/>
      <c r="SPA1" s="136"/>
      <c r="SPB1" s="136"/>
      <c r="SPC1" s="136"/>
      <c r="SPD1" s="136"/>
      <c r="SPE1" s="136"/>
      <c r="SPF1" s="136"/>
      <c r="SPG1" s="136"/>
      <c r="SPH1" s="136"/>
      <c r="SPI1" s="136"/>
      <c r="SPJ1" s="136"/>
      <c r="SPK1" s="136"/>
      <c r="SPL1" s="136"/>
      <c r="SPM1" s="136"/>
      <c r="SPN1" s="136"/>
      <c r="SPO1" s="136"/>
      <c r="SPP1" s="136"/>
      <c r="SPQ1" s="136"/>
      <c r="SPR1" s="136"/>
      <c r="SPS1" s="136"/>
      <c r="SPT1" s="136"/>
      <c r="SPU1" s="136"/>
      <c r="SPV1" s="136"/>
      <c r="SPW1" s="136"/>
      <c r="SPX1" s="136"/>
      <c r="SPY1" s="136"/>
      <c r="SPZ1" s="136"/>
      <c r="SQA1" s="136"/>
      <c r="SQB1" s="136"/>
      <c r="SQC1" s="136"/>
      <c r="SQD1" s="136"/>
      <c r="SQE1" s="136"/>
      <c r="SQF1" s="136"/>
      <c r="SQG1" s="136"/>
      <c r="SQH1" s="136"/>
      <c r="SQI1" s="136"/>
      <c r="SQJ1" s="136"/>
      <c r="SQK1" s="136"/>
      <c r="SQL1" s="136"/>
      <c r="SQM1" s="136"/>
      <c r="SQN1" s="136"/>
      <c r="SQO1" s="136"/>
      <c r="SQP1" s="136"/>
      <c r="SQQ1" s="136"/>
      <c r="SQR1" s="136"/>
      <c r="SQS1" s="136"/>
      <c r="SQT1" s="136"/>
      <c r="SQU1" s="136"/>
      <c r="SQV1" s="136"/>
      <c r="SQW1" s="136"/>
      <c r="SQX1" s="136"/>
      <c r="SQY1" s="136"/>
      <c r="SQZ1" s="136"/>
      <c r="SRA1" s="136"/>
      <c r="SRB1" s="136"/>
      <c r="SRC1" s="136"/>
      <c r="SRD1" s="136"/>
      <c r="SRE1" s="136"/>
      <c r="SRF1" s="136"/>
      <c r="SRG1" s="136"/>
      <c r="SRH1" s="136"/>
      <c r="SRI1" s="136"/>
      <c r="SRJ1" s="136"/>
      <c r="SRK1" s="136"/>
      <c r="SRL1" s="136"/>
      <c r="SRM1" s="136"/>
      <c r="SRN1" s="136"/>
      <c r="SRO1" s="136"/>
      <c r="SRP1" s="136"/>
      <c r="SRQ1" s="136"/>
      <c r="SRR1" s="136"/>
      <c r="SRS1" s="136"/>
      <c r="SRT1" s="136"/>
      <c r="SRU1" s="136"/>
      <c r="SRV1" s="136"/>
      <c r="SRW1" s="136"/>
      <c r="SRX1" s="136"/>
      <c r="SRY1" s="136"/>
      <c r="SRZ1" s="136"/>
      <c r="SSA1" s="136"/>
      <c r="SSB1" s="136"/>
      <c r="SSC1" s="136"/>
      <c r="SSD1" s="136"/>
      <c r="SSE1" s="136"/>
      <c r="SSF1" s="136"/>
      <c r="SSG1" s="136"/>
      <c r="SSH1" s="136"/>
      <c r="SSI1" s="136"/>
      <c r="SSJ1" s="136"/>
      <c r="SSK1" s="136"/>
      <c r="SSL1" s="136"/>
      <c r="SSM1" s="136"/>
      <c r="SSN1" s="136"/>
      <c r="SSO1" s="136"/>
      <c r="SSP1" s="136"/>
      <c r="SSQ1" s="136"/>
      <c r="SSR1" s="136"/>
      <c r="SSS1" s="136"/>
      <c r="SST1" s="136"/>
      <c r="SSU1" s="136"/>
      <c r="SSV1" s="136"/>
      <c r="SSW1" s="136"/>
      <c r="SSX1" s="136"/>
      <c r="SSY1" s="136"/>
      <c r="SSZ1" s="136"/>
      <c r="STA1" s="136"/>
      <c r="STB1" s="136"/>
      <c r="STC1" s="136"/>
      <c r="STD1" s="136"/>
      <c r="STE1" s="136"/>
      <c r="STF1" s="136"/>
      <c r="STG1" s="136"/>
      <c r="STH1" s="136"/>
      <c r="STI1" s="136"/>
      <c r="STJ1" s="136"/>
      <c r="STK1" s="136"/>
      <c r="STL1" s="136"/>
      <c r="STM1" s="136"/>
      <c r="STN1" s="136"/>
      <c r="STO1" s="136"/>
      <c r="STP1" s="136"/>
      <c r="STQ1" s="136"/>
      <c r="STR1" s="136"/>
      <c r="STS1" s="136"/>
      <c r="STT1" s="136"/>
      <c r="STU1" s="136"/>
      <c r="STV1" s="136"/>
      <c r="STW1" s="136"/>
      <c r="STX1" s="136"/>
      <c r="STY1" s="136"/>
      <c r="STZ1" s="136"/>
      <c r="SUA1" s="136"/>
      <c r="SUB1" s="136"/>
      <c r="SUC1" s="136"/>
      <c r="SUD1" s="136"/>
      <c r="SUE1" s="136"/>
      <c r="SUF1" s="136"/>
      <c r="SUG1" s="136"/>
      <c r="SUH1" s="136"/>
      <c r="SUI1" s="136"/>
      <c r="SUJ1" s="136"/>
      <c r="SUK1" s="136"/>
      <c r="SUL1" s="136"/>
      <c r="SUM1" s="136"/>
      <c r="SUN1" s="136"/>
      <c r="SUO1" s="136"/>
      <c r="SUP1" s="136"/>
      <c r="SUQ1" s="136"/>
      <c r="SUR1" s="136"/>
      <c r="SUS1" s="136"/>
      <c r="SUT1" s="136"/>
      <c r="SUU1" s="136"/>
      <c r="SUV1" s="136"/>
      <c r="SUW1" s="136"/>
      <c r="SUX1" s="136"/>
      <c r="SUY1" s="136"/>
      <c r="SUZ1" s="136"/>
      <c r="SVA1" s="136"/>
      <c r="SVB1" s="136"/>
      <c r="SVC1" s="136"/>
      <c r="SVD1" s="136"/>
      <c r="SVE1" s="136"/>
      <c r="SVF1" s="136"/>
      <c r="SVG1" s="136"/>
      <c r="SVH1" s="136"/>
      <c r="SVI1" s="136"/>
      <c r="SVJ1" s="136"/>
      <c r="SVK1" s="136"/>
      <c r="SVL1" s="136"/>
      <c r="SVM1" s="136"/>
      <c r="SVN1" s="136"/>
      <c r="SVO1" s="136"/>
      <c r="SVP1" s="136"/>
      <c r="SVQ1" s="136"/>
      <c r="SVR1" s="136"/>
      <c r="SVS1" s="136"/>
      <c r="SVT1" s="136"/>
      <c r="SVU1" s="136"/>
      <c r="SVV1" s="136"/>
      <c r="SVW1" s="136"/>
      <c r="SVX1" s="136"/>
      <c r="SVY1" s="136"/>
      <c r="SVZ1" s="136"/>
      <c r="SWA1" s="136"/>
      <c r="SWB1" s="136"/>
      <c r="SWC1" s="136"/>
      <c r="SWD1" s="136"/>
      <c r="SWE1" s="136"/>
      <c r="SWF1" s="136"/>
      <c r="SWG1" s="136"/>
      <c r="SWH1" s="136"/>
      <c r="SWI1" s="136"/>
      <c r="SWJ1" s="136"/>
      <c r="SWK1" s="136"/>
      <c r="SWL1" s="136"/>
      <c r="SWM1" s="136"/>
      <c r="SWN1" s="136"/>
      <c r="SWO1" s="136"/>
      <c r="SWP1" s="136"/>
      <c r="SWQ1" s="136"/>
      <c r="SWR1" s="136"/>
      <c r="SWS1" s="136"/>
      <c r="SWT1" s="136"/>
      <c r="SWU1" s="136"/>
      <c r="SWV1" s="136"/>
      <c r="SWW1" s="136"/>
      <c r="SWX1" s="136"/>
      <c r="SWY1" s="136"/>
      <c r="SWZ1" s="136"/>
      <c r="SXA1" s="136"/>
      <c r="SXB1" s="136"/>
      <c r="SXC1" s="136"/>
      <c r="SXD1" s="136"/>
      <c r="SXE1" s="136"/>
      <c r="SXF1" s="136"/>
      <c r="SXG1" s="136"/>
      <c r="SXH1" s="136"/>
      <c r="SXI1" s="136"/>
      <c r="SXJ1" s="136"/>
      <c r="SXK1" s="136"/>
      <c r="SXL1" s="136"/>
      <c r="SXM1" s="136"/>
      <c r="SXN1" s="136"/>
      <c r="SXO1" s="136"/>
      <c r="SXP1" s="136"/>
      <c r="SXQ1" s="136"/>
      <c r="SXR1" s="136"/>
      <c r="SXS1" s="136"/>
      <c r="SXT1" s="136"/>
      <c r="SXU1" s="136"/>
      <c r="SXV1" s="136"/>
      <c r="SXW1" s="136"/>
      <c r="SXX1" s="136"/>
      <c r="SXY1" s="136"/>
      <c r="SXZ1" s="136"/>
      <c r="SYA1" s="136"/>
      <c r="SYB1" s="136"/>
      <c r="SYC1" s="136"/>
      <c r="SYD1" s="136"/>
      <c r="SYE1" s="136"/>
      <c r="SYF1" s="136"/>
      <c r="SYG1" s="136"/>
      <c r="SYH1" s="136"/>
      <c r="SYI1" s="136"/>
      <c r="SYJ1" s="136"/>
      <c r="SYK1" s="136"/>
      <c r="SYL1" s="136"/>
      <c r="SYM1" s="136"/>
      <c r="SYN1" s="136"/>
      <c r="SYO1" s="136"/>
      <c r="SYP1" s="136"/>
      <c r="SYQ1" s="136"/>
      <c r="SYR1" s="136"/>
      <c r="SYS1" s="136"/>
      <c r="SYT1" s="136"/>
      <c r="SYU1" s="136"/>
      <c r="SYV1" s="136"/>
      <c r="SYW1" s="136"/>
      <c r="SYX1" s="136"/>
      <c r="SYY1" s="136"/>
      <c r="SYZ1" s="136"/>
      <c r="SZA1" s="136"/>
      <c r="SZB1" s="136"/>
      <c r="SZC1" s="136"/>
      <c r="SZD1" s="136"/>
      <c r="SZE1" s="136"/>
      <c r="SZF1" s="136"/>
      <c r="SZG1" s="136"/>
      <c r="SZH1" s="136"/>
      <c r="SZI1" s="136"/>
      <c r="SZJ1" s="136"/>
      <c r="SZK1" s="136"/>
      <c r="SZL1" s="136"/>
      <c r="SZM1" s="136"/>
      <c r="SZN1" s="136"/>
      <c r="SZO1" s="136"/>
      <c r="SZP1" s="136"/>
      <c r="SZQ1" s="136"/>
      <c r="SZR1" s="136"/>
      <c r="SZS1" s="136"/>
      <c r="SZT1" s="136"/>
      <c r="SZU1" s="136"/>
      <c r="SZV1" s="136"/>
      <c r="SZW1" s="136"/>
      <c r="SZX1" s="136"/>
      <c r="SZY1" s="136"/>
      <c r="SZZ1" s="136"/>
      <c r="TAA1" s="136"/>
      <c r="TAB1" s="136"/>
      <c r="TAC1" s="136"/>
      <c r="TAD1" s="136"/>
      <c r="TAE1" s="136"/>
      <c r="TAF1" s="136"/>
      <c r="TAG1" s="136"/>
      <c r="TAH1" s="136"/>
      <c r="TAI1" s="136"/>
      <c r="TAJ1" s="136"/>
      <c r="TAK1" s="136"/>
      <c r="TAL1" s="136"/>
      <c r="TAM1" s="136"/>
      <c r="TAN1" s="136"/>
      <c r="TAO1" s="136"/>
      <c r="TAP1" s="136"/>
      <c r="TAQ1" s="136"/>
      <c r="TAR1" s="136"/>
      <c r="TAS1" s="136"/>
      <c r="TAT1" s="136"/>
      <c r="TAU1" s="136"/>
      <c r="TAV1" s="136"/>
      <c r="TAW1" s="136"/>
      <c r="TAX1" s="136"/>
      <c r="TAY1" s="136"/>
      <c r="TAZ1" s="136"/>
      <c r="TBA1" s="136"/>
      <c r="TBB1" s="136"/>
      <c r="TBC1" s="136"/>
      <c r="TBD1" s="136"/>
      <c r="TBE1" s="136"/>
      <c r="TBF1" s="136"/>
      <c r="TBG1" s="136"/>
      <c r="TBH1" s="136"/>
      <c r="TBI1" s="136"/>
      <c r="TBJ1" s="136"/>
      <c r="TBK1" s="136"/>
      <c r="TBL1" s="136"/>
      <c r="TBM1" s="136"/>
      <c r="TBN1" s="136"/>
      <c r="TBO1" s="136"/>
      <c r="TBP1" s="136"/>
      <c r="TBQ1" s="136"/>
      <c r="TBR1" s="136"/>
      <c r="TBS1" s="136"/>
      <c r="TBT1" s="136"/>
      <c r="TBU1" s="136"/>
      <c r="TBV1" s="136"/>
      <c r="TBW1" s="136"/>
      <c r="TBX1" s="136"/>
      <c r="TBY1" s="136"/>
      <c r="TBZ1" s="136"/>
      <c r="TCA1" s="136"/>
      <c r="TCB1" s="136"/>
      <c r="TCC1" s="136"/>
      <c r="TCD1" s="136"/>
      <c r="TCE1" s="136"/>
      <c r="TCF1" s="136"/>
      <c r="TCG1" s="136"/>
      <c r="TCH1" s="136"/>
      <c r="TCI1" s="136"/>
      <c r="TCJ1" s="136"/>
      <c r="TCK1" s="136"/>
      <c r="TCL1" s="136"/>
      <c r="TCM1" s="136"/>
      <c r="TCN1" s="136"/>
      <c r="TCO1" s="136"/>
      <c r="TCP1" s="136"/>
      <c r="TCQ1" s="136"/>
      <c r="TCR1" s="136"/>
      <c r="TCS1" s="136"/>
      <c r="TCT1" s="136"/>
      <c r="TCU1" s="136"/>
      <c r="TCV1" s="136"/>
      <c r="TCW1" s="136"/>
      <c r="TCX1" s="136"/>
      <c r="TCY1" s="136"/>
      <c r="TCZ1" s="136"/>
      <c r="TDA1" s="136"/>
      <c r="TDB1" s="136"/>
      <c r="TDC1" s="136"/>
      <c r="TDD1" s="136"/>
      <c r="TDE1" s="136"/>
      <c r="TDF1" s="136"/>
      <c r="TDG1" s="136"/>
      <c r="TDH1" s="136"/>
      <c r="TDI1" s="136"/>
      <c r="TDJ1" s="136"/>
      <c r="TDK1" s="136"/>
      <c r="TDL1" s="136"/>
      <c r="TDM1" s="136"/>
      <c r="TDN1" s="136"/>
      <c r="TDO1" s="136"/>
      <c r="TDP1" s="136"/>
      <c r="TDQ1" s="136"/>
      <c r="TDR1" s="136"/>
      <c r="TDS1" s="136"/>
      <c r="TDT1" s="136"/>
      <c r="TDU1" s="136"/>
      <c r="TDV1" s="136"/>
      <c r="TDW1" s="136"/>
      <c r="TDX1" s="136"/>
      <c r="TDY1" s="136"/>
      <c r="TDZ1" s="136"/>
      <c r="TEA1" s="136"/>
      <c r="TEB1" s="136"/>
      <c r="TEC1" s="136"/>
      <c r="TED1" s="136"/>
      <c r="TEE1" s="136"/>
      <c r="TEF1" s="136"/>
      <c r="TEG1" s="136"/>
      <c r="TEH1" s="136"/>
      <c r="TEI1" s="136"/>
      <c r="TEJ1" s="136"/>
      <c r="TEK1" s="136"/>
      <c r="TEL1" s="136"/>
      <c r="TEM1" s="136"/>
      <c r="TEN1" s="136"/>
      <c r="TEO1" s="136"/>
      <c r="TEP1" s="136"/>
      <c r="TEQ1" s="136"/>
      <c r="TER1" s="136"/>
      <c r="TES1" s="136"/>
      <c r="TET1" s="136"/>
      <c r="TEU1" s="136"/>
      <c r="TEV1" s="136"/>
      <c r="TEW1" s="136"/>
      <c r="TEX1" s="136"/>
      <c r="TEY1" s="136"/>
      <c r="TEZ1" s="136"/>
      <c r="TFA1" s="136"/>
      <c r="TFB1" s="136"/>
      <c r="TFC1" s="136"/>
      <c r="TFD1" s="136"/>
      <c r="TFE1" s="136"/>
      <c r="TFF1" s="136"/>
      <c r="TFG1" s="136"/>
      <c r="TFH1" s="136"/>
      <c r="TFI1" s="136"/>
      <c r="TFJ1" s="136"/>
      <c r="TFK1" s="136"/>
      <c r="TFL1" s="136"/>
      <c r="TFM1" s="136"/>
      <c r="TFN1" s="136"/>
      <c r="TFO1" s="136"/>
      <c r="TFP1" s="136"/>
      <c r="TFQ1" s="136"/>
      <c r="TFR1" s="136"/>
      <c r="TFS1" s="136"/>
      <c r="TFT1" s="136"/>
      <c r="TFU1" s="136"/>
      <c r="TFV1" s="136"/>
      <c r="TFW1" s="136"/>
      <c r="TFX1" s="136"/>
      <c r="TFY1" s="136"/>
      <c r="TFZ1" s="136"/>
      <c r="TGA1" s="136"/>
      <c r="TGB1" s="136"/>
      <c r="TGC1" s="136"/>
      <c r="TGD1" s="136"/>
      <c r="TGE1" s="136"/>
      <c r="TGF1" s="136"/>
      <c r="TGG1" s="136"/>
      <c r="TGH1" s="136"/>
      <c r="TGI1" s="136"/>
      <c r="TGJ1" s="136"/>
      <c r="TGK1" s="136"/>
      <c r="TGL1" s="136"/>
      <c r="TGM1" s="136"/>
      <c r="TGN1" s="136"/>
      <c r="TGO1" s="136"/>
      <c r="TGP1" s="136"/>
      <c r="TGQ1" s="136"/>
      <c r="TGR1" s="136"/>
      <c r="TGS1" s="136"/>
      <c r="TGT1" s="136"/>
      <c r="TGU1" s="136"/>
      <c r="TGV1" s="136"/>
      <c r="TGW1" s="136"/>
      <c r="TGX1" s="136"/>
      <c r="TGY1" s="136"/>
      <c r="TGZ1" s="136"/>
      <c r="THA1" s="136"/>
      <c r="THB1" s="136"/>
      <c r="THC1" s="136"/>
      <c r="THD1" s="136"/>
      <c r="THE1" s="136"/>
      <c r="THF1" s="136"/>
      <c r="THG1" s="136"/>
      <c r="THH1" s="136"/>
      <c r="THI1" s="136"/>
      <c r="THJ1" s="136"/>
      <c r="THK1" s="136"/>
      <c r="THL1" s="136"/>
      <c r="THM1" s="136"/>
      <c r="THN1" s="136"/>
      <c r="THO1" s="136"/>
      <c r="THP1" s="136"/>
      <c r="THQ1" s="136"/>
      <c r="THR1" s="136"/>
      <c r="THS1" s="136"/>
      <c r="THT1" s="136"/>
      <c r="THU1" s="136"/>
      <c r="THV1" s="136"/>
      <c r="THW1" s="136"/>
      <c r="THX1" s="136"/>
      <c r="THY1" s="136"/>
      <c r="THZ1" s="136"/>
      <c r="TIA1" s="136"/>
      <c r="TIB1" s="136"/>
      <c r="TIC1" s="136"/>
      <c r="TID1" s="136"/>
      <c r="TIE1" s="136"/>
      <c r="TIF1" s="136"/>
      <c r="TIG1" s="136"/>
      <c r="TIH1" s="136"/>
      <c r="TII1" s="136"/>
      <c r="TIJ1" s="136"/>
      <c r="TIK1" s="136"/>
      <c r="TIL1" s="136"/>
      <c r="TIM1" s="136"/>
      <c r="TIN1" s="136"/>
      <c r="TIO1" s="136"/>
      <c r="TIP1" s="136"/>
      <c r="TIQ1" s="136"/>
      <c r="TIR1" s="136"/>
      <c r="TIS1" s="136"/>
      <c r="TIT1" s="136"/>
      <c r="TIU1" s="136"/>
      <c r="TIV1" s="136"/>
      <c r="TIW1" s="136"/>
      <c r="TIX1" s="136"/>
      <c r="TIY1" s="136"/>
      <c r="TIZ1" s="136"/>
      <c r="TJA1" s="136"/>
      <c r="TJB1" s="136"/>
      <c r="TJC1" s="136"/>
      <c r="TJD1" s="136"/>
      <c r="TJE1" s="136"/>
      <c r="TJF1" s="136"/>
      <c r="TJG1" s="136"/>
      <c r="TJH1" s="136"/>
      <c r="TJI1" s="136"/>
      <c r="TJJ1" s="136"/>
      <c r="TJK1" s="136"/>
      <c r="TJL1" s="136"/>
      <c r="TJM1" s="136"/>
      <c r="TJN1" s="136"/>
      <c r="TJO1" s="136"/>
      <c r="TJP1" s="136"/>
      <c r="TJQ1" s="136"/>
      <c r="TJR1" s="136"/>
      <c r="TJS1" s="136"/>
      <c r="TJT1" s="136"/>
      <c r="TJU1" s="136"/>
      <c r="TJV1" s="136"/>
      <c r="TJW1" s="136"/>
      <c r="TJX1" s="136"/>
      <c r="TJY1" s="136"/>
      <c r="TJZ1" s="136"/>
      <c r="TKA1" s="136"/>
      <c r="TKB1" s="136"/>
      <c r="TKC1" s="136"/>
      <c r="TKD1" s="136"/>
      <c r="TKE1" s="136"/>
      <c r="TKF1" s="136"/>
      <c r="TKG1" s="136"/>
      <c r="TKH1" s="136"/>
      <c r="TKI1" s="136"/>
      <c r="TKJ1" s="136"/>
      <c r="TKK1" s="136"/>
      <c r="TKL1" s="136"/>
      <c r="TKM1" s="136"/>
      <c r="TKN1" s="136"/>
      <c r="TKO1" s="136"/>
      <c r="TKP1" s="136"/>
      <c r="TKQ1" s="136"/>
      <c r="TKR1" s="136"/>
      <c r="TKS1" s="136"/>
      <c r="TKT1" s="136"/>
      <c r="TKU1" s="136"/>
      <c r="TKV1" s="136"/>
      <c r="TKW1" s="136"/>
      <c r="TKX1" s="136"/>
      <c r="TKY1" s="136"/>
      <c r="TKZ1" s="136"/>
      <c r="TLA1" s="136"/>
      <c r="TLB1" s="136"/>
      <c r="TLC1" s="136"/>
      <c r="TLD1" s="136"/>
      <c r="TLE1" s="136"/>
      <c r="TLF1" s="136"/>
      <c r="TLG1" s="136"/>
      <c r="TLH1" s="136"/>
      <c r="TLI1" s="136"/>
      <c r="TLJ1" s="136"/>
      <c r="TLK1" s="136"/>
      <c r="TLL1" s="136"/>
      <c r="TLM1" s="136"/>
      <c r="TLN1" s="136"/>
      <c r="TLO1" s="136"/>
      <c r="TLP1" s="136"/>
      <c r="TLQ1" s="136"/>
      <c r="TLR1" s="136"/>
      <c r="TLS1" s="136"/>
      <c r="TLT1" s="136"/>
      <c r="TLU1" s="136"/>
      <c r="TLV1" s="136"/>
      <c r="TLW1" s="136"/>
      <c r="TLX1" s="136"/>
      <c r="TLY1" s="136"/>
      <c r="TLZ1" s="136"/>
      <c r="TMA1" s="136"/>
      <c r="TMB1" s="136"/>
      <c r="TMC1" s="136"/>
      <c r="TMD1" s="136"/>
      <c r="TME1" s="136"/>
      <c r="TMF1" s="136"/>
      <c r="TMG1" s="136"/>
      <c r="TMH1" s="136"/>
      <c r="TMI1" s="136"/>
      <c r="TMJ1" s="136"/>
      <c r="TMK1" s="136"/>
      <c r="TML1" s="136"/>
      <c r="TMM1" s="136"/>
      <c r="TMN1" s="136"/>
      <c r="TMO1" s="136"/>
      <c r="TMP1" s="136"/>
      <c r="TMQ1" s="136"/>
      <c r="TMR1" s="136"/>
      <c r="TMS1" s="136"/>
      <c r="TMT1" s="136"/>
      <c r="TMU1" s="136"/>
      <c r="TMV1" s="136"/>
      <c r="TMW1" s="136"/>
      <c r="TMX1" s="136"/>
      <c r="TMY1" s="136"/>
      <c r="TMZ1" s="136"/>
      <c r="TNA1" s="136"/>
      <c r="TNB1" s="136"/>
      <c r="TNC1" s="136"/>
      <c r="TND1" s="136"/>
      <c r="TNE1" s="136"/>
      <c r="TNF1" s="136"/>
      <c r="TNG1" s="136"/>
      <c r="TNH1" s="136"/>
      <c r="TNI1" s="136"/>
      <c r="TNJ1" s="136"/>
      <c r="TNK1" s="136"/>
      <c r="TNL1" s="136"/>
      <c r="TNM1" s="136"/>
      <c r="TNN1" s="136"/>
      <c r="TNO1" s="136"/>
      <c r="TNP1" s="136"/>
      <c r="TNQ1" s="136"/>
      <c r="TNR1" s="136"/>
      <c r="TNS1" s="136"/>
      <c r="TNT1" s="136"/>
      <c r="TNU1" s="136"/>
      <c r="TNV1" s="136"/>
      <c r="TNW1" s="136"/>
      <c r="TNX1" s="136"/>
      <c r="TNY1" s="136"/>
      <c r="TNZ1" s="136"/>
      <c r="TOA1" s="136"/>
      <c r="TOB1" s="136"/>
      <c r="TOC1" s="136"/>
      <c r="TOD1" s="136"/>
      <c r="TOE1" s="136"/>
      <c r="TOF1" s="136"/>
      <c r="TOG1" s="136"/>
      <c r="TOH1" s="136"/>
      <c r="TOI1" s="136"/>
      <c r="TOJ1" s="136"/>
      <c r="TOK1" s="136"/>
      <c r="TOL1" s="136"/>
      <c r="TOM1" s="136"/>
      <c r="TON1" s="136"/>
      <c r="TOO1" s="136"/>
      <c r="TOP1" s="136"/>
      <c r="TOQ1" s="136"/>
      <c r="TOR1" s="136"/>
      <c r="TOS1" s="136"/>
      <c r="TOT1" s="136"/>
      <c r="TOU1" s="136"/>
      <c r="TOV1" s="136"/>
      <c r="TOW1" s="136"/>
      <c r="TOX1" s="136"/>
      <c r="TOY1" s="136"/>
      <c r="TOZ1" s="136"/>
      <c r="TPA1" s="136"/>
      <c r="TPB1" s="136"/>
      <c r="TPC1" s="136"/>
      <c r="TPD1" s="136"/>
      <c r="TPE1" s="136"/>
      <c r="TPF1" s="136"/>
      <c r="TPG1" s="136"/>
      <c r="TPH1" s="136"/>
      <c r="TPI1" s="136"/>
      <c r="TPJ1" s="136"/>
      <c r="TPK1" s="136"/>
      <c r="TPL1" s="136"/>
      <c r="TPM1" s="136"/>
      <c r="TPN1" s="136"/>
      <c r="TPO1" s="136"/>
      <c r="TPP1" s="136"/>
      <c r="TPQ1" s="136"/>
      <c r="TPR1" s="136"/>
      <c r="TPS1" s="136"/>
      <c r="TPT1" s="136"/>
      <c r="TPU1" s="136"/>
      <c r="TPV1" s="136"/>
      <c r="TPW1" s="136"/>
      <c r="TPX1" s="136"/>
      <c r="TPY1" s="136"/>
      <c r="TPZ1" s="136"/>
      <c r="TQA1" s="136"/>
      <c r="TQB1" s="136"/>
      <c r="TQC1" s="136"/>
      <c r="TQD1" s="136"/>
      <c r="TQE1" s="136"/>
      <c r="TQF1" s="136"/>
      <c r="TQG1" s="136"/>
      <c r="TQH1" s="136"/>
      <c r="TQI1" s="136"/>
      <c r="TQJ1" s="136"/>
      <c r="TQK1" s="136"/>
      <c r="TQL1" s="136"/>
      <c r="TQM1" s="136"/>
      <c r="TQN1" s="136"/>
      <c r="TQO1" s="136"/>
      <c r="TQP1" s="136"/>
      <c r="TQQ1" s="136"/>
      <c r="TQR1" s="136"/>
      <c r="TQS1" s="136"/>
      <c r="TQT1" s="136"/>
      <c r="TQU1" s="136"/>
      <c r="TQV1" s="136"/>
      <c r="TQW1" s="136"/>
      <c r="TQX1" s="136"/>
      <c r="TQY1" s="136"/>
      <c r="TQZ1" s="136"/>
      <c r="TRA1" s="136"/>
      <c r="TRB1" s="136"/>
      <c r="TRC1" s="136"/>
      <c r="TRD1" s="136"/>
      <c r="TRE1" s="136"/>
      <c r="TRF1" s="136"/>
      <c r="TRG1" s="136"/>
      <c r="TRH1" s="136"/>
      <c r="TRI1" s="136"/>
      <c r="TRJ1" s="136"/>
      <c r="TRK1" s="136"/>
      <c r="TRL1" s="136"/>
      <c r="TRM1" s="136"/>
      <c r="TRN1" s="136"/>
      <c r="TRO1" s="136"/>
      <c r="TRP1" s="136"/>
      <c r="TRQ1" s="136"/>
      <c r="TRR1" s="136"/>
      <c r="TRS1" s="136"/>
      <c r="TRT1" s="136"/>
      <c r="TRU1" s="136"/>
      <c r="TRV1" s="136"/>
      <c r="TRW1" s="136"/>
      <c r="TRX1" s="136"/>
      <c r="TRY1" s="136"/>
      <c r="TRZ1" s="136"/>
      <c r="TSA1" s="136"/>
      <c r="TSB1" s="136"/>
      <c r="TSC1" s="136"/>
      <c r="TSD1" s="136"/>
      <c r="TSE1" s="136"/>
      <c r="TSF1" s="136"/>
      <c r="TSG1" s="136"/>
      <c r="TSH1" s="136"/>
      <c r="TSI1" s="136"/>
      <c r="TSJ1" s="136"/>
      <c r="TSK1" s="136"/>
      <c r="TSL1" s="136"/>
      <c r="TSM1" s="136"/>
      <c r="TSN1" s="136"/>
      <c r="TSO1" s="136"/>
      <c r="TSP1" s="136"/>
      <c r="TSQ1" s="136"/>
      <c r="TSR1" s="136"/>
      <c r="TSS1" s="136"/>
      <c r="TST1" s="136"/>
      <c r="TSU1" s="136"/>
      <c r="TSV1" s="136"/>
      <c r="TSW1" s="136"/>
      <c r="TSX1" s="136"/>
      <c r="TSY1" s="136"/>
      <c r="TSZ1" s="136"/>
      <c r="TTA1" s="136"/>
      <c r="TTB1" s="136"/>
      <c r="TTC1" s="136"/>
      <c r="TTD1" s="136"/>
      <c r="TTE1" s="136"/>
      <c r="TTF1" s="136"/>
      <c r="TTG1" s="136"/>
      <c r="TTH1" s="136"/>
      <c r="TTI1" s="136"/>
      <c r="TTJ1" s="136"/>
      <c r="TTK1" s="136"/>
      <c r="TTL1" s="136"/>
      <c r="TTM1" s="136"/>
      <c r="TTN1" s="136"/>
      <c r="TTO1" s="136"/>
      <c r="TTP1" s="136"/>
      <c r="TTQ1" s="136"/>
      <c r="TTR1" s="136"/>
      <c r="TTS1" s="136"/>
      <c r="TTT1" s="136"/>
      <c r="TTU1" s="136"/>
      <c r="TTV1" s="136"/>
      <c r="TTW1" s="136"/>
      <c r="TTX1" s="136"/>
      <c r="TTY1" s="136"/>
      <c r="TTZ1" s="136"/>
      <c r="TUA1" s="136"/>
      <c r="TUB1" s="136"/>
      <c r="TUC1" s="136"/>
      <c r="TUD1" s="136"/>
      <c r="TUE1" s="136"/>
      <c r="TUF1" s="136"/>
      <c r="TUG1" s="136"/>
      <c r="TUH1" s="136"/>
      <c r="TUI1" s="136"/>
      <c r="TUJ1" s="136"/>
      <c r="TUK1" s="136"/>
      <c r="TUL1" s="136"/>
      <c r="TUM1" s="136"/>
      <c r="TUN1" s="136"/>
      <c r="TUO1" s="136"/>
      <c r="TUP1" s="136"/>
      <c r="TUQ1" s="136"/>
      <c r="TUR1" s="136"/>
      <c r="TUS1" s="136"/>
      <c r="TUT1" s="136"/>
      <c r="TUU1" s="136"/>
      <c r="TUV1" s="136"/>
      <c r="TUW1" s="136"/>
      <c r="TUX1" s="136"/>
      <c r="TUY1" s="136"/>
      <c r="TUZ1" s="136"/>
      <c r="TVA1" s="136"/>
      <c r="TVB1" s="136"/>
      <c r="TVC1" s="136"/>
      <c r="TVD1" s="136"/>
      <c r="TVE1" s="136"/>
      <c r="TVF1" s="136"/>
      <c r="TVG1" s="136"/>
      <c r="TVH1" s="136"/>
      <c r="TVI1" s="136"/>
      <c r="TVJ1" s="136"/>
      <c r="TVK1" s="136"/>
      <c r="TVL1" s="136"/>
      <c r="TVM1" s="136"/>
      <c r="TVN1" s="136"/>
      <c r="TVO1" s="136"/>
      <c r="TVP1" s="136"/>
      <c r="TVQ1" s="136"/>
      <c r="TVR1" s="136"/>
      <c r="TVS1" s="136"/>
      <c r="TVT1" s="136"/>
      <c r="TVU1" s="136"/>
      <c r="TVV1" s="136"/>
      <c r="TVW1" s="136"/>
      <c r="TVX1" s="136"/>
      <c r="TVY1" s="136"/>
      <c r="TVZ1" s="136"/>
      <c r="TWA1" s="136"/>
      <c r="TWB1" s="136"/>
      <c r="TWC1" s="136"/>
      <c r="TWD1" s="136"/>
      <c r="TWE1" s="136"/>
      <c r="TWF1" s="136"/>
      <c r="TWG1" s="136"/>
      <c r="TWH1" s="136"/>
      <c r="TWI1" s="136"/>
      <c r="TWJ1" s="136"/>
      <c r="TWK1" s="136"/>
      <c r="TWL1" s="136"/>
      <c r="TWM1" s="136"/>
      <c r="TWN1" s="136"/>
      <c r="TWO1" s="136"/>
      <c r="TWP1" s="136"/>
      <c r="TWQ1" s="136"/>
      <c r="TWR1" s="136"/>
      <c r="TWS1" s="136"/>
      <c r="TWT1" s="136"/>
      <c r="TWU1" s="136"/>
      <c r="TWV1" s="136"/>
      <c r="TWW1" s="136"/>
      <c r="TWX1" s="136"/>
      <c r="TWY1" s="136"/>
      <c r="TWZ1" s="136"/>
      <c r="TXA1" s="136"/>
      <c r="TXB1" s="136"/>
      <c r="TXC1" s="136"/>
      <c r="TXD1" s="136"/>
      <c r="TXE1" s="136"/>
      <c r="TXF1" s="136"/>
      <c r="TXG1" s="136"/>
      <c r="TXH1" s="136"/>
      <c r="TXI1" s="136"/>
      <c r="TXJ1" s="136"/>
      <c r="TXK1" s="136"/>
      <c r="TXL1" s="136"/>
      <c r="TXM1" s="136"/>
      <c r="TXN1" s="136"/>
      <c r="TXO1" s="136"/>
      <c r="TXP1" s="136"/>
      <c r="TXQ1" s="136"/>
      <c r="TXR1" s="136"/>
      <c r="TXS1" s="136"/>
      <c r="TXT1" s="136"/>
      <c r="TXU1" s="136"/>
      <c r="TXV1" s="136"/>
      <c r="TXW1" s="136"/>
      <c r="TXX1" s="136"/>
      <c r="TXY1" s="136"/>
      <c r="TXZ1" s="136"/>
      <c r="TYA1" s="136"/>
      <c r="TYB1" s="136"/>
      <c r="TYC1" s="136"/>
      <c r="TYD1" s="136"/>
      <c r="TYE1" s="136"/>
      <c r="TYF1" s="136"/>
      <c r="TYG1" s="136"/>
      <c r="TYH1" s="136"/>
      <c r="TYI1" s="136"/>
      <c r="TYJ1" s="136"/>
      <c r="TYK1" s="136"/>
      <c r="TYL1" s="136"/>
      <c r="TYM1" s="136"/>
      <c r="TYN1" s="136"/>
      <c r="TYO1" s="136"/>
      <c r="TYP1" s="136"/>
      <c r="TYQ1" s="136"/>
      <c r="TYR1" s="136"/>
      <c r="TYS1" s="136"/>
      <c r="TYT1" s="136"/>
      <c r="TYU1" s="136"/>
      <c r="TYV1" s="136"/>
      <c r="TYW1" s="136"/>
      <c r="TYX1" s="136"/>
      <c r="TYY1" s="136"/>
      <c r="TYZ1" s="136"/>
      <c r="TZA1" s="136"/>
      <c r="TZB1" s="136"/>
      <c r="TZC1" s="136"/>
      <c r="TZD1" s="136"/>
      <c r="TZE1" s="136"/>
      <c r="TZF1" s="136"/>
      <c r="TZG1" s="136"/>
      <c r="TZH1" s="136"/>
      <c r="TZI1" s="136"/>
      <c r="TZJ1" s="136"/>
      <c r="TZK1" s="136"/>
      <c r="TZL1" s="136"/>
      <c r="TZM1" s="136"/>
      <c r="TZN1" s="136"/>
      <c r="TZO1" s="136"/>
      <c r="TZP1" s="136"/>
      <c r="TZQ1" s="136"/>
      <c r="TZR1" s="136"/>
      <c r="TZS1" s="136"/>
      <c r="TZT1" s="136"/>
      <c r="TZU1" s="136"/>
      <c r="TZV1" s="136"/>
      <c r="TZW1" s="136"/>
      <c r="TZX1" s="136"/>
      <c r="TZY1" s="136"/>
      <c r="TZZ1" s="136"/>
      <c r="UAA1" s="136"/>
      <c r="UAB1" s="136"/>
      <c r="UAC1" s="136"/>
      <c r="UAD1" s="136"/>
      <c r="UAE1" s="136"/>
      <c r="UAF1" s="136"/>
      <c r="UAG1" s="136"/>
      <c r="UAH1" s="136"/>
      <c r="UAI1" s="136"/>
      <c r="UAJ1" s="136"/>
      <c r="UAK1" s="136"/>
      <c r="UAL1" s="136"/>
      <c r="UAM1" s="136"/>
      <c r="UAN1" s="136"/>
      <c r="UAO1" s="136"/>
      <c r="UAP1" s="136"/>
      <c r="UAQ1" s="136"/>
      <c r="UAR1" s="136"/>
      <c r="UAS1" s="136"/>
      <c r="UAT1" s="136"/>
      <c r="UAU1" s="136"/>
      <c r="UAV1" s="136"/>
      <c r="UAW1" s="136"/>
      <c r="UAX1" s="136"/>
      <c r="UAY1" s="136"/>
      <c r="UAZ1" s="136"/>
      <c r="UBA1" s="136"/>
      <c r="UBB1" s="136"/>
      <c r="UBC1" s="136"/>
      <c r="UBD1" s="136"/>
      <c r="UBE1" s="136"/>
      <c r="UBF1" s="136"/>
      <c r="UBG1" s="136"/>
      <c r="UBH1" s="136"/>
      <c r="UBI1" s="136"/>
      <c r="UBJ1" s="136"/>
      <c r="UBK1" s="136"/>
      <c r="UBL1" s="136"/>
      <c r="UBM1" s="136"/>
      <c r="UBN1" s="136"/>
      <c r="UBO1" s="136"/>
      <c r="UBP1" s="136"/>
      <c r="UBQ1" s="136"/>
      <c r="UBR1" s="136"/>
      <c r="UBS1" s="136"/>
      <c r="UBT1" s="136"/>
      <c r="UBU1" s="136"/>
      <c r="UBV1" s="136"/>
      <c r="UBW1" s="136"/>
      <c r="UBX1" s="136"/>
      <c r="UBY1" s="136"/>
      <c r="UBZ1" s="136"/>
      <c r="UCA1" s="136"/>
      <c r="UCB1" s="136"/>
      <c r="UCC1" s="136"/>
      <c r="UCD1" s="136"/>
      <c r="UCE1" s="136"/>
      <c r="UCF1" s="136"/>
      <c r="UCG1" s="136"/>
      <c r="UCH1" s="136"/>
      <c r="UCI1" s="136"/>
      <c r="UCJ1" s="136"/>
      <c r="UCK1" s="136"/>
      <c r="UCL1" s="136"/>
      <c r="UCM1" s="136"/>
      <c r="UCN1" s="136"/>
      <c r="UCO1" s="136"/>
      <c r="UCP1" s="136"/>
      <c r="UCQ1" s="136"/>
      <c r="UCR1" s="136"/>
      <c r="UCS1" s="136"/>
      <c r="UCT1" s="136"/>
      <c r="UCU1" s="136"/>
      <c r="UCV1" s="136"/>
      <c r="UCW1" s="136"/>
      <c r="UCX1" s="136"/>
      <c r="UCY1" s="136"/>
      <c r="UCZ1" s="136"/>
      <c r="UDA1" s="136"/>
      <c r="UDB1" s="136"/>
      <c r="UDC1" s="136"/>
      <c r="UDD1" s="136"/>
      <c r="UDE1" s="136"/>
      <c r="UDF1" s="136"/>
      <c r="UDG1" s="136"/>
      <c r="UDH1" s="136"/>
      <c r="UDI1" s="136"/>
      <c r="UDJ1" s="136"/>
      <c r="UDK1" s="136"/>
      <c r="UDL1" s="136"/>
      <c r="UDM1" s="136"/>
      <c r="UDN1" s="136"/>
      <c r="UDO1" s="136"/>
      <c r="UDP1" s="136"/>
      <c r="UDQ1" s="136"/>
      <c r="UDR1" s="136"/>
      <c r="UDS1" s="136"/>
      <c r="UDT1" s="136"/>
      <c r="UDU1" s="136"/>
      <c r="UDV1" s="136"/>
      <c r="UDW1" s="136"/>
      <c r="UDX1" s="136"/>
      <c r="UDY1" s="136"/>
      <c r="UDZ1" s="136"/>
      <c r="UEA1" s="136"/>
      <c r="UEB1" s="136"/>
      <c r="UEC1" s="136"/>
      <c r="UED1" s="136"/>
      <c r="UEE1" s="136"/>
      <c r="UEF1" s="136"/>
      <c r="UEG1" s="136"/>
      <c r="UEH1" s="136"/>
      <c r="UEI1" s="136"/>
      <c r="UEJ1" s="136"/>
      <c r="UEK1" s="136"/>
      <c r="UEL1" s="136"/>
      <c r="UEM1" s="136"/>
      <c r="UEN1" s="136"/>
      <c r="UEO1" s="136"/>
      <c r="UEP1" s="136"/>
      <c r="UEQ1" s="136"/>
      <c r="UER1" s="136"/>
      <c r="UES1" s="136"/>
      <c r="UET1" s="136"/>
      <c r="UEU1" s="136"/>
      <c r="UEV1" s="136"/>
      <c r="UEW1" s="136"/>
      <c r="UEX1" s="136"/>
      <c r="UEY1" s="136"/>
      <c r="UEZ1" s="136"/>
      <c r="UFA1" s="136"/>
      <c r="UFB1" s="136"/>
      <c r="UFC1" s="136"/>
      <c r="UFD1" s="136"/>
      <c r="UFE1" s="136"/>
      <c r="UFF1" s="136"/>
      <c r="UFG1" s="136"/>
      <c r="UFH1" s="136"/>
      <c r="UFI1" s="136"/>
      <c r="UFJ1" s="136"/>
      <c r="UFK1" s="136"/>
      <c r="UFL1" s="136"/>
      <c r="UFM1" s="136"/>
      <c r="UFN1" s="136"/>
      <c r="UFO1" s="136"/>
      <c r="UFP1" s="136"/>
      <c r="UFQ1" s="136"/>
      <c r="UFR1" s="136"/>
      <c r="UFS1" s="136"/>
      <c r="UFT1" s="136"/>
      <c r="UFU1" s="136"/>
      <c r="UFV1" s="136"/>
      <c r="UFW1" s="136"/>
      <c r="UFX1" s="136"/>
      <c r="UFY1" s="136"/>
      <c r="UFZ1" s="136"/>
      <c r="UGA1" s="136"/>
      <c r="UGB1" s="136"/>
      <c r="UGC1" s="136"/>
      <c r="UGD1" s="136"/>
      <c r="UGE1" s="136"/>
      <c r="UGF1" s="136"/>
      <c r="UGG1" s="136"/>
      <c r="UGH1" s="136"/>
      <c r="UGI1" s="136"/>
      <c r="UGJ1" s="136"/>
      <c r="UGK1" s="136"/>
      <c r="UGL1" s="136"/>
      <c r="UGM1" s="136"/>
      <c r="UGN1" s="136"/>
      <c r="UGO1" s="136"/>
      <c r="UGP1" s="136"/>
      <c r="UGQ1" s="136"/>
      <c r="UGR1" s="136"/>
      <c r="UGS1" s="136"/>
      <c r="UGT1" s="136"/>
      <c r="UGU1" s="136"/>
      <c r="UGV1" s="136"/>
      <c r="UGW1" s="136"/>
      <c r="UGX1" s="136"/>
      <c r="UGY1" s="136"/>
      <c r="UGZ1" s="136"/>
      <c r="UHA1" s="136"/>
      <c r="UHB1" s="136"/>
      <c r="UHC1" s="136"/>
      <c r="UHD1" s="136"/>
      <c r="UHE1" s="136"/>
      <c r="UHF1" s="136"/>
      <c r="UHG1" s="136"/>
      <c r="UHH1" s="136"/>
      <c r="UHI1" s="136"/>
      <c r="UHJ1" s="136"/>
      <c r="UHK1" s="136"/>
      <c r="UHL1" s="136"/>
      <c r="UHM1" s="136"/>
      <c r="UHN1" s="136"/>
      <c r="UHO1" s="136"/>
      <c r="UHP1" s="136"/>
      <c r="UHQ1" s="136"/>
      <c r="UHR1" s="136"/>
      <c r="UHS1" s="136"/>
      <c r="UHT1" s="136"/>
      <c r="UHU1" s="136"/>
      <c r="UHV1" s="136"/>
      <c r="UHW1" s="136"/>
      <c r="UHX1" s="136"/>
      <c r="UHY1" s="136"/>
      <c r="UHZ1" s="136"/>
      <c r="UIA1" s="136"/>
      <c r="UIB1" s="136"/>
      <c r="UIC1" s="136"/>
      <c r="UID1" s="136"/>
      <c r="UIE1" s="136"/>
      <c r="UIF1" s="136"/>
      <c r="UIG1" s="136"/>
      <c r="UIH1" s="136"/>
      <c r="UII1" s="136"/>
      <c r="UIJ1" s="136"/>
      <c r="UIK1" s="136"/>
      <c r="UIL1" s="136"/>
      <c r="UIM1" s="136"/>
      <c r="UIN1" s="136"/>
      <c r="UIO1" s="136"/>
      <c r="UIP1" s="136"/>
      <c r="UIQ1" s="136"/>
      <c r="UIR1" s="136"/>
      <c r="UIS1" s="136"/>
      <c r="UIT1" s="136"/>
      <c r="UIU1" s="136"/>
      <c r="UIV1" s="136"/>
      <c r="UIW1" s="136"/>
      <c r="UIX1" s="136"/>
      <c r="UIY1" s="136"/>
      <c r="UIZ1" s="136"/>
      <c r="UJA1" s="136"/>
      <c r="UJB1" s="136"/>
      <c r="UJC1" s="136"/>
      <c r="UJD1" s="136"/>
      <c r="UJE1" s="136"/>
      <c r="UJF1" s="136"/>
      <c r="UJG1" s="136"/>
      <c r="UJH1" s="136"/>
      <c r="UJI1" s="136"/>
      <c r="UJJ1" s="136"/>
      <c r="UJK1" s="136"/>
      <c r="UJL1" s="136"/>
      <c r="UJM1" s="136"/>
      <c r="UJN1" s="136"/>
      <c r="UJO1" s="136"/>
      <c r="UJP1" s="136"/>
      <c r="UJQ1" s="136"/>
      <c r="UJR1" s="136"/>
      <c r="UJS1" s="136"/>
      <c r="UJT1" s="136"/>
      <c r="UJU1" s="136"/>
      <c r="UJV1" s="136"/>
      <c r="UJW1" s="136"/>
      <c r="UJX1" s="136"/>
      <c r="UJY1" s="136"/>
      <c r="UJZ1" s="136"/>
      <c r="UKA1" s="136"/>
      <c r="UKB1" s="136"/>
      <c r="UKC1" s="136"/>
      <c r="UKD1" s="136"/>
      <c r="UKE1" s="136"/>
      <c r="UKF1" s="136"/>
      <c r="UKG1" s="136"/>
      <c r="UKH1" s="136"/>
      <c r="UKI1" s="136"/>
      <c r="UKJ1" s="136"/>
      <c r="UKK1" s="136"/>
      <c r="UKL1" s="136"/>
      <c r="UKM1" s="136"/>
      <c r="UKN1" s="136"/>
      <c r="UKO1" s="136"/>
      <c r="UKP1" s="136"/>
      <c r="UKQ1" s="136"/>
      <c r="UKR1" s="136"/>
      <c r="UKS1" s="136"/>
      <c r="UKT1" s="136"/>
      <c r="UKU1" s="136"/>
      <c r="UKV1" s="136"/>
      <c r="UKW1" s="136"/>
      <c r="UKX1" s="136"/>
      <c r="UKY1" s="136"/>
      <c r="UKZ1" s="136"/>
      <c r="ULA1" s="136"/>
      <c r="ULB1" s="136"/>
      <c r="ULC1" s="136"/>
      <c r="ULD1" s="136"/>
      <c r="ULE1" s="136"/>
      <c r="ULF1" s="136"/>
      <c r="ULG1" s="136"/>
      <c r="ULH1" s="136"/>
      <c r="ULI1" s="136"/>
      <c r="ULJ1" s="136"/>
      <c r="ULK1" s="136"/>
      <c r="ULL1" s="136"/>
      <c r="ULM1" s="136"/>
      <c r="ULN1" s="136"/>
      <c r="ULO1" s="136"/>
      <c r="ULP1" s="136"/>
      <c r="ULQ1" s="136"/>
      <c r="ULR1" s="136"/>
      <c r="ULS1" s="136"/>
      <c r="ULT1" s="136"/>
      <c r="ULU1" s="136"/>
      <c r="ULV1" s="136"/>
      <c r="ULW1" s="136"/>
      <c r="ULX1" s="136"/>
      <c r="ULY1" s="136"/>
      <c r="ULZ1" s="136"/>
      <c r="UMA1" s="136"/>
      <c r="UMB1" s="136"/>
      <c r="UMC1" s="136"/>
      <c r="UMD1" s="136"/>
      <c r="UME1" s="136"/>
      <c r="UMF1" s="136"/>
      <c r="UMG1" s="136"/>
      <c r="UMH1" s="136"/>
      <c r="UMI1" s="136"/>
      <c r="UMJ1" s="136"/>
      <c r="UMK1" s="136"/>
      <c r="UML1" s="136"/>
      <c r="UMM1" s="136"/>
      <c r="UMN1" s="136"/>
      <c r="UMO1" s="136"/>
      <c r="UMP1" s="136"/>
      <c r="UMQ1" s="136"/>
      <c r="UMR1" s="136"/>
      <c r="UMS1" s="136"/>
      <c r="UMT1" s="136"/>
      <c r="UMU1" s="136"/>
      <c r="UMV1" s="136"/>
      <c r="UMW1" s="136"/>
      <c r="UMX1" s="136"/>
      <c r="UMY1" s="136"/>
      <c r="UMZ1" s="136"/>
      <c r="UNA1" s="136"/>
      <c r="UNB1" s="136"/>
      <c r="UNC1" s="136"/>
      <c r="UND1" s="136"/>
      <c r="UNE1" s="136"/>
      <c r="UNF1" s="136"/>
      <c r="UNG1" s="136"/>
      <c r="UNH1" s="136"/>
      <c r="UNI1" s="136"/>
      <c r="UNJ1" s="136"/>
      <c r="UNK1" s="136"/>
      <c r="UNL1" s="136"/>
      <c r="UNM1" s="136"/>
      <c r="UNN1" s="136"/>
      <c r="UNO1" s="136"/>
      <c r="UNP1" s="136"/>
      <c r="UNQ1" s="136"/>
      <c r="UNR1" s="136"/>
      <c r="UNS1" s="136"/>
      <c r="UNT1" s="136"/>
      <c r="UNU1" s="136"/>
      <c r="UNV1" s="136"/>
      <c r="UNW1" s="136"/>
      <c r="UNX1" s="136"/>
      <c r="UNY1" s="136"/>
      <c r="UNZ1" s="136"/>
      <c r="UOA1" s="136"/>
      <c r="UOB1" s="136"/>
      <c r="UOC1" s="136"/>
      <c r="UOD1" s="136"/>
      <c r="UOE1" s="136"/>
      <c r="UOF1" s="136"/>
      <c r="UOG1" s="136"/>
      <c r="UOH1" s="136"/>
      <c r="UOI1" s="136"/>
      <c r="UOJ1" s="136"/>
      <c r="UOK1" s="136"/>
      <c r="UOL1" s="136"/>
      <c r="UOM1" s="136"/>
      <c r="UON1" s="136"/>
      <c r="UOO1" s="136"/>
      <c r="UOP1" s="136"/>
      <c r="UOQ1" s="136"/>
      <c r="UOR1" s="136"/>
      <c r="UOS1" s="136"/>
      <c r="UOT1" s="136"/>
      <c r="UOU1" s="136"/>
      <c r="UOV1" s="136"/>
      <c r="UOW1" s="136"/>
      <c r="UOX1" s="136"/>
      <c r="UOY1" s="136"/>
      <c r="UOZ1" s="136"/>
      <c r="UPA1" s="136"/>
      <c r="UPB1" s="136"/>
      <c r="UPC1" s="136"/>
      <c r="UPD1" s="136"/>
      <c r="UPE1" s="136"/>
      <c r="UPF1" s="136"/>
      <c r="UPG1" s="136"/>
      <c r="UPH1" s="136"/>
      <c r="UPI1" s="136"/>
      <c r="UPJ1" s="136"/>
      <c r="UPK1" s="136"/>
      <c r="UPL1" s="136"/>
      <c r="UPM1" s="136"/>
      <c r="UPN1" s="136"/>
      <c r="UPO1" s="136"/>
      <c r="UPP1" s="136"/>
      <c r="UPQ1" s="136"/>
      <c r="UPR1" s="136"/>
      <c r="UPS1" s="136"/>
      <c r="UPT1" s="136"/>
      <c r="UPU1" s="136"/>
      <c r="UPV1" s="136"/>
      <c r="UPW1" s="136"/>
      <c r="UPX1" s="136"/>
      <c r="UPY1" s="136"/>
      <c r="UPZ1" s="136"/>
      <c r="UQA1" s="136"/>
      <c r="UQB1" s="136"/>
      <c r="UQC1" s="136"/>
      <c r="UQD1" s="136"/>
      <c r="UQE1" s="136"/>
      <c r="UQF1" s="136"/>
      <c r="UQG1" s="136"/>
      <c r="UQH1" s="136"/>
      <c r="UQI1" s="136"/>
      <c r="UQJ1" s="136"/>
      <c r="UQK1" s="136"/>
      <c r="UQL1" s="136"/>
      <c r="UQM1" s="136"/>
      <c r="UQN1" s="136"/>
      <c r="UQO1" s="136"/>
      <c r="UQP1" s="136"/>
      <c r="UQQ1" s="136"/>
      <c r="UQR1" s="136"/>
      <c r="UQS1" s="136"/>
      <c r="UQT1" s="136"/>
      <c r="UQU1" s="136"/>
      <c r="UQV1" s="136"/>
      <c r="UQW1" s="136"/>
      <c r="UQX1" s="136"/>
      <c r="UQY1" s="136"/>
      <c r="UQZ1" s="136"/>
      <c r="URA1" s="136"/>
      <c r="URB1" s="136"/>
      <c r="URC1" s="136"/>
      <c r="URD1" s="136"/>
      <c r="URE1" s="136"/>
      <c r="URF1" s="136"/>
      <c r="URG1" s="136"/>
      <c r="URH1" s="136"/>
      <c r="URI1" s="136"/>
      <c r="URJ1" s="136"/>
      <c r="URK1" s="136"/>
      <c r="URL1" s="136"/>
      <c r="URM1" s="136"/>
      <c r="URN1" s="136"/>
      <c r="URO1" s="136"/>
      <c r="URP1" s="136"/>
      <c r="URQ1" s="136"/>
      <c r="URR1" s="136"/>
      <c r="URS1" s="136"/>
      <c r="URT1" s="136"/>
      <c r="URU1" s="136"/>
      <c r="URV1" s="136"/>
      <c r="URW1" s="136"/>
      <c r="URX1" s="136"/>
      <c r="URY1" s="136"/>
      <c r="URZ1" s="136"/>
      <c r="USA1" s="136"/>
      <c r="USB1" s="136"/>
      <c r="USC1" s="136"/>
      <c r="USD1" s="136"/>
      <c r="USE1" s="136"/>
      <c r="USF1" s="136"/>
      <c r="USG1" s="136"/>
      <c r="USH1" s="136"/>
      <c r="USI1" s="136"/>
      <c r="USJ1" s="136"/>
      <c r="USK1" s="136"/>
      <c r="USL1" s="136"/>
      <c r="USM1" s="136"/>
      <c r="USN1" s="136"/>
      <c r="USO1" s="136"/>
      <c r="USP1" s="136"/>
      <c r="USQ1" s="136"/>
      <c r="USR1" s="136"/>
      <c r="USS1" s="136"/>
      <c r="UST1" s="136"/>
      <c r="USU1" s="136"/>
      <c r="USV1" s="136"/>
      <c r="USW1" s="136"/>
      <c r="USX1" s="136"/>
      <c r="USY1" s="136"/>
      <c r="USZ1" s="136"/>
      <c r="UTA1" s="136"/>
      <c r="UTB1" s="136"/>
      <c r="UTC1" s="136"/>
      <c r="UTD1" s="136"/>
      <c r="UTE1" s="136"/>
      <c r="UTF1" s="136"/>
      <c r="UTG1" s="136"/>
      <c r="UTH1" s="136"/>
      <c r="UTI1" s="136"/>
      <c r="UTJ1" s="136"/>
      <c r="UTK1" s="136"/>
      <c r="UTL1" s="136"/>
      <c r="UTM1" s="136"/>
      <c r="UTN1" s="136"/>
      <c r="UTO1" s="136"/>
      <c r="UTP1" s="136"/>
      <c r="UTQ1" s="136"/>
      <c r="UTR1" s="136"/>
      <c r="UTS1" s="136"/>
      <c r="UTT1" s="136"/>
      <c r="UTU1" s="136"/>
      <c r="UTV1" s="136"/>
      <c r="UTW1" s="136"/>
      <c r="UTX1" s="136"/>
      <c r="UTY1" s="136"/>
      <c r="UTZ1" s="136"/>
      <c r="UUA1" s="136"/>
      <c r="UUB1" s="136"/>
      <c r="UUC1" s="136"/>
      <c r="UUD1" s="136"/>
      <c r="UUE1" s="136"/>
      <c r="UUF1" s="136"/>
      <c r="UUG1" s="136"/>
      <c r="UUH1" s="136"/>
      <c r="UUI1" s="136"/>
      <c r="UUJ1" s="136"/>
      <c r="UUK1" s="136"/>
      <c r="UUL1" s="136"/>
      <c r="UUM1" s="136"/>
      <c r="UUN1" s="136"/>
      <c r="UUO1" s="136"/>
      <c r="UUP1" s="136"/>
      <c r="UUQ1" s="136"/>
      <c r="UUR1" s="136"/>
      <c r="UUS1" s="136"/>
      <c r="UUT1" s="136"/>
      <c r="UUU1" s="136"/>
      <c r="UUV1" s="136"/>
      <c r="UUW1" s="136"/>
      <c r="UUX1" s="136"/>
      <c r="UUY1" s="136"/>
      <c r="UUZ1" s="136"/>
      <c r="UVA1" s="136"/>
      <c r="UVB1" s="136"/>
      <c r="UVC1" s="136"/>
      <c r="UVD1" s="136"/>
      <c r="UVE1" s="136"/>
      <c r="UVF1" s="136"/>
      <c r="UVG1" s="136"/>
      <c r="UVH1" s="136"/>
      <c r="UVI1" s="136"/>
      <c r="UVJ1" s="136"/>
      <c r="UVK1" s="136"/>
      <c r="UVL1" s="136"/>
      <c r="UVM1" s="136"/>
      <c r="UVN1" s="136"/>
      <c r="UVO1" s="136"/>
      <c r="UVP1" s="136"/>
      <c r="UVQ1" s="136"/>
      <c r="UVR1" s="136"/>
      <c r="UVS1" s="136"/>
      <c r="UVT1" s="136"/>
      <c r="UVU1" s="136"/>
      <c r="UVV1" s="136"/>
      <c r="UVW1" s="136"/>
      <c r="UVX1" s="136"/>
      <c r="UVY1" s="136"/>
      <c r="UVZ1" s="136"/>
      <c r="UWA1" s="136"/>
      <c r="UWB1" s="136"/>
      <c r="UWC1" s="136"/>
      <c r="UWD1" s="136"/>
      <c r="UWE1" s="136"/>
      <c r="UWF1" s="136"/>
      <c r="UWG1" s="136"/>
      <c r="UWH1" s="136"/>
      <c r="UWI1" s="136"/>
      <c r="UWJ1" s="136"/>
      <c r="UWK1" s="136"/>
      <c r="UWL1" s="136"/>
      <c r="UWM1" s="136"/>
      <c r="UWN1" s="136"/>
      <c r="UWO1" s="136"/>
      <c r="UWP1" s="136"/>
      <c r="UWQ1" s="136"/>
      <c r="UWR1" s="136"/>
      <c r="UWS1" s="136"/>
      <c r="UWT1" s="136"/>
      <c r="UWU1" s="136"/>
      <c r="UWV1" s="136"/>
      <c r="UWW1" s="136"/>
      <c r="UWX1" s="136"/>
      <c r="UWY1" s="136"/>
      <c r="UWZ1" s="136"/>
      <c r="UXA1" s="136"/>
      <c r="UXB1" s="136"/>
      <c r="UXC1" s="136"/>
      <c r="UXD1" s="136"/>
      <c r="UXE1" s="136"/>
      <c r="UXF1" s="136"/>
      <c r="UXG1" s="136"/>
      <c r="UXH1" s="136"/>
      <c r="UXI1" s="136"/>
      <c r="UXJ1" s="136"/>
      <c r="UXK1" s="136"/>
      <c r="UXL1" s="136"/>
      <c r="UXM1" s="136"/>
      <c r="UXN1" s="136"/>
      <c r="UXO1" s="136"/>
      <c r="UXP1" s="136"/>
      <c r="UXQ1" s="136"/>
      <c r="UXR1" s="136"/>
      <c r="UXS1" s="136"/>
      <c r="UXT1" s="136"/>
      <c r="UXU1" s="136"/>
      <c r="UXV1" s="136"/>
      <c r="UXW1" s="136"/>
      <c r="UXX1" s="136"/>
      <c r="UXY1" s="136"/>
      <c r="UXZ1" s="136"/>
      <c r="UYA1" s="136"/>
      <c r="UYB1" s="136"/>
      <c r="UYC1" s="136"/>
      <c r="UYD1" s="136"/>
      <c r="UYE1" s="136"/>
      <c r="UYF1" s="136"/>
      <c r="UYG1" s="136"/>
      <c r="UYH1" s="136"/>
      <c r="UYI1" s="136"/>
      <c r="UYJ1" s="136"/>
      <c r="UYK1" s="136"/>
      <c r="UYL1" s="136"/>
      <c r="UYM1" s="136"/>
      <c r="UYN1" s="136"/>
      <c r="UYO1" s="136"/>
      <c r="UYP1" s="136"/>
      <c r="UYQ1" s="136"/>
      <c r="UYR1" s="136"/>
      <c r="UYS1" s="136"/>
      <c r="UYT1" s="136"/>
      <c r="UYU1" s="136"/>
      <c r="UYV1" s="136"/>
      <c r="UYW1" s="136"/>
      <c r="UYX1" s="136"/>
      <c r="UYY1" s="136"/>
      <c r="UYZ1" s="136"/>
      <c r="UZA1" s="136"/>
      <c r="UZB1" s="136"/>
      <c r="UZC1" s="136"/>
      <c r="UZD1" s="136"/>
      <c r="UZE1" s="136"/>
      <c r="UZF1" s="136"/>
      <c r="UZG1" s="136"/>
      <c r="UZH1" s="136"/>
      <c r="UZI1" s="136"/>
      <c r="UZJ1" s="136"/>
      <c r="UZK1" s="136"/>
      <c r="UZL1" s="136"/>
      <c r="UZM1" s="136"/>
      <c r="UZN1" s="136"/>
      <c r="UZO1" s="136"/>
      <c r="UZP1" s="136"/>
      <c r="UZQ1" s="136"/>
      <c r="UZR1" s="136"/>
      <c r="UZS1" s="136"/>
      <c r="UZT1" s="136"/>
      <c r="UZU1" s="136"/>
      <c r="UZV1" s="136"/>
      <c r="UZW1" s="136"/>
      <c r="UZX1" s="136"/>
      <c r="UZY1" s="136"/>
      <c r="UZZ1" s="136"/>
      <c r="VAA1" s="136"/>
      <c r="VAB1" s="136"/>
      <c r="VAC1" s="136"/>
      <c r="VAD1" s="136"/>
      <c r="VAE1" s="136"/>
      <c r="VAF1" s="136"/>
      <c r="VAG1" s="136"/>
      <c r="VAH1" s="136"/>
      <c r="VAI1" s="136"/>
      <c r="VAJ1" s="136"/>
      <c r="VAK1" s="136"/>
      <c r="VAL1" s="136"/>
      <c r="VAM1" s="136"/>
      <c r="VAN1" s="136"/>
      <c r="VAO1" s="136"/>
      <c r="VAP1" s="136"/>
      <c r="VAQ1" s="136"/>
      <c r="VAR1" s="136"/>
      <c r="VAS1" s="136"/>
      <c r="VAT1" s="136"/>
      <c r="VAU1" s="136"/>
      <c r="VAV1" s="136"/>
      <c r="VAW1" s="136"/>
      <c r="VAX1" s="136"/>
      <c r="VAY1" s="136"/>
      <c r="VAZ1" s="136"/>
      <c r="VBA1" s="136"/>
      <c r="VBB1" s="136"/>
      <c r="VBC1" s="136"/>
      <c r="VBD1" s="136"/>
      <c r="VBE1" s="136"/>
      <c r="VBF1" s="136"/>
      <c r="VBG1" s="136"/>
      <c r="VBH1" s="136"/>
      <c r="VBI1" s="136"/>
      <c r="VBJ1" s="136"/>
      <c r="VBK1" s="136"/>
      <c r="VBL1" s="136"/>
      <c r="VBM1" s="136"/>
      <c r="VBN1" s="136"/>
      <c r="VBO1" s="136"/>
      <c r="VBP1" s="136"/>
      <c r="VBQ1" s="136"/>
      <c r="VBR1" s="136"/>
      <c r="VBS1" s="136"/>
      <c r="VBT1" s="136"/>
      <c r="VBU1" s="136"/>
      <c r="VBV1" s="136"/>
      <c r="VBW1" s="136"/>
      <c r="VBX1" s="136"/>
      <c r="VBY1" s="136"/>
      <c r="VBZ1" s="136"/>
      <c r="VCA1" s="136"/>
      <c r="VCB1" s="136"/>
      <c r="VCC1" s="136"/>
      <c r="VCD1" s="136"/>
      <c r="VCE1" s="136"/>
      <c r="VCF1" s="136"/>
      <c r="VCG1" s="136"/>
      <c r="VCH1" s="136"/>
      <c r="VCI1" s="136"/>
      <c r="VCJ1" s="136"/>
      <c r="VCK1" s="136"/>
      <c r="VCL1" s="136"/>
      <c r="VCM1" s="136"/>
      <c r="VCN1" s="136"/>
      <c r="VCO1" s="136"/>
      <c r="VCP1" s="136"/>
      <c r="VCQ1" s="136"/>
      <c r="VCR1" s="136"/>
      <c r="VCS1" s="136"/>
      <c r="VCT1" s="136"/>
      <c r="VCU1" s="136"/>
      <c r="VCV1" s="136"/>
      <c r="VCW1" s="136"/>
      <c r="VCX1" s="136"/>
      <c r="VCY1" s="136"/>
      <c r="VCZ1" s="136"/>
      <c r="VDA1" s="136"/>
      <c r="VDB1" s="136"/>
      <c r="VDC1" s="136"/>
      <c r="VDD1" s="136"/>
      <c r="VDE1" s="136"/>
      <c r="VDF1" s="136"/>
      <c r="VDG1" s="136"/>
      <c r="VDH1" s="136"/>
      <c r="VDI1" s="136"/>
      <c r="VDJ1" s="136"/>
      <c r="VDK1" s="136"/>
      <c r="VDL1" s="136"/>
      <c r="VDM1" s="136"/>
      <c r="VDN1" s="136"/>
      <c r="VDO1" s="136"/>
      <c r="VDP1" s="136"/>
      <c r="VDQ1" s="136"/>
      <c r="VDR1" s="136"/>
      <c r="VDS1" s="136"/>
      <c r="VDT1" s="136"/>
      <c r="VDU1" s="136"/>
      <c r="VDV1" s="136"/>
      <c r="VDW1" s="136"/>
      <c r="VDX1" s="136"/>
      <c r="VDY1" s="136"/>
      <c r="VDZ1" s="136"/>
      <c r="VEA1" s="136"/>
      <c r="VEB1" s="136"/>
      <c r="VEC1" s="136"/>
      <c r="VED1" s="136"/>
      <c r="VEE1" s="136"/>
      <c r="VEF1" s="136"/>
      <c r="VEG1" s="136"/>
      <c r="VEH1" s="136"/>
      <c r="VEI1" s="136"/>
      <c r="VEJ1" s="136"/>
      <c r="VEK1" s="136"/>
      <c r="VEL1" s="136"/>
      <c r="VEM1" s="136"/>
      <c r="VEN1" s="136"/>
      <c r="VEO1" s="136"/>
      <c r="VEP1" s="136"/>
      <c r="VEQ1" s="136"/>
      <c r="VER1" s="136"/>
      <c r="VES1" s="136"/>
      <c r="VET1" s="136"/>
      <c r="VEU1" s="136"/>
      <c r="VEV1" s="136"/>
      <c r="VEW1" s="136"/>
      <c r="VEX1" s="136"/>
      <c r="VEY1" s="136"/>
      <c r="VEZ1" s="136"/>
      <c r="VFA1" s="136"/>
      <c r="VFB1" s="136"/>
      <c r="VFC1" s="136"/>
      <c r="VFD1" s="136"/>
      <c r="VFE1" s="136"/>
      <c r="VFF1" s="136"/>
      <c r="VFG1" s="136"/>
      <c r="VFH1" s="136"/>
      <c r="VFI1" s="136"/>
      <c r="VFJ1" s="136"/>
      <c r="VFK1" s="136"/>
      <c r="VFL1" s="136"/>
      <c r="VFM1" s="136"/>
      <c r="VFN1" s="136"/>
      <c r="VFO1" s="136"/>
      <c r="VFP1" s="136"/>
      <c r="VFQ1" s="136"/>
      <c r="VFR1" s="136"/>
      <c r="VFS1" s="136"/>
      <c r="VFT1" s="136"/>
      <c r="VFU1" s="136"/>
      <c r="VFV1" s="136"/>
      <c r="VFW1" s="136"/>
      <c r="VFX1" s="136"/>
      <c r="VFY1" s="136"/>
      <c r="VFZ1" s="136"/>
      <c r="VGA1" s="136"/>
      <c r="VGB1" s="136"/>
      <c r="VGC1" s="136"/>
      <c r="VGD1" s="136"/>
      <c r="VGE1" s="136"/>
      <c r="VGF1" s="136"/>
      <c r="VGG1" s="136"/>
      <c r="VGH1" s="136"/>
      <c r="VGI1" s="136"/>
      <c r="VGJ1" s="136"/>
      <c r="VGK1" s="136"/>
      <c r="VGL1" s="136"/>
      <c r="VGM1" s="136"/>
      <c r="VGN1" s="136"/>
      <c r="VGO1" s="136"/>
      <c r="VGP1" s="136"/>
      <c r="VGQ1" s="136"/>
      <c r="VGR1" s="136"/>
      <c r="VGS1" s="136"/>
      <c r="VGT1" s="136"/>
      <c r="VGU1" s="136"/>
      <c r="VGV1" s="136"/>
      <c r="VGW1" s="136"/>
      <c r="VGX1" s="136"/>
      <c r="VGY1" s="136"/>
      <c r="VGZ1" s="136"/>
      <c r="VHA1" s="136"/>
      <c r="VHB1" s="136"/>
      <c r="VHC1" s="136"/>
      <c r="VHD1" s="136"/>
      <c r="VHE1" s="136"/>
      <c r="VHF1" s="136"/>
      <c r="VHG1" s="136"/>
      <c r="VHH1" s="136"/>
      <c r="VHI1" s="136"/>
      <c r="VHJ1" s="136"/>
      <c r="VHK1" s="136"/>
      <c r="VHL1" s="136"/>
      <c r="VHM1" s="136"/>
      <c r="VHN1" s="136"/>
      <c r="VHO1" s="136"/>
      <c r="VHP1" s="136"/>
      <c r="VHQ1" s="136"/>
      <c r="VHR1" s="136"/>
      <c r="VHS1" s="136"/>
      <c r="VHT1" s="136"/>
      <c r="VHU1" s="136"/>
      <c r="VHV1" s="136"/>
      <c r="VHW1" s="136"/>
      <c r="VHX1" s="136"/>
      <c r="VHY1" s="136"/>
      <c r="VHZ1" s="136"/>
      <c r="VIA1" s="136"/>
      <c r="VIB1" s="136"/>
      <c r="VIC1" s="136"/>
      <c r="VID1" s="136"/>
      <c r="VIE1" s="136"/>
      <c r="VIF1" s="136"/>
      <c r="VIG1" s="136"/>
      <c r="VIH1" s="136"/>
      <c r="VII1" s="136"/>
      <c r="VIJ1" s="136"/>
      <c r="VIK1" s="136"/>
      <c r="VIL1" s="136"/>
      <c r="VIM1" s="136"/>
      <c r="VIN1" s="136"/>
      <c r="VIO1" s="136"/>
      <c r="VIP1" s="136"/>
      <c r="VIQ1" s="136"/>
      <c r="VIR1" s="136"/>
      <c r="VIS1" s="136"/>
      <c r="VIT1" s="136"/>
      <c r="VIU1" s="136"/>
      <c r="VIV1" s="136"/>
      <c r="VIW1" s="136"/>
      <c r="VIX1" s="136"/>
      <c r="VIY1" s="136"/>
      <c r="VIZ1" s="136"/>
      <c r="VJA1" s="136"/>
      <c r="VJB1" s="136"/>
      <c r="VJC1" s="136"/>
      <c r="VJD1" s="136"/>
      <c r="VJE1" s="136"/>
      <c r="VJF1" s="136"/>
      <c r="VJG1" s="136"/>
      <c r="VJH1" s="136"/>
      <c r="VJI1" s="136"/>
      <c r="VJJ1" s="136"/>
      <c r="VJK1" s="136"/>
      <c r="VJL1" s="136"/>
      <c r="VJM1" s="136"/>
      <c r="VJN1" s="136"/>
      <c r="VJO1" s="136"/>
      <c r="VJP1" s="136"/>
      <c r="VJQ1" s="136"/>
      <c r="VJR1" s="136"/>
      <c r="VJS1" s="136"/>
      <c r="VJT1" s="136"/>
      <c r="VJU1" s="136"/>
      <c r="VJV1" s="136"/>
      <c r="VJW1" s="136"/>
      <c r="VJX1" s="136"/>
      <c r="VJY1" s="136"/>
      <c r="VJZ1" s="136"/>
      <c r="VKA1" s="136"/>
      <c r="VKB1" s="136"/>
      <c r="VKC1" s="136"/>
      <c r="VKD1" s="136"/>
      <c r="VKE1" s="136"/>
      <c r="VKF1" s="136"/>
      <c r="VKG1" s="136"/>
      <c r="VKH1" s="136"/>
      <c r="VKI1" s="136"/>
      <c r="VKJ1" s="136"/>
      <c r="VKK1" s="136"/>
      <c r="VKL1" s="136"/>
      <c r="VKM1" s="136"/>
      <c r="VKN1" s="136"/>
      <c r="VKO1" s="136"/>
      <c r="VKP1" s="136"/>
      <c r="VKQ1" s="136"/>
      <c r="VKR1" s="136"/>
      <c r="VKS1" s="136"/>
      <c r="VKT1" s="136"/>
      <c r="VKU1" s="136"/>
      <c r="VKV1" s="136"/>
      <c r="VKW1" s="136"/>
      <c r="VKX1" s="136"/>
      <c r="VKY1" s="136"/>
      <c r="VKZ1" s="136"/>
      <c r="VLA1" s="136"/>
      <c r="VLB1" s="136"/>
      <c r="VLC1" s="136"/>
      <c r="VLD1" s="136"/>
      <c r="VLE1" s="136"/>
      <c r="VLF1" s="136"/>
      <c r="VLG1" s="136"/>
      <c r="VLH1" s="136"/>
      <c r="VLI1" s="136"/>
      <c r="VLJ1" s="136"/>
      <c r="VLK1" s="136"/>
      <c r="VLL1" s="136"/>
      <c r="VLM1" s="136"/>
      <c r="VLN1" s="136"/>
      <c r="VLO1" s="136"/>
      <c r="VLP1" s="136"/>
      <c r="VLQ1" s="136"/>
      <c r="VLR1" s="136"/>
      <c r="VLS1" s="136"/>
      <c r="VLT1" s="136"/>
      <c r="VLU1" s="136"/>
      <c r="VLV1" s="136"/>
      <c r="VLW1" s="136"/>
      <c r="VLX1" s="136"/>
      <c r="VLY1" s="136"/>
      <c r="VLZ1" s="136"/>
      <c r="VMA1" s="136"/>
      <c r="VMB1" s="136"/>
      <c r="VMC1" s="136"/>
      <c r="VMD1" s="136"/>
      <c r="VME1" s="136"/>
      <c r="VMF1" s="136"/>
      <c r="VMG1" s="136"/>
      <c r="VMH1" s="136"/>
      <c r="VMI1" s="136"/>
      <c r="VMJ1" s="136"/>
      <c r="VMK1" s="136"/>
      <c r="VML1" s="136"/>
      <c r="VMM1" s="136"/>
      <c r="VMN1" s="136"/>
      <c r="VMO1" s="136"/>
      <c r="VMP1" s="136"/>
      <c r="VMQ1" s="136"/>
      <c r="VMR1" s="136"/>
      <c r="VMS1" s="136"/>
      <c r="VMT1" s="136"/>
      <c r="VMU1" s="136"/>
      <c r="VMV1" s="136"/>
      <c r="VMW1" s="136"/>
      <c r="VMX1" s="136"/>
      <c r="VMY1" s="136"/>
      <c r="VMZ1" s="136"/>
      <c r="VNA1" s="136"/>
      <c r="VNB1" s="136"/>
      <c r="VNC1" s="136"/>
      <c r="VND1" s="136"/>
      <c r="VNE1" s="136"/>
      <c r="VNF1" s="136"/>
      <c r="VNG1" s="136"/>
      <c r="VNH1" s="136"/>
      <c r="VNI1" s="136"/>
      <c r="VNJ1" s="136"/>
      <c r="VNK1" s="136"/>
      <c r="VNL1" s="136"/>
      <c r="VNM1" s="136"/>
      <c r="VNN1" s="136"/>
      <c r="VNO1" s="136"/>
      <c r="VNP1" s="136"/>
      <c r="VNQ1" s="136"/>
      <c r="VNR1" s="136"/>
      <c r="VNS1" s="136"/>
      <c r="VNT1" s="136"/>
      <c r="VNU1" s="136"/>
      <c r="VNV1" s="136"/>
      <c r="VNW1" s="136"/>
      <c r="VNX1" s="136"/>
      <c r="VNY1" s="136"/>
      <c r="VNZ1" s="136"/>
      <c r="VOA1" s="136"/>
      <c r="VOB1" s="136"/>
      <c r="VOC1" s="136"/>
      <c r="VOD1" s="136"/>
      <c r="VOE1" s="136"/>
      <c r="VOF1" s="136"/>
      <c r="VOG1" s="136"/>
      <c r="VOH1" s="136"/>
      <c r="VOI1" s="136"/>
      <c r="VOJ1" s="136"/>
      <c r="VOK1" s="136"/>
      <c r="VOL1" s="136"/>
      <c r="VOM1" s="136"/>
      <c r="VON1" s="136"/>
      <c r="VOO1" s="136"/>
      <c r="VOP1" s="136"/>
      <c r="VOQ1" s="136"/>
      <c r="VOR1" s="136"/>
      <c r="VOS1" s="136"/>
      <c r="VOT1" s="136"/>
      <c r="VOU1" s="136"/>
      <c r="VOV1" s="136"/>
      <c r="VOW1" s="136"/>
      <c r="VOX1" s="136"/>
      <c r="VOY1" s="136"/>
      <c r="VOZ1" s="136"/>
      <c r="VPA1" s="136"/>
      <c r="VPB1" s="136"/>
      <c r="VPC1" s="136"/>
      <c r="VPD1" s="136"/>
      <c r="VPE1" s="136"/>
      <c r="VPF1" s="136"/>
      <c r="VPG1" s="136"/>
      <c r="VPH1" s="136"/>
      <c r="VPI1" s="136"/>
      <c r="VPJ1" s="136"/>
      <c r="VPK1" s="136"/>
      <c r="VPL1" s="136"/>
      <c r="VPM1" s="136"/>
      <c r="VPN1" s="136"/>
      <c r="VPO1" s="136"/>
      <c r="VPP1" s="136"/>
      <c r="VPQ1" s="136"/>
      <c r="VPR1" s="136"/>
      <c r="VPS1" s="136"/>
      <c r="VPT1" s="136"/>
      <c r="VPU1" s="136"/>
      <c r="VPV1" s="136"/>
      <c r="VPW1" s="136"/>
      <c r="VPX1" s="136"/>
      <c r="VPY1" s="136"/>
      <c r="VPZ1" s="136"/>
      <c r="VQA1" s="136"/>
      <c r="VQB1" s="136"/>
      <c r="VQC1" s="136"/>
      <c r="VQD1" s="136"/>
      <c r="VQE1" s="136"/>
      <c r="VQF1" s="136"/>
      <c r="VQG1" s="136"/>
      <c r="VQH1" s="136"/>
      <c r="VQI1" s="136"/>
      <c r="VQJ1" s="136"/>
      <c r="VQK1" s="136"/>
      <c r="VQL1" s="136"/>
      <c r="VQM1" s="136"/>
      <c r="VQN1" s="136"/>
      <c r="VQO1" s="136"/>
      <c r="VQP1" s="136"/>
      <c r="VQQ1" s="136"/>
      <c r="VQR1" s="136"/>
      <c r="VQS1" s="136"/>
      <c r="VQT1" s="136"/>
      <c r="VQU1" s="136"/>
      <c r="VQV1" s="136"/>
      <c r="VQW1" s="136"/>
      <c r="VQX1" s="136"/>
      <c r="VQY1" s="136"/>
      <c r="VQZ1" s="136"/>
      <c r="VRA1" s="136"/>
      <c r="VRB1" s="136"/>
      <c r="VRC1" s="136"/>
      <c r="VRD1" s="136"/>
      <c r="VRE1" s="136"/>
      <c r="VRF1" s="136"/>
      <c r="VRG1" s="136"/>
      <c r="VRH1" s="136"/>
      <c r="VRI1" s="136"/>
      <c r="VRJ1" s="136"/>
      <c r="VRK1" s="136"/>
      <c r="VRL1" s="136"/>
      <c r="VRM1" s="136"/>
      <c r="VRN1" s="136"/>
      <c r="VRO1" s="136"/>
      <c r="VRP1" s="136"/>
      <c r="VRQ1" s="136"/>
      <c r="VRR1" s="136"/>
      <c r="VRS1" s="136"/>
      <c r="VRT1" s="136"/>
      <c r="VRU1" s="136"/>
      <c r="VRV1" s="136"/>
      <c r="VRW1" s="136"/>
      <c r="VRX1" s="136"/>
      <c r="VRY1" s="136"/>
      <c r="VRZ1" s="136"/>
      <c r="VSA1" s="136"/>
      <c r="VSB1" s="136"/>
      <c r="VSC1" s="136"/>
      <c r="VSD1" s="136"/>
      <c r="VSE1" s="136"/>
      <c r="VSF1" s="136"/>
      <c r="VSG1" s="136"/>
      <c r="VSH1" s="136"/>
      <c r="VSI1" s="136"/>
      <c r="VSJ1" s="136"/>
      <c r="VSK1" s="136"/>
      <c r="VSL1" s="136"/>
      <c r="VSM1" s="136"/>
      <c r="VSN1" s="136"/>
      <c r="VSO1" s="136"/>
      <c r="VSP1" s="136"/>
      <c r="VSQ1" s="136"/>
      <c r="VSR1" s="136"/>
      <c r="VSS1" s="136"/>
      <c r="VST1" s="136"/>
      <c r="VSU1" s="136"/>
      <c r="VSV1" s="136"/>
      <c r="VSW1" s="136"/>
      <c r="VSX1" s="136"/>
      <c r="VSY1" s="136"/>
      <c r="VSZ1" s="136"/>
      <c r="VTA1" s="136"/>
      <c r="VTB1" s="136"/>
      <c r="VTC1" s="136"/>
      <c r="VTD1" s="136"/>
      <c r="VTE1" s="136"/>
      <c r="VTF1" s="136"/>
      <c r="VTG1" s="136"/>
      <c r="VTH1" s="136"/>
      <c r="VTI1" s="136"/>
      <c r="VTJ1" s="136"/>
      <c r="VTK1" s="136"/>
      <c r="VTL1" s="136"/>
      <c r="VTM1" s="136"/>
      <c r="VTN1" s="136"/>
      <c r="VTO1" s="136"/>
      <c r="VTP1" s="136"/>
      <c r="VTQ1" s="136"/>
      <c r="VTR1" s="136"/>
      <c r="VTS1" s="136"/>
      <c r="VTT1" s="136"/>
      <c r="VTU1" s="136"/>
      <c r="VTV1" s="136"/>
      <c r="VTW1" s="136"/>
      <c r="VTX1" s="136"/>
      <c r="VTY1" s="136"/>
      <c r="VTZ1" s="136"/>
      <c r="VUA1" s="136"/>
      <c r="VUB1" s="136"/>
      <c r="VUC1" s="136"/>
      <c r="VUD1" s="136"/>
      <c r="VUE1" s="136"/>
      <c r="VUF1" s="136"/>
      <c r="VUG1" s="136"/>
      <c r="VUH1" s="136"/>
      <c r="VUI1" s="136"/>
      <c r="VUJ1" s="136"/>
      <c r="VUK1" s="136"/>
      <c r="VUL1" s="136"/>
      <c r="VUM1" s="136"/>
      <c r="VUN1" s="136"/>
      <c r="VUO1" s="136"/>
      <c r="VUP1" s="136"/>
      <c r="VUQ1" s="136"/>
      <c r="VUR1" s="136"/>
      <c r="VUS1" s="136"/>
      <c r="VUT1" s="136"/>
      <c r="VUU1" s="136"/>
      <c r="VUV1" s="136"/>
      <c r="VUW1" s="136"/>
      <c r="VUX1" s="136"/>
      <c r="VUY1" s="136"/>
      <c r="VUZ1" s="136"/>
      <c r="VVA1" s="136"/>
      <c r="VVB1" s="136"/>
      <c r="VVC1" s="136"/>
      <c r="VVD1" s="136"/>
      <c r="VVE1" s="136"/>
      <c r="VVF1" s="136"/>
      <c r="VVG1" s="136"/>
      <c r="VVH1" s="136"/>
      <c r="VVI1" s="136"/>
      <c r="VVJ1" s="136"/>
      <c r="VVK1" s="136"/>
      <c r="VVL1" s="136"/>
      <c r="VVM1" s="136"/>
      <c r="VVN1" s="136"/>
      <c r="VVO1" s="136"/>
      <c r="VVP1" s="136"/>
      <c r="VVQ1" s="136"/>
      <c r="VVR1" s="136"/>
      <c r="VVS1" s="136"/>
      <c r="VVT1" s="136"/>
      <c r="VVU1" s="136"/>
      <c r="VVV1" s="136"/>
      <c r="VVW1" s="136"/>
      <c r="VVX1" s="136"/>
      <c r="VVY1" s="136"/>
      <c r="VVZ1" s="136"/>
      <c r="VWA1" s="136"/>
      <c r="VWB1" s="136"/>
      <c r="VWC1" s="136"/>
      <c r="VWD1" s="136"/>
      <c r="VWE1" s="136"/>
      <c r="VWF1" s="136"/>
      <c r="VWG1" s="136"/>
      <c r="VWH1" s="136"/>
      <c r="VWI1" s="136"/>
      <c r="VWJ1" s="136"/>
      <c r="VWK1" s="136"/>
      <c r="VWL1" s="136"/>
      <c r="VWM1" s="136"/>
      <c r="VWN1" s="136"/>
      <c r="VWO1" s="136"/>
      <c r="VWP1" s="136"/>
      <c r="VWQ1" s="136"/>
      <c r="VWR1" s="136"/>
      <c r="VWS1" s="136"/>
      <c r="VWT1" s="136"/>
      <c r="VWU1" s="136"/>
      <c r="VWV1" s="136"/>
      <c r="VWW1" s="136"/>
      <c r="VWX1" s="136"/>
      <c r="VWY1" s="136"/>
      <c r="VWZ1" s="136"/>
      <c r="VXA1" s="136"/>
      <c r="VXB1" s="136"/>
      <c r="VXC1" s="136"/>
      <c r="VXD1" s="136"/>
      <c r="VXE1" s="136"/>
      <c r="VXF1" s="136"/>
      <c r="VXG1" s="136"/>
      <c r="VXH1" s="136"/>
      <c r="VXI1" s="136"/>
      <c r="VXJ1" s="136"/>
      <c r="VXK1" s="136"/>
      <c r="VXL1" s="136"/>
      <c r="VXM1" s="136"/>
      <c r="VXN1" s="136"/>
      <c r="VXO1" s="136"/>
      <c r="VXP1" s="136"/>
      <c r="VXQ1" s="136"/>
      <c r="VXR1" s="136"/>
      <c r="VXS1" s="136"/>
      <c r="VXT1" s="136"/>
      <c r="VXU1" s="136"/>
      <c r="VXV1" s="136"/>
      <c r="VXW1" s="136"/>
      <c r="VXX1" s="136"/>
      <c r="VXY1" s="136"/>
      <c r="VXZ1" s="136"/>
      <c r="VYA1" s="136"/>
      <c r="VYB1" s="136"/>
      <c r="VYC1" s="136"/>
      <c r="VYD1" s="136"/>
      <c r="VYE1" s="136"/>
      <c r="VYF1" s="136"/>
      <c r="VYG1" s="136"/>
      <c r="VYH1" s="136"/>
      <c r="VYI1" s="136"/>
      <c r="VYJ1" s="136"/>
      <c r="VYK1" s="136"/>
      <c r="VYL1" s="136"/>
      <c r="VYM1" s="136"/>
      <c r="VYN1" s="136"/>
      <c r="VYO1" s="136"/>
      <c r="VYP1" s="136"/>
      <c r="VYQ1" s="136"/>
      <c r="VYR1" s="136"/>
      <c r="VYS1" s="136"/>
      <c r="VYT1" s="136"/>
      <c r="VYU1" s="136"/>
      <c r="VYV1" s="136"/>
      <c r="VYW1" s="136"/>
      <c r="VYX1" s="136"/>
      <c r="VYY1" s="136"/>
      <c r="VYZ1" s="136"/>
      <c r="VZA1" s="136"/>
      <c r="VZB1" s="136"/>
      <c r="VZC1" s="136"/>
      <c r="VZD1" s="136"/>
      <c r="VZE1" s="136"/>
      <c r="VZF1" s="136"/>
      <c r="VZG1" s="136"/>
      <c r="VZH1" s="136"/>
      <c r="VZI1" s="136"/>
      <c r="VZJ1" s="136"/>
      <c r="VZK1" s="136"/>
      <c r="VZL1" s="136"/>
      <c r="VZM1" s="136"/>
      <c r="VZN1" s="136"/>
      <c r="VZO1" s="136"/>
      <c r="VZP1" s="136"/>
      <c r="VZQ1" s="136"/>
      <c r="VZR1" s="136"/>
      <c r="VZS1" s="136"/>
      <c r="VZT1" s="136"/>
      <c r="VZU1" s="136"/>
      <c r="VZV1" s="136"/>
      <c r="VZW1" s="136"/>
      <c r="VZX1" s="136"/>
      <c r="VZY1" s="136"/>
      <c r="VZZ1" s="136"/>
      <c r="WAA1" s="136"/>
      <c r="WAB1" s="136"/>
      <c r="WAC1" s="136"/>
      <c r="WAD1" s="136"/>
      <c r="WAE1" s="136"/>
      <c r="WAF1" s="136"/>
      <c r="WAG1" s="136"/>
      <c r="WAH1" s="136"/>
      <c r="WAI1" s="136"/>
      <c r="WAJ1" s="136"/>
      <c r="WAK1" s="136"/>
      <c r="WAL1" s="136"/>
      <c r="WAM1" s="136"/>
      <c r="WAN1" s="136"/>
      <c r="WAO1" s="136"/>
      <c r="WAP1" s="136"/>
      <c r="WAQ1" s="136"/>
      <c r="WAR1" s="136"/>
      <c r="WAS1" s="136"/>
      <c r="WAT1" s="136"/>
      <c r="WAU1" s="136"/>
      <c r="WAV1" s="136"/>
      <c r="WAW1" s="136"/>
      <c r="WAX1" s="136"/>
      <c r="WAY1" s="136"/>
      <c r="WAZ1" s="136"/>
      <c r="WBA1" s="136"/>
      <c r="WBB1" s="136"/>
      <c r="WBC1" s="136"/>
      <c r="WBD1" s="136"/>
      <c r="WBE1" s="136"/>
      <c r="WBF1" s="136"/>
      <c r="WBG1" s="136"/>
      <c r="WBH1" s="136"/>
      <c r="WBI1" s="136"/>
      <c r="WBJ1" s="136"/>
      <c r="WBK1" s="136"/>
      <c r="WBL1" s="136"/>
      <c r="WBM1" s="136"/>
      <c r="WBN1" s="136"/>
      <c r="WBO1" s="136"/>
      <c r="WBP1" s="136"/>
      <c r="WBQ1" s="136"/>
      <c r="WBR1" s="136"/>
      <c r="WBS1" s="136"/>
      <c r="WBT1" s="136"/>
      <c r="WBU1" s="136"/>
      <c r="WBV1" s="136"/>
      <c r="WBW1" s="136"/>
      <c r="WBX1" s="136"/>
      <c r="WBY1" s="136"/>
      <c r="WBZ1" s="136"/>
      <c r="WCA1" s="136"/>
      <c r="WCB1" s="136"/>
      <c r="WCC1" s="136"/>
      <c r="WCD1" s="136"/>
      <c r="WCE1" s="136"/>
      <c r="WCF1" s="136"/>
      <c r="WCG1" s="136"/>
      <c r="WCH1" s="136"/>
      <c r="WCI1" s="136"/>
      <c r="WCJ1" s="136"/>
      <c r="WCK1" s="136"/>
      <c r="WCL1" s="136"/>
      <c r="WCM1" s="136"/>
      <c r="WCN1" s="136"/>
      <c r="WCO1" s="136"/>
      <c r="WCP1" s="136"/>
      <c r="WCQ1" s="136"/>
      <c r="WCR1" s="136"/>
      <c r="WCS1" s="136"/>
      <c r="WCT1" s="136"/>
      <c r="WCU1" s="136"/>
      <c r="WCV1" s="136"/>
      <c r="WCW1" s="136"/>
      <c r="WCX1" s="136"/>
      <c r="WCY1" s="136"/>
      <c r="WCZ1" s="136"/>
      <c r="WDA1" s="136"/>
      <c r="WDB1" s="136"/>
      <c r="WDC1" s="136"/>
      <c r="WDD1" s="136"/>
      <c r="WDE1" s="136"/>
      <c r="WDF1" s="136"/>
      <c r="WDG1" s="136"/>
      <c r="WDH1" s="136"/>
      <c r="WDI1" s="136"/>
      <c r="WDJ1" s="136"/>
      <c r="WDK1" s="136"/>
      <c r="WDL1" s="136"/>
      <c r="WDM1" s="136"/>
      <c r="WDN1" s="136"/>
      <c r="WDO1" s="136"/>
      <c r="WDP1" s="136"/>
      <c r="WDQ1" s="136"/>
      <c r="WDR1" s="136"/>
      <c r="WDS1" s="136"/>
      <c r="WDT1" s="136"/>
      <c r="WDU1" s="136"/>
      <c r="WDV1" s="136"/>
      <c r="WDW1" s="136"/>
      <c r="WDX1" s="136"/>
      <c r="WDY1" s="136"/>
      <c r="WDZ1" s="136"/>
      <c r="WEA1" s="136"/>
      <c r="WEB1" s="136"/>
      <c r="WEC1" s="136"/>
      <c r="WED1" s="136"/>
      <c r="WEE1" s="136"/>
      <c r="WEF1" s="136"/>
      <c r="WEG1" s="136"/>
      <c r="WEH1" s="136"/>
      <c r="WEI1" s="136"/>
      <c r="WEJ1" s="136"/>
      <c r="WEK1" s="136"/>
      <c r="WEL1" s="136"/>
      <c r="WEM1" s="136"/>
      <c r="WEN1" s="136"/>
      <c r="WEO1" s="136"/>
      <c r="WEP1" s="136"/>
      <c r="WEQ1" s="136"/>
      <c r="WER1" s="136"/>
      <c r="WES1" s="136"/>
      <c r="WET1" s="136"/>
      <c r="WEU1" s="136"/>
      <c r="WEV1" s="136"/>
      <c r="WEW1" s="136"/>
      <c r="WEX1" s="136"/>
      <c r="WEY1" s="136"/>
      <c r="WEZ1" s="136"/>
      <c r="WFA1" s="136"/>
      <c r="WFB1" s="136"/>
      <c r="WFC1" s="136"/>
      <c r="WFD1" s="136"/>
      <c r="WFE1" s="136"/>
      <c r="WFF1" s="136"/>
      <c r="WFG1" s="136"/>
      <c r="WFH1" s="136"/>
      <c r="WFI1" s="136"/>
      <c r="WFJ1" s="136"/>
      <c r="WFK1" s="136"/>
      <c r="WFL1" s="136"/>
      <c r="WFM1" s="136"/>
      <c r="WFN1" s="136"/>
      <c r="WFO1" s="136"/>
      <c r="WFP1" s="136"/>
      <c r="WFQ1" s="136"/>
      <c r="WFR1" s="136"/>
      <c r="WFS1" s="136"/>
      <c r="WFT1" s="136"/>
      <c r="WFU1" s="136"/>
      <c r="WFV1" s="136"/>
      <c r="WFW1" s="136"/>
      <c r="WFX1" s="136"/>
      <c r="WFY1" s="136"/>
      <c r="WFZ1" s="136"/>
      <c r="WGA1" s="136"/>
      <c r="WGB1" s="136"/>
      <c r="WGC1" s="136"/>
      <c r="WGD1" s="136"/>
      <c r="WGE1" s="136"/>
      <c r="WGF1" s="136"/>
      <c r="WGG1" s="136"/>
      <c r="WGH1" s="136"/>
      <c r="WGI1" s="136"/>
      <c r="WGJ1" s="136"/>
      <c r="WGK1" s="136"/>
      <c r="WGL1" s="136"/>
      <c r="WGM1" s="136"/>
      <c r="WGN1" s="136"/>
      <c r="WGO1" s="136"/>
      <c r="WGP1" s="136"/>
      <c r="WGQ1" s="136"/>
      <c r="WGR1" s="136"/>
      <c r="WGS1" s="136"/>
      <c r="WGT1" s="136"/>
      <c r="WGU1" s="136"/>
      <c r="WGV1" s="136"/>
      <c r="WGW1" s="136"/>
      <c r="WGX1" s="136"/>
      <c r="WGY1" s="136"/>
      <c r="WGZ1" s="136"/>
      <c r="WHA1" s="136"/>
      <c r="WHB1" s="136"/>
      <c r="WHC1" s="136"/>
      <c r="WHD1" s="136"/>
      <c r="WHE1" s="136"/>
      <c r="WHF1" s="136"/>
      <c r="WHG1" s="136"/>
      <c r="WHH1" s="136"/>
      <c r="WHI1" s="136"/>
      <c r="WHJ1" s="136"/>
      <c r="WHK1" s="136"/>
      <c r="WHL1" s="136"/>
      <c r="WHM1" s="136"/>
      <c r="WHN1" s="136"/>
      <c r="WHO1" s="136"/>
      <c r="WHP1" s="136"/>
      <c r="WHQ1" s="136"/>
      <c r="WHR1" s="136"/>
      <c r="WHS1" s="136"/>
      <c r="WHT1" s="136"/>
      <c r="WHU1" s="136"/>
      <c r="WHV1" s="136"/>
      <c r="WHW1" s="136"/>
      <c r="WHX1" s="136"/>
      <c r="WHY1" s="136"/>
      <c r="WHZ1" s="136"/>
      <c r="WIA1" s="136"/>
      <c r="WIB1" s="136"/>
      <c r="WIC1" s="136"/>
      <c r="WID1" s="136"/>
      <c r="WIE1" s="136"/>
      <c r="WIF1" s="136"/>
      <c r="WIG1" s="136"/>
      <c r="WIH1" s="136"/>
      <c r="WII1" s="136"/>
      <c r="WIJ1" s="136"/>
      <c r="WIK1" s="136"/>
      <c r="WIL1" s="136"/>
      <c r="WIM1" s="136"/>
      <c r="WIN1" s="136"/>
      <c r="WIO1" s="136"/>
      <c r="WIP1" s="136"/>
      <c r="WIQ1" s="136"/>
      <c r="WIR1" s="136"/>
      <c r="WIS1" s="136"/>
      <c r="WIT1" s="136"/>
      <c r="WIU1" s="136"/>
      <c r="WIV1" s="136"/>
      <c r="WIW1" s="136"/>
      <c r="WIX1" s="136"/>
      <c r="WIY1" s="136"/>
      <c r="WIZ1" s="136"/>
      <c r="WJA1" s="136"/>
      <c r="WJB1" s="136"/>
      <c r="WJC1" s="136"/>
      <c r="WJD1" s="136"/>
      <c r="WJE1" s="136"/>
      <c r="WJF1" s="136"/>
      <c r="WJG1" s="136"/>
      <c r="WJH1" s="136"/>
      <c r="WJI1" s="136"/>
      <c r="WJJ1" s="136"/>
      <c r="WJK1" s="136"/>
      <c r="WJL1" s="136"/>
      <c r="WJM1" s="136"/>
      <c r="WJN1" s="136"/>
      <c r="WJO1" s="136"/>
      <c r="WJP1" s="136"/>
      <c r="WJQ1" s="136"/>
      <c r="WJR1" s="136"/>
      <c r="WJS1" s="136"/>
      <c r="WJT1" s="136"/>
      <c r="WJU1" s="136"/>
      <c r="WJV1" s="136"/>
      <c r="WJW1" s="136"/>
      <c r="WJX1" s="136"/>
      <c r="WJY1" s="136"/>
      <c r="WJZ1" s="136"/>
      <c r="WKA1" s="136"/>
      <c r="WKB1" s="136"/>
      <c r="WKC1" s="136"/>
      <c r="WKD1" s="136"/>
      <c r="WKE1" s="136"/>
      <c r="WKF1" s="136"/>
      <c r="WKG1" s="136"/>
      <c r="WKH1" s="136"/>
      <c r="WKI1" s="136"/>
      <c r="WKJ1" s="136"/>
      <c r="WKK1" s="136"/>
      <c r="WKL1" s="136"/>
      <c r="WKM1" s="136"/>
      <c r="WKN1" s="136"/>
      <c r="WKO1" s="136"/>
      <c r="WKP1" s="136"/>
      <c r="WKQ1" s="136"/>
      <c r="WKR1" s="136"/>
      <c r="WKS1" s="136"/>
      <c r="WKT1" s="136"/>
      <c r="WKU1" s="136"/>
      <c r="WKV1" s="136"/>
      <c r="WKW1" s="136"/>
      <c r="WKX1" s="136"/>
      <c r="WKY1" s="136"/>
      <c r="WKZ1" s="136"/>
      <c r="WLA1" s="136"/>
      <c r="WLB1" s="136"/>
      <c r="WLC1" s="136"/>
      <c r="WLD1" s="136"/>
      <c r="WLE1" s="136"/>
      <c r="WLF1" s="136"/>
      <c r="WLG1" s="136"/>
      <c r="WLH1" s="136"/>
      <c r="WLI1" s="136"/>
      <c r="WLJ1" s="136"/>
      <c r="WLK1" s="136"/>
      <c r="WLL1" s="136"/>
      <c r="WLM1" s="136"/>
      <c r="WLN1" s="136"/>
      <c r="WLO1" s="136"/>
      <c r="WLP1" s="136"/>
      <c r="WLQ1" s="136"/>
      <c r="WLR1" s="136"/>
      <c r="WLS1" s="136"/>
      <c r="WLT1" s="136"/>
      <c r="WLU1" s="136"/>
      <c r="WLV1" s="136"/>
      <c r="WLW1" s="136"/>
      <c r="WLX1" s="136"/>
      <c r="WLY1" s="136"/>
      <c r="WLZ1" s="136"/>
      <c r="WMA1" s="136"/>
      <c r="WMB1" s="136"/>
      <c r="WMC1" s="136"/>
      <c r="WMD1" s="136"/>
      <c r="WME1" s="136"/>
      <c r="WMF1" s="136"/>
      <c r="WMG1" s="136"/>
      <c r="WMH1" s="136"/>
      <c r="WMI1" s="136"/>
      <c r="WMJ1" s="136"/>
      <c r="WMK1" s="136"/>
      <c r="WML1" s="136"/>
      <c r="WMM1" s="136"/>
      <c r="WMN1" s="136"/>
      <c r="WMO1" s="136"/>
      <c r="WMP1" s="136"/>
      <c r="WMQ1" s="136"/>
      <c r="WMR1" s="136"/>
      <c r="WMS1" s="136"/>
      <c r="WMT1" s="136"/>
      <c r="WMU1" s="136"/>
      <c r="WMV1" s="136"/>
      <c r="WMW1" s="136"/>
      <c r="WMX1" s="136"/>
      <c r="WMY1" s="136"/>
      <c r="WMZ1" s="136"/>
      <c r="WNA1" s="136"/>
      <c r="WNB1" s="136"/>
      <c r="WNC1" s="136"/>
      <c r="WND1" s="136"/>
      <c r="WNE1" s="136"/>
      <c r="WNF1" s="136"/>
      <c r="WNG1" s="136"/>
      <c r="WNH1" s="136"/>
      <c r="WNI1" s="136"/>
      <c r="WNJ1" s="136"/>
      <c r="WNK1" s="136"/>
      <c r="WNL1" s="136"/>
      <c r="WNM1" s="136"/>
      <c r="WNN1" s="136"/>
      <c r="WNO1" s="136"/>
      <c r="WNP1" s="136"/>
      <c r="WNQ1" s="136"/>
      <c r="WNR1" s="136"/>
      <c r="WNS1" s="136"/>
      <c r="WNT1" s="136"/>
      <c r="WNU1" s="136"/>
      <c r="WNV1" s="136"/>
      <c r="WNW1" s="136"/>
      <c r="WNX1" s="136"/>
      <c r="WNY1" s="136"/>
      <c r="WNZ1" s="136"/>
      <c r="WOA1" s="136"/>
      <c r="WOB1" s="136"/>
      <c r="WOC1" s="136"/>
      <c r="WOD1" s="136"/>
      <c r="WOE1" s="136"/>
      <c r="WOF1" s="136"/>
      <c r="WOG1" s="136"/>
      <c r="WOH1" s="136"/>
      <c r="WOI1" s="136"/>
      <c r="WOJ1" s="136"/>
      <c r="WOK1" s="136"/>
      <c r="WOL1" s="136"/>
      <c r="WOM1" s="136"/>
      <c r="WON1" s="136"/>
      <c r="WOO1" s="136"/>
      <c r="WOP1" s="136"/>
      <c r="WOQ1" s="136"/>
      <c r="WOR1" s="136"/>
      <c r="WOS1" s="136"/>
      <c r="WOT1" s="136"/>
      <c r="WOU1" s="136"/>
      <c r="WOV1" s="136"/>
      <c r="WOW1" s="136"/>
      <c r="WOX1" s="136"/>
      <c r="WOY1" s="136"/>
      <c r="WOZ1" s="136"/>
      <c r="WPA1" s="136"/>
      <c r="WPB1" s="136"/>
      <c r="WPC1" s="136"/>
      <c r="WPD1" s="136"/>
      <c r="WPE1" s="136"/>
      <c r="WPF1" s="136"/>
      <c r="WPG1" s="136"/>
      <c r="WPH1" s="136"/>
      <c r="WPI1" s="136"/>
      <c r="WPJ1" s="136"/>
      <c r="WPK1" s="136"/>
      <c r="WPL1" s="136"/>
      <c r="WPM1" s="136"/>
      <c r="WPN1" s="136"/>
      <c r="WPO1" s="136"/>
      <c r="WPP1" s="136"/>
      <c r="WPQ1" s="136"/>
      <c r="WPR1" s="136"/>
      <c r="WPS1" s="136"/>
      <c r="WPT1" s="136"/>
      <c r="WPU1" s="136"/>
      <c r="WPV1" s="136"/>
      <c r="WPW1" s="136"/>
      <c r="WPX1" s="136"/>
      <c r="WPY1" s="136"/>
      <c r="WPZ1" s="136"/>
      <c r="WQA1" s="136"/>
      <c r="WQB1" s="136"/>
      <c r="WQC1" s="136"/>
      <c r="WQD1" s="136"/>
      <c r="WQE1" s="136"/>
      <c r="WQF1" s="136"/>
      <c r="WQG1" s="136"/>
      <c r="WQH1" s="136"/>
      <c r="WQI1" s="136"/>
      <c r="WQJ1" s="136"/>
      <c r="WQK1" s="136"/>
      <c r="WQL1" s="136"/>
      <c r="WQM1" s="136"/>
      <c r="WQN1" s="136"/>
      <c r="WQO1" s="136"/>
      <c r="WQP1" s="136"/>
      <c r="WQQ1" s="136"/>
      <c r="WQR1" s="136"/>
      <c r="WQS1" s="136"/>
      <c r="WQT1" s="136"/>
      <c r="WQU1" s="136"/>
      <c r="WQV1" s="136"/>
      <c r="WQW1" s="136"/>
      <c r="WQX1" s="136"/>
      <c r="WQY1" s="136"/>
      <c r="WQZ1" s="136"/>
      <c r="WRA1" s="136"/>
      <c r="WRB1" s="136"/>
      <c r="WRC1" s="136"/>
      <c r="WRD1" s="136"/>
      <c r="WRE1" s="136"/>
      <c r="WRF1" s="136"/>
      <c r="WRG1" s="136"/>
      <c r="WRH1" s="136"/>
      <c r="WRI1" s="136"/>
      <c r="WRJ1" s="136"/>
      <c r="WRK1" s="136"/>
      <c r="WRL1" s="136"/>
      <c r="WRM1" s="136"/>
      <c r="WRN1" s="136"/>
      <c r="WRO1" s="136"/>
      <c r="WRP1" s="136"/>
      <c r="WRQ1" s="136"/>
      <c r="WRR1" s="136"/>
      <c r="WRS1" s="136"/>
      <c r="WRT1" s="136"/>
      <c r="WRU1" s="136"/>
      <c r="WRV1" s="136"/>
      <c r="WRW1" s="136"/>
      <c r="WRX1" s="136"/>
      <c r="WRY1" s="136"/>
      <c r="WRZ1" s="136"/>
      <c r="WSA1" s="136"/>
      <c r="WSB1" s="136"/>
      <c r="WSC1" s="136"/>
      <c r="WSD1" s="136"/>
      <c r="WSE1" s="136"/>
      <c r="WSF1" s="136"/>
      <c r="WSG1" s="136"/>
      <c r="WSH1" s="136"/>
      <c r="WSI1" s="136"/>
      <c r="WSJ1" s="136"/>
      <c r="WSK1" s="136"/>
      <c r="WSL1" s="136"/>
      <c r="WSM1" s="136"/>
      <c r="WSN1" s="136"/>
      <c r="WSO1" s="136"/>
      <c r="WSP1" s="136"/>
      <c r="WSQ1" s="136"/>
      <c r="WSR1" s="136"/>
      <c r="WSS1" s="136"/>
      <c r="WST1" s="136"/>
      <c r="WSU1" s="136"/>
      <c r="WSV1" s="136"/>
      <c r="WSW1" s="136"/>
      <c r="WSX1" s="136"/>
      <c r="WSY1" s="136"/>
      <c r="WSZ1" s="136"/>
      <c r="WTA1" s="136"/>
      <c r="WTB1" s="136"/>
      <c r="WTC1" s="136"/>
      <c r="WTD1" s="136"/>
      <c r="WTE1" s="136"/>
      <c r="WTF1" s="136"/>
      <c r="WTG1" s="136"/>
      <c r="WTH1" s="136"/>
      <c r="WTI1" s="136"/>
      <c r="WTJ1" s="136"/>
      <c r="WTK1" s="136"/>
      <c r="WTL1" s="136"/>
      <c r="WTM1" s="136"/>
      <c r="WTN1" s="136"/>
      <c r="WTO1" s="136"/>
      <c r="WTP1" s="136"/>
      <c r="WTQ1" s="136"/>
      <c r="WTR1" s="136"/>
      <c r="WTS1" s="136"/>
      <c r="WTT1" s="136"/>
      <c r="WTU1" s="136"/>
      <c r="WTV1" s="136"/>
      <c r="WTW1" s="136"/>
      <c r="WTX1" s="136"/>
      <c r="WTY1" s="136"/>
      <c r="WTZ1" s="136"/>
      <c r="WUA1" s="136"/>
      <c r="WUB1" s="136"/>
      <c r="WUC1" s="136"/>
      <c r="WUD1" s="136"/>
      <c r="WUE1" s="136"/>
      <c r="WUF1" s="136"/>
      <c r="WUG1" s="136"/>
      <c r="WUH1" s="136"/>
      <c r="WUI1" s="136"/>
      <c r="WUJ1" s="136"/>
      <c r="WUK1" s="136"/>
      <c r="WUL1" s="136"/>
      <c r="WUM1" s="136"/>
      <c r="WUN1" s="136"/>
      <c r="WUO1" s="136"/>
      <c r="WUP1" s="136"/>
      <c r="WUQ1" s="136"/>
      <c r="WUR1" s="136"/>
      <c r="WUS1" s="136"/>
      <c r="WUT1" s="136"/>
      <c r="WUU1" s="136"/>
      <c r="WUV1" s="136"/>
      <c r="WUW1" s="136"/>
      <c r="WUX1" s="136"/>
      <c r="WUY1" s="136"/>
      <c r="WUZ1" s="136"/>
      <c r="WVA1" s="136"/>
      <c r="WVB1" s="136"/>
      <c r="WVC1" s="136"/>
      <c r="WVD1" s="136"/>
      <c r="WVE1" s="136"/>
      <c r="WVF1" s="136"/>
      <c r="WVG1" s="136"/>
      <c r="WVH1" s="136"/>
      <c r="WVI1" s="136"/>
      <c r="WVJ1" s="136"/>
      <c r="WVK1" s="136"/>
      <c r="WVL1" s="136"/>
      <c r="WVM1" s="136"/>
      <c r="WVN1" s="136"/>
      <c r="WVO1" s="136"/>
      <c r="WVP1" s="136"/>
      <c r="WVQ1" s="136"/>
      <c r="WVR1" s="136"/>
      <c r="WVS1" s="136"/>
      <c r="WVT1" s="136"/>
      <c r="WVU1" s="136"/>
      <c r="WVV1" s="136"/>
      <c r="WVW1" s="136"/>
      <c r="WVX1" s="136"/>
      <c r="WVY1" s="136"/>
      <c r="WVZ1" s="136"/>
      <c r="WWA1" s="136"/>
      <c r="WWB1" s="136"/>
      <c r="WWC1" s="136"/>
      <c r="WWD1" s="136"/>
      <c r="WWE1" s="136"/>
      <c r="WWF1" s="136"/>
      <c r="WWG1" s="136"/>
      <c r="WWH1" s="136"/>
      <c r="WWI1" s="136"/>
      <c r="WWJ1" s="136"/>
      <c r="WWK1" s="136"/>
      <c r="WWL1" s="136"/>
      <c r="WWM1" s="136"/>
      <c r="WWN1" s="136"/>
      <c r="WWO1" s="136"/>
      <c r="WWP1" s="136"/>
      <c r="WWQ1" s="136"/>
      <c r="WWR1" s="136"/>
      <c r="WWS1" s="136"/>
      <c r="WWT1" s="136"/>
      <c r="WWU1" s="136"/>
      <c r="WWV1" s="136"/>
      <c r="WWW1" s="136"/>
      <c r="WWX1" s="136"/>
      <c r="WWY1" s="136"/>
      <c r="WWZ1" s="136"/>
      <c r="WXA1" s="136"/>
      <c r="WXB1" s="136"/>
      <c r="WXC1" s="136"/>
      <c r="WXD1" s="136"/>
      <c r="WXE1" s="136"/>
      <c r="WXF1" s="136"/>
      <c r="WXG1" s="136"/>
      <c r="WXH1" s="136"/>
      <c r="WXI1" s="136"/>
      <c r="WXJ1" s="136"/>
      <c r="WXK1" s="136"/>
      <c r="WXL1" s="136"/>
      <c r="WXM1" s="136"/>
      <c r="WXN1" s="136"/>
      <c r="WXO1" s="136"/>
      <c r="WXP1" s="136"/>
      <c r="WXQ1" s="136"/>
      <c r="WXR1" s="136"/>
      <c r="WXS1" s="136"/>
      <c r="WXT1" s="136"/>
      <c r="WXU1" s="136"/>
      <c r="WXV1" s="136"/>
      <c r="WXW1" s="136"/>
      <c r="WXX1" s="136"/>
      <c r="WXY1" s="136"/>
      <c r="WXZ1" s="136"/>
      <c r="WYA1" s="136"/>
      <c r="WYB1" s="136"/>
      <c r="WYC1" s="136"/>
      <c r="WYD1" s="136"/>
      <c r="WYE1" s="136"/>
      <c r="WYF1" s="136"/>
      <c r="WYG1" s="136"/>
      <c r="WYH1" s="136"/>
      <c r="WYI1" s="136"/>
      <c r="WYJ1" s="136"/>
      <c r="WYK1" s="136"/>
      <c r="WYL1" s="136"/>
      <c r="WYM1" s="136"/>
      <c r="WYN1" s="136"/>
      <c r="WYO1" s="136"/>
      <c r="WYP1" s="136"/>
      <c r="WYQ1" s="136"/>
      <c r="WYR1" s="136"/>
      <c r="WYS1" s="136"/>
      <c r="WYT1" s="136"/>
      <c r="WYU1" s="136"/>
      <c r="WYV1" s="136"/>
      <c r="WYW1" s="136"/>
      <c r="WYX1" s="136"/>
      <c r="WYY1" s="136"/>
      <c r="WYZ1" s="136"/>
      <c r="WZA1" s="136"/>
      <c r="WZB1" s="136"/>
      <c r="WZC1" s="136"/>
      <c r="WZD1" s="136"/>
      <c r="WZE1" s="136"/>
      <c r="WZF1" s="136"/>
      <c r="WZG1" s="136"/>
      <c r="WZH1" s="136"/>
      <c r="WZI1" s="136"/>
      <c r="WZJ1" s="136"/>
      <c r="WZK1" s="136"/>
      <c r="WZL1" s="136"/>
      <c r="WZM1" s="136"/>
      <c r="WZN1" s="136"/>
      <c r="WZO1" s="136"/>
      <c r="WZP1" s="136"/>
      <c r="WZQ1" s="136"/>
      <c r="WZR1" s="136"/>
      <c r="WZS1" s="136"/>
      <c r="WZT1" s="136"/>
      <c r="WZU1" s="136"/>
      <c r="WZV1" s="136"/>
      <c r="WZW1" s="136"/>
      <c r="WZX1" s="136"/>
      <c r="WZY1" s="136"/>
      <c r="WZZ1" s="136"/>
      <c r="XAA1" s="136"/>
      <c r="XAB1" s="136"/>
      <c r="XAC1" s="136"/>
      <c r="XAD1" s="136"/>
      <c r="XAE1" s="136"/>
      <c r="XAF1" s="136"/>
      <c r="XAG1" s="136"/>
      <c r="XAH1" s="136"/>
      <c r="XAI1" s="136"/>
      <c r="XAJ1" s="136"/>
      <c r="XAK1" s="136"/>
      <c r="XAL1" s="136"/>
      <c r="XAM1" s="136"/>
      <c r="XAN1" s="136"/>
      <c r="XAO1" s="136"/>
      <c r="XAP1" s="136"/>
      <c r="XAQ1" s="136"/>
      <c r="XAR1" s="136"/>
      <c r="XAS1" s="136"/>
      <c r="XAT1" s="136"/>
      <c r="XAU1" s="136"/>
      <c r="XAV1" s="136"/>
      <c r="XAW1" s="136"/>
      <c r="XAX1" s="136"/>
      <c r="XAY1" s="136"/>
      <c r="XAZ1" s="136"/>
      <c r="XBA1" s="136"/>
      <c r="XBB1" s="136"/>
      <c r="XBC1" s="136"/>
      <c r="XBD1" s="136"/>
      <c r="XBE1" s="136"/>
      <c r="XBF1" s="136"/>
      <c r="XBG1" s="136"/>
      <c r="XBH1" s="136"/>
      <c r="XBI1" s="136"/>
      <c r="XBJ1" s="136"/>
      <c r="XBK1" s="136"/>
      <c r="XBL1" s="136"/>
      <c r="XBM1" s="136"/>
      <c r="XBN1" s="136"/>
      <c r="XBO1" s="136"/>
      <c r="XBP1" s="136"/>
      <c r="XBQ1" s="136"/>
      <c r="XBR1" s="136"/>
      <c r="XBS1" s="136"/>
      <c r="XBT1" s="136"/>
      <c r="XBU1" s="136"/>
      <c r="XBV1" s="136"/>
      <c r="XBW1" s="136"/>
      <c r="XBX1" s="136"/>
      <c r="XBY1" s="136"/>
      <c r="XBZ1" s="136"/>
      <c r="XCA1" s="136"/>
      <c r="XCB1" s="136"/>
      <c r="XCC1" s="136"/>
      <c r="XCD1" s="136"/>
      <c r="XCE1" s="136"/>
      <c r="XCF1" s="136"/>
      <c r="XCG1" s="136"/>
      <c r="XCH1" s="136"/>
      <c r="XCI1" s="136"/>
      <c r="XCJ1" s="136"/>
      <c r="XCK1" s="136"/>
      <c r="XCL1" s="136"/>
      <c r="XCM1" s="136"/>
      <c r="XCN1" s="136"/>
      <c r="XCO1" s="136"/>
      <c r="XCP1" s="136"/>
      <c r="XCQ1" s="136"/>
      <c r="XCR1" s="136"/>
      <c r="XCS1" s="136"/>
      <c r="XCT1" s="136"/>
      <c r="XCU1" s="136"/>
      <c r="XCV1" s="136"/>
      <c r="XCW1" s="136"/>
      <c r="XCX1" s="136"/>
      <c r="XCY1" s="136"/>
      <c r="XCZ1" s="136"/>
      <c r="XDA1" s="136"/>
      <c r="XDB1" s="136"/>
      <c r="XDC1" s="136"/>
      <c r="XDD1" s="136"/>
      <c r="XDE1" s="136"/>
      <c r="XDF1" s="136"/>
      <c r="XDG1" s="136"/>
      <c r="XDH1" s="136"/>
      <c r="XDI1" s="136"/>
      <c r="XDJ1" s="136"/>
      <c r="XDK1" s="136"/>
      <c r="XDL1" s="136"/>
      <c r="XDM1" s="136"/>
      <c r="XDN1" s="136"/>
      <c r="XDO1" s="136"/>
      <c r="XDP1" s="136"/>
      <c r="XDQ1" s="136"/>
      <c r="XDR1" s="136"/>
      <c r="XDS1" s="136"/>
      <c r="XDT1" s="136"/>
      <c r="XDU1" s="136"/>
      <c r="XDV1" s="136"/>
      <c r="XDW1" s="136"/>
      <c r="XDX1" s="136"/>
      <c r="XDY1" s="136"/>
      <c r="XDZ1" s="136"/>
      <c r="XEA1" s="136"/>
      <c r="XEB1" s="136"/>
      <c r="XEC1" s="136"/>
      <c r="XED1" s="136"/>
      <c r="XEE1" s="136"/>
      <c r="XEF1" s="136"/>
      <c r="XEG1" s="136"/>
      <c r="XEH1" s="136"/>
      <c r="XEI1" s="136"/>
      <c r="XEJ1" s="136"/>
      <c r="XEK1" s="136"/>
      <c r="XEL1" s="136"/>
      <c r="XEM1" s="136"/>
      <c r="XEN1" s="136"/>
      <c r="XEO1" s="136"/>
      <c r="XEP1" s="136"/>
      <c r="XEQ1" s="136"/>
      <c r="XER1" s="136"/>
      <c r="XES1" s="136"/>
      <c r="XET1" s="136"/>
      <c r="XEU1" s="136"/>
      <c r="XEV1" s="136"/>
      <c r="XEW1" s="136"/>
      <c r="XEX1" s="136"/>
      <c r="XEY1" s="136"/>
      <c r="XEZ1" s="136"/>
      <c r="XFA1" s="136"/>
    </row>
    <row r="2" spans="1:16381" ht="30" customHeight="1">
      <c r="A2" s="1"/>
      <c r="B2" s="136"/>
      <c r="C2" s="189" t="str">
        <f>IF(Idioma=Castellano,"Medidas Propuestas",IF(Idioma=Valencià,"Mesures Proposades","Medidas Propuestas"))</f>
        <v>Medidas Propuestas</v>
      </c>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row>
    <row r="3" spans="1:16381" ht="30" customHeight="1">
      <c r="A3" s="1"/>
      <c r="B3" s="136"/>
      <c r="C3" s="136"/>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c r="JD3" s="136"/>
      <c r="JE3" s="136"/>
      <c r="JF3" s="136"/>
      <c r="JG3" s="136"/>
      <c r="JH3" s="136"/>
      <c r="JI3" s="136"/>
      <c r="JJ3" s="136"/>
      <c r="JK3" s="136"/>
      <c r="JL3" s="136"/>
      <c r="JM3" s="136"/>
      <c r="JN3" s="136"/>
      <c r="JO3" s="136"/>
      <c r="JP3" s="136"/>
      <c r="JQ3" s="136"/>
      <c r="JR3" s="136"/>
      <c r="JS3" s="136"/>
      <c r="JT3" s="136"/>
      <c r="JU3" s="136"/>
      <c r="JV3" s="136"/>
      <c r="JW3" s="136"/>
      <c r="JX3" s="136"/>
      <c r="JY3" s="136"/>
      <c r="JZ3" s="136"/>
      <c r="KA3" s="136"/>
      <c r="KB3" s="136"/>
      <c r="KC3" s="136"/>
      <c r="KD3" s="136"/>
      <c r="KE3" s="136"/>
      <c r="KF3" s="136"/>
      <c r="KG3" s="136"/>
      <c r="KH3" s="136"/>
      <c r="KI3" s="136"/>
      <c r="KJ3" s="136"/>
      <c r="KK3" s="136"/>
      <c r="KL3" s="136"/>
      <c r="KM3" s="136"/>
      <c r="KN3" s="136"/>
      <c r="KO3" s="136"/>
      <c r="KP3" s="136"/>
      <c r="KQ3" s="136"/>
      <c r="KR3" s="136"/>
      <c r="KS3" s="136"/>
      <c r="KT3" s="136"/>
      <c r="KU3" s="136"/>
      <c r="KV3" s="136"/>
      <c r="KW3" s="136"/>
      <c r="KX3" s="136"/>
      <c r="KY3" s="136"/>
      <c r="KZ3" s="136"/>
      <c r="LA3" s="136"/>
      <c r="LB3" s="136"/>
      <c r="LC3" s="136"/>
      <c r="LD3" s="136"/>
      <c r="LE3" s="136"/>
      <c r="LF3" s="136"/>
      <c r="LG3" s="136"/>
      <c r="LH3" s="136"/>
      <c r="LI3" s="136"/>
      <c r="LJ3" s="136"/>
      <c r="LK3" s="136"/>
      <c r="LL3" s="136"/>
      <c r="LM3" s="136"/>
      <c r="LN3" s="136"/>
      <c r="LO3" s="136"/>
      <c r="LP3" s="136"/>
      <c r="LQ3" s="136"/>
      <c r="LR3" s="136"/>
      <c r="LS3" s="136"/>
      <c r="LT3" s="136"/>
      <c r="LU3" s="136"/>
      <c r="LV3" s="136"/>
      <c r="LW3" s="136"/>
      <c r="LX3" s="136"/>
      <c r="LY3" s="136"/>
      <c r="LZ3" s="136"/>
      <c r="MA3" s="136"/>
      <c r="MB3" s="136"/>
      <c r="MC3" s="136"/>
      <c r="MD3" s="136"/>
      <c r="ME3" s="136"/>
      <c r="MF3" s="136"/>
      <c r="MG3" s="136"/>
      <c r="MH3" s="136"/>
      <c r="MI3" s="136"/>
      <c r="MJ3" s="136"/>
      <c r="MK3" s="136"/>
      <c r="ML3" s="136"/>
      <c r="MM3" s="136"/>
      <c r="MN3" s="136"/>
      <c r="MO3" s="136"/>
      <c r="MP3" s="136"/>
      <c r="MQ3" s="136"/>
      <c r="MR3" s="136"/>
      <c r="MS3" s="136"/>
      <c r="MT3" s="136"/>
      <c r="MU3" s="136"/>
      <c r="MV3" s="136"/>
      <c r="MW3" s="136"/>
      <c r="MX3" s="136"/>
      <c r="MY3" s="136"/>
      <c r="MZ3" s="136"/>
      <c r="NA3" s="136"/>
      <c r="NB3" s="136"/>
      <c r="NC3" s="136"/>
      <c r="ND3" s="136"/>
      <c r="NE3" s="136"/>
      <c r="NF3" s="136"/>
      <c r="NG3" s="136"/>
      <c r="NH3" s="136"/>
      <c r="NI3" s="136"/>
      <c r="NJ3" s="136"/>
      <c r="NK3" s="136"/>
      <c r="NL3" s="136"/>
      <c r="NM3" s="136"/>
      <c r="NN3" s="136"/>
      <c r="NO3" s="136"/>
      <c r="NP3" s="136"/>
      <c r="NQ3" s="136"/>
      <c r="NR3" s="136"/>
      <c r="NS3" s="136"/>
      <c r="NT3" s="136"/>
      <c r="NU3" s="136"/>
      <c r="NV3" s="136"/>
      <c r="NW3" s="136"/>
      <c r="NX3" s="136"/>
      <c r="NY3" s="136"/>
      <c r="NZ3" s="136"/>
      <c r="OA3" s="136"/>
      <c r="OB3" s="136"/>
      <c r="OC3" s="136"/>
      <c r="OD3" s="136"/>
      <c r="OE3" s="136"/>
      <c r="OF3" s="136"/>
      <c r="OG3" s="136"/>
      <c r="OH3" s="136"/>
      <c r="OI3" s="136"/>
      <c r="OJ3" s="136"/>
      <c r="OK3" s="136"/>
      <c r="OL3" s="136"/>
      <c r="OM3" s="136"/>
      <c r="ON3" s="136"/>
      <c r="OO3" s="136"/>
      <c r="OP3" s="136"/>
      <c r="OQ3" s="136"/>
      <c r="OR3" s="136"/>
      <c r="OS3" s="136"/>
      <c r="OT3" s="136"/>
      <c r="OU3" s="136"/>
      <c r="OV3" s="136"/>
      <c r="OW3" s="136"/>
      <c r="OX3" s="136"/>
      <c r="OY3" s="136"/>
      <c r="OZ3" s="136"/>
      <c r="PA3" s="136"/>
      <c r="PB3" s="136"/>
      <c r="PC3" s="136"/>
      <c r="PD3" s="136"/>
      <c r="PE3" s="136"/>
      <c r="PF3" s="136"/>
      <c r="PG3" s="136"/>
      <c r="PH3" s="136"/>
      <c r="PI3" s="136"/>
      <c r="PJ3" s="136"/>
      <c r="PK3" s="136"/>
      <c r="PL3" s="136"/>
      <c r="PM3" s="136"/>
      <c r="PN3" s="136"/>
      <c r="PO3" s="136"/>
      <c r="PP3" s="136"/>
      <c r="PQ3" s="136"/>
      <c r="PR3" s="136"/>
      <c r="PS3" s="136"/>
      <c r="PT3" s="136"/>
      <c r="PU3" s="136"/>
      <c r="PV3" s="136"/>
      <c r="PW3" s="136"/>
      <c r="PX3" s="136"/>
      <c r="PY3" s="136"/>
      <c r="PZ3" s="136"/>
      <c r="QA3" s="136"/>
      <c r="QB3" s="136"/>
      <c r="QC3" s="136"/>
      <c r="QD3" s="136"/>
      <c r="QE3" s="136"/>
      <c r="QF3" s="136"/>
      <c r="QG3" s="136"/>
      <c r="QH3" s="136"/>
      <c r="QI3" s="136"/>
      <c r="QJ3" s="136"/>
      <c r="QK3" s="136"/>
      <c r="QL3" s="136"/>
      <c r="QM3" s="136"/>
      <c r="QN3" s="136"/>
      <c r="QO3" s="136"/>
      <c r="QP3" s="136"/>
      <c r="QQ3" s="136"/>
      <c r="QR3" s="136"/>
      <c r="QS3" s="136"/>
      <c r="QT3" s="136"/>
      <c r="QU3" s="136"/>
      <c r="QV3" s="136"/>
      <c r="QW3" s="136"/>
      <c r="QX3" s="136"/>
      <c r="QY3" s="136"/>
      <c r="QZ3" s="136"/>
      <c r="RA3" s="136"/>
      <c r="RB3" s="136"/>
      <c r="RC3" s="136"/>
      <c r="RD3" s="136"/>
      <c r="RE3" s="136"/>
      <c r="RF3" s="136"/>
      <c r="RG3" s="136"/>
      <c r="RH3" s="136"/>
      <c r="RI3" s="136"/>
      <c r="RJ3" s="136"/>
      <c r="RK3" s="136"/>
      <c r="RL3" s="136"/>
      <c r="RM3" s="136"/>
      <c r="RN3" s="136"/>
      <c r="RO3" s="136"/>
      <c r="RP3" s="136"/>
      <c r="RQ3" s="136"/>
      <c r="RR3" s="136"/>
      <c r="RS3" s="136"/>
      <c r="RT3" s="136"/>
      <c r="RU3" s="136"/>
      <c r="RV3" s="136"/>
      <c r="RW3" s="136"/>
      <c r="RX3" s="136"/>
      <c r="RY3" s="136"/>
      <c r="RZ3" s="136"/>
      <c r="SA3" s="136"/>
      <c r="SB3" s="136"/>
      <c r="SC3" s="136"/>
      <c r="SD3" s="136"/>
      <c r="SE3" s="136"/>
      <c r="SF3" s="136"/>
      <c r="SG3" s="136"/>
      <c r="SH3" s="136"/>
      <c r="SI3" s="136"/>
      <c r="SJ3" s="136"/>
      <c r="SK3" s="136"/>
      <c r="SL3" s="136"/>
      <c r="SM3" s="136"/>
      <c r="SN3" s="136"/>
      <c r="SO3" s="136"/>
      <c r="SP3" s="136"/>
      <c r="SQ3" s="136"/>
      <c r="SR3" s="136"/>
      <c r="SS3" s="136"/>
      <c r="ST3" s="136"/>
      <c r="SU3" s="136"/>
      <c r="SV3" s="136"/>
      <c r="SW3" s="136"/>
      <c r="SX3" s="136"/>
      <c r="SY3" s="136"/>
      <c r="SZ3" s="136"/>
      <c r="TA3" s="136"/>
      <c r="TB3" s="136"/>
      <c r="TC3" s="136"/>
      <c r="TD3" s="136"/>
      <c r="TE3" s="136"/>
      <c r="TF3" s="136"/>
      <c r="TG3" s="136"/>
      <c r="TH3" s="136"/>
      <c r="TI3" s="136"/>
      <c r="TJ3" s="136"/>
      <c r="TK3" s="136"/>
      <c r="TL3" s="136"/>
      <c r="TM3" s="136"/>
      <c r="TN3" s="136"/>
      <c r="TO3" s="136"/>
      <c r="TP3" s="136"/>
      <c r="TQ3" s="136"/>
      <c r="TR3" s="136"/>
      <c r="TS3" s="136"/>
      <c r="TT3" s="136"/>
      <c r="TU3" s="136"/>
      <c r="TV3" s="136"/>
      <c r="TW3" s="136"/>
      <c r="TX3" s="136"/>
      <c r="TY3" s="136"/>
      <c r="TZ3" s="136"/>
      <c r="UA3" s="136"/>
      <c r="UB3" s="136"/>
      <c r="UC3" s="136"/>
      <c r="UD3" s="136"/>
      <c r="UE3" s="136"/>
      <c r="UF3" s="136"/>
      <c r="UG3" s="136"/>
      <c r="UH3" s="136"/>
      <c r="UI3" s="136"/>
      <c r="UJ3" s="136"/>
      <c r="UK3" s="136"/>
      <c r="UL3" s="136"/>
      <c r="UM3" s="136"/>
      <c r="UN3" s="136"/>
      <c r="UO3" s="136"/>
      <c r="UP3" s="136"/>
      <c r="UQ3" s="136"/>
      <c r="UR3" s="136"/>
      <c r="US3" s="136"/>
      <c r="UT3" s="136"/>
      <c r="UU3" s="136"/>
      <c r="UV3" s="136"/>
      <c r="UW3" s="136"/>
      <c r="UX3" s="136"/>
      <c r="UY3" s="136"/>
      <c r="UZ3" s="136"/>
      <c r="VA3" s="136"/>
      <c r="VB3" s="136"/>
      <c r="VC3" s="136"/>
      <c r="VD3" s="136"/>
      <c r="VE3" s="136"/>
      <c r="VF3" s="136"/>
      <c r="VG3" s="136"/>
      <c r="VH3" s="136"/>
      <c r="VI3" s="136"/>
      <c r="VJ3" s="136"/>
      <c r="VK3" s="136"/>
      <c r="VL3" s="136"/>
      <c r="VM3" s="136"/>
      <c r="VN3" s="136"/>
      <c r="VO3" s="136"/>
      <c r="VP3" s="136"/>
      <c r="VQ3" s="136"/>
      <c r="VR3" s="136"/>
      <c r="VS3" s="136"/>
      <c r="VT3" s="136"/>
      <c r="VU3" s="136"/>
      <c r="VV3" s="136"/>
      <c r="VW3" s="136"/>
      <c r="VX3" s="136"/>
      <c r="VY3" s="136"/>
      <c r="VZ3" s="136"/>
      <c r="WA3" s="136"/>
      <c r="WB3" s="136"/>
      <c r="WC3" s="136"/>
      <c r="WD3" s="136"/>
      <c r="WE3" s="136"/>
      <c r="WF3" s="136"/>
      <c r="WG3" s="136"/>
      <c r="WH3" s="136"/>
      <c r="WI3" s="136"/>
      <c r="WJ3" s="136"/>
      <c r="WK3" s="136"/>
      <c r="WL3" s="136"/>
      <c r="WM3" s="136"/>
      <c r="WN3" s="136"/>
      <c r="WO3" s="136"/>
      <c r="WP3" s="136"/>
      <c r="WQ3" s="136"/>
      <c r="WR3" s="136"/>
      <c r="WS3" s="136"/>
      <c r="WT3" s="136"/>
      <c r="WU3" s="136"/>
      <c r="WV3" s="136"/>
      <c r="WW3" s="136"/>
      <c r="WX3" s="136"/>
      <c r="WY3" s="136"/>
      <c r="WZ3" s="136"/>
      <c r="XA3" s="136"/>
      <c r="XB3" s="136"/>
      <c r="XC3" s="136"/>
      <c r="XD3" s="136"/>
      <c r="XE3" s="136"/>
      <c r="XF3" s="136"/>
      <c r="XG3" s="136"/>
      <c r="XH3" s="136"/>
      <c r="XI3" s="136"/>
      <c r="XJ3" s="136"/>
      <c r="XK3" s="136"/>
      <c r="XL3" s="136"/>
      <c r="XM3" s="136"/>
      <c r="XN3" s="136"/>
      <c r="XO3" s="136"/>
      <c r="XP3" s="136"/>
      <c r="XQ3" s="136"/>
      <c r="XR3" s="136"/>
      <c r="XS3" s="136"/>
      <c r="XT3" s="136"/>
      <c r="XU3" s="136"/>
      <c r="XV3" s="136"/>
      <c r="XW3" s="136"/>
      <c r="XX3" s="136"/>
      <c r="XY3" s="136"/>
      <c r="XZ3" s="136"/>
      <c r="YA3" s="136"/>
      <c r="YB3" s="136"/>
      <c r="YC3" s="136"/>
      <c r="YD3" s="136"/>
      <c r="YE3" s="136"/>
      <c r="YF3" s="136"/>
      <c r="YG3" s="136"/>
      <c r="YH3" s="136"/>
      <c r="YI3" s="136"/>
      <c r="YJ3" s="136"/>
      <c r="YK3" s="136"/>
      <c r="YL3" s="136"/>
      <c r="YM3" s="136"/>
      <c r="YN3" s="136"/>
      <c r="YO3" s="136"/>
      <c r="YP3" s="136"/>
      <c r="YQ3" s="136"/>
      <c r="YR3" s="136"/>
      <c r="YS3" s="136"/>
      <c r="YT3" s="136"/>
      <c r="YU3" s="136"/>
      <c r="YV3" s="136"/>
      <c r="YW3" s="136"/>
      <c r="YX3" s="136"/>
      <c r="YY3" s="136"/>
      <c r="YZ3" s="136"/>
      <c r="ZA3" s="136"/>
      <c r="ZB3" s="136"/>
      <c r="ZC3" s="136"/>
      <c r="ZD3" s="136"/>
      <c r="ZE3" s="136"/>
      <c r="ZF3" s="136"/>
      <c r="ZG3" s="136"/>
      <c r="ZH3" s="136"/>
      <c r="ZI3" s="136"/>
      <c r="ZJ3" s="136"/>
      <c r="ZK3" s="136"/>
      <c r="ZL3" s="136"/>
      <c r="ZM3" s="136"/>
      <c r="ZN3" s="136"/>
      <c r="ZO3" s="136"/>
      <c r="ZP3" s="136"/>
      <c r="ZQ3" s="136"/>
      <c r="ZR3" s="136"/>
      <c r="ZS3" s="136"/>
      <c r="ZT3" s="136"/>
      <c r="ZU3" s="136"/>
      <c r="ZV3" s="136"/>
      <c r="ZW3" s="136"/>
      <c r="ZX3" s="136"/>
      <c r="ZY3" s="136"/>
      <c r="ZZ3" s="136"/>
      <c r="AAA3" s="136"/>
      <c r="AAB3" s="136"/>
      <c r="AAC3" s="136"/>
      <c r="AAD3" s="136"/>
      <c r="AAE3" s="136"/>
      <c r="AAF3" s="136"/>
      <c r="AAG3" s="136"/>
      <c r="AAH3" s="136"/>
      <c r="AAI3" s="136"/>
      <c r="AAJ3" s="136"/>
      <c r="AAK3" s="136"/>
      <c r="AAL3" s="136"/>
      <c r="AAM3" s="136"/>
      <c r="AAN3" s="136"/>
      <c r="AAO3" s="136"/>
      <c r="AAP3" s="136"/>
      <c r="AAQ3" s="136"/>
      <c r="AAR3" s="136"/>
      <c r="AAS3" s="136"/>
      <c r="AAT3" s="136"/>
      <c r="AAU3" s="136"/>
      <c r="AAV3" s="136"/>
      <c r="AAW3" s="136"/>
      <c r="AAX3" s="136"/>
      <c r="AAY3" s="136"/>
      <c r="AAZ3" s="136"/>
      <c r="ABA3" s="136"/>
      <c r="ABB3" s="136"/>
      <c r="ABC3" s="136"/>
      <c r="ABD3" s="136"/>
      <c r="ABE3" s="136"/>
      <c r="ABF3" s="136"/>
      <c r="ABG3" s="136"/>
      <c r="ABH3" s="136"/>
      <c r="ABI3" s="136"/>
      <c r="ABJ3" s="136"/>
      <c r="ABK3" s="136"/>
      <c r="ABL3" s="136"/>
      <c r="ABM3" s="136"/>
      <c r="ABN3" s="136"/>
      <c r="ABO3" s="136"/>
      <c r="ABP3" s="136"/>
      <c r="ABQ3" s="136"/>
      <c r="ABR3" s="136"/>
      <c r="ABS3" s="136"/>
      <c r="ABT3" s="136"/>
      <c r="ABU3" s="136"/>
      <c r="ABV3" s="136"/>
      <c r="ABW3" s="136"/>
      <c r="ABX3" s="136"/>
      <c r="ABY3" s="136"/>
      <c r="ABZ3" s="136"/>
      <c r="ACA3" s="136"/>
      <c r="ACB3" s="136"/>
      <c r="ACC3" s="136"/>
      <c r="ACD3" s="136"/>
      <c r="ACE3" s="136"/>
      <c r="ACF3" s="136"/>
      <c r="ACG3" s="136"/>
      <c r="ACH3" s="136"/>
      <c r="ACI3" s="136"/>
      <c r="ACJ3" s="136"/>
      <c r="ACK3" s="136"/>
      <c r="ACL3" s="136"/>
      <c r="ACM3" s="136"/>
      <c r="ACN3" s="136"/>
      <c r="ACO3" s="136"/>
      <c r="ACP3" s="136"/>
      <c r="ACQ3" s="136"/>
      <c r="ACR3" s="136"/>
      <c r="ACS3" s="136"/>
      <c r="ACT3" s="136"/>
      <c r="ACU3" s="136"/>
      <c r="ACV3" s="136"/>
      <c r="ACW3" s="136"/>
      <c r="ACX3" s="136"/>
      <c r="ACY3" s="136"/>
      <c r="ACZ3" s="136"/>
      <c r="ADA3" s="136"/>
      <c r="ADB3" s="136"/>
      <c r="ADC3" s="136"/>
      <c r="ADD3" s="136"/>
      <c r="ADE3" s="136"/>
      <c r="ADF3" s="136"/>
      <c r="ADG3" s="136"/>
      <c r="ADH3" s="136"/>
      <c r="ADI3" s="136"/>
      <c r="ADJ3" s="136"/>
      <c r="ADK3" s="136"/>
      <c r="ADL3" s="136"/>
      <c r="ADM3" s="136"/>
      <c r="ADN3" s="136"/>
      <c r="ADO3" s="136"/>
      <c r="ADP3" s="136"/>
      <c r="ADQ3" s="136"/>
      <c r="ADR3" s="136"/>
      <c r="ADS3" s="136"/>
      <c r="ADT3" s="136"/>
      <c r="ADU3" s="136"/>
      <c r="ADV3" s="136"/>
      <c r="ADW3" s="136"/>
      <c r="ADX3" s="136"/>
      <c r="ADY3" s="136"/>
      <c r="ADZ3" s="136"/>
      <c r="AEA3" s="136"/>
      <c r="AEB3" s="136"/>
      <c r="AEC3" s="136"/>
      <c r="AED3" s="136"/>
      <c r="AEE3" s="136"/>
      <c r="AEF3" s="136"/>
      <c r="AEG3" s="136"/>
      <c r="AEH3" s="136"/>
      <c r="AEI3" s="136"/>
      <c r="AEJ3" s="136"/>
      <c r="AEK3" s="136"/>
      <c r="AEL3" s="136"/>
      <c r="AEM3" s="136"/>
      <c r="AEN3" s="136"/>
      <c r="AEO3" s="136"/>
      <c r="AEP3" s="136"/>
      <c r="AEQ3" s="136"/>
      <c r="AER3" s="136"/>
      <c r="AES3" s="136"/>
      <c r="AET3" s="136"/>
      <c r="AEU3" s="136"/>
      <c r="AEV3" s="136"/>
      <c r="AEW3" s="136"/>
      <c r="AEX3" s="136"/>
      <c r="AEY3" s="136"/>
      <c r="AEZ3" s="136"/>
      <c r="AFA3" s="136"/>
      <c r="AFB3" s="136"/>
      <c r="AFC3" s="136"/>
      <c r="AFD3" s="136"/>
      <c r="AFE3" s="136"/>
      <c r="AFF3" s="136"/>
      <c r="AFG3" s="136"/>
      <c r="AFH3" s="136"/>
      <c r="AFI3" s="136"/>
      <c r="AFJ3" s="136"/>
      <c r="AFK3" s="136"/>
      <c r="AFL3" s="136"/>
      <c r="AFM3" s="136"/>
      <c r="AFN3" s="136"/>
      <c r="AFO3" s="136"/>
      <c r="AFP3" s="136"/>
      <c r="AFQ3" s="136"/>
      <c r="AFR3" s="136"/>
      <c r="AFS3" s="136"/>
      <c r="AFT3" s="136"/>
      <c r="AFU3" s="136"/>
      <c r="AFV3" s="136"/>
      <c r="AFW3" s="136"/>
      <c r="AFX3" s="136"/>
      <c r="AFY3" s="136"/>
      <c r="AFZ3" s="136"/>
      <c r="AGA3" s="136"/>
      <c r="AGB3" s="136"/>
      <c r="AGC3" s="136"/>
      <c r="AGD3" s="136"/>
      <c r="AGE3" s="136"/>
      <c r="AGF3" s="136"/>
      <c r="AGG3" s="136"/>
      <c r="AGH3" s="136"/>
      <c r="AGI3" s="136"/>
      <c r="AGJ3" s="136"/>
      <c r="AGK3" s="136"/>
      <c r="AGL3" s="136"/>
      <c r="AGM3" s="136"/>
      <c r="AGN3" s="136"/>
      <c r="AGO3" s="136"/>
      <c r="AGP3" s="136"/>
      <c r="AGQ3" s="136"/>
      <c r="AGR3" s="136"/>
      <c r="AGS3" s="136"/>
      <c r="AGT3" s="136"/>
      <c r="AGU3" s="136"/>
      <c r="AGV3" s="136"/>
      <c r="AGW3" s="136"/>
      <c r="AGX3" s="136"/>
      <c r="AGY3" s="136"/>
      <c r="AGZ3" s="136"/>
      <c r="AHA3" s="136"/>
      <c r="AHB3" s="136"/>
      <c r="AHC3" s="136"/>
      <c r="AHD3" s="136"/>
      <c r="AHE3" s="136"/>
      <c r="AHF3" s="136"/>
      <c r="AHG3" s="136"/>
      <c r="AHH3" s="136"/>
      <c r="AHI3" s="136"/>
      <c r="AHJ3" s="136"/>
      <c r="AHK3" s="136"/>
      <c r="AHL3" s="136"/>
      <c r="AHM3" s="136"/>
      <c r="AHN3" s="136"/>
      <c r="AHO3" s="136"/>
      <c r="AHP3" s="136"/>
      <c r="AHQ3" s="136"/>
      <c r="AHR3" s="136"/>
      <c r="AHS3" s="136"/>
      <c r="AHT3" s="136"/>
      <c r="AHU3" s="136"/>
      <c r="AHV3" s="136"/>
      <c r="AHW3" s="136"/>
      <c r="AHX3" s="136"/>
      <c r="AHY3" s="136"/>
      <c r="AHZ3" s="136"/>
      <c r="AIA3" s="136"/>
      <c r="AIB3" s="136"/>
      <c r="AIC3" s="136"/>
      <c r="AID3" s="136"/>
      <c r="AIE3" s="136"/>
      <c r="AIF3" s="136"/>
      <c r="AIG3" s="136"/>
      <c r="AIH3" s="136"/>
      <c r="AII3" s="136"/>
      <c r="AIJ3" s="136"/>
      <c r="AIK3" s="136"/>
      <c r="AIL3" s="136"/>
      <c r="AIM3" s="136"/>
      <c r="AIN3" s="136"/>
      <c r="AIO3" s="136"/>
      <c r="AIP3" s="136"/>
      <c r="AIQ3" s="136"/>
      <c r="AIR3" s="136"/>
      <c r="AIS3" s="136"/>
      <c r="AIT3" s="136"/>
      <c r="AIU3" s="136"/>
      <c r="AIV3" s="136"/>
      <c r="AIW3" s="136"/>
      <c r="AIX3" s="136"/>
      <c r="AIY3" s="136"/>
      <c r="AIZ3" s="136"/>
      <c r="AJA3" s="136"/>
      <c r="AJB3" s="136"/>
      <c r="AJC3" s="136"/>
      <c r="AJD3" s="136"/>
      <c r="AJE3" s="136"/>
      <c r="AJF3" s="136"/>
      <c r="AJG3" s="136"/>
      <c r="AJH3" s="136"/>
      <c r="AJI3" s="136"/>
      <c r="AJJ3" s="136"/>
      <c r="AJK3" s="136"/>
      <c r="AJL3" s="136"/>
      <c r="AJM3" s="136"/>
      <c r="AJN3" s="136"/>
      <c r="AJO3" s="136"/>
      <c r="AJP3" s="136"/>
      <c r="AJQ3" s="136"/>
      <c r="AJR3" s="136"/>
      <c r="AJS3" s="136"/>
      <c r="AJT3" s="136"/>
      <c r="AJU3" s="136"/>
      <c r="AJV3" s="136"/>
      <c r="AJW3" s="136"/>
      <c r="AJX3" s="136"/>
      <c r="AJY3" s="136"/>
      <c r="AJZ3" s="136"/>
      <c r="AKA3" s="136"/>
      <c r="AKB3" s="136"/>
      <c r="AKC3" s="136"/>
      <c r="AKD3" s="136"/>
      <c r="AKE3" s="136"/>
      <c r="AKF3" s="136"/>
      <c r="AKG3" s="136"/>
      <c r="AKH3" s="136"/>
      <c r="AKI3" s="136"/>
      <c r="AKJ3" s="136"/>
      <c r="AKK3" s="136"/>
      <c r="AKL3" s="136"/>
      <c r="AKM3" s="136"/>
      <c r="AKN3" s="136"/>
      <c r="AKO3" s="136"/>
      <c r="AKP3" s="136"/>
      <c r="AKQ3" s="136"/>
      <c r="AKR3" s="136"/>
      <c r="AKS3" s="136"/>
      <c r="AKT3" s="136"/>
      <c r="AKU3" s="136"/>
      <c r="AKV3" s="136"/>
      <c r="AKW3" s="136"/>
      <c r="AKX3" s="136"/>
      <c r="AKY3" s="136"/>
      <c r="AKZ3" s="136"/>
      <c r="ALA3" s="136"/>
      <c r="ALB3" s="136"/>
      <c r="ALC3" s="136"/>
      <c r="ALD3" s="136"/>
      <c r="ALE3" s="136"/>
      <c r="ALF3" s="136"/>
      <c r="ALG3" s="136"/>
      <c r="ALH3" s="136"/>
      <c r="ALI3" s="136"/>
      <c r="ALJ3" s="136"/>
      <c r="ALK3" s="136"/>
      <c r="ALL3" s="136"/>
      <c r="ALM3" s="136"/>
      <c r="ALN3" s="136"/>
      <c r="ALO3" s="136"/>
      <c r="ALP3" s="136"/>
      <c r="ALQ3" s="136"/>
      <c r="ALR3" s="136"/>
      <c r="ALS3" s="136"/>
      <c r="ALT3" s="136"/>
      <c r="ALU3" s="136"/>
      <c r="ALV3" s="136"/>
      <c r="ALW3" s="136"/>
      <c r="ALX3" s="136"/>
      <c r="ALY3" s="136"/>
      <c r="ALZ3" s="136"/>
      <c r="AMA3" s="136"/>
      <c r="AMB3" s="136"/>
      <c r="AMC3" s="136"/>
      <c r="AMD3" s="136"/>
      <c r="AME3" s="136"/>
      <c r="AMF3" s="136"/>
      <c r="AMG3" s="136"/>
      <c r="AMH3" s="136"/>
      <c r="AMI3" s="136"/>
      <c r="AMJ3" s="136"/>
      <c r="AMK3" s="136"/>
      <c r="AML3" s="136"/>
      <c r="AMM3" s="136"/>
      <c r="AMN3" s="136"/>
      <c r="AMO3" s="136"/>
      <c r="AMP3" s="136"/>
      <c r="AMQ3" s="136"/>
      <c r="AMR3" s="136"/>
      <c r="AMS3" s="136"/>
      <c r="AMT3" s="136"/>
      <c r="AMU3" s="136"/>
      <c r="AMV3" s="136"/>
      <c r="AMW3" s="136"/>
      <c r="AMX3" s="136"/>
      <c r="AMY3" s="136"/>
      <c r="AMZ3" s="136"/>
      <c r="ANA3" s="136"/>
      <c r="ANB3" s="136"/>
      <c r="ANC3" s="136"/>
      <c r="AND3" s="136"/>
      <c r="ANE3" s="136"/>
      <c r="ANF3" s="136"/>
      <c r="ANG3" s="136"/>
      <c r="ANH3" s="136"/>
      <c r="ANI3" s="136"/>
      <c r="ANJ3" s="136"/>
      <c r="ANK3" s="136"/>
      <c r="ANL3" s="136"/>
      <c r="ANM3" s="136"/>
      <c r="ANN3" s="136"/>
      <c r="ANO3" s="136"/>
      <c r="ANP3" s="136"/>
      <c r="ANQ3" s="136"/>
      <c r="ANR3" s="136"/>
      <c r="ANS3" s="136"/>
      <c r="ANT3" s="136"/>
      <c r="ANU3" s="136"/>
      <c r="ANV3" s="136"/>
      <c r="ANW3" s="136"/>
      <c r="ANX3" s="136"/>
      <c r="ANY3" s="136"/>
      <c r="ANZ3" s="136"/>
      <c r="AOA3" s="136"/>
      <c r="AOB3" s="136"/>
      <c r="AOC3" s="136"/>
      <c r="AOD3" s="136"/>
      <c r="AOE3" s="136"/>
      <c r="AOF3" s="136"/>
      <c r="AOG3" s="136"/>
      <c r="AOH3" s="136"/>
      <c r="AOI3" s="136"/>
      <c r="AOJ3" s="136"/>
      <c r="AOK3" s="136"/>
      <c r="AOL3" s="136"/>
      <c r="AOM3" s="136"/>
      <c r="AON3" s="136"/>
      <c r="AOO3" s="136"/>
      <c r="AOP3" s="136"/>
      <c r="AOQ3" s="136"/>
      <c r="AOR3" s="136"/>
      <c r="AOS3" s="136"/>
      <c r="AOT3" s="136"/>
      <c r="AOU3" s="136"/>
      <c r="AOV3" s="136"/>
      <c r="AOW3" s="136"/>
      <c r="AOX3" s="136"/>
      <c r="AOY3" s="136"/>
      <c r="AOZ3" s="136"/>
      <c r="APA3" s="136"/>
      <c r="APB3" s="136"/>
      <c r="APC3" s="136"/>
      <c r="APD3" s="136"/>
      <c r="APE3" s="136"/>
      <c r="APF3" s="136"/>
      <c r="APG3" s="136"/>
      <c r="APH3" s="136"/>
      <c r="API3" s="136"/>
      <c r="APJ3" s="136"/>
      <c r="APK3" s="136"/>
      <c r="APL3" s="136"/>
      <c r="APM3" s="136"/>
      <c r="APN3" s="136"/>
      <c r="APO3" s="136"/>
      <c r="APP3" s="136"/>
      <c r="APQ3" s="136"/>
      <c r="APR3" s="136"/>
      <c r="APS3" s="136"/>
      <c r="APT3" s="136"/>
      <c r="APU3" s="136"/>
      <c r="APV3" s="136"/>
      <c r="APW3" s="136"/>
      <c r="APX3" s="136"/>
      <c r="APY3" s="136"/>
      <c r="APZ3" s="136"/>
      <c r="AQA3" s="136"/>
      <c r="AQB3" s="136"/>
      <c r="AQC3" s="136"/>
      <c r="AQD3" s="136"/>
      <c r="AQE3" s="136"/>
      <c r="AQF3" s="136"/>
      <c r="AQG3" s="136"/>
      <c r="AQH3" s="136"/>
      <c r="AQI3" s="136"/>
      <c r="AQJ3" s="136"/>
      <c r="AQK3" s="136"/>
      <c r="AQL3" s="136"/>
      <c r="AQM3" s="136"/>
      <c r="AQN3" s="136"/>
      <c r="AQO3" s="136"/>
      <c r="AQP3" s="136"/>
      <c r="AQQ3" s="136"/>
      <c r="AQR3" s="136"/>
      <c r="AQS3" s="136"/>
      <c r="AQT3" s="136"/>
      <c r="AQU3" s="136"/>
      <c r="AQV3" s="136"/>
      <c r="AQW3" s="136"/>
      <c r="AQX3" s="136"/>
      <c r="AQY3" s="136"/>
      <c r="AQZ3" s="136"/>
      <c r="ARA3" s="136"/>
      <c r="ARB3" s="136"/>
      <c r="ARC3" s="136"/>
      <c r="ARD3" s="136"/>
      <c r="ARE3" s="136"/>
      <c r="ARF3" s="136"/>
      <c r="ARG3" s="136"/>
      <c r="ARH3" s="136"/>
      <c r="ARI3" s="136"/>
      <c r="ARJ3" s="136"/>
      <c r="ARK3" s="136"/>
      <c r="ARL3" s="136"/>
      <c r="ARM3" s="136"/>
      <c r="ARN3" s="136"/>
      <c r="ARO3" s="136"/>
      <c r="ARP3" s="136"/>
      <c r="ARQ3" s="136"/>
      <c r="ARR3" s="136"/>
      <c r="ARS3" s="136"/>
      <c r="ART3" s="136"/>
      <c r="ARU3" s="136"/>
      <c r="ARV3" s="136"/>
      <c r="ARW3" s="136"/>
      <c r="ARX3" s="136"/>
      <c r="ARY3" s="136"/>
      <c r="ARZ3" s="136"/>
      <c r="ASA3" s="136"/>
      <c r="ASB3" s="136"/>
      <c r="ASC3" s="136"/>
      <c r="ASD3" s="136"/>
      <c r="ASE3" s="136"/>
      <c r="ASF3" s="136"/>
      <c r="ASG3" s="136"/>
      <c r="ASH3" s="136"/>
      <c r="ASI3" s="136"/>
      <c r="ASJ3" s="136"/>
      <c r="ASK3" s="136"/>
      <c r="ASL3" s="136"/>
      <c r="ASM3" s="136"/>
      <c r="ASN3" s="136"/>
      <c r="ASO3" s="136"/>
      <c r="ASP3" s="136"/>
      <c r="ASQ3" s="136"/>
      <c r="ASR3" s="136"/>
      <c r="ASS3" s="136"/>
      <c r="AST3" s="136"/>
      <c r="ASU3" s="136"/>
      <c r="ASV3" s="136"/>
      <c r="ASW3" s="136"/>
      <c r="ASX3" s="136"/>
      <c r="ASY3" s="136"/>
      <c r="ASZ3" s="136"/>
      <c r="ATA3" s="136"/>
      <c r="ATB3" s="136"/>
      <c r="ATC3" s="136"/>
      <c r="ATD3" s="136"/>
      <c r="ATE3" s="136"/>
      <c r="ATF3" s="136"/>
      <c r="ATG3" s="136"/>
      <c r="ATH3" s="136"/>
      <c r="ATI3" s="136"/>
      <c r="ATJ3" s="136"/>
      <c r="ATK3" s="136"/>
      <c r="ATL3" s="136"/>
      <c r="ATM3" s="136"/>
      <c r="ATN3" s="136"/>
      <c r="ATO3" s="136"/>
      <c r="ATP3" s="136"/>
      <c r="ATQ3" s="136"/>
      <c r="ATR3" s="136"/>
      <c r="ATS3" s="136"/>
      <c r="ATT3" s="136"/>
      <c r="ATU3" s="136"/>
      <c r="ATV3" s="136"/>
      <c r="ATW3" s="136"/>
      <c r="ATX3" s="136"/>
      <c r="ATY3" s="136"/>
      <c r="ATZ3" s="136"/>
      <c r="AUA3" s="136"/>
      <c r="AUB3" s="136"/>
      <c r="AUC3" s="136"/>
      <c r="AUD3" s="136"/>
      <c r="AUE3" s="136"/>
      <c r="AUF3" s="136"/>
      <c r="AUG3" s="136"/>
      <c r="AUH3" s="136"/>
      <c r="AUI3" s="136"/>
      <c r="AUJ3" s="136"/>
      <c r="AUK3" s="136"/>
      <c r="AUL3" s="136"/>
      <c r="AUM3" s="136"/>
      <c r="AUN3" s="136"/>
      <c r="AUO3" s="136"/>
      <c r="AUP3" s="136"/>
      <c r="AUQ3" s="136"/>
      <c r="AUR3" s="136"/>
      <c r="AUS3" s="136"/>
      <c r="AUT3" s="136"/>
      <c r="AUU3" s="136"/>
      <c r="AUV3" s="136"/>
      <c r="AUW3" s="136"/>
      <c r="AUX3" s="136"/>
      <c r="AUY3" s="136"/>
      <c r="AUZ3" s="136"/>
      <c r="AVA3" s="136"/>
      <c r="AVB3" s="136"/>
      <c r="AVC3" s="136"/>
      <c r="AVD3" s="136"/>
      <c r="AVE3" s="136"/>
      <c r="AVF3" s="136"/>
      <c r="AVG3" s="136"/>
      <c r="AVH3" s="136"/>
      <c r="AVI3" s="136"/>
      <c r="AVJ3" s="136"/>
      <c r="AVK3" s="136"/>
      <c r="AVL3" s="136"/>
      <c r="AVM3" s="136"/>
      <c r="AVN3" s="136"/>
      <c r="AVO3" s="136"/>
      <c r="AVP3" s="136"/>
      <c r="AVQ3" s="136"/>
      <c r="AVR3" s="136"/>
      <c r="AVS3" s="136"/>
      <c r="AVT3" s="136"/>
      <c r="AVU3" s="136"/>
      <c r="AVV3" s="136"/>
      <c r="AVW3" s="136"/>
      <c r="AVX3" s="136"/>
      <c r="AVY3" s="136"/>
      <c r="AVZ3" s="136"/>
      <c r="AWA3" s="136"/>
      <c r="AWB3" s="136"/>
      <c r="AWC3" s="136"/>
      <c r="AWD3" s="136"/>
      <c r="AWE3" s="136"/>
      <c r="AWF3" s="136"/>
      <c r="AWG3" s="136"/>
      <c r="AWH3" s="136"/>
      <c r="AWI3" s="136"/>
      <c r="AWJ3" s="136"/>
      <c r="AWK3" s="136"/>
      <c r="AWL3" s="136"/>
      <c r="AWM3" s="136"/>
      <c r="AWN3" s="136"/>
      <c r="AWO3" s="136"/>
      <c r="AWP3" s="136"/>
      <c r="AWQ3" s="136"/>
      <c r="AWR3" s="136"/>
      <c r="AWS3" s="136"/>
      <c r="AWT3" s="136"/>
      <c r="AWU3" s="136"/>
      <c r="AWV3" s="136"/>
      <c r="AWW3" s="136"/>
      <c r="AWX3" s="136"/>
      <c r="AWY3" s="136"/>
      <c r="AWZ3" s="136"/>
      <c r="AXA3" s="136"/>
      <c r="AXB3" s="136"/>
      <c r="AXC3" s="136"/>
      <c r="AXD3" s="136"/>
      <c r="AXE3" s="136"/>
      <c r="AXF3" s="136"/>
      <c r="AXG3" s="136"/>
      <c r="AXH3" s="136"/>
      <c r="AXI3" s="136"/>
      <c r="AXJ3" s="136"/>
      <c r="AXK3" s="136"/>
      <c r="AXL3" s="136"/>
      <c r="AXM3" s="136"/>
      <c r="AXN3" s="136"/>
      <c r="AXO3" s="136"/>
      <c r="AXP3" s="136"/>
      <c r="AXQ3" s="136"/>
      <c r="AXR3" s="136"/>
      <c r="AXS3" s="136"/>
      <c r="AXT3" s="136"/>
      <c r="AXU3" s="136"/>
      <c r="AXV3" s="136"/>
      <c r="AXW3" s="136"/>
      <c r="AXX3" s="136"/>
      <c r="AXY3" s="136"/>
      <c r="AXZ3" s="136"/>
      <c r="AYA3" s="136"/>
      <c r="AYB3" s="136"/>
      <c r="AYC3" s="136"/>
      <c r="AYD3" s="136"/>
      <c r="AYE3" s="136"/>
      <c r="AYF3" s="136"/>
      <c r="AYG3" s="136"/>
      <c r="AYH3" s="136"/>
      <c r="AYI3" s="136"/>
      <c r="AYJ3" s="136"/>
      <c r="AYK3" s="136"/>
      <c r="AYL3" s="136"/>
      <c r="AYM3" s="136"/>
      <c r="AYN3" s="136"/>
      <c r="AYO3" s="136"/>
      <c r="AYP3" s="136"/>
      <c r="AYQ3" s="136"/>
      <c r="AYR3" s="136"/>
      <c r="AYS3" s="136"/>
      <c r="AYT3" s="136"/>
      <c r="AYU3" s="136"/>
      <c r="AYV3" s="136"/>
      <c r="AYW3" s="136"/>
      <c r="AYX3" s="136"/>
      <c r="AYY3" s="136"/>
      <c r="AYZ3" s="136"/>
      <c r="AZA3" s="136"/>
      <c r="AZB3" s="136"/>
      <c r="AZC3" s="136"/>
      <c r="AZD3" s="136"/>
      <c r="AZE3" s="136"/>
      <c r="AZF3" s="136"/>
      <c r="AZG3" s="136"/>
      <c r="AZH3" s="136"/>
      <c r="AZI3" s="136"/>
      <c r="AZJ3" s="136"/>
      <c r="AZK3" s="136"/>
      <c r="AZL3" s="136"/>
      <c r="AZM3" s="136"/>
      <c r="AZN3" s="136"/>
      <c r="AZO3" s="136"/>
      <c r="AZP3" s="136"/>
      <c r="AZQ3" s="136"/>
      <c r="AZR3" s="136"/>
      <c r="AZS3" s="136"/>
      <c r="AZT3" s="136"/>
      <c r="AZU3" s="136"/>
      <c r="AZV3" s="136"/>
      <c r="AZW3" s="136"/>
      <c r="AZX3" s="136"/>
      <c r="AZY3" s="136"/>
      <c r="AZZ3" s="136"/>
      <c r="BAA3" s="136"/>
      <c r="BAB3" s="136"/>
      <c r="BAC3" s="136"/>
      <c r="BAD3" s="136"/>
      <c r="BAE3" s="136"/>
      <c r="BAF3" s="136"/>
      <c r="BAG3" s="136"/>
      <c r="BAH3" s="136"/>
      <c r="BAI3" s="136"/>
      <c r="BAJ3" s="136"/>
      <c r="BAK3" s="136"/>
      <c r="BAL3" s="136"/>
      <c r="BAM3" s="136"/>
      <c r="BAN3" s="136"/>
      <c r="BAO3" s="136"/>
      <c r="BAP3" s="136"/>
      <c r="BAQ3" s="136"/>
      <c r="BAR3" s="136"/>
      <c r="BAS3" s="136"/>
      <c r="BAT3" s="136"/>
      <c r="BAU3" s="136"/>
      <c r="BAV3" s="136"/>
      <c r="BAW3" s="136"/>
      <c r="BAX3" s="136"/>
      <c r="BAY3" s="136"/>
      <c r="BAZ3" s="136"/>
      <c r="BBA3" s="136"/>
      <c r="BBB3" s="136"/>
      <c r="BBC3" s="136"/>
      <c r="BBD3" s="136"/>
      <c r="BBE3" s="136"/>
      <c r="BBF3" s="136"/>
      <c r="BBG3" s="136"/>
      <c r="BBH3" s="136"/>
      <c r="BBI3" s="136"/>
      <c r="BBJ3" s="136"/>
      <c r="BBK3" s="136"/>
      <c r="BBL3" s="136"/>
      <c r="BBM3" s="136"/>
      <c r="BBN3" s="136"/>
      <c r="BBO3" s="136"/>
      <c r="BBP3" s="136"/>
      <c r="BBQ3" s="136"/>
      <c r="BBR3" s="136"/>
      <c r="BBS3" s="136"/>
      <c r="BBT3" s="136"/>
      <c r="BBU3" s="136"/>
      <c r="BBV3" s="136"/>
      <c r="BBW3" s="136"/>
      <c r="BBX3" s="136"/>
      <c r="BBY3" s="136"/>
      <c r="BBZ3" s="136"/>
      <c r="BCA3" s="136"/>
      <c r="BCB3" s="136"/>
      <c r="BCC3" s="136"/>
      <c r="BCD3" s="136"/>
      <c r="BCE3" s="136"/>
      <c r="BCF3" s="136"/>
      <c r="BCG3" s="136"/>
      <c r="BCH3" s="136"/>
      <c r="BCI3" s="136"/>
      <c r="BCJ3" s="136"/>
      <c r="BCK3" s="136"/>
      <c r="BCL3" s="136"/>
      <c r="BCM3" s="136"/>
      <c r="BCN3" s="136"/>
      <c r="BCO3" s="136"/>
      <c r="BCP3" s="136"/>
      <c r="BCQ3" s="136"/>
      <c r="BCR3" s="136"/>
      <c r="BCS3" s="136"/>
      <c r="BCT3" s="136"/>
      <c r="BCU3" s="136"/>
      <c r="BCV3" s="136"/>
      <c r="BCW3" s="136"/>
      <c r="BCX3" s="136"/>
      <c r="BCY3" s="136"/>
      <c r="BCZ3" s="136"/>
      <c r="BDA3" s="136"/>
      <c r="BDB3" s="136"/>
      <c r="BDC3" s="136"/>
      <c r="BDD3" s="136"/>
      <c r="BDE3" s="136"/>
      <c r="BDF3" s="136"/>
      <c r="BDG3" s="136"/>
      <c r="BDH3" s="136"/>
      <c r="BDI3" s="136"/>
      <c r="BDJ3" s="136"/>
      <c r="BDK3" s="136"/>
      <c r="BDL3" s="136"/>
      <c r="BDM3" s="136"/>
      <c r="BDN3" s="136"/>
      <c r="BDO3" s="136"/>
      <c r="BDP3" s="136"/>
      <c r="BDQ3" s="136"/>
      <c r="BDR3" s="136"/>
      <c r="BDS3" s="136"/>
      <c r="BDT3" s="136"/>
      <c r="BDU3" s="136"/>
      <c r="BDV3" s="136"/>
      <c r="BDW3" s="136"/>
      <c r="BDX3" s="136"/>
      <c r="BDY3" s="136"/>
      <c r="BDZ3" s="136"/>
      <c r="BEA3" s="136"/>
      <c r="BEB3" s="136"/>
      <c r="BEC3" s="136"/>
      <c r="BED3" s="136"/>
      <c r="BEE3" s="136"/>
      <c r="BEF3" s="136"/>
      <c r="BEG3" s="136"/>
      <c r="BEH3" s="136"/>
      <c r="BEI3" s="136"/>
      <c r="BEJ3" s="136"/>
      <c r="BEK3" s="136"/>
      <c r="BEL3" s="136"/>
      <c r="BEM3" s="136"/>
      <c r="BEN3" s="136"/>
      <c r="BEO3" s="136"/>
      <c r="BEP3" s="136"/>
      <c r="BEQ3" s="136"/>
      <c r="BER3" s="136"/>
      <c r="BES3" s="136"/>
      <c r="BET3" s="136"/>
      <c r="BEU3" s="136"/>
      <c r="BEV3" s="136"/>
      <c r="BEW3" s="136"/>
      <c r="BEX3" s="136"/>
      <c r="BEY3" s="136"/>
      <c r="BEZ3" s="136"/>
      <c r="BFA3" s="136"/>
      <c r="BFB3" s="136"/>
      <c r="BFC3" s="136"/>
      <c r="BFD3" s="136"/>
      <c r="BFE3" s="136"/>
      <c r="BFF3" s="136"/>
      <c r="BFG3" s="136"/>
      <c r="BFH3" s="136"/>
      <c r="BFI3" s="136"/>
      <c r="BFJ3" s="136"/>
      <c r="BFK3" s="136"/>
      <c r="BFL3" s="136"/>
      <c r="BFM3" s="136"/>
      <c r="BFN3" s="136"/>
      <c r="BFO3" s="136"/>
      <c r="BFP3" s="136"/>
      <c r="BFQ3" s="136"/>
      <c r="BFR3" s="136"/>
      <c r="BFS3" s="136"/>
      <c r="BFT3" s="136"/>
      <c r="BFU3" s="136"/>
      <c r="BFV3" s="136"/>
      <c r="BFW3" s="136"/>
      <c r="BFX3" s="136"/>
      <c r="BFY3" s="136"/>
      <c r="BFZ3" s="136"/>
      <c r="BGA3" s="136"/>
      <c r="BGB3" s="136"/>
      <c r="BGC3" s="136"/>
      <c r="BGD3" s="136"/>
      <c r="BGE3" s="136"/>
      <c r="BGF3" s="136"/>
      <c r="BGG3" s="136"/>
      <c r="BGH3" s="136"/>
      <c r="BGI3" s="136"/>
      <c r="BGJ3" s="136"/>
      <c r="BGK3" s="136"/>
      <c r="BGL3" s="136"/>
      <c r="BGM3" s="136"/>
      <c r="BGN3" s="136"/>
      <c r="BGO3" s="136"/>
      <c r="BGP3" s="136"/>
      <c r="BGQ3" s="136"/>
      <c r="BGR3" s="136"/>
      <c r="BGS3" s="136"/>
      <c r="BGT3" s="136"/>
      <c r="BGU3" s="136"/>
      <c r="BGV3" s="136"/>
      <c r="BGW3" s="136"/>
      <c r="BGX3" s="136"/>
      <c r="BGY3" s="136"/>
      <c r="BGZ3" s="136"/>
      <c r="BHA3" s="136"/>
      <c r="BHB3" s="136"/>
      <c r="BHC3" s="136"/>
      <c r="BHD3" s="136"/>
      <c r="BHE3" s="136"/>
      <c r="BHF3" s="136"/>
      <c r="BHG3" s="136"/>
      <c r="BHH3" s="136"/>
      <c r="BHI3" s="136"/>
      <c r="BHJ3" s="136"/>
      <c r="BHK3" s="136"/>
      <c r="BHL3" s="136"/>
      <c r="BHM3" s="136"/>
      <c r="BHN3" s="136"/>
      <c r="BHO3" s="136"/>
      <c r="BHP3" s="136"/>
      <c r="BHQ3" s="136"/>
      <c r="BHR3" s="136"/>
      <c r="BHS3" s="136"/>
      <c r="BHT3" s="136"/>
      <c r="BHU3" s="136"/>
      <c r="BHV3" s="136"/>
      <c r="BHW3" s="136"/>
      <c r="BHX3" s="136"/>
      <c r="BHY3" s="136"/>
      <c r="BHZ3" s="136"/>
      <c r="BIA3" s="136"/>
      <c r="BIB3" s="136"/>
      <c r="BIC3" s="136"/>
      <c r="BID3" s="136"/>
      <c r="BIE3" s="136"/>
      <c r="BIF3" s="136"/>
      <c r="BIG3" s="136"/>
      <c r="BIH3" s="136"/>
      <c r="BII3" s="136"/>
      <c r="BIJ3" s="136"/>
      <c r="BIK3" s="136"/>
      <c r="BIL3" s="136"/>
      <c r="BIM3" s="136"/>
      <c r="BIN3" s="136"/>
      <c r="BIO3" s="136"/>
      <c r="BIP3" s="136"/>
      <c r="BIQ3" s="136"/>
      <c r="BIR3" s="136"/>
      <c r="BIS3" s="136"/>
      <c r="BIT3" s="136"/>
      <c r="BIU3" s="136"/>
      <c r="BIV3" s="136"/>
      <c r="BIW3" s="136"/>
      <c r="BIX3" s="136"/>
      <c r="BIY3" s="136"/>
      <c r="BIZ3" s="136"/>
      <c r="BJA3" s="136"/>
      <c r="BJB3" s="136"/>
      <c r="BJC3" s="136"/>
      <c r="BJD3" s="136"/>
      <c r="BJE3" s="136"/>
      <c r="BJF3" s="136"/>
      <c r="BJG3" s="136"/>
      <c r="BJH3" s="136"/>
      <c r="BJI3" s="136"/>
      <c r="BJJ3" s="136"/>
      <c r="BJK3" s="136"/>
      <c r="BJL3" s="136"/>
      <c r="BJM3" s="136"/>
      <c r="BJN3" s="136"/>
      <c r="BJO3" s="136"/>
      <c r="BJP3" s="136"/>
      <c r="BJQ3" s="136"/>
      <c r="BJR3" s="136"/>
      <c r="BJS3" s="136"/>
      <c r="BJT3" s="136"/>
      <c r="BJU3" s="136"/>
      <c r="BJV3" s="136"/>
      <c r="BJW3" s="136"/>
      <c r="BJX3" s="136"/>
      <c r="BJY3" s="136"/>
      <c r="BJZ3" s="136"/>
      <c r="BKA3" s="136"/>
      <c r="BKB3" s="136"/>
      <c r="BKC3" s="136"/>
      <c r="BKD3" s="136"/>
      <c r="BKE3" s="136"/>
      <c r="BKF3" s="136"/>
      <c r="BKG3" s="136"/>
      <c r="BKH3" s="136"/>
      <c r="BKI3" s="136"/>
      <c r="BKJ3" s="136"/>
      <c r="BKK3" s="136"/>
      <c r="BKL3" s="136"/>
      <c r="BKM3" s="136"/>
      <c r="BKN3" s="136"/>
      <c r="BKO3" s="136"/>
      <c r="BKP3" s="136"/>
      <c r="BKQ3" s="136"/>
      <c r="BKR3" s="136"/>
      <c r="BKS3" s="136"/>
      <c r="BKT3" s="136"/>
      <c r="BKU3" s="136"/>
      <c r="BKV3" s="136"/>
      <c r="BKW3" s="136"/>
      <c r="BKX3" s="136"/>
      <c r="BKY3" s="136"/>
      <c r="BKZ3" s="136"/>
      <c r="BLA3" s="136"/>
      <c r="BLB3" s="136"/>
      <c r="BLC3" s="136"/>
      <c r="BLD3" s="136"/>
      <c r="BLE3" s="136"/>
      <c r="BLF3" s="136"/>
      <c r="BLG3" s="136"/>
      <c r="BLH3" s="136"/>
      <c r="BLI3" s="136"/>
      <c r="BLJ3" s="136"/>
      <c r="BLK3" s="136"/>
      <c r="BLL3" s="136"/>
      <c r="BLM3" s="136"/>
      <c r="BLN3" s="136"/>
      <c r="BLO3" s="136"/>
      <c r="BLP3" s="136"/>
      <c r="BLQ3" s="136"/>
      <c r="BLR3" s="136"/>
      <c r="BLS3" s="136"/>
      <c r="BLT3" s="136"/>
      <c r="BLU3" s="136"/>
      <c r="BLV3" s="136"/>
      <c r="BLW3" s="136"/>
      <c r="BLX3" s="136"/>
      <c r="BLY3" s="136"/>
      <c r="BLZ3" s="136"/>
      <c r="BMA3" s="136"/>
      <c r="BMB3" s="136"/>
      <c r="BMC3" s="136"/>
      <c r="BMD3" s="136"/>
      <c r="BME3" s="136"/>
      <c r="BMF3" s="136"/>
      <c r="BMG3" s="136"/>
      <c r="BMH3" s="136"/>
      <c r="BMI3" s="136"/>
      <c r="BMJ3" s="136"/>
      <c r="BMK3" s="136"/>
      <c r="BML3" s="136"/>
      <c r="BMM3" s="136"/>
      <c r="BMN3" s="136"/>
      <c r="BMO3" s="136"/>
      <c r="BMP3" s="136"/>
      <c r="BMQ3" s="136"/>
      <c r="BMR3" s="136"/>
      <c r="BMS3" s="136"/>
      <c r="BMT3" s="136"/>
      <c r="BMU3" s="136"/>
      <c r="BMV3" s="136"/>
      <c r="BMW3" s="136"/>
      <c r="BMX3" s="136"/>
      <c r="BMY3" s="136"/>
      <c r="BMZ3" s="136"/>
      <c r="BNA3" s="136"/>
      <c r="BNB3" s="136"/>
      <c r="BNC3" s="136"/>
      <c r="BND3" s="136"/>
      <c r="BNE3" s="136"/>
      <c r="BNF3" s="136"/>
      <c r="BNG3" s="136"/>
      <c r="BNH3" s="136"/>
      <c r="BNI3" s="136"/>
      <c r="BNJ3" s="136"/>
      <c r="BNK3" s="136"/>
      <c r="BNL3" s="136"/>
      <c r="BNM3" s="136"/>
      <c r="BNN3" s="136"/>
      <c r="BNO3" s="136"/>
      <c r="BNP3" s="136"/>
      <c r="BNQ3" s="136"/>
      <c r="BNR3" s="136"/>
      <c r="BNS3" s="136"/>
      <c r="BNT3" s="136"/>
      <c r="BNU3" s="136"/>
      <c r="BNV3" s="136"/>
      <c r="BNW3" s="136"/>
      <c r="BNX3" s="136"/>
      <c r="BNY3" s="136"/>
      <c r="BNZ3" s="136"/>
      <c r="BOA3" s="136"/>
      <c r="BOB3" s="136"/>
      <c r="BOC3" s="136"/>
      <c r="BOD3" s="136"/>
      <c r="BOE3" s="136"/>
      <c r="BOF3" s="136"/>
      <c r="BOG3" s="136"/>
      <c r="BOH3" s="136"/>
      <c r="BOI3" s="136"/>
      <c r="BOJ3" s="136"/>
      <c r="BOK3" s="136"/>
      <c r="BOL3" s="136"/>
      <c r="BOM3" s="136"/>
      <c r="BON3" s="136"/>
      <c r="BOO3" s="136"/>
      <c r="BOP3" s="136"/>
      <c r="BOQ3" s="136"/>
      <c r="BOR3" s="136"/>
      <c r="BOS3" s="136"/>
      <c r="BOT3" s="136"/>
      <c r="BOU3" s="136"/>
      <c r="BOV3" s="136"/>
      <c r="BOW3" s="136"/>
      <c r="BOX3" s="136"/>
      <c r="BOY3" s="136"/>
      <c r="BOZ3" s="136"/>
      <c r="BPA3" s="136"/>
      <c r="BPB3" s="136"/>
      <c r="BPC3" s="136"/>
      <c r="BPD3" s="136"/>
      <c r="BPE3" s="136"/>
      <c r="BPF3" s="136"/>
      <c r="BPG3" s="136"/>
      <c r="BPH3" s="136"/>
      <c r="BPI3" s="136"/>
      <c r="BPJ3" s="136"/>
      <c r="BPK3" s="136"/>
      <c r="BPL3" s="136"/>
      <c r="BPM3" s="136"/>
      <c r="BPN3" s="136"/>
      <c r="BPO3" s="136"/>
      <c r="BPP3" s="136"/>
      <c r="BPQ3" s="136"/>
      <c r="BPR3" s="136"/>
      <c r="BPS3" s="136"/>
      <c r="BPT3" s="136"/>
      <c r="BPU3" s="136"/>
      <c r="BPV3" s="136"/>
      <c r="BPW3" s="136"/>
      <c r="BPX3" s="136"/>
      <c r="BPY3" s="136"/>
      <c r="BPZ3" s="136"/>
      <c r="BQA3" s="136"/>
      <c r="BQB3" s="136"/>
      <c r="BQC3" s="136"/>
      <c r="BQD3" s="136"/>
      <c r="BQE3" s="136"/>
      <c r="BQF3" s="136"/>
      <c r="BQG3" s="136"/>
      <c r="BQH3" s="136"/>
      <c r="BQI3" s="136"/>
      <c r="BQJ3" s="136"/>
      <c r="BQK3" s="136"/>
      <c r="BQL3" s="136"/>
      <c r="BQM3" s="136"/>
      <c r="BQN3" s="136"/>
      <c r="BQO3" s="136"/>
      <c r="BQP3" s="136"/>
      <c r="BQQ3" s="136"/>
      <c r="BQR3" s="136"/>
      <c r="BQS3" s="136"/>
      <c r="BQT3" s="136"/>
      <c r="BQU3" s="136"/>
      <c r="BQV3" s="136"/>
      <c r="BQW3" s="136"/>
      <c r="BQX3" s="136"/>
      <c r="BQY3" s="136"/>
      <c r="BQZ3" s="136"/>
      <c r="BRA3" s="136"/>
      <c r="BRB3" s="136"/>
      <c r="BRC3" s="136"/>
      <c r="BRD3" s="136"/>
      <c r="BRE3" s="136"/>
      <c r="BRF3" s="136"/>
      <c r="BRG3" s="136"/>
      <c r="BRH3" s="136"/>
      <c r="BRI3" s="136"/>
      <c r="BRJ3" s="136"/>
      <c r="BRK3" s="136"/>
      <c r="BRL3" s="136"/>
      <c r="BRM3" s="136"/>
      <c r="BRN3" s="136"/>
      <c r="BRO3" s="136"/>
      <c r="BRP3" s="136"/>
      <c r="BRQ3" s="136"/>
      <c r="BRR3" s="136"/>
      <c r="BRS3" s="136"/>
      <c r="BRT3" s="136"/>
      <c r="BRU3" s="136"/>
      <c r="BRV3" s="136"/>
      <c r="BRW3" s="136"/>
      <c r="BRX3" s="136"/>
      <c r="BRY3" s="136"/>
      <c r="BRZ3" s="136"/>
      <c r="BSA3" s="136"/>
      <c r="BSB3" s="136"/>
      <c r="BSC3" s="136"/>
      <c r="BSD3" s="136"/>
      <c r="BSE3" s="136"/>
      <c r="BSF3" s="136"/>
      <c r="BSG3" s="136"/>
      <c r="BSH3" s="136"/>
      <c r="BSI3" s="136"/>
      <c r="BSJ3" s="136"/>
      <c r="BSK3" s="136"/>
      <c r="BSL3" s="136"/>
      <c r="BSM3" s="136"/>
      <c r="BSN3" s="136"/>
      <c r="BSO3" s="136"/>
      <c r="BSP3" s="136"/>
      <c r="BSQ3" s="136"/>
      <c r="BSR3" s="136"/>
      <c r="BSS3" s="136"/>
      <c r="BST3" s="136"/>
      <c r="BSU3" s="136"/>
      <c r="BSV3" s="136"/>
      <c r="BSW3" s="136"/>
      <c r="BSX3" s="136"/>
      <c r="BSY3" s="136"/>
      <c r="BSZ3" s="136"/>
      <c r="BTA3" s="136"/>
      <c r="BTB3" s="136"/>
      <c r="BTC3" s="136"/>
      <c r="BTD3" s="136"/>
      <c r="BTE3" s="136"/>
      <c r="BTF3" s="136"/>
      <c r="BTG3" s="136"/>
      <c r="BTH3" s="136"/>
      <c r="BTI3" s="136"/>
      <c r="BTJ3" s="136"/>
      <c r="BTK3" s="136"/>
      <c r="BTL3" s="136"/>
      <c r="BTM3" s="136"/>
      <c r="BTN3" s="136"/>
      <c r="BTO3" s="136"/>
      <c r="BTP3" s="136"/>
      <c r="BTQ3" s="136"/>
      <c r="BTR3" s="136"/>
      <c r="BTS3" s="136"/>
      <c r="BTT3" s="136"/>
      <c r="BTU3" s="136"/>
      <c r="BTV3" s="136"/>
      <c r="BTW3" s="136"/>
      <c r="BTX3" s="136"/>
      <c r="BTY3" s="136"/>
      <c r="BTZ3" s="136"/>
      <c r="BUA3" s="136"/>
      <c r="BUB3" s="136"/>
      <c r="BUC3" s="136"/>
      <c r="BUD3" s="136"/>
      <c r="BUE3" s="136"/>
      <c r="BUF3" s="136"/>
      <c r="BUG3" s="136"/>
      <c r="BUH3" s="136"/>
      <c r="BUI3" s="136"/>
      <c r="BUJ3" s="136"/>
      <c r="BUK3" s="136"/>
      <c r="BUL3" s="136"/>
      <c r="BUM3" s="136"/>
      <c r="BUN3" s="136"/>
      <c r="BUO3" s="136"/>
      <c r="BUP3" s="136"/>
      <c r="BUQ3" s="136"/>
      <c r="BUR3" s="136"/>
      <c r="BUS3" s="136"/>
      <c r="BUT3" s="136"/>
      <c r="BUU3" s="136"/>
      <c r="BUV3" s="136"/>
      <c r="BUW3" s="136"/>
      <c r="BUX3" s="136"/>
      <c r="BUY3" s="136"/>
      <c r="BUZ3" s="136"/>
      <c r="BVA3" s="136"/>
      <c r="BVB3" s="136"/>
      <c r="BVC3" s="136"/>
      <c r="BVD3" s="136"/>
      <c r="BVE3" s="136"/>
      <c r="BVF3" s="136"/>
      <c r="BVG3" s="136"/>
      <c r="BVH3" s="136"/>
      <c r="BVI3" s="136"/>
      <c r="BVJ3" s="136"/>
      <c r="BVK3" s="136"/>
      <c r="BVL3" s="136"/>
      <c r="BVM3" s="136"/>
      <c r="BVN3" s="136"/>
      <c r="BVO3" s="136"/>
      <c r="BVP3" s="136"/>
      <c r="BVQ3" s="136"/>
      <c r="BVR3" s="136"/>
      <c r="BVS3" s="136"/>
      <c r="BVT3" s="136"/>
      <c r="BVU3" s="136"/>
      <c r="BVV3" s="136"/>
      <c r="BVW3" s="136"/>
      <c r="BVX3" s="136"/>
      <c r="BVY3" s="136"/>
      <c r="BVZ3" s="136"/>
      <c r="BWA3" s="136"/>
      <c r="BWB3" s="136"/>
      <c r="BWC3" s="136"/>
      <c r="BWD3" s="136"/>
      <c r="BWE3" s="136"/>
      <c r="BWF3" s="136"/>
      <c r="BWG3" s="136"/>
      <c r="BWH3" s="136"/>
      <c r="BWI3" s="136"/>
      <c r="BWJ3" s="136"/>
      <c r="BWK3" s="136"/>
      <c r="BWL3" s="136"/>
      <c r="BWM3" s="136"/>
      <c r="BWN3" s="136"/>
      <c r="BWO3" s="136"/>
      <c r="BWP3" s="136"/>
      <c r="BWQ3" s="136"/>
      <c r="BWR3" s="136"/>
      <c r="BWS3" s="136"/>
      <c r="BWT3" s="136"/>
      <c r="BWU3" s="136"/>
      <c r="BWV3" s="136"/>
      <c r="BWW3" s="136"/>
      <c r="BWX3" s="136"/>
      <c r="BWY3" s="136"/>
      <c r="BWZ3" s="136"/>
      <c r="BXA3" s="136"/>
      <c r="BXB3" s="136"/>
      <c r="BXC3" s="136"/>
      <c r="BXD3" s="136"/>
      <c r="BXE3" s="136"/>
      <c r="BXF3" s="136"/>
      <c r="BXG3" s="136"/>
      <c r="BXH3" s="136"/>
      <c r="BXI3" s="136"/>
      <c r="BXJ3" s="136"/>
      <c r="BXK3" s="136"/>
      <c r="BXL3" s="136"/>
      <c r="BXM3" s="136"/>
      <c r="BXN3" s="136"/>
      <c r="BXO3" s="136"/>
      <c r="BXP3" s="136"/>
      <c r="BXQ3" s="136"/>
      <c r="BXR3" s="136"/>
      <c r="BXS3" s="136"/>
      <c r="BXT3" s="136"/>
      <c r="BXU3" s="136"/>
      <c r="BXV3" s="136"/>
      <c r="BXW3" s="136"/>
      <c r="BXX3" s="136"/>
      <c r="BXY3" s="136"/>
      <c r="BXZ3" s="136"/>
      <c r="BYA3" s="136"/>
      <c r="BYB3" s="136"/>
      <c r="BYC3" s="136"/>
      <c r="BYD3" s="136"/>
      <c r="BYE3" s="136"/>
      <c r="BYF3" s="136"/>
      <c r="BYG3" s="136"/>
      <c r="BYH3" s="136"/>
      <c r="BYI3" s="136"/>
      <c r="BYJ3" s="136"/>
      <c r="BYK3" s="136"/>
      <c r="BYL3" s="136"/>
      <c r="BYM3" s="136"/>
      <c r="BYN3" s="136"/>
      <c r="BYO3" s="136"/>
      <c r="BYP3" s="136"/>
      <c r="BYQ3" s="136"/>
      <c r="BYR3" s="136"/>
      <c r="BYS3" s="136"/>
      <c r="BYT3" s="136"/>
      <c r="BYU3" s="136"/>
      <c r="BYV3" s="136"/>
      <c r="BYW3" s="136"/>
      <c r="BYX3" s="136"/>
      <c r="BYY3" s="136"/>
      <c r="BYZ3" s="136"/>
      <c r="BZA3" s="136"/>
      <c r="BZB3" s="136"/>
      <c r="BZC3" s="136"/>
      <c r="BZD3" s="136"/>
      <c r="BZE3" s="136"/>
      <c r="BZF3" s="136"/>
      <c r="BZG3" s="136"/>
      <c r="BZH3" s="136"/>
      <c r="BZI3" s="136"/>
      <c r="BZJ3" s="136"/>
      <c r="BZK3" s="136"/>
      <c r="BZL3" s="136"/>
      <c r="BZM3" s="136"/>
      <c r="BZN3" s="136"/>
      <c r="BZO3" s="136"/>
      <c r="BZP3" s="136"/>
      <c r="BZQ3" s="136"/>
      <c r="BZR3" s="136"/>
      <c r="BZS3" s="136"/>
      <c r="BZT3" s="136"/>
      <c r="BZU3" s="136"/>
      <c r="BZV3" s="136"/>
      <c r="BZW3" s="136"/>
      <c r="BZX3" s="136"/>
      <c r="BZY3" s="136"/>
      <c r="BZZ3" s="136"/>
      <c r="CAA3" s="136"/>
      <c r="CAB3" s="136"/>
      <c r="CAC3" s="136"/>
      <c r="CAD3" s="136"/>
      <c r="CAE3" s="136"/>
      <c r="CAF3" s="136"/>
      <c r="CAG3" s="136"/>
      <c r="CAH3" s="136"/>
      <c r="CAI3" s="136"/>
      <c r="CAJ3" s="136"/>
      <c r="CAK3" s="136"/>
      <c r="CAL3" s="136"/>
      <c r="CAM3" s="136"/>
      <c r="CAN3" s="136"/>
      <c r="CAO3" s="136"/>
      <c r="CAP3" s="136"/>
      <c r="CAQ3" s="136"/>
      <c r="CAR3" s="136"/>
      <c r="CAS3" s="136"/>
      <c r="CAT3" s="136"/>
      <c r="CAU3" s="136"/>
      <c r="CAV3" s="136"/>
      <c r="CAW3" s="136"/>
      <c r="CAX3" s="136"/>
      <c r="CAY3" s="136"/>
      <c r="CAZ3" s="136"/>
      <c r="CBA3" s="136"/>
      <c r="CBB3" s="136"/>
      <c r="CBC3" s="136"/>
      <c r="CBD3" s="136"/>
      <c r="CBE3" s="136"/>
      <c r="CBF3" s="136"/>
      <c r="CBG3" s="136"/>
      <c r="CBH3" s="136"/>
      <c r="CBI3" s="136"/>
      <c r="CBJ3" s="136"/>
      <c r="CBK3" s="136"/>
      <c r="CBL3" s="136"/>
      <c r="CBM3" s="136"/>
      <c r="CBN3" s="136"/>
      <c r="CBO3" s="136"/>
      <c r="CBP3" s="136"/>
      <c r="CBQ3" s="136"/>
      <c r="CBR3" s="136"/>
      <c r="CBS3" s="136"/>
      <c r="CBT3" s="136"/>
      <c r="CBU3" s="136"/>
      <c r="CBV3" s="136"/>
      <c r="CBW3" s="136"/>
      <c r="CBX3" s="136"/>
      <c r="CBY3" s="136"/>
      <c r="CBZ3" s="136"/>
      <c r="CCA3" s="136"/>
      <c r="CCB3" s="136"/>
      <c r="CCC3" s="136"/>
      <c r="CCD3" s="136"/>
      <c r="CCE3" s="136"/>
      <c r="CCF3" s="136"/>
      <c r="CCG3" s="136"/>
      <c r="CCH3" s="136"/>
      <c r="CCI3" s="136"/>
      <c r="CCJ3" s="136"/>
      <c r="CCK3" s="136"/>
      <c r="CCL3" s="136"/>
      <c r="CCM3" s="136"/>
      <c r="CCN3" s="136"/>
      <c r="CCO3" s="136"/>
      <c r="CCP3" s="136"/>
      <c r="CCQ3" s="136"/>
      <c r="CCR3" s="136"/>
      <c r="CCS3" s="136"/>
      <c r="CCT3" s="136"/>
      <c r="CCU3" s="136"/>
      <c r="CCV3" s="136"/>
      <c r="CCW3" s="136"/>
      <c r="CCX3" s="136"/>
      <c r="CCY3" s="136"/>
      <c r="CCZ3" s="136"/>
      <c r="CDA3" s="136"/>
      <c r="CDB3" s="136"/>
      <c r="CDC3" s="136"/>
      <c r="CDD3" s="136"/>
      <c r="CDE3" s="136"/>
      <c r="CDF3" s="136"/>
      <c r="CDG3" s="136"/>
      <c r="CDH3" s="136"/>
      <c r="CDI3" s="136"/>
      <c r="CDJ3" s="136"/>
      <c r="CDK3" s="136"/>
      <c r="CDL3" s="136"/>
      <c r="CDM3" s="136"/>
      <c r="CDN3" s="136"/>
      <c r="CDO3" s="136"/>
      <c r="CDP3" s="136"/>
      <c r="CDQ3" s="136"/>
      <c r="CDR3" s="136"/>
      <c r="CDS3" s="136"/>
      <c r="CDT3" s="136"/>
      <c r="CDU3" s="136"/>
      <c r="CDV3" s="136"/>
      <c r="CDW3" s="136"/>
      <c r="CDX3" s="136"/>
      <c r="CDY3" s="136"/>
      <c r="CDZ3" s="136"/>
      <c r="CEA3" s="136"/>
      <c r="CEB3" s="136"/>
      <c r="CEC3" s="136"/>
      <c r="CED3" s="136"/>
      <c r="CEE3" s="136"/>
      <c r="CEF3" s="136"/>
      <c r="CEG3" s="136"/>
      <c r="CEH3" s="136"/>
      <c r="CEI3" s="136"/>
      <c r="CEJ3" s="136"/>
      <c r="CEK3" s="136"/>
      <c r="CEL3" s="136"/>
      <c r="CEM3" s="136"/>
      <c r="CEN3" s="136"/>
      <c r="CEO3" s="136"/>
      <c r="CEP3" s="136"/>
      <c r="CEQ3" s="136"/>
      <c r="CER3" s="136"/>
      <c r="CES3" s="136"/>
      <c r="CET3" s="136"/>
      <c r="CEU3" s="136"/>
      <c r="CEV3" s="136"/>
      <c r="CEW3" s="136"/>
      <c r="CEX3" s="136"/>
      <c r="CEY3" s="136"/>
      <c r="CEZ3" s="136"/>
      <c r="CFA3" s="136"/>
      <c r="CFB3" s="136"/>
      <c r="CFC3" s="136"/>
      <c r="CFD3" s="136"/>
      <c r="CFE3" s="136"/>
      <c r="CFF3" s="136"/>
      <c r="CFG3" s="136"/>
      <c r="CFH3" s="136"/>
      <c r="CFI3" s="136"/>
      <c r="CFJ3" s="136"/>
      <c r="CFK3" s="136"/>
      <c r="CFL3" s="136"/>
      <c r="CFM3" s="136"/>
      <c r="CFN3" s="136"/>
      <c r="CFO3" s="136"/>
      <c r="CFP3" s="136"/>
      <c r="CFQ3" s="136"/>
      <c r="CFR3" s="136"/>
      <c r="CFS3" s="136"/>
      <c r="CFT3" s="136"/>
      <c r="CFU3" s="136"/>
      <c r="CFV3" s="136"/>
      <c r="CFW3" s="136"/>
      <c r="CFX3" s="136"/>
      <c r="CFY3" s="136"/>
      <c r="CFZ3" s="136"/>
      <c r="CGA3" s="136"/>
      <c r="CGB3" s="136"/>
      <c r="CGC3" s="136"/>
      <c r="CGD3" s="136"/>
      <c r="CGE3" s="136"/>
      <c r="CGF3" s="136"/>
      <c r="CGG3" s="136"/>
      <c r="CGH3" s="136"/>
      <c r="CGI3" s="136"/>
      <c r="CGJ3" s="136"/>
      <c r="CGK3" s="136"/>
      <c r="CGL3" s="136"/>
      <c r="CGM3" s="136"/>
      <c r="CGN3" s="136"/>
      <c r="CGO3" s="136"/>
      <c r="CGP3" s="136"/>
      <c r="CGQ3" s="136"/>
      <c r="CGR3" s="136"/>
      <c r="CGS3" s="136"/>
      <c r="CGT3" s="136"/>
      <c r="CGU3" s="136"/>
      <c r="CGV3" s="136"/>
      <c r="CGW3" s="136"/>
      <c r="CGX3" s="136"/>
      <c r="CGY3" s="136"/>
      <c r="CGZ3" s="136"/>
      <c r="CHA3" s="136"/>
      <c r="CHB3" s="136"/>
      <c r="CHC3" s="136"/>
      <c r="CHD3" s="136"/>
      <c r="CHE3" s="136"/>
      <c r="CHF3" s="136"/>
      <c r="CHG3" s="136"/>
      <c r="CHH3" s="136"/>
      <c r="CHI3" s="136"/>
      <c r="CHJ3" s="136"/>
      <c r="CHK3" s="136"/>
      <c r="CHL3" s="136"/>
      <c r="CHM3" s="136"/>
      <c r="CHN3" s="136"/>
      <c r="CHO3" s="136"/>
      <c r="CHP3" s="136"/>
      <c r="CHQ3" s="136"/>
      <c r="CHR3" s="136"/>
      <c r="CHS3" s="136"/>
      <c r="CHT3" s="136"/>
      <c r="CHU3" s="136"/>
      <c r="CHV3" s="136"/>
      <c r="CHW3" s="136"/>
      <c r="CHX3" s="136"/>
      <c r="CHY3" s="136"/>
      <c r="CHZ3" s="136"/>
      <c r="CIA3" s="136"/>
      <c r="CIB3" s="136"/>
      <c r="CIC3" s="136"/>
      <c r="CID3" s="136"/>
      <c r="CIE3" s="136"/>
      <c r="CIF3" s="136"/>
      <c r="CIG3" s="136"/>
      <c r="CIH3" s="136"/>
      <c r="CII3" s="136"/>
      <c r="CIJ3" s="136"/>
      <c r="CIK3" s="136"/>
      <c r="CIL3" s="136"/>
      <c r="CIM3" s="136"/>
      <c r="CIN3" s="136"/>
      <c r="CIO3" s="136"/>
      <c r="CIP3" s="136"/>
      <c r="CIQ3" s="136"/>
      <c r="CIR3" s="136"/>
      <c r="CIS3" s="136"/>
      <c r="CIT3" s="136"/>
      <c r="CIU3" s="136"/>
      <c r="CIV3" s="136"/>
      <c r="CIW3" s="136"/>
      <c r="CIX3" s="136"/>
      <c r="CIY3" s="136"/>
      <c r="CIZ3" s="136"/>
      <c r="CJA3" s="136"/>
      <c r="CJB3" s="136"/>
      <c r="CJC3" s="136"/>
      <c r="CJD3" s="136"/>
      <c r="CJE3" s="136"/>
      <c r="CJF3" s="136"/>
      <c r="CJG3" s="136"/>
      <c r="CJH3" s="136"/>
      <c r="CJI3" s="136"/>
      <c r="CJJ3" s="136"/>
      <c r="CJK3" s="136"/>
      <c r="CJL3" s="136"/>
      <c r="CJM3" s="136"/>
      <c r="CJN3" s="136"/>
      <c r="CJO3" s="136"/>
      <c r="CJP3" s="136"/>
      <c r="CJQ3" s="136"/>
      <c r="CJR3" s="136"/>
      <c r="CJS3" s="136"/>
      <c r="CJT3" s="136"/>
      <c r="CJU3" s="136"/>
      <c r="CJV3" s="136"/>
      <c r="CJW3" s="136"/>
      <c r="CJX3" s="136"/>
      <c r="CJY3" s="136"/>
      <c r="CJZ3" s="136"/>
      <c r="CKA3" s="136"/>
      <c r="CKB3" s="136"/>
      <c r="CKC3" s="136"/>
      <c r="CKD3" s="136"/>
      <c r="CKE3" s="136"/>
      <c r="CKF3" s="136"/>
      <c r="CKG3" s="136"/>
      <c r="CKH3" s="136"/>
      <c r="CKI3" s="136"/>
      <c r="CKJ3" s="136"/>
      <c r="CKK3" s="136"/>
      <c r="CKL3" s="136"/>
      <c r="CKM3" s="136"/>
      <c r="CKN3" s="136"/>
      <c r="CKO3" s="136"/>
      <c r="CKP3" s="136"/>
      <c r="CKQ3" s="136"/>
      <c r="CKR3" s="136"/>
      <c r="CKS3" s="136"/>
      <c r="CKT3" s="136"/>
      <c r="CKU3" s="136"/>
      <c r="CKV3" s="136"/>
      <c r="CKW3" s="136"/>
      <c r="CKX3" s="136"/>
      <c r="CKY3" s="136"/>
      <c r="CKZ3" s="136"/>
      <c r="CLA3" s="136"/>
      <c r="CLB3" s="136"/>
      <c r="CLC3" s="136"/>
      <c r="CLD3" s="136"/>
      <c r="CLE3" s="136"/>
      <c r="CLF3" s="136"/>
      <c r="CLG3" s="136"/>
      <c r="CLH3" s="136"/>
      <c r="CLI3" s="136"/>
      <c r="CLJ3" s="136"/>
      <c r="CLK3" s="136"/>
      <c r="CLL3" s="136"/>
      <c r="CLM3" s="136"/>
      <c r="CLN3" s="136"/>
      <c r="CLO3" s="136"/>
      <c r="CLP3" s="136"/>
      <c r="CLQ3" s="136"/>
      <c r="CLR3" s="136"/>
      <c r="CLS3" s="136"/>
      <c r="CLT3" s="136"/>
      <c r="CLU3" s="136"/>
      <c r="CLV3" s="136"/>
      <c r="CLW3" s="136"/>
      <c r="CLX3" s="136"/>
      <c r="CLY3" s="136"/>
      <c r="CLZ3" s="136"/>
      <c r="CMA3" s="136"/>
      <c r="CMB3" s="136"/>
      <c r="CMC3" s="136"/>
      <c r="CMD3" s="136"/>
      <c r="CME3" s="136"/>
      <c r="CMF3" s="136"/>
      <c r="CMG3" s="136"/>
      <c r="CMH3" s="136"/>
      <c r="CMI3" s="136"/>
      <c r="CMJ3" s="136"/>
      <c r="CMK3" s="136"/>
      <c r="CML3" s="136"/>
      <c r="CMM3" s="136"/>
      <c r="CMN3" s="136"/>
      <c r="CMO3" s="136"/>
      <c r="CMP3" s="136"/>
      <c r="CMQ3" s="136"/>
      <c r="CMR3" s="136"/>
      <c r="CMS3" s="136"/>
      <c r="CMT3" s="136"/>
      <c r="CMU3" s="136"/>
      <c r="CMV3" s="136"/>
      <c r="CMW3" s="136"/>
      <c r="CMX3" s="136"/>
      <c r="CMY3" s="136"/>
      <c r="CMZ3" s="136"/>
      <c r="CNA3" s="136"/>
      <c r="CNB3" s="136"/>
      <c r="CNC3" s="136"/>
      <c r="CND3" s="136"/>
      <c r="CNE3" s="136"/>
      <c r="CNF3" s="136"/>
      <c r="CNG3" s="136"/>
      <c r="CNH3" s="136"/>
      <c r="CNI3" s="136"/>
      <c r="CNJ3" s="136"/>
      <c r="CNK3" s="136"/>
      <c r="CNL3" s="136"/>
      <c r="CNM3" s="136"/>
      <c r="CNN3" s="136"/>
      <c r="CNO3" s="136"/>
      <c r="CNP3" s="136"/>
      <c r="CNQ3" s="136"/>
      <c r="CNR3" s="136"/>
      <c r="CNS3" s="136"/>
      <c r="CNT3" s="136"/>
      <c r="CNU3" s="136"/>
      <c r="CNV3" s="136"/>
      <c r="CNW3" s="136"/>
      <c r="CNX3" s="136"/>
      <c r="CNY3" s="136"/>
      <c r="CNZ3" s="136"/>
      <c r="COA3" s="136"/>
      <c r="COB3" s="136"/>
      <c r="COC3" s="136"/>
      <c r="COD3" s="136"/>
      <c r="COE3" s="136"/>
      <c r="COF3" s="136"/>
      <c r="COG3" s="136"/>
      <c r="COH3" s="136"/>
      <c r="COI3" s="136"/>
      <c r="COJ3" s="136"/>
      <c r="COK3" s="136"/>
      <c r="COL3" s="136"/>
      <c r="COM3" s="136"/>
      <c r="CON3" s="136"/>
      <c r="COO3" s="136"/>
      <c r="COP3" s="136"/>
      <c r="COQ3" s="136"/>
      <c r="COR3" s="136"/>
      <c r="COS3" s="136"/>
      <c r="COT3" s="136"/>
      <c r="COU3" s="136"/>
      <c r="COV3" s="136"/>
      <c r="COW3" s="136"/>
      <c r="COX3" s="136"/>
      <c r="COY3" s="136"/>
      <c r="COZ3" s="136"/>
      <c r="CPA3" s="136"/>
      <c r="CPB3" s="136"/>
      <c r="CPC3" s="136"/>
      <c r="CPD3" s="136"/>
      <c r="CPE3" s="136"/>
      <c r="CPF3" s="136"/>
      <c r="CPG3" s="136"/>
      <c r="CPH3" s="136"/>
      <c r="CPI3" s="136"/>
      <c r="CPJ3" s="136"/>
      <c r="CPK3" s="136"/>
      <c r="CPL3" s="136"/>
      <c r="CPM3" s="136"/>
      <c r="CPN3" s="136"/>
      <c r="CPO3" s="136"/>
      <c r="CPP3" s="136"/>
      <c r="CPQ3" s="136"/>
      <c r="CPR3" s="136"/>
      <c r="CPS3" s="136"/>
      <c r="CPT3" s="136"/>
      <c r="CPU3" s="136"/>
      <c r="CPV3" s="136"/>
      <c r="CPW3" s="136"/>
      <c r="CPX3" s="136"/>
      <c r="CPY3" s="136"/>
      <c r="CPZ3" s="136"/>
      <c r="CQA3" s="136"/>
      <c r="CQB3" s="136"/>
      <c r="CQC3" s="136"/>
      <c r="CQD3" s="136"/>
      <c r="CQE3" s="136"/>
      <c r="CQF3" s="136"/>
      <c r="CQG3" s="136"/>
      <c r="CQH3" s="136"/>
      <c r="CQI3" s="136"/>
      <c r="CQJ3" s="136"/>
      <c r="CQK3" s="136"/>
      <c r="CQL3" s="136"/>
      <c r="CQM3" s="136"/>
      <c r="CQN3" s="136"/>
      <c r="CQO3" s="136"/>
      <c r="CQP3" s="136"/>
      <c r="CQQ3" s="136"/>
      <c r="CQR3" s="136"/>
      <c r="CQS3" s="136"/>
      <c r="CQT3" s="136"/>
      <c r="CQU3" s="136"/>
      <c r="CQV3" s="136"/>
      <c r="CQW3" s="136"/>
      <c r="CQX3" s="136"/>
      <c r="CQY3" s="136"/>
      <c r="CQZ3" s="136"/>
      <c r="CRA3" s="136"/>
      <c r="CRB3" s="136"/>
      <c r="CRC3" s="136"/>
      <c r="CRD3" s="136"/>
      <c r="CRE3" s="136"/>
      <c r="CRF3" s="136"/>
      <c r="CRG3" s="136"/>
      <c r="CRH3" s="136"/>
      <c r="CRI3" s="136"/>
      <c r="CRJ3" s="136"/>
      <c r="CRK3" s="136"/>
      <c r="CRL3" s="136"/>
      <c r="CRM3" s="136"/>
      <c r="CRN3" s="136"/>
      <c r="CRO3" s="136"/>
      <c r="CRP3" s="136"/>
      <c r="CRQ3" s="136"/>
      <c r="CRR3" s="136"/>
      <c r="CRS3" s="136"/>
      <c r="CRT3" s="136"/>
      <c r="CRU3" s="136"/>
      <c r="CRV3" s="136"/>
      <c r="CRW3" s="136"/>
      <c r="CRX3" s="136"/>
      <c r="CRY3" s="136"/>
      <c r="CRZ3" s="136"/>
      <c r="CSA3" s="136"/>
      <c r="CSB3" s="136"/>
      <c r="CSC3" s="136"/>
      <c r="CSD3" s="136"/>
      <c r="CSE3" s="136"/>
      <c r="CSF3" s="136"/>
      <c r="CSG3" s="136"/>
      <c r="CSH3" s="136"/>
      <c r="CSI3" s="136"/>
      <c r="CSJ3" s="136"/>
      <c r="CSK3" s="136"/>
      <c r="CSL3" s="136"/>
      <c r="CSM3" s="136"/>
      <c r="CSN3" s="136"/>
      <c r="CSO3" s="136"/>
      <c r="CSP3" s="136"/>
      <c r="CSQ3" s="136"/>
      <c r="CSR3" s="136"/>
      <c r="CSS3" s="136"/>
      <c r="CST3" s="136"/>
      <c r="CSU3" s="136"/>
      <c r="CSV3" s="136"/>
      <c r="CSW3" s="136"/>
      <c r="CSX3" s="136"/>
      <c r="CSY3" s="136"/>
      <c r="CSZ3" s="136"/>
      <c r="CTA3" s="136"/>
      <c r="CTB3" s="136"/>
      <c r="CTC3" s="136"/>
      <c r="CTD3" s="136"/>
      <c r="CTE3" s="136"/>
      <c r="CTF3" s="136"/>
      <c r="CTG3" s="136"/>
      <c r="CTH3" s="136"/>
      <c r="CTI3" s="136"/>
      <c r="CTJ3" s="136"/>
      <c r="CTK3" s="136"/>
      <c r="CTL3" s="136"/>
      <c r="CTM3" s="136"/>
      <c r="CTN3" s="136"/>
      <c r="CTO3" s="136"/>
      <c r="CTP3" s="136"/>
      <c r="CTQ3" s="136"/>
      <c r="CTR3" s="136"/>
      <c r="CTS3" s="136"/>
      <c r="CTT3" s="136"/>
      <c r="CTU3" s="136"/>
      <c r="CTV3" s="136"/>
      <c r="CTW3" s="136"/>
      <c r="CTX3" s="136"/>
      <c r="CTY3" s="136"/>
      <c r="CTZ3" s="136"/>
      <c r="CUA3" s="136"/>
      <c r="CUB3" s="136"/>
      <c r="CUC3" s="136"/>
      <c r="CUD3" s="136"/>
      <c r="CUE3" s="136"/>
      <c r="CUF3" s="136"/>
      <c r="CUG3" s="136"/>
      <c r="CUH3" s="136"/>
      <c r="CUI3" s="136"/>
      <c r="CUJ3" s="136"/>
      <c r="CUK3" s="136"/>
      <c r="CUL3" s="136"/>
      <c r="CUM3" s="136"/>
      <c r="CUN3" s="136"/>
      <c r="CUO3" s="136"/>
      <c r="CUP3" s="136"/>
      <c r="CUQ3" s="136"/>
      <c r="CUR3" s="136"/>
      <c r="CUS3" s="136"/>
      <c r="CUT3" s="136"/>
      <c r="CUU3" s="136"/>
      <c r="CUV3" s="136"/>
      <c r="CUW3" s="136"/>
      <c r="CUX3" s="136"/>
      <c r="CUY3" s="136"/>
      <c r="CUZ3" s="136"/>
      <c r="CVA3" s="136"/>
      <c r="CVB3" s="136"/>
      <c r="CVC3" s="136"/>
      <c r="CVD3" s="136"/>
      <c r="CVE3" s="136"/>
      <c r="CVF3" s="136"/>
      <c r="CVG3" s="136"/>
      <c r="CVH3" s="136"/>
      <c r="CVI3" s="136"/>
      <c r="CVJ3" s="136"/>
      <c r="CVK3" s="136"/>
      <c r="CVL3" s="136"/>
      <c r="CVM3" s="136"/>
      <c r="CVN3" s="136"/>
      <c r="CVO3" s="136"/>
      <c r="CVP3" s="136"/>
      <c r="CVQ3" s="136"/>
      <c r="CVR3" s="136"/>
      <c r="CVS3" s="136"/>
      <c r="CVT3" s="136"/>
      <c r="CVU3" s="136"/>
      <c r="CVV3" s="136"/>
      <c r="CVW3" s="136"/>
      <c r="CVX3" s="136"/>
      <c r="CVY3" s="136"/>
      <c r="CVZ3" s="136"/>
      <c r="CWA3" s="136"/>
      <c r="CWB3" s="136"/>
      <c r="CWC3" s="136"/>
      <c r="CWD3" s="136"/>
      <c r="CWE3" s="136"/>
      <c r="CWF3" s="136"/>
      <c r="CWG3" s="136"/>
      <c r="CWH3" s="136"/>
      <c r="CWI3" s="136"/>
      <c r="CWJ3" s="136"/>
      <c r="CWK3" s="136"/>
      <c r="CWL3" s="136"/>
      <c r="CWM3" s="136"/>
      <c r="CWN3" s="136"/>
      <c r="CWO3" s="136"/>
      <c r="CWP3" s="136"/>
      <c r="CWQ3" s="136"/>
      <c r="CWR3" s="136"/>
      <c r="CWS3" s="136"/>
      <c r="CWT3" s="136"/>
      <c r="CWU3" s="136"/>
      <c r="CWV3" s="136"/>
      <c r="CWW3" s="136"/>
      <c r="CWX3" s="136"/>
      <c r="CWY3" s="136"/>
      <c r="CWZ3" s="136"/>
      <c r="CXA3" s="136"/>
      <c r="CXB3" s="136"/>
      <c r="CXC3" s="136"/>
      <c r="CXD3" s="136"/>
      <c r="CXE3" s="136"/>
      <c r="CXF3" s="136"/>
      <c r="CXG3" s="136"/>
      <c r="CXH3" s="136"/>
      <c r="CXI3" s="136"/>
      <c r="CXJ3" s="136"/>
      <c r="CXK3" s="136"/>
      <c r="CXL3" s="136"/>
      <c r="CXM3" s="136"/>
      <c r="CXN3" s="136"/>
      <c r="CXO3" s="136"/>
      <c r="CXP3" s="136"/>
      <c r="CXQ3" s="136"/>
      <c r="CXR3" s="136"/>
      <c r="CXS3" s="136"/>
      <c r="CXT3" s="136"/>
      <c r="CXU3" s="136"/>
      <c r="CXV3" s="136"/>
      <c r="CXW3" s="136"/>
      <c r="CXX3" s="136"/>
      <c r="CXY3" s="136"/>
      <c r="CXZ3" s="136"/>
      <c r="CYA3" s="136"/>
      <c r="CYB3" s="136"/>
      <c r="CYC3" s="136"/>
      <c r="CYD3" s="136"/>
      <c r="CYE3" s="136"/>
      <c r="CYF3" s="136"/>
      <c r="CYG3" s="136"/>
      <c r="CYH3" s="136"/>
      <c r="CYI3" s="136"/>
      <c r="CYJ3" s="136"/>
      <c r="CYK3" s="136"/>
      <c r="CYL3" s="136"/>
      <c r="CYM3" s="136"/>
      <c r="CYN3" s="136"/>
      <c r="CYO3" s="136"/>
      <c r="CYP3" s="136"/>
      <c r="CYQ3" s="136"/>
      <c r="CYR3" s="136"/>
      <c r="CYS3" s="136"/>
      <c r="CYT3" s="136"/>
      <c r="CYU3" s="136"/>
      <c r="CYV3" s="136"/>
      <c r="CYW3" s="136"/>
      <c r="CYX3" s="136"/>
      <c r="CYY3" s="136"/>
      <c r="CYZ3" s="136"/>
      <c r="CZA3" s="136"/>
      <c r="CZB3" s="136"/>
      <c r="CZC3" s="136"/>
      <c r="CZD3" s="136"/>
      <c r="CZE3" s="136"/>
      <c r="CZF3" s="136"/>
      <c r="CZG3" s="136"/>
      <c r="CZH3" s="136"/>
      <c r="CZI3" s="136"/>
      <c r="CZJ3" s="136"/>
      <c r="CZK3" s="136"/>
      <c r="CZL3" s="136"/>
      <c r="CZM3" s="136"/>
      <c r="CZN3" s="136"/>
      <c r="CZO3" s="136"/>
      <c r="CZP3" s="136"/>
      <c r="CZQ3" s="136"/>
      <c r="CZR3" s="136"/>
      <c r="CZS3" s="136"/>
      <c r="CZT3" s="136"/>
      <c r="CZU3" s="136"/>
      <c r="CZV3" s="136"/>
      <c r="CZW3" s="136"/>
      <c r="CZX3" s="136"/>
      <c r="CZY3" s="136"/>
      <c r="CZZ3" s="136"/>
      <c r="DAA3" s="136"/>
      <c r="DAB3" s="136"/>
      <c r="DAC3" s="136"/>
      <c r="DAD3" s="136"/>
      <c r="DAE3" s="136"/>
      <c r="DAF3" s="136"/>
      <c r="DAG3" s="136"/>
      <c r="DAH3" s="136"/>
      <c r="DAI3" s="136"/>
      <c r="DAJ3" s="136"/>
      <c r="DAK3" s="136"/>
      <c r="DAL3" s="136"/>
      <c r="DAM3" s="136"/>
      <c r="DAN3" s="136"/>
      <c r="DAO3" s="136"/>
      <c r="DAP3" s="136"/>
      <c r="DAQ3" s="136"/>
      <c r="DAR3" s="136"/>
      <c r="DAS3" s="136"/>
      <c r="DAT3" s="136"/>
      <c r="DAU3" s="136"/>
      <c r="DAV3" s="136"/>
      <c r="DAW3" s="136"/>
      <c r="DAX3" s="136"/>
      <c r="DAY3" s="136"/>
      <c r="DAZ3" s="136"/>
      <c r="DBA3" s="136"/>
      <c r="DBB3" s="136"/>
      <c r="DBC3" s="136"/>
      <c r="DBD3" s="136"/>
      <c r="DBE3" s="136"/>
      <c r="DBF3" s="136"/>
      <c r="DBG3" s="136"/>
      <c r="DBH3" s="136"/>
      <c r="DBI3" s="136"/>
      <c r="DBJ3" s="136"/>
      <c r="DBK3" s="136"/>
      <c r="DBL3" s="136"/>
      <c r="DBM3" s="136"/>
      <c r="DBN3" s="136"/>
      <c r="DBO3" s="136"/>
      <c r="DBP3" s="136"/>
      <c r="DBQ3" s="136"/>
      <c r="DBR3" s="136"/>
      <c r="DBS3" s="136"/>
      <c r="DBT3" s="136"/>
      <c r="DBU3" s="136"/>
      <c r="DBV3" s="136"/>
      <c r="DBW3" s="136"/>
      <c r="DBX3" s="136"/>
      <c r="DBY3" s="136"/>
      <c r="DBZ3" s="136"/>
      <c r="DCA3" s="136"/>
      <c r="DCB3" s="136"/>
      <c r="DCC3" s="136"/>
      <c r="DCD3" s="136"/>
      <c r="DCE3" s="136"/>
      <c r="DCF3" s="136"/>
      <c r="DCG3" s="136"/>
      <c r="DCH3" s="136"/>
      <c r="DCI3" s="136"/>
      <c r="DCJ3" s="136"/>
      <c r="DCK3" s="136"/>
      <c r="DCL3" s="136"/>
      <c r="DCM3" s="136"/>
      <c r="DCN3" s="136"/>
      <c r="DCO3" s="136"/>
      <c r="DCP3" s="136"/>
      <c r="DCQ3" s="136"/>
      <c r="DCR3" s="136"/>
      <c r="DCS3" s="136"/>
      <c r="DCT3" s="136"/>
      <c r="DCU3" s="136"/>
      <c r="DCV3" s="136"/>
      <c r="DCW3" s="136"/>
      <c r="DCX3" s="136"/>
      <c r="DCY3" s="136"/>
      <c r="DCZ3" s="136"/>
      <c r="DDA3" s="136"/>
      <c r="DDB3" s="136"/>
      <c r="DDC3" s="136"/>
      <c r="DDD3" s="136"/>
      <c r="DDE3" s="136"/>
      <c r="DDF3" s="136"/>
      <c r="DDG3" s="136"/>
      <c r="DDH3" s="136"/>
      <c r="DDI3" s="136"/>
      <c r="DDJ3" s="136"/>
      <c r="DDK3" s="136"/>
      <c r="DDL3" s="136"/>
      <c r="DDM3" s="136"/>
      <c r="DDN3" s="136"/>
      <c r="DDO3" s="136"/>
      <c r="DDP3" s="136"/>
      <c r="DDQ3" s="136"/>
      <c r="DDR3" s="136"/>
      <c r="DDS3" s="136"/>
      <c r="DDT3" s="136"/>
      <c r="DDU3" s="136"/>
      <c r="DDV3" s="136"/>
      <c r="DDW3" s="136"/>
      <c r="DDX3" s="136"/>
      <c r="DDY3" s="136"/>
      <c r="DDZ3" s="136"/>
      <c r="DEA3" s="136"/>
      <c r="DEB3" s="136"/>
      <c r="DEC3" s="136"/>
      <c r="DED3" s="136"/>
      <c r="DEE3" s="136"/>
      <c r="DEF3" s="136"/>
      <c r="DEG3" s="136"/>
      <c r="DEH3" s="136"/>
      <c r="DEI3" s="136"/>
      <c r="DEJ3" s="136"/>
      <c r="DEK3" s="136"/>
      <c r="DEL3" s="136"/>
      <c r="DEM3" s="136"/>
      <c r="DEN3" s="136"/>
      <c r="DEO3" s="136"/>
      <c r="DEP3" s="136"/>
      <c r="DEQ3" s="136"/>
      <c r="DER3" s="136"/>
      <c r="DES3" s="136"/>
      <c r="DET3" s="136"/>
      <c r="DEU3" s="136"/>
      <c r="DEV3" s="136"/>
      <c r="DEW3" s="136"/>
      <c r="DEX3" s="136"/>
      <c r="DEY3" s="136"/>
      <c r="DEZ3" s="136"/>
      <c r="DFA3" s="136"/>
      <c r="DFB3" s="136"/>
      <c r="DFC3" s="136"/>
      <c r="DFD3" s="136"/>
      <c r="DFE3" s="136"/>
      <c r="DFF3" s="136"/>
      <c r="DFG3" s="136"/>
      <c r="DFH3" s="136"/>
      <c r="DFI3" s="136"/>
      <c r="DFJ3" s="136"/>
      <c r="DFK3" s="136"/>
      <c r="DFL3" s="136"/>
      <c r="DFM3" s="136"/>
      <c r="DFN3" s="136"/>
      <c r="DFO3" s="136"/>
      <c r="DFP3" s="136"/>
      <c r="DFQ3" s="136"/>
      <c r="DFR3" s="136"/>
      <c r="DFS3" s="136"/>
      <c r="DFT3" s="136"/>
      <c r="DFU3" s="136"/>
      <c r="DFV3" s="136"/>
      <c r="DFW3" s="136"/>
      <c r="DFX3" s="136"/>
      <c r="DFY3" s="136"/>
      <c r="DFZ3" s="136"/>
      <c r="DGA3" s="136"/>
      <c r="DGB3" s="136"/>
      <c r="DGC3" s="136"/>
      <c r="DGD3" s="136"/>
      <c r="DGE3" s="136"/>
      <c r="DGF3" s="136"/>
      <c r="DGG3" s="136"/>
      <c r="DGH3" s="136"/>
      <c r="DGI3" s="136"/>
      <c r="DGJ3" s="136"/>
      <c r="DGK3" s="136"/>
      <c r="DGL3" s="136"/>
      <c r="DGM3" s="136"/>
      <c r="DGN3" s="136"/>
      <c r="DGO3" s="136"/>
      <c r="DGP3" s="136"/>
      <c r="DGQ3" s="136"/>
      <c r="DGR3" s="136"/>
      <c r="DGS3" s="136"/>
      <c r="DGT3" s="136"/>
      <c r="DGU3" s="136"/>
      <c r="DGV3" s="136"/>
      <c r="DGW3" s="136"/>
      <c r="DGX3" s="136"/>
      <c r="DGY3" s="136"/>
      <c r="DGZ3" s="136"/>
      <c r="DHA3" s="136"/>
      <c r="DHB3" s="136"/>
      <c r="DHC3" s="136"/>
      <c r="DHD3" s="136"/>
      <c r="DHE3" s="136"/>
      <c r="DHF3" s="136"/>
      <c r="DHG3" s="136"/>
      <c r="DHH3" s="136"/>
      <c r="DHI3" s="136"/>
      <c r="DHJ3" s="136"/>
      <c r="DHK3" s="136"/>
      <c r="DHL3" s="136"/>
      <c r="DHM3" s="136"/>
      <c r="DHN3" s="136"/>
      <c r="DHO3" s="136"/>
      <c r="DHP3" s="136"/>
      <c r="DHQ3" s="136"/>
      <c r="DHR3" s="136"/>
      <c r="DHS3" s="136"/>
      <c r="DHT3" s="136"/>
      <c r="DHU3" s="136"/>
      <c r="DHV3" s="136"/>
      <c r="DHW3" s="136"/>
      <c r="DHX3" s="136"/>
      <c r="DHY3" s="136"/>
      <c r="DHZ3" s="136"/>
      <c r="DIA3" s="136"/>
      <c r="DIB3" s="136"/>
      <c r="DIC3" s="136"/>
      <c r="DID3" s="136"/>
      <c r="DIE3" s="136"/>
      <c r="DIF3" s="136"/>
      <c r="DIG3" s="136"/>
      <c r="DIH3" s="136"/>
      <c r="DII3" s="136"/>
      <c r="DIJ3" s="136"/>
      <c r="DIK3" s="136"/>
      <c r="DIL3" s="136"/>
      <c r="DIM3" s="136"/>
      <c r="DIN3" s="136"/>
      <c r="DIO3" s="136"/>
      <c r="DIP3" s="136"/>
      <c r="DIQ3" s="136"/>
      <c r="DIR3" s="136"/>
      <c r="DIS3" s="136"/>
      <c r="DIT3" s="136"/>
      <c r="DIU3" s="136"/>
      <c r="DIV3" s="136"/>
      <c r="DIW3" s="136"/>
      <c r="DIX3" s="136"/>
      <c r="DIY3" s="136"/>
      <c r="DIZ3" s="136"/>
      <c r="DJA3" s="136"/>
      <c r="DJB3" s="136"/>
      <c r="DJC3" s="136"/>
      <c r="DJD3" s="136"/>
      <c r="DJE3" s="136"/>
      <c r="DJF3" s="136"/>
      <c r="DJG3" s="136"/>
      <c r="DJH3" s="136"/>
      <c r="DJI3" s="136"/>
      <c r="DJJ3" s="136"/>
      <c r="DJK3" s="136"/>
      <c r="DJL3" s="136"/>
      <c r="DJM3" s="136"/>
      <c r="DJN3" s="136"/>
      <c r="DJO3" s="136"/>
      <c r="DJP3" s="136"/>
      <c r="DJQ3" s="136"/>
      <c r="DJR3" s="136"/>
      <c r="DJS3" s="136"/>
      <c r="DJT3" s="136"/>
      <c r="DJU3" s="136"/>
      <c r="DJV3" s="136"/>
      <c r="DJW3" s="136"/>
      <c r="DJX3" s="136"/>
      <c r="DJY3" s="136"/>
      <c r="DJZ3" s="136"/>
      <c r="DKA3" s="136"/>
      <c r="DKB3" s="136"/>
      <c r="DKC3" s="136"/>
      <c r="DKD3" s="136"/>
      <c r="DKE3" s="136"/>
      <c r="DKF3" s="136"/>
      <c r="DKG3" s="136"/>
      <c r="DKH3" s="136"/>
      <c r="DKI3" s="136"/>
      <c r="DKJ3" s="136"/>
      <c r="DKK3" s="136"/>
      <c r="DKL3" s="136"/>
      <c r="DKM3" s="136"/>
      <c r="DKN3" s="136"/>
      <c r="DKO3" s="136"/>
      <c r="DKP3" s="136"/>
      <c r="DKQ3" s="136"/>
      <c r="DKR3" s="136"/>
      <c r="DKS3" s="136"/>
      <c r="DKT3" s="136"/>
      <c r="DKU3" s="136"/>
      <c r="DKV3" s="136"/>
      <c r="DKW3" s="136"/>
      <c r="DKX3" s="136"/>
      <c r="DKY3" s="136"/>
      <c r="DKZ3" s="136"/>
      <c r="DLA3" s="136"/>
      <c r="DLB3" s="136"/>
      <c r="DLC3" s="136"/>
      <c r="DLD3" s="136"/>
      <c r="DLE3" s="136"/>
      <c r="DLF3" s="136"/>
      <c r="DLG3" s="136"/>
      <c r="DLH3" s="136"/>
      <c r="DLI3" s="136"/>
      <c r="DLJ3" s="136"/>
      <c r="DLK3" s="136"/>
      <c r="DLL3" s="136"/>
      <c r="DLM3" s="136"/>
      <c r="DLN3" s="136"/>
      <c r="DLO3" s="136"/>
      <c r="DLP3" s="136"/>
      <c r="DLQ3" s="136"/>
      <c r="DLR3" s="136"/>
      <c r="DLS3" s="136"/>
      <c r="DLT3" s="136"/>
      <c r="DLU3" s="136"/>
      <c r="DLV3" s="136"/>
      <c r="DLW3" s="136"/>
      <c r="DLX3" s="136"/>
      <c r="DLY3" s="136"/>
      <c r="DLZ3" s="136"/>
      <c r="DMA3" s="136"/>
      <c r="DMB3" s="136"/>
      <c r="DMC3" s="136"/>
      <c r="DMD3" s="136"/>
      <c r="DME3" s="136"/>
      <c r="DMF3" s="136"/>
      <c r="DMG3" s="136"/>
      <c r="DMH3" s="136"/>
      <c r="DMI3" s="136"/>
      <c r="DMJ3" s="136"/>
      <c r="DMK3" s="136"/>
      <c r="DML3" s="136"/>
      <c r="DMM3" s="136"/>
      <c r="DMN3" s="136"/>
      <c r="DMO3" s="136"/>
      <c r="DMP3" s="136"/>
      <c r="DMQ3" s="136"/>
      <c r="DMR3" s="136"/>
      <c r="DMS3" s="136"/>
      <c r="DMT3" s="136"/>
      <c r="DMU3" s="136"/>
      <c r="DMV3" s="136"/>
      <c r="DMW3" s="136"/>
      <c r="DMX3" s="136"/>
      <c r="DMY3" s="136"/>
      <c r="DMZ3" s="136"/>
      <c r="DNA3" s="136"/>
      <c r="DNB3" s="136"/>
      <c r="DNC3" s="136"/>
      <c r="DND3" s="136"/>
      <c r="DNE3" s="136"/>
      <c r="DNF3" s="136"/>
      <c r="DNG3" s="136"/>
      <c r="DNH3" s="136"/>
      <c r="DNI3" s="136"/>
      <c r="DNJ3" s="136"/>
      <c r="DNK3" s="136"/>
      <c r="DNL3" s="136"/>
      <c r="DNM3" s="136"/>
      <c r="DNN3" s="136"/>
      <c r="DNO3" s="136"/>
      <c r="DNP3" s="136"/>
      <c r="DNQ3" s="136"/>
      <c r="DNR3" s="136"/>
      <c r="DNS3" s="136"/>
      <c r="DNT3" s="136"/>
      <c r="DNU3" s="136"/>
      <c r="DNV3" s="136"/>
      <c r="DNW3" s="136"/>
      <c r="DNX3" s="136"/>
      <c r="DNY3" s="136"/>
      <c r="DNZ3" s="136"/>
      <c r="DOA3" s="136"/>
      <c r="DOB3" s="136"/>
      <c r="DOC3" s="136"/>
      <c r="DOD3" s="136"/>
      <c r="DOE3" s="136"/>
      <c r="DOF3" s="136"/>
      <c r="DOG3" s="136"/>
      <c r="DOH3" s="136"/>
      <c r="DOI3" s="136"/>
      <c r="DOJ3" s="136"/>
      <c r="DOK3" s="136"/>
      <c r="DOL3" s="136"/>
      <c r="DOM3" s="136"/>
      <c r="DON3" s="136"/>
      <c r="DOO3" s="136"/>
      <c r="DOP3" s="136"/>
      <c r="DOQ3" s="136"/>
      <c r="DOR3" s="136"/>
      <c r="DOS3" s="136"/>
      <c r="DOT3" s="136"/>
      <c r="DOU3" s="136"/>
      <c r="DOV3" s="136"/>
      <c r="DOW3" s="136"/>
      <c r="DOX3" s="136"/>
      <c r="DOY3" s="136"/>
      <c r="DOZ3" s="136"/>
      <c r="DPA3" s="136"/>
      <c r="DPB3" s="136"/>
      <c r="DPC3" s="136"/>
      <c r="DPD3" s="136"/>
      <c r="DPE3" s="136"/>
      <c r="DPF3" s="136"/>
      <c r="DPG3" s="136"/>
      <c r="DPH3" s="136"/>
      <c r="DPI3" s="136"/>
      <c r="DPJ3" s="136"/>
      <c r="DPK3" s="136"/>
      <c r="DPL3" s="136"/>
      <c r="DPM3" s="136"/>
      <c r="DPN3" s="136"/>
      <c r="DPO3" s="136"/>
      <c r="DPP3" s="136"/>
      <c r="DPQ3" s="136"/>
      <c r="DPR3" s="136"/>
      <c r="DPS3" s="136"/>
      <c r="DPT3" s="136"/>
      <c r="DPU3" s="136"/>
      <c r="DPV3" s="136"/>
      <c r="DPW3" s="136"/>
      <c r="DPX3" s="136"/>
      <c r="DPY3" s="136"/>
      <c r="DPZ3" s="136"/>
      <c r="DQA3" s="136"/>
      <c r="DQB3" s="136"/>
      <c r="DQC3" s="136"/>
      <c r="DQD3" s="136"/>
      <c r="DQE3" s="136"/>
      <c r="DQF3" s="136"/>
      <c r="DQG3" s="136"/>
      <c r="DQH3" s="136"/>
      <c r="DQI3" s="136"/>
      <c r="DQJ3" s="136"/>
      <c r="DQK3" s="136"/>
      <c r="DQL3" s="136"/>
      <c r="DQM3" s="136"/>
      <c r="DQN3" s="136"/>
      <c r="DQO3" s="136"/>
      <c r="DQP3" s="136"/>
      <c r="DQQ3" s="136"/>
      <c r="DQR3" s="136"/>
      <c r="DQS3" s="136"/>
      <c r="DQT3" s="136"/>
      <c r="DQU3" s="136"/>
      <c r="DQV3" s="136"/>
      <c r="DQW3" s="136"/>
      <c r="DQX3" s="136"/>
      <c r="DQY3" s="136"/>
      <c r="DQZ3" s="136"/>
      <c r="DRA3" s="136"/>
      <c r="DRB3" s="136"/>
      <c r="DRC3" s="136"/>
      <c r="DRD3" s="136"/>
      <c r="DRE3" s="136"/>
      <c r="DRF3" s="136"/>
      <c r="DRG3" s="136"/>
      <c r="DRH3" s="136"/>
      <c r="DRI3" s="136"/>
      <c r="DRJ3" s="136"/>
      <c r="DRK3" s="136"/>
      <c r="DRL3" s="136"/>
      <c r="DRM3" s="136"/>
      <c r="DRN3" s="136"/>
      <c r="DRO3" s="136"/>
      <c r="DRP3" s="136"/>
      <c r="DRQ3" s="136"/>
      <c r="DRR3" s="136"/>
      <c r="DRS3" s="136"/>
      <c r="DRT3" s="136"/>
      <c r="DRU3" s="136"/>
      <c r="DRV3" s="136"/>
      <c r="DRW3" s="136"/>
      <c r="DRX3" s="136"/>
      <c r="DRY3" s="136"/>
      <c r="DRZ3" s="136"/>
      <c r="DSA3" s="136"/>
      <c r="DSB3" s="136"/>
      <c r="DSC3" s="136"/>
      <c r="DSD3" s="136"/>
      <c r="DSE3" s="136"/>
      <c r="DSF3" s="136"/>
      <c r="DSG3" s="136"/>
      <c r="DSH3" s="136"/>
      <c r="DSI3" s="136"/>
      <c r="DSJ3" s="136"/>
      <c r="DSK3" s="136"/>
      <c r="DSL3" s="136"/>
      <c r="DSM3" s="136"/>
      <c r="DSN3" s="136"/>
      <c r="DSO3" s="136"/>
      <c r="DSP3" s="136"/>
      <c r="DSQ3" s="136"/>
      <c r="DSR3" s="136"/>
      <c r="DSS3" s="136"/>
      <c r="DST3" s="136"/>
      <c r="DSU3" s="136"/>
      <c r="DSV3" s="136"/>
      <c r="DSW3" s="136"/>
      <c r="DSX3" s="136"/>
      <c r="DSY3" s="136"/>
      <c r="DSZ3" s="136"/>
      <c r="DTA3" s="136"/>
      <c r="DTB3" s="136"/>
      <c r="DTC3" s="136"/>
      <c r="DTD3" s="136"/>
      <c r="DTE3" s="136"/>
      <c r="DTF3" s="136"/>
      <c r="DTG3" s="136"/>
      <c r="DTH3" s="136"/>
      <c r="DTI3" s="136"/>
      <c r="DTJ3" s="136"/>
      <c r="DTK3" s="136"/>
      <c r="DTL3" s="136"/>
      <c r="DTM3" s="136"/>
      <c r="DTN3" s="136"/>
      <c r="DTO3" s="136"/>
      <c r="DTP3" s="136"/>
      <c r="DTQ3" s="136"/>
      <c r="DTR3" s="136"/>
      <c r="DTS3" s="136"/>
      <c r="DTT3" s="136"/>
      <c r="DTU3" s="136"/>
      <c r="DTV3" s="136"/>
      <c r="DTW3" s="136"/>
      <c r="DTX3" s="136"/>
      <c r="DTY3" s="136"/>
      <c r="DTZ3" s="136"/>
      <c r="DUA3" s="136"/>
      <c r="DUB3" s="136"/>
      <c r="DUC3" s="136"/>
      <c r="DUD3" s="136"/>
      <c r="DUE3" s="136"/>
      <c r="DUF3" s="136"/>
      <c r="DUG3" s="136"/>
      <c r="DUH3" s="136"/>
      <c r="DUI3" s="136"/>
      <c r="DUJ3" s="136"/>
      <c r="DUK3" s="136"/>
      <c r="DUL3" s="136"/>
      <c r="DUM3" s="136"/>
      <c r="DUN3" s="136"/>
      <c r="DUO3" s="136"/>
      <c r="DUP3" s="136"/>
      <c r="DUQ3" s="136"/>
      <c r="DUR3" s="136"/>
      <c r="DUS3" s="136"/>
      <c r="DUT3" s="136"/>
      <c r="DUU3" s="136"/>
      <c r="DUV3" s="136"/>
      <c r="DUW3" s="136"/>
      <c r="DUX3" s="136"/>
      <c r="DUY3" s="136"/>
      <c r="DUZ3" s="136"/>
      <c r="DVA3" s="136"/>
      <c r="DVB3" s="136"/>
      <c r="DVC3" s="136"/>
      <c r="DVD3" s="136"/>
      <c r="DVE3" s="136"/>
      <c r="DVF3" s="136"/>
      <c r="DVG3" s="136"/>
      <c r="DVH3" s="136"/>
      <c r="DVI3" s="136"/>
      <c r="DVJ3" s="136"/>
      <c r="DVK3" s="136"/>
      <c r="DVL3" s="136"/>
      <c r="DVM3" s="136"/>
      <c r="DVN3" s="136"/>
      <c r="DVO3" s="136"/>
      <c r="DVP3" s="136"/>
      <c r="DVQ3" s="136"/>
      <c r="DVR3" s="136"/>
      <c r="DVS3" s="136"/>
      <c r="DVT3" s="136"/>
      <c r="DVU3" s="136"/>
      <c r="DVV3" s="136"/>
      <c r="DVW3" s="136"/>
      <c r="DVX3" s="136"/>
      <c r="DVY3" s="136"/>
      <c r="DVZ3" s="136"/>
      <c r="DWA3" s="136"/>
      <c r="DWB3" s="136"/>
      <c r="DWC3" s="136"/>
      <c r="DWD3" s="136"/>
      <c r="DWE3" s="136"/>
      <c r="DWF3" s="136"/>
      <c r="DWG3" s="136"/>
      <c r="DWH3" s="136"/>
      <c r="DWI3" s="136"/>
      <c r="DWJ3" s="136"/>
      <c r="DWK3" s="136"/>
      <c r="DWL3" s="136"/>
      <c r="DWM3" s="136"/>
      <c r="DWN3" s="136"/>
      <c r="DWO3" s="136"/>
      <c r="DWP3" s="136"/>
      <c r="DWQ3" s="136"/>
      <c r="DWR3" s="136"/>
      <c r="DWS3" s="136"/>
      <c r="DWT3" s="136"/>
      <c r="DWU3" s="136"/>
      <c r="DWV3" s="136"/>
      <c r="DWW3" s="136"/>
      <c r="DWX3" s="136"/>
      <c r="DWY3" s="136"/>
      <c r="DWZ3" s="136"/>
      <c r="DXA3" s="136"/>
      <c r="DXB3" s="136"/>
      <c r="DXC3" s="136"/>
      <c r="DXD3" s="136"/>
      <c r="DXE3" s="136"/>
      <c r="DXF3" s="136"/>
      <c r="DXG3" s="136"/>
      <c r="DXH3" s="136"/>
      <c r="DXI3" s="136"/>
      <c r="DXJ3" s="136"/>
      <c r="DXK3" s="136"/>
      <c r="DXL3" s="136"/>
      <c r="DXM3" s="136"/>
      <c r="DXN3" s="136"/>
      <c r="DXO3" s="136"/>
      <c r="DXP3" s="136"/>
      <c r="DXQ3" s="136"/>
      <c r="DXR3" s="136"/>
      <c r="DXS3" s="136"/>
      <c r="DXT3" s="136"/>
      <c r="DXU3" s="136"/>
      <c r="DXV3" s="136"/>
      <c r="DXW3" s="136"/>
      <c r="DXX3" s="136"/>
      <c r="DXY3" s="136"/>
      <c r="DXZ3" s="136"/>
      <c r="DYA3" s="136"/>
      <c r="DYB3" s="136"/>
      <c r="DYC3" s="136"/>
      <c r="DYD3" s="136"/>
      <c r="DYE3" s="136"/>
      <c r="DYF3" s="136"/>
      <c r="DYG3" s="136"/>
      <c r="DYH3" s="136"/>
      <c r="DYI3" s="136"/>
      <c r="DYJ3" s="136"/>
      <c r="DYK3" s="136"/>
      <c r="DYL3" s="136"/>
      <c r="DYM3" s="136"/>
      <c r="DYN3" s="136"/>
      <c r="DYO3" s="136"/>
      <c r="DYP3" s="136"/>
      <c r="DYQ3" s="136"/>
      <c r="DYR3" s="136"/>
      <c r="DYS3" s="136"/>
      <c r="DYT3" s="136"/>
      <c r="DYU3" s="136"/>
      <c r="DYV3" s="136"/>
      <c r="DYW3" s="136"/>
      <c r="DYX3" s="136"/>
      <c r="DYY3" s="136"/>
      <c r="DYZ3" s="136"/>
      <c r="DZA3" s="136"/>
      <c r="DZB3" s="136"/>
      <c r="DZC3" s="136"/>
      <c r="DZD3" s="136"/>
      <c r="DZE3" s="136"/>
      <c r="DZF3" s="136"/>
      <c r="DZG3" s="136"/>
      <c r="DZH3" s="136"/>
      <c r="DZI3" s="136"/>
      <c r="DZJ3" s="136"/>
      <c r="DZK3" s="136"/>
      <c r="DZL3" s="136"/>
      <c r="DZM3" s="136"/>
      <c r="DZN3" s="136"/>
      <c r="DZO3" s="136"/>
      <c r="DZP3" s="136"/>
      <c r="DZQ3" s="136"/>
      <c r="DZR3" s="136"/>
      <c r="DZS3" s="136"/>
      <c r="DZT3" s="136"/>
      <c r="DZU3" s="136"/>
      <c r="DZV3" s="136"/>
      <c r="DZW3" s="136"/>
      <c r="DZX3" s="136"/>
      <c r="DZY3" s="136"/>
      <c r="DZZ3" s="136"/>
      <c r="EAA3" s="136"/>
      <c r="EAB3" s="136"/>
      <c r="EAC3" s="136"/>
      <c r="EAD3" s="136"/>
      <c r="EAE3" s="136"/>
      <c r="EAF3" s="136"/>
      <c r="EAG3" s="136"/>
      <c r="EAH3" s="136"/>
      <c r="EAI3" s="136"/>
      <c r="EAJ3" s="136"/>
      <c r="EAK3" s="136"/>
      <c r="EAL3" s="136"/>
      <c r="EAM3" s="136"/>
      <c r="EAN3" s="136"/>
      <c r="EAO3" s="136"/>
      <c r="EAP3" s="136"/>
      <c r="EAQ3" s="136"/>
      <c r="EAR3" s="136"/>
      <c r="EAS3" s="136"/>
      <c r="EAT3" s="136"/>
      <c r="EAU3" s="136"/>
      <c r="EAV3" s="136"/>
      <c r="EAW3" s="136"/>
      <c r="EAX3" s="136"/>
      <c r="EAY3" s="136"/>
      <c r="EAZ3" s="136"/>
      <c r="EBA3" s="136"/>
      <c r="EBB3" s="136"/>
      <c r="EBC3" s="136"/>
      <c r="EBD3" s="136"/>
      <c r="EBE3" s="136"/>
      <c r="EBF3" s="136"/>
      <c r="EBG3" s="136"/>
      <c r="EBH3" s="136"/>
      <c r="EBI3" s="136"/>
      <c r="EBJ3" s="136"/>
      <c r="EBK3" s="136"/>
      <c r="EBL3" s="136"/>
      <c r="EBM3" s="136"/>
      <c r="EBN3" s="136"/>
      <c r="EBO3" s="136"/>
      <c r="EBP3" s="136"/>
      <c r="EBQ3" s="136"/>
      <c r="EBR3" s="136"/>
      <c r="EBS3" s="136"/>
      <c r="EBT3" s="136"/>
      <c r="EBU3" s="136"/>
      <c r="EBV3" s="136"/>
      <c r="EBW3" s="136"/>
      <c r="EBX3" s="136"/>
      <c r="EBY3" s="136"/>
      <c r="EBZ3" s="136"/>
      <c r="ECA3" s="136"/>
      <c r="ECB3" s="136"/>
      <c r="ECC3" s="136"/>
      <c r="ECD3" s="136"/>
      <c r="ECE3" s="136"/>
      <c r="ECF3" s="136"/>
      <c r="ECG3" s="136"/>
      <c r="ECH3" s="136"/>
      <c r="ECI3" s="136"/>
      <c r="ECJ3" s="136"/>
      <c r="ECK3" s="136"/>
      <c r="ECL3" s="136"/>
      <c r="ECM3" s="136"/>
      <c r="ECN3" s="136"/>
      <c r="ECO3" s="136"/>
      <c r="ECP3" s="136"/>
      <c r="ECQ3" s="136"/>
      <c r="ECR3" s="136"/>
      <c r="ECS3" s="136"/>
      <c r="ECT3" s="136"/>
      <c r="ECU3" s="136"/>
      <c r="ECV3" s="136"/>
      <c r="ECW3" s="136"/>
      <c r="ECX3" s="136"/>
      <c r="ECY3" s="136"/>
      <c r="ECZ3" s="136"/>
      <c r="EDA3" s="136"/>
      <c r="EDB3" s="136"/>
      <c r="EDC3" s="136"/>
      <c r="EDD3" s="136"/>
      <c r="EDE3" s="136"/>
      <c r="EDF3" s="136"/>
      <c r="EDG3" s="136"/>
      <c r="EDH3" s="136"/>
      <c r="EDI3" s="136"/>
      <c r="EDJ3" s="136"/>
      <c r="EDK3" s="136"/>
      <c r="EDL3" s="136"/>
      <c r="EDM3" s="136"/>
      <c r="EDN3" s="136"/>
      <c r="EDO3" s="136"/>
      <c r="EDP3" s="136"/>
      <c r="EDQ3" s="136"/>
      <c r="EDR3" s="136"/>
      <c r="EDS3" s="136"/>
      <c r="EDT3" s="136"/>
      <c r="EDU3" s="136"/>
      <c r="EDV3" s="136"/>
      <c r="EDW3" s="136"/>
      <c r="EDX3" s="136"/>
      <c r="EDY3" s="136"/>
      <c r="EDZ3" s="136"/>
      <c r="EEA3" s="136"/>
      <c r="EEB3" s="136"/>
      <c r="EEC3" s="136"/>
      <c r="EED3" s="136"/>
      <c r="EEE3" s="136"/>
      <c r="EEF3" s="136"/>
      <c r="EEG3" s="136"/>
      <c r="EEH3" s="136"/>
      <c r="EEI3" s="136"/>
      <c r="EEJ3" s="136"/>
      <c r="EEK3" s="136"/>
      <c r="EEL3" s="136"/>
      <c r="EEM3" s="136"/>
      <c r="EEN3" s="136"/>
      <c r="EEO3" s="136"/>
      <c r="EEP3" s="136"/>
      <c r="EEQ3" s="136"/>
      <c r="EER3" s="136"/>
      <c r="EES3" s="136"/>
      <c r="EET3" s="136"/>
      <c r="EEU3" s="136"/>
      <c r="EEV3" s="136"/>
      <c r="EEW3" s="136"/>
      <c r="EEX3" s="136"/>
      <c r="EEY3" s="136"/>
      <c r="EEZ3" s="136"/>
      <c r="EFA3" s="136"/>
      <c r="EFB3" s="136"/>
      <c r="EFC3" s="136"/>
      <c r="EFD3" s="136"/>
      <c r="EFE3" s="136"/>
      <c r="EFF3" s="136"/>
      <c r="EFG3" s="136"/>
      <c r="EFH3" s="136"/>
      <c r="EFI3" s="136"/>
      <c r="EFJ3" s="136"/>
      <c r="EFK3" s="136"/>
      <c r="EFL3" s="136"/>
      <c r="EFM3" s="136"/>
      <c r="EFN3" s="136"/>
      <c r="EFO3" s="136"/>
      <c r="EFP3" s="136"/>
      <c r="EFQ3" s="136"/>
      <c r="EFR3" s="136"/>
      <c r="EFS3" s="136"/>
      <c r="EFT3" s="136"/>
      <c r="EFU3" s="136"/>
      <c r="EFV3" s="136"/>
      <c r="EFW3" s="136"/>
      <c r="EFX3" s="136"/>
      <c r="EFY3" s="136"/>
      <c r="EFZ3" s="136"/>
      <c r="EGA3" s="136"/>
      <c r="EGB3" s="136"/>
      <c r="EGC3" s="136"/>
      <c r="EGD3" s="136"/>
      <c r="EGE3" s="136"/>
      <c r="EGF3" s="136"/>
      <c r="EGG3" s="136"/>
      <c r="EGH3" s="136"/>
      <c r="EGI3" s="136"/>
      <c r="EGJ3" s="136"/>
      <c r="EGK3" s="136"/>
      <c r="EGL3" s="136"/>
      <c r="EGM3" s="136"/>
      <c r="EGN3" s="136"/>
      <c r="EGO3" s="136"/>
      <c r="EGP3" s="136"/>
      <c r="EGQ3" s="136"/>
      <c r="EGR3" s="136"/>
      <c r="EGS3" s="136"/>
      <c r="EGT3" s="136"/>
      <c r="EGU3" s="136"/>
      <c r="EGV3" s="136"/>
      <c r="EGW3" s="136"/>
      <c r="EGX3" s="136"/>
      <c r="EGY3" s="136"/>
      <c r="EGZ3" s="136"/>
      <c r="EHA3" s="136"/>
      <c r="EHB3" s="136"/>
      <c r="EHC3" s="136"/>
      <c r="EHD3" s="136"/>
      <c r="EHE3" s="136"/>
      <c r="EHF3" s="136"/>
      <c r="EHG3" s="136"/>
      <c r="EHH3" s="136"/>
      <c r="EHI3" s="136"/>
      <c r="EHJ3" s="136"/>
      <c r="EHK3" s="136"/>
      <c r="EHL3" s="136"/>
      <c r="EHM3" s="136"/>
      <c r="EHN3" s="136"/>
      <c r="EHO3" s="136"/>
      <c r="EHP3" s="136"/>
      <c r="EHQ3" s="136"/>
      <c r="EHR3" s="136"/>
      <c r="EHS3" s="136"/>
      <c r="EHT3" s="136"/>
      <c r="EHU3" s="136"/>
      <c r="EHV3" s="136"/>
      <c r="EHW3" s="136"/>
      <c r="EHX3" s="136"/>
      <c r="EHY3" s="136"/>
      <c r="EHZ3" s="136"/>
      <c r="EIA3" s="136"/>
      <c r="EIB3" s="136"/>
      <c r="EIC3" s="136"/>
      <c r="EID3" s="136"/>
      <c r="EIE3" s="136"/>
      <c r="EIF3" s="136"/>
      <c r="EIG3" s="136"/>
      <c r="EIH3" s="136"/>
      <c r="EII3" s="136"/>
      <c r="EIJ3" s="136"/>
      <c r="EIK3" s="136"/>
      <c r="EIL3" s="136"/>
      <c r="EIM3" s="136"/>
      <c r="EIN3" s="136"/>
      <c r="EIO3" s="136"/>
      <c r="EIP3" s="136"/>
      <c r="EIQ3" s="136"/>
      <c r="EIR3" s="136"/>
      <c r="EIS3" s="136"/>
      <c r="EIT3" s="136"/>
      <c r="EIU3" s="136"/>
      <c r="EIV3" s="136"/>
      <c r="EIW3" s="136"/>
      <c r="EIX3" s="136"/>
      <c r="EIY3" s="136"/>
      <c r="EIZ3" s="136"/>
      <c r="EJA3" s="136"/>
      <c r="EJB3" s="136"/>
      <c r="EJC3" s="136"/>
      <c r="EJD3" s="136"/>
      <c r="EJE3" s="136"/>
      <c r="EJF3" s="136"/>
      <c r="EJG3" s="136"/>
      <c r="EJH3" s="136"/>
      <c r="EJI3" s="136"/>
      <c r="EJJ3" s="136"/>
      <c r="EJK3" s="136"/>
      <c r="EJL3" s="136"/>
      <c r="EJM3" s="136"/>
      <c r="EJN3" s="136"/>
      <c r="EJO3" s="136"/>
      <c r="EJP3" s="136"/>
      <c r="EJQ3" s="136"/>
      <c r="EJR3" s="136"/>
      <c r="EJS3" s="136"/>
      <c r="EJT3" s="136"/>
      <c r="EJU3" s="136"/>
      <c r="EJV3" s="136"/>
      <c r="EJW3" s="136"/>
      <c r="EJX3" s="136"/>
      <c r="EJY3" s="136"/>
      <c r="EJZ3" s="136"/>
      <c r="EKA3" s="136"/>
      <c r="EKB3" s="136"/>
      <c r="EKC3" s="136"/>
      <c r="EKD3" s="136"/>
      <c r="EKE3" s="136"/>
      <c r="EKF3" s="136"/>
      <c r="EKG3" s="136"/>
      <c r="EKH3" s="136"/>
      <c r="EKI3" s="136"/>
      <c r="EKJ3" s="136"/>
      <c r="EKK3" s="136"/>
      <c r="EKL3" s="136"/>
      <c r="EKM3" s="136"/>
      <c r="EKN3" s="136"/>
      <c r="EKO3" s="136"/>
      <c r="EKP3" s="136"/>
      <c r="EKQ3" s="136"/>
      <c r="EKR3" s="136"/>
      <c r="EKS3" s="136"/>
      <c r="EKT3" s="136"/>
      <c r="EKU3" s="136"/>
      <c r="EKV3" s="136"/>
      <c r="EKW3" s="136"/>
      <c r="EKX3" s="136"/>
      <c r="EKY3" s="136"/>
      <c r="EKZ3" s="136"/>
      <c r="ELA3" s="136"/>
      <c r="ELB3" s="136"/>
      <c r="ELC3" s="136"/>
      <c r="ELD3" s="136"/>
      <c r="ELE3" s="136"/>
      <c r="ELF3" s="136"/>
      <c r="ELG3" s="136"/>
      <c r="ELH3" s="136"/>
      <c r="ELI3" s="136"/>
      <c r="ELJ3" s="136"/>
      <c r="ELK3" s="136"/>
      <c r="ELL3" s="136"/>
      <c r="ELM3" s="136"/>
      <c r="ELN3" s="136"/>
      <c r="ELO3" s="136"/>
      <c r="ELP3" s="136"/>
      <c r="ELQ3" s="136"/>
      <c r="ELR3" s="136"/>
      <c r="ELS3" s="136"/>
      <c r="ELT3" s="136"/>
      <c r="ELU3" s="136"/>
      <c r="ELV3" s="136"/>
      <c r="ELW3" s="136"/>
      <c r="ELX3" s="136"/>
      <c r="ELY3" s="136"/>
      <c r="ELZ3" s="136"/>
      <c r="EMA3" s="136"/>
      <c r="EMB3" s="136"/>
      <c r="EMC3" s="136"/>
      <c r="EMD3" s="136"/>
      <c r="EME3" s="136"/>
      <c r="EMF3" s="136"/>
      <c r="EMG3" s="136"/>
      <c r="EMH3" s="136"/>
      <c r="EMI3" s="136"/>
      <c r="EMJ3" s="136"/>
      <c r="EMK3" s="136"/>
      <c r="EML3" s="136"/>
      <c r="EMM3" s="136"/>
      <c r="EMN3" s="136"/>
      <c r="EMO3" s="136"/>
      <c r="EMP3" s="136"/>
      <c r="EMQ3" s="136"/>
      <c r="EMR3" s="136"/>
      <c r="EMS3" s="136"/>
      <c r="EMT3" s="136"/>
      <c r="EMU3" s="136"/>
      <c r="EMV3" s="136"/>
      <c r="EMW3" s="136"/>
      <c r="EMX3" s="136"/>
      <c r="EMY3" s="136"/>
      <c r="EMZ3" s="136"/>
      <c r="ENA3" s="136"/>
      <c r="ENB3" s="136"/>
      <c r="ENC3" s="136"/>
      <c r="END3" s="136"/>
      <c r="ENE3" s="136"/>
      <c r="ENF3" s="136"/>
      <c r="ENG3" s="136"/>
      <c r="ENH3" s="136"/>
      <c r="ENI3" s="136"/>
      <c r="ENJ3" s="136"/>
      <c r="ENK3" s="136"/>
      <c r="ENL3" s="136"/>
      <c r="ENM3" s="136"/>
      <c r="ENN3" s="136"/>
      <c r="ENO3" s="136"/>
      <c r="ENP3" s="136"/>
      <c r="ENQ3" s="136"/>
      <c r="ENR3" s="136"/>
      <c r="ENS3" s="136"/>
      <c r="ENT3" s="136"/>
      <c r="ENU3" s="136"/>
      <c r="ENV3" s="136"/>
      <c r="ENW3" s="136"/>
      <c r="ENX3" s="136"/>
      <c r="ENY3" s="136"/>
      <c r="ENZ3" s="136"/>
      <c r="EOA3" s="136"/>
      <c r="EOB3" s="136"/>
      <c r="EOC3" s="136"/>
      <c r="EOD3" s="136"/>
      <c r="EOE3" s="136"/>
      <c r="EOF3" s="136"/>
      <c r="EOG3" s="136"/>
      <c r="EOH3" s="136"/>
      <c r="EOI3" s="136"/>
      <c r="EOJ3" s="136"/>
      <c r="EOK3" s="136"/>
      <c r="EOL3" s="136"/>
      <c r="EOM3" s="136"/>
      <c r="EON3" s="136"/>
      <c r="EOO3" s="136"/>
      <c r="EOP3" s="136"/>
      <c r="EOQ3" s="136"/>
      <c r="EOR3" s="136"/>
      <c r="EOS3" s="136"/>
      <c r="EOT3" s="136"/>
      <c r="EOU3" s="136"/>
      <c r="EOV3" s="136"/>
      <c r="EOW3" s="136"/>
      <c r="EOX3" s="136"/>
      <c r="EOY3" s="136"/>
      <c r="EOZ3" s="136"/>
      <c r="EPA3" s="136"/>
      <c r="EPB3" s="136"/>
      <c r="EPC3" s="136"/>
      <c r="EPD3" s="136"/>
      <c r="EPE3" s="136"/>
      <c r="EPF3" s="136"/>
      <c r="EPG3" s="136"/>
      <c r="EPH3" s="136"/>
      <c r="EPI3" s="136"/>
      <c r="EPJ3" s="136"/>
      <c r="EPK3" s="136"/>
      <c r="EPL3" s="136"/>
      <c r="EPM3" s="136"/>
      <c r="EPN3" s="136"/>
      <c r="EPO3" s="136"/>
      <c r="EPP3" s="136"/>
      <c r="EPQ3" s="136"/>
      <c r="EPR3" s="136"/>
      <c r="EPS3" s="136"/>
      <c r="EPT3" s="136"/>
      <c r="EPU3" s="136"/>
      <c r="EPV3" s="136"/>
      <c r="EPW3" s="136"/>
      <c r="EPX3" s="136"/>
      <c r="EPY3" s="136"/>
      <c r="EPZ3" s="136"/>
      <c r="EQA3" s="136"/>
      <c r="EQB3" s="136"/>
      <c r="EQC3" s="136"/>
      <c r="EQD3" s="136"/>
      <c r="EQE3" s="136"/>
      <c r="EQF3" s="136"/>
      <c r="EQG3" s="136"/>
      <c r="EQH3" s="136"/>
      <c r="EQI3" s="136"/>
      <c r="EQJ3" s="136"/>
      <c r="EQK3" s="136"/>
      <c r="EQL3" s="136"/>
      <c r="EQM3" s="136"/>
      <c r="EQN3" s="136"/>
      <c r="EQO3" s="136"/>
      <c r="EQP3" s="136"/>
      <c r="EQQ3" s="136"/>
      <c r="EQR3" s="136"/>
      <c r="EQS3" s="136"/>
      <c r="EQT3" s="136"/>
      <c r="EQU3" s="136"/>
      <c r="EQV3" s="136"/>
      <c r="EQW3" s="136"/>
      <c r="EQX3" s="136"/>
      <c r="EQY3" s="136"/>
      <c r="EQZ3" s="136"/>
      <c r="ERA3" s="136"/>
      <c r="ERB3" s="136"/>
      <c r="ERC3" s="136"/>
      <c r="ERD3" s="136"/>
      <c r="ERE3" s="136"/>
      <c r="ERF3" s="136"/>
      <c r="ERG3" s="136"/>
      <c r="ERH3" s="136"/>
      <c r="ERI3" s="136"/>
      <c r="ERJ3" s="136"/>
      <c r="ERK3" s="136"/>
      <c r="ERL3" s="136"/>
      <c r="ERM3" s="136"/>
      <c r="ERN3" s="136"/>
      <c r="ERO3" s="136"/>
      <c r="ERP3" s="136"/>
      <c r="ERQ3" s="136"/>
      <c r="ERR3" s="136"/>
      <c r="ERS3" s="136"/>
      <c r="ERT3" s="136"/>
      <c r="ERU3" s="136"/>
      <c r="ERV3" s="136"/>
      <c r="ERW3" s="136"/>
      <c r="ERX3" s="136"/>
      <c r="ERY3" s="136"/>
      <c r="ERZ3" s="136"/>
      <c r="ESA3" s="136"/>
      <c r="ESB3" s="136"/>
      <c r="ESC3" s="136"/>
      <c r="ESD3" s="136"/>
      <c r="ESE3" s="136"/>
      <c r="ESF3" s="136"/>
      <c r="ESG3" s="136"/>
      <c r="ESH3" s="136"/>
      <c r="ESI3" s="136"/>
      <c r="ESJ3" s="136"/>
      <c r="ESK3" s="136"/>
      <c r="ESL3" s="136"/>
      <c r="ESM3" s="136"/>
      <c r="ESN3" s="136"/>
      <c r="ESO3" s="136"/>
      <c r="ESP3" s="136"/>
      <c r="ESQ3" s="136"/>
      <c r="ESR3" s="136"/>
      <c r="ESS3" s="136"/>
      <c r="EST3" s="136"/>
      <c r="ESU3" s="136"/>
      <c r="ESV3" s="136"/>
      <c r="ESW3" s="136"/>
      <c r="ESX3" s="136"/>
      <c r="ESY3" s="136"/>
      <c r="ESZ3" s="136"/>
      <c r="ETA3" s="136"/>
      <c r="ETB3" s="136"/>
      <c r="ETC3" s="136"/>
      <c r="ETD3" s="136"/>
      <c r="ETE3" s="136"/>
      <c r="ETF3" s="136"/>
      <c r="ETG3" s="136"/>
      <c r="ETH3" s="136"/>
      <c r="ETI3" s="136"/>
      <c r="ETJ3" s="136"/>
      <c r="ETK3" s="136"/>
      <c r="ETL3" s="136"/>
      <c r="ETM3" s="136"/>
      <c r="ETN3" s="136"/>
      <c r="ETO3" s="136"/>
      <c r="ETP3" s="136"/>
      <c r="ETQ3" s="136"/>
      <c r="ETR3" s="136"/>
      <c r="ETS3" s="136"/>
      <c r="ETT3" s="136"/>
      <c r="ETU3" s="136"/>
      <c r="ETV3" s="136"/>
      <c r="ETW3" s="136"/>
      <c r="ETX3" s="136"/>
      <c r="ETY3" s="136"/>
      <c r="ETZ3" s="136"/>
      <c r="EUA3" s="136"/>
      <c r="EUB3" s="136"/>
      <c r="EUC3" s="136"/>
      <c r="EUD3" s="136"/>
      <c r="EUE3" s="136"/>
      <c r="EUF3" s="136"/>
      <c r="EUG3" s="136"/>
      <c r="EUH3" s="136"/>
      <c r="EUI3" s="136"/>
      <c r="EUJ3" s="136"/>
      <c r="EUK3" s="136"/>
      <c r="EUL3" s="136"/>
      <c r="EUM3" s="136"/>
      <c r="EUN3" s="136"/>
      <c r="EUO3" s="136"/>
      <c r="EUP3" s="136"/>
      <c r="EUQ3" s="136"/>
      <c r="EUR3" s="136"/>
      <c r="EUS3" s="136"/>
      <c r="EUT3" s="136"/>
      <c r="EUU3" s="136"/>
      <c r="EUV3" s="136"/>
      <c r="EUW3" s="136"/>
      <c r="EUX3" s="136"/>
      <c r="EUY3" s="136"/>
      <c r="EUZ3" s="136"/>
      <c r="EVA3" s="136"/>
      <c r="EVB3" s="136"/>
      <c r="EVC3" s="136"/>
      <c r="EVD3" s="136"/>
      <c r="EVE3" s="136"/>
      <c r="EVF3" s="136"/>
      <c r="EVG3" s="136"/>
      <c r="EVH3" s="136"/>
      <c r="EVI3" s="136"/>
      <c r="EVJ3" s="136"/>
      <c r="EVK3" s="136"/>
      <c r="EVL3" s="136"/>
      <c r="EVM3" s="136"/>
      <c r="EVN3" s="136"/>
      <c r="EVO3" s="136"/>
      <c r="EVP3" s="136"/>
      <c r="EVQ3" s="136"/>
      <c r="EVR3" s="136"/>
      <c r="EVS3" s="136"/>
      <c r="EVT3" s="136"/>
      <c r="EVU3" s="136"/>
      <c r="EVV3" s="136"/>
      <c r="EVW3" s="136"/>
      <c r="EVX3" s="136"/>
      <c r="EVY3" s="136"/>
      <c r="EVZ3" s="136"/>
      <c r="EWA3" s="136"/>
      <c r="EWB3" s="136"/>
      <c r="EWC3" s="136"/>
      <c r="EWD3" s="136"/>
      <c r="EWE3" s="136"/>
      <c r="EWF3" s="136"/>
      <c r="EWG3" s="136"/>
      <c r="EWH3" s="136"/>
      <c r="EWI3" s="136"/>
      <c r="EWJ3" s="136"/>
      <c r="EWK3" s="136"/>
      <c r="EWL3" s="136"/>
      <c r="EWM3" s="136"/>
      <c r="EWN3" s="136"/>
      <c r="EWO3" s="136"/>
      <c r="EWP3" s="136"/>
      <c r="EWQ3" s="136"/>
      <c r="EWR3" s="136"/>
      <c r="EWS3" s="136"/>
      <c r="EWT3" s="136"/>
      <c r="EWU3" s="136"/>
      <c r="EWV3" s="136"/>
      <c r="EWW3" s="136"/>
      <c r="EWX3" s="136"/>
      <c r="EWY3" s="136"/>
      <c r="EWZ3" s="136"/>
      <c r="EXA3" s="136"/>
      <c r="EXB3" s="136"/>
      <c r="EXC3" s="136"/>
      <c r="EXD3" s="136"/>
      <c r="EXE3" s="136"/>
      <c r="EXF3" s="136"/>
      <c r="EXG3" s="136"/>
      <c r="EXH3" s="136"/>
      <c r="EXI3" s="136"/>
      <c r="EXJ3" s="136"/>
      <c r="EXK3" s="136"/>
      <c r="EXL3" s="136"/>
      <c r="EXM3" s="136"/>
      <c r="EXN3" s="136"/>
      <c r="EXO3" s="136"/>
      <c r="EXP3" s="136"/>
      <c r="EXQ3" s="136"/>
      <c r="EXR3" s="136"/>
      <c r="EXS3" s="136"/>
      <c r="EXT3" s="136"/>
      <c r="EXU3" s="136"/>
      <c r="EXV3" s="136"/>
      <c r="EXW3" s="136"/>
      <c r="EXX3" s="136"/>
      <c r="EXY3" s="136"/>
      <c r="EXZ3" s="136"/>
      <c r="EYA3" s="136"/>
      <c r="EYB3" s="136"/>
      <c r="EYC3" s="136"/>
      <c r="EYD3" s="136"/>
      <c r="EYE3" s="136"/>
      <c r="EYF3" s="136"/>
      <c r="EYG3" s="136"/>
      <c r="EYH3" s="136"/>
      <c r="EYI3" s="136"/>
      <c r="EYJ3" s="136"/>
      <c r="EYK3" s="136"/>
      <c r="EYL3" s="136"/>
      <c r="EYM3" s="136"/>
      <c r="EYN3" s="136"/>
      <c r="EYO3" s="136"/>
      <c r="EYP3" s="136"/>
      <c r="EYQ3" s="136"/>
      <c r="EYR3" s="136"/>
      <c r="EYS3" s="136"/>
      <c r="EYT3" s="136"/>
      <c r="EYU3" s="136"/>
      <c r="EYV3" s="136"/>
      <c r="EYW3" s="136"/>
      <c r="EYX3" s="136"/>
      <c r="EYY3" s="136"/>
      <c r="EYZ3" s="136"/>
      <c r="EZA3" s="136"/>
      <c r="EZB3" s="136"/>
      <c r="EZC3" s="136"/>
      <c r="EZD3" s="136"/>
      <c r="EZE3" s="136"/>
      <c r="EZF3" s="136"/>
      <c r="EZG3" s="136"/>
      <c r="EZH3" s="136"/>
      <c r="EZI3" s="136"/>
      <c r="EZJ3" s="136"/>
      <c r="EZK3" s="136"/>
      <c r="EZL3" s="136"/>
      <c r="EZM3" s="136"/>
      <c r="EZN3" s="136"/>
      <c r="EZO3" s="136"/>
      <c r="EZP3" s="136"/>
      <c r="EZQ3" s="136"/>
      <c r="EZR3" s="136"/>
      <c r="EZS3" s="136"/>
      <c r="EZT3" s="136"/>
      <c r="EZU3" s="136"/>
      <c r="EZV3" s="136"/>
      <c r="EZW3" s="136"/>
      <c r="EZX3" s="136"/>
      <c r="EZY3" s="136"/>
      <c r="EZZ3" s="136"/>
      <c r="FAA3" s="136"/>
      <c r="FAB3" s="136"/>
      <c r="FAC3" s="136"/>
      <c r="FAD3" s="136"/>
      <c r="FAE3" s="136"/>
      <c r="FAF3" s="136"/>
      <c r="FAG3" s="136"/>
      <c r="FAH3" s="136"/>
      <c r="FAI3" s="136"/>
      <c r="FAJ3" s="136"/>
      <c r="FAK3" s="136"/>
      <c r="FAL3" s="136"/>
      <c r="FAM3" s="136"/>
      <c r="FAN3" s="136"/>
      <c r="FAO3" s="136"/>
      <c r="FAP3" s="136"/>
      <c r="FAQ3" s="136"/>
      <c r="FAR3" s="136"/>
      <c r="FAS3" s="136"/>
      <c r="FAT3" s="136"/>
      <c r="FAU3" s="136"/>
      <c r="FAV3" s="136"/>
      <c r="FAW3" s="136"/>
      <c r="FAX3" s="136"/>
      <c r="FAY3" s="136"/>
      <c r="FAZ3" s="136"/>
      <c r="FBA3" s="136"/>
      <c r="FBB3" s="136"/>
      <c r="FBC3" s="136"/>
      <c r="FBD3" s="136"/>
      <c r="FBE3" s="136"/>
      <c r="FBF3" s="136"/>
      <c r="FBG3" s="136"/>
      <c r="FBH3" s="136"/>
      <c r="FBI3" s="136"/>
      <c r="FBJ3" s="136"/>
      <c r="FBK3" s="136"/>
      <c r="FBL3" s="136"/>
      <c r="FBM3" s="136"/>
      <c r="FBN3" s="136"/>
      <c r="FBO3" s="136"/>
      <c r="FBP3" s="136"/>
      <c r="FBQ3" s="136"/>
      <c r="FBR3" s="136"/>
      <c r="FBS3" s="136"/>
      <c r="FBT3" s="136"/>
      <c r="FBU3" s="136"/>
      <c r="FBV3" s="136"/>
      <c r="FBW3" s="136"/>
      <c r="FBX3" s="136"/>
      <c r="FBY3" s="136"/>
      <c r="FBZ3" s="136"/>
      <c r="FCA3" s="136"/>
      <c r="FCB3" s="136"/>
      <c r="FCC3" s="136"/>
      <c r="FCD3" s="136"/>
      <c r="FCE3" s="136"/>
      <c r="FCF3" s="136"/>
      <c r="FCG3" s="136"/>
      <c r="FCH3" s="136"/>
      <c r="FCI3" s="136"/>
      <c r="FCJ3" s="136"/>
      <c r="FCK3" s="136"/>
      <c r="FCL3" s="136"/>
      <c r="FCM3" s="136"/>
      <c r="FCN3" s="136"/>
      <c r="FCO3" s="136"/>
      <c r="FCP3" s="136"/>
      <c r="FCQ3" s="136"/>
      <c r="FCR3" s="136"/>
      <c r="FCS3" s="136"/>
      <c r="FCT3" s="136"/>
      <c r="FCU3" s="136"/>
      <c r="FCV3" s="136"/>
      <c r="FCW3" s="136"/>
      <c r="FCX3" s="136"/>
      <c r="FCY3" s="136"/>
      <c r="FCZ3" s="136"/>
      <c r="FDA3" s="136"/>
      <c r="FDB3" s="136"/>
      <c r="FDC3" s="136"/>
      <c r="FDD3" s="136"/>
      <c r="FDE3" s="136"/>
      <c r="FDF3" s="136"/>
      <c r="FDG3" s="136"/>
      <c r="FDH3" s="136"/>
      <c r="FDI3" s="136"/>
      <c r="FDJ3" s="136"/>
      <c r="FDK3" s="136"/>
      <c r="FDL3" s="136"/>
      <c r="FDM3" s="136"/>
      <c r="FDN3" s="136"/>
      <c r="FDO3" s="136"/>
      <c r="FDP3" s="136"/>
      <c r="FDQ3" s="136"/>
      <c r="FDR3" s="136"/>
      <c r="FDS3" s="136"/>
      <c r="FDT3" s="136"/>
      <c r="FDU3" s="136"/>
      <c r="FDV3" s="136"/>
      <c r="FDW3" s="136"/>
      <c r="FDX3" s="136"/>
      <c r="FDY3" s="136"/>
      <c r="FDZ3" s="136"/>
      <c r="FEA3" s="136"/>
      <c r="FEB3" s="136"/>
      <c r="FEC3" s="136"/>
      <c r="FED3" s="136"/>
      <c r="FEE3" s="136"/>
      <c r="FEF3" s="136"/>
      <c r="FEG3" s="136"/>
      <c r="FEH3" s="136"/>
      <c r="FEI3" s="136"/>
      <c r="FEJ3" s="136"/>
      <c r="FEK3" s="136"/>
      <c r="FEL3" s="136"/>
      <c r="FEM3" s="136"/>
      <c r="FEN3" s="136"/>
      <c r="FEO3" s="136"/>
      <c r="FEP3" s="136"/>
      <c r="FEQ3" s="136"/>
      <c r="FER3" s="136"/>
      <c r="FES3" s="136"/>
      <c r="FET3" s="136"/>
      <c r="FEU3" s="136"/>
      <c r="FEV3" s="136"/>
      <c r="FEW3" s="136"/>
      <c r="FEX3" s="136"/>
      <c r="FEY3" s="136"/>
      <c r="FEZ3" s="136"/>
      <c r="FFA3" s="136"/>
      <c r="FFB3" s="136"/>
      <c r="FFC3" s="136"/>
      <c r="FFD3" s="136"/>
      <c r="FFE3" s="136"/>
      <c r="FFF3" s="136"/>
      <c r="FFG3" s="136"/>
      <c r="FFH3" s="136"/>
      <c r="FFI3" s="136"/>
      <c r="FFJ3" s="136"/>
      <c r="FFK3" s="136"/>
      <c r="FFL3" s="136"/>
      <c r="FFM3" s="136"/>
      <c r="FFN3" s="136"/>
      <c r="FFO3" s="136"/>
      <c r="FFP3" s="136"/>
      <c r="FFQ3" s="136"/>
      <c r="FFR3" s="136"/>
      <c r="FFS3" s="136"/>
      <c r="FFT3" s="136"/>
      <c r="FFU3" s="136"/>
      <c r="FFV3" s="136"/>
      <c r="FFW3" s="136"/>
      <c r="FFX3" s="136"/>
      <c r="FFY3" s="136"/>
      <c r="FFZ3" s="136"/>
      <c r="FGA3" s="136"/>
      <c r="FGB3" s="136"/>
      <c r="FGC3" s="136"/>
      <c r="FGD3" s="136"/>
      <c r="FGE3" s="136"/>
      <c r="FGF3" s="136"/>
      <c r="FGG3" s="136"/>
      <c r="FGH3" s="136"/>
      <c r="FGI3" s="136"/>
      <c r="FGJ3" s="136"/>
      <c r="FGK3" s="136"/>
      <c r="FGL3" s="136"/>
      <c r="FGM3" s="136"/>
      <c r="FGN3" s="136"/>
      <c r="FGO3" s="136"/>
      <c r="FGP3" s="136"/>
      <c r="FGQ3" s="136"/>
      <c r="FGR3" s="136"/>
      <c r="FGS3" s="136"/>
      <c r="FGT3" s="136"/>
      <c r="FGU3" s="136"/>
      <c r="FGV3" s="136"/>
      <c r="FGW3" s="136"/>
      <c r="FGX3" s="136"/>
      <c r="FGY3" s="136"/>
      <c r="FGZ3" s="136"/>
      <c r="FHA3" s="136"/>
      <c r="FHB3" s="136"/>
      <c r="FHC3" s="136"/>
      <c r="FHD3" s="136"/>
      <c r="FHE3" s="136"/>
      <c r="FHF3" s="136"/>
      <c r="FHG3" s="136"/>
      <c r="FHH3" s="136"/>
      <c r="FHI3" s="136"/>
      <c r="FHJ3" s="136"/>
      <c r="FHK3" s="136"/>
      <c r="FHL3" s="136"/>
      <c r="FHM3" s="136"/>
      <c r="FHN3" s="136"/>
      <c r="FHO3" s="136"/>
      <c r="FHP3" s="136"/>
      <c r="FHQ3" s="136"/>
      <c r="FHR3" s="136"/>
      <c r="FHS3" s="136"/>
      <c r="FHT3" s="136"/>
      <c r="FHU3" s="136"/>
      <c r="FHV3" s="136"/>
      <c r="FHW3" s="136"/>
      <c r="FHX3" s="136"/>
      <c r="FHY3" s="136"/>
      <c r="FHZ3" s="136"/>
      <c r="FIA3" s="136"/>
      <c r="FIB3" s="136"/>
      <c r="FIC3" s="136"/>
      <c r="FID3" s="136"/>
      <c r="FIE3" s="136"/>
      <c r="FIF3" s="136"/>
      <c r="FIG3" s="136"/>
      <c r="FIH3" s="136"/>
      <c r="FII3" s="136"/>
      <c r="FIJ3" s="136"/>
      <c r="FIK3" s="136"/>
      <c r="FIL3" s="136"/>
      <c r="FIM3" s="136"/>
      <c r="FIN3" s="136"/>
      <c r="FIO3" s="136"/>
      <c r="FIP3" s="136"/>
      <c r="FIQ3" s="136"/>
      <c r="FIR3" s="136"/>
      <c r="FIS3" s="136"/>
      <c r="FIT3" s="136"/>
      <c r="FIU3" s="136"/>
      <c r="FIV3" s="136"/>
      <c r="FIW3" s="136"/>
      <c r="FIX3" s="136"/>
      <c r="FIY3" s="136"/>
      <c r="FIZ3" s="136"/>
      <c r="FJA3" s="136"/>
      <c r="FJB3" s="136"/>
      <c r="FJC3" s="136"/>
      <c r="FJD3" s="136"/>
      <c r="FJE3" s="136"/>
      <c r="FJF3" s="136"/>
      <c r="FJG3" s="136"/>
      <c r="FJH3" s="136"/>
      <c r="FJI3" s="136"/>
      <c r="FJJ3" s="136"/>
      <c r="FJK3" s="136"/>
      <c r="FJL3" s="136"/>
      <c r="FJM3" s="136"/>
      <c r="FJN3" s="136"/>
      <c r="FJO3" s="136"/>
      <c r="FJP3" s="136"/>
      <c r="FJQ3" s="136"/>
      <c r="FJR3" s="136"/>
      <c r="FJS3" s="136"/>
      <c r="FJT3" s="136"/>
      <c r="FJU3" s="136"/>
      <c r="FJV3" s="136"/>
      <c r="FJW3" s="136"/>
      <c r="FJX3" s="136"/>
      <c r="FJY3" s="136"/>
      <c r="FJZ3" s="136"/>
      <c r="FKA3" s="136"/>
      <c r="FKB3" s="136"/>
      <c r="FKC3" s="136"/>
      <c r="FKD3" s="136"/>
      <c r="FKE3" s="136"/>
      <c r="FKF3" s="136"/>
      <c r="FKG3" s="136"/>
      <c r="FKH3" s="136"/>
      <c r="FKI3" s="136"/>
      <c r="FKJ3" s="136"/>
      <c r="FKK3" s="136"/>
      <c r="FKL3" s="136"/>
      <c r="FKM3" s="136"/>
      <c r="FKN3" s="136"/>
      <c r="FKO3" s="136"/>
      <c r="FKP3" s="136"/>
      <c r="FKQ3" s="136"/>
      <c r="FKR3" s="136"/>
      <c r="FKS3" s="136"/>
      <c r="FKT3" s="136"/>
      <c r="FKU3" s="136"/>
      <c r="FKV3" s="136"/>
      <c r="FKW3" s="136"/>
      <c r="FKX3" s="136"/>
      <c r="FKY3" s="136"/>
      <c r="FKZ3" s="136"/>
      <c r="FLA3" s="136"/>
      <c r="FLB3" s="136"/>
      <c r="FLC3" s="136"/>
      <c r="FLD3" s="136"/>
      <c r="FLE3" s="136"/>
      <c r="FLF3" s="136"/>
      <c r="FLG3" s="136"/>
      <c r="FLH3" s="136"/>
      <c r="FLI3" s="136"/>
      <c r="FLJ3" s="136"/>
      <c r="FLK3" s="136"/>
      <c r="FLL3" s="136"/>
      <c r="FLM3" s="136"/>
      <c r="FLN3" s="136"/>
      <c r="FLO3" s="136"/>
      <c r="FLP3" s="136"/>
      <c r="FLQ3" s="136"/>
      <c r="FLR3" s="136"/>
      <c r="FLS3" s="136"/>
      <c r="FLT3" s="136"/>
      <c r="FLU3" s="136"/>
      <c r="FLV3" s="136"/>
      <c r="FLW3" s="136"/>
      <c r="FLX3" s="136"/>
      <c r="FLY3" s="136"/>
      <c r="FLZ3" s="136"/>
      <c r="FMA3" s="136"/>
      <c r="FMB3" s="136"/>
      <c r="FMC3" s="136"/>
      <c r="FMD3" s="136"/>
      <c r="FME3" s="136"/>
      <c r="FMF3" s="136"/>
      <c r="FMG3" s="136"/>
      <c r="FMH3" s="136"/>
      <c r="FMI3" s="136"/>
      <c r="FMJ3" s="136"/>
      <c r="FMK3" s="136"/>
      <c r="FML3" s="136"/>
      <c r="FMM3" s="136"/>
      <c r="FMN3" s="136"/>
      <c r="FMO3" s="136"/>
      <c r="FMP3" s="136"/>
      <c r="FMQ3" s="136"/>
      <c r="FMR3" s="136"/>
      <c r="FMS3" s="136"/>
      <c r="FMT3" s="136"/>
      <c r="FMU3" s="136"/>
      <c r="FMV3" s="136"/>
      <c r="FMW3" s="136"/>
      <c r="FMX3" s="136"/>
      <c r="FMY3" s="136"/>
      <c r="FMZ3" s="136"/>
      <c r="FNA3" s="136"/>
      <c r="FNB3" s="136"/>
      <c r="FNC3" s="136"/>
      <c r="FND3" s="136"/>
      <c r="FNE3" s="136"/>
      <c r="FNF3" s="136"/>
      <c r="FNG3" s="136"/>
      <c r="FNH3" s="136"/>
      <c r="FNI3" s="136"/>
      <c r="FNJ3" s="136"/>
      <c r="FNK3" s="136"/>
      <c r="FNL3" s="136"/>
      <c r="FNM3" s="136"/>
      <c r="FNN3" s="136"/>
      <c r="FNO3" s="136"/>
      <c r="FNP3" s="136"/>
      <c r="FNQ3" s="136"/>
      <c r="FNR3" s="136"/>
      <c r="FNS3" s="136"/>
      <c r="FNT3" s="136"/>
      <c r="FNU3" s="136"/>
      <c r="FNV3" s="136"/>
      <c r="FNW3" s="136"/>
      <c r="FNX3" s="136"/>
      <c r="FNY3" s="136"/>
      <c r="FNZ3" s="136"/>
      <c r="FOA3" s="136"/>
      <c r="FOB3" s="136"/>
      <c r="FOC3" s="136"/>
      <c r="FOD3" s="136"/>
      <c r="FOE3" s="136"/>
      <c r="FOF3" s="136"/>
      <c r="FOG3" s="136"/>
      <c r="FOH3" s="136"/>
      <c r="FOI3" s="136"/>
      <c r="FOJ3" s="136"/>
      <c r="FOK3" s="136"/>
      <c r="FOL3" s="136"/>
      <c r="FOM3" s="136"/>
      <c r="FON3" s="136"/>
      <c r="FOO3" s="136"/>
      <c r="FOP3" s="136"/>
      <c r="FOQ3" s="136"/>
      <c r="FOR3" s="136"/>
      <c r="FOS3" s="136"/>
      <c r="FOT3" s="136"/>
      <c r="FOU3" s="136"/>
      <c r="FOV3" s="136"/>
      <c r="FOW3" s="136"/>
      <c r="FOX3" s="136"/>
      <c r="FOY3" s="136"/>
      <c r="FOZ3" s="136"/>
      <c r="FPA3" s="136"/>
      <c r="FPB3" s="136"/>
      <c r="FPC3" s="136"/>
      <c r="FPD3" s="136"/>
      <c r="FPE3" s="136"/>
      <c r="FPF3" s="136"/>
      <c r="FPG3" s="136"/>
      <c r="FPH3" s="136"/>
      <c r="FPI3" s="136"/>
      <c r="FPJ3" s="136"/>
      <c r="FPK3" s="136"/>
      <c r="FPL3" s="136"/>
      <c r="FPM3" s="136"/>
      <c r="FPN3" s="136"/>
      <c r="FPO3" s="136"/>
      <c r="FPP3" s="136"/>
      <c r="FPQ3" s="136"/>
      <c r="FPR3" s="136"/>
      <c r="FPS3" s="136"/>
      <c r="FPT3" s="136"/>
      <c r="FPU3" s="136"/>
      <c r="FPV3" s="136"/>
      <c r="FPW3" s="136"/>
      <c r="FPX3" s="136"/>
      <c r="FPY3" s="136"/>
      <c r="FPZ3" s="136"/>
      <c r="FQA3" s="136"/>
      <c r="FQB3" s="136"/>
      <c r="FQC3" s="136"/>
      <c r="FQD3" s="136"/>
      <c r="FQE3" s="136"/>
      <c r="FQF3" s="136"/>
      <c r="FQG3" s="136"/>
      <c r="FQH3" s="136"/>
      <c r="FQI3" s="136"/>
      <c r="FQJ3" s="136"/>
      <c r="FQK3" s="136"/>
      <c r="FQL3" s="136"/>
      <c r="FQM3" s="136"/>
      <c r="FQN3" s="136"/>
      <c r="FQO3" s="136"/>
      <c r="FQP3" s="136"/>
      <c r="FQQ3" s="136"/>
      <c r="FQR3" s="136"/>
      <c r="FQS3" s="136"/>
      <c r="FQT3" s="136"/>
      <c r="FQU3" s="136"/>
      <c r="FQV3" s="136"/>
      <c r="FQW3" s="136"/>
      <c r="FQX3" s="136"/>
      <c r="FQY3" s="136"/>
      <c r="FQZ3" s="136"/>
      <c r="FRA3" s="136"/>
      <c r="FRB3" s="136"/>
      <c r="FRC3" s="136"/>
      <c r="FRD3" s="136"/>
      <c r="FRE3" s="136"/>
      <c r="FRF3" s="136"/>
      <c r="FRG3" s="136"/>
      <c r="FRH3" s="136"/>
      <c r="FRI3" s="136"/>
      <c r="FRJ3" s="136"/>
      <c r="FRK3" s="136"/>
      <c r="FRL3" s="136"/>
      <c r="FRM3" s="136"/>
      <c r="FRN3" s="136"/>
      <c r="FRO3" s="136"/>
      <c r="FRP3" s="136"/>
      <c r="FRQ3" s="136"/>
      <c r="FRR3" s="136"/>
      <c r="FRS3" s="136"/>
      <c r="FRT3" s="136"/>
      <c r="FRU3" s="136"/>
      <c r="FRV3" s="136"/>
      <c r="FRW3" s="136"/>
      <c r="FRX3" s="136"/>
      <c r="FRY3" s="136"/>
      <c r="FRZ3" s="136"/>
      <c r="FSA3" s="136"/>
      <c r="FSB3" s="136"/>
      <c r="FSC3" s="136"/>
      <c r="FSD3" s="136"/>
      <c r="FSE3" s="136"/>
      <c r="FSF3" s="136"/>
      <c r="FSG3" s="136"/>
      <c r="FSH3" s="136"/>
      <c r="FSI3" s="136"/>
      <c r="FSJ3" s="136"/>
      <c r="FSK3" s="136"/>
      <c r="FSL3" s="136"/>
      <c r="FSM3" s="136"/>
      <c r="FSN3" s="136"/>
      <c r="FSO3" s="136"/>
      <c r="FSP3" s="136"/>
      <c r="FSQ3" s="136"/>
      <c r="FSR3" s="136"/>
      <c r="FSS3" s="136"/>
      <c r="FST3" s="136"/>
      <c r="FSU3" s="136"/>
      <c r="FSV3" s="136"/>
      <c r="FSW3" s="136"/>
      <c r="FSX3" s="136"/>
      <c r="FSY3" s="136"/>
      <c r="FSZ3" s="136"/>
      <c r="FTA3" s="136"/>
      <c r="FTB3" s="136"/>
      <c r="FTC3" s="136"/>
      <c r="FTD3" s="136"/>
      <c r="FTE3" s="136"/>
      <c r="FTF3" s="136"/>
      <c r="FTG3" s="136"/>
      <c r="FTH3" s="136"/>
      <c r="FTI3" s="136"/>
      <c r="FTJ3" s="136"/>
      <c r="FTK3" s="136"/>
      <c r="FTL3" s="136"/>
      <c r="FTM3" s="136"/>
      <c r="FTN3" s="136"/>
      <c r="FTO3" s="136"/>
      <c r="FTP3" s="136"/>
      <c r="FTQ3" s="136"/>
      <c r="FTR3" s="136"/>
      <c r="FTS3" s="136"/>
      <c r="FTT3" s="136"/>
      <c r="FTU3" s="136"/>
      <c r="FTV3" s="136"/>
      <c r="FTW3" s="136"/>
      <c r="FTX3" s="136"/>
      <c r="FTY3" s="136"/>
      <c r="FTZ3" s="136"/>
      <c r="FUA3" s="136"/>
      <c r="FUB3" s="136"/>
      <c r="FUC3" s="136"/>
      <c r="FUD3" s="136"/>
      <c r="FUE3" s="136"/>
      <c r="FUF3" s="136"/>
      <c r="FUG3" s="136"/>
      <c r="FUH3" s="136"/>
      <c r="FUI3" s="136"/>
      <c r="FUJ3" s="136"/>
      <c r="FUK3" s="136"/>
      <c r="FUL3" s="136"/>
      <c r="FUM3" s="136"/>
      <c r="FUN3" s="136"/>
      <c r="FUO3" s="136"/>
      <c r="FUP3" s="136"/>
      <c r="FUQ3" s="136"/>
      <c r="FUR3" s="136"/>
      <c r="FUS3" s="136"/>
      <c r="FUT3" s="136"/>
      <c r="FUU3" s="136"/>
      <c r="FUV3" s="136"/>
      <c r="FUW3" s="136"/>
      <c r="FUX3" s="136"/>
      <c r="FUY3" s="136"/>
      <c r="FUZ3" s="136"/>
      <c r="FVA3" s="136"/>
      <c r="FVB3" s="136"/>
      <c r="FVC3" s="136"/>
      <c r="FVD3" s="136"/>
      <c r="FVE3" s="136"/>
      <c r="FVF3" s="136"/>
      <c r="FVG3" s="136"/>
      <c r="FVH3" s="136"/>
      <c r="FVI3" s="136"/>
      <c r="FVJ3" s="136"/>
      <c r="FVK3" s="136"/>
      <c r="FVL3" s="136"/>
      <c r="FVM3" s="136"/>
      <c r="FVN3" s="136"/>
      <c r="FVO3" s="136"/>
      <c r="FVP3" s="136"/>
      <c r="FVQ3" s="136"/>
      <c r="FVR3" s="136"/>
      <c r="FVS3" s="136"/>
      <c r="FVT3" s="136"/>
      <c r="FVU3" s="136"/>
      <c r="FVV3" s="136"/>
      <c r="FVW3" s="136"/>
      <c r="FVX3" s="136"/>
      <c r="FVY3" s="136"/>
      <c r="FVZ3" s="136"/>
      <c r="FWA3" s="136"/>
      <c r="FWB3" s="136"/>
      <c r="FWC3" s="136"/>
      <c r="FWD3" s="136"/>
      <c r="FWE3" s="136"/>
      <c r="FWF3" s="136"/>
      <c r="FWG3" s="136"/>
      <c r="FWH3" s="136"/>
      <c r="FWI3" s="136"/>
      <c r="FWJ3" s="136"/>
      <c r="FWK3" s="136"/>
      <c r="FWL3" s="136"/>
      <c r="FWM3" s="136"/>
      <c r="FWN3" s="136"/>
      <c r="FWO3" s="136"/>
      <c r="FWP3" s="136"/>
      <c r="FWQ3" s="136"/>
      <c r="FWR3" s="136"/>
      <c r="FWS3" s="136"/>
      <c r="FWT3" s="136"/>
      <c r="FWU3" s="136"/>
      <c r="FWV3" s="136"/>
      <c r="FWW3" s="136"/>
      <c r="FWX3" s="136"/>
      <c r="FWY3" s="136"/>
      <c r="FWZ3" s="136"/>
      <c r="FXA3" s="136"/>
      <c r="FXB3" s="136"/>
      <c r="FXC3" s="136"/>
      <c r="FXD3" s="136"/>
      <c r="FXE3" s="136"/>
      <c r="FXF3" s="136"/>
      <c r="FXG3" s="136"/>
      <c r="FXH3" s="136"/>
      <c r="FXI3" s="136"/>
      <c r="FXJ3" s="136"/>
      <c r="FXK3" s="136"/>
      <c r="FXL3" s="136"/>
      <c r="FXM3" s="136"/>
      <c r="FXN3" s="136"/>
      <c r="FXO3" s="136"/>
      <c r="FXP3" s="136"/>
      <c r="FXQ3" s="136"/>
      <c r="FXR3" s="136"/>
      <c r="FXS3" s="136"/>
      <c r="FXT3" s="136"/>
      <c r="FXU3" s="136"/>
      <c r="FXV3" s="136"/>
      <c r="FXW3" s="136"/>
      <c r="FXX3" s="136"/>
      <c r="FXY3" s="136"/>
      <c r="FXZ3" s="136"/>
      <c r="FYA3" s="136"/>
      <c r="FYB3" s="136"/>
      <c r="FYC3" s="136"/>
      <c r="FYD3" s="136"/>
      <c r="FYE3" s="136"/>
      <c r="FYF3" s="136"/>
      <c r="FYG3" s="136"/>
      <c r="FYH3" s="136"/>
      <c r="FYI3" s="136"/>
      <c r="FYJ3" s="136"/>
      <c r="FYK3" s="136"/>
      <c r="FYL3" s="136"/>
      <c r="FYM3" s="136"/>
      <c r="FYN3" s="136"/>
      <c r="FYO3" s="136"/>
      <c r="FYP3" s="136"/>
      <c r="FYQ3" s="136"/>
      <c r="FYR3" s="136"/>
      <c r="FYS3" s="136"/>
      <c r="FYT3" s="136"/>
      <c r="FYU3" s="136"/>
      <c r="FYV3" s="136"/>
      <c r="FYW3" s="136"/>
      <c r="FYX3" s="136"/>
      <c r="FYY3" s="136"/>
      <c r="FYZ3" s="136"/>
      <c r="FZA3" s="136"/>
      <c r="FZB3" s="136"/>
      <c r="FZC3" s="136"/>
      <c r="FZD3" s="136"/>
      <c r="FZE3" s="136"/>
      <c r="FZF3" s="136"/>
      <c r="FZG3" s="136"/>
      <c r="FZH3" s="136"/>
      <c r="FZI3" s="136"/>
      <c r="FZJ3" s="136"/>
      <c r="FZK3" s="136"/>
      <c r="FZL3" s="136"/>
      <c r="FZM3" s="136"/>
      <c r="FZN3" s="136"/>
      <c r="FZO3" s="136"/>
      <c r="FZP3" s="136"/>
      <c r="FZQ3" s="136"/>
      <c r="FZR3" s="136"/>
      <c r="FZS3" s="136"/>
      <c r="FZT3" s="136"/>
      <c r="FZU3" s="136"/>
      <c r="FZV3" s="136"/>
      <c r="FZW3" s="136"/>
      <c r="FZX3" s="136"/>
      <c r="FZY3" s="136"/>
      <c r="FZZ3" s="136"/>
      <c r="GAA3" s="136"/>
      <c r="GAB3" s="136"/>
      <c r="GAC3" s="136"/>
      <c r="GAD3" s="136"/>
      <c r="GAE3" s="136"/>
      <c r="GAF3" s="136"/>
      <c r="GAG3" s="136"/>
      <c r="GAH3" s="136"/>
      <c r="GAI3" s="136"/>
      <c r="GAJ3" s="136"/>
      <c r="GAK3" s="136"/>
      <c r="GAL3" s="136"/>
      <c r="GAM3" s="136"/>
      <c r="GAN3" s="136"/>
      <c r="GAO3" s="136"/>
      <c r="GAP3" s="136"/>
      <c r="GAQ3" s="136"/>
      <c r="GAR3" s="136"/>
      <c r="GAS3" s="136"/>
      <c r="GAT3" s="136"/>
      <c r="GAU3" s="136"/>
      <c r="GAV3" s="136"/>
      <c r="GAW3" s="136"/>
      <c r="GAX3" s="136"/>
      <c r="GAY3" s="136"/>
      <c r="GAZ3" s="136"/>
      <c r="GBA3" s="136"/>
      <c r="GBB3" s="136"/>
      <c r="GBC3" s="136"/>
      <c r="GBD3" s="136"/>
      <c r="GBE3" s="136"/>
      <c r="GBF3" s="136"/>
      <c r="GBG3" s="136"/>
      <c r="GBH3" s="136"/>
      <c r="GBI3" s="136"/>
      <c r="GBJ3" s="136"/>
      <c r="GBK3" s="136"/>
      <c r="GBL3" s="136"/>
      <c r="GBM3" s="136"/>
      <c r="GBN3" s="136"/>
      <c r="GBO3" s="136"/>
      <c r="GBP3" s="136"/>
      <c r="GBQ3" s="136"/>
      <c r="GBR3" s="136"/>
      <c r="GBS3" s="136"/>
      <c r="GBT3" s="136"/>
      <c r="GBU3" s="136"/>
      <c r="GBV3" s="136"/>
      <c r="GBW3" s="136"/>
      <c r="GBX3" s="136"/>
      <c r="GBY3" s="136"/>
      <c r="GBZ3" s="136"/>
      <c r="GCA3" s="136"/>
      <c r="GCB3" s="136"/>
      <c r="GCC3" s="136"/>
      <c r="GCD3" s="136"/>
      <c r="GCE3" s="136"/>
      <c r="GCF3" s="136"/>
      <c r="GCG3" s="136"/>
      <c r="GCH3" s="136"/>
      <c r="GCI3" s="136"/>
      <c r="GCJ3" s="136"/>
      <c r="GCK3" s="136"/>
      <c r="GCL3" s="136"/>
      <c r="GCM3" s="136"/>
      <c r="GCN3" s="136"/>
      <c r="GCO3" s="136"/>
      <c r="GCP3" s="136"/>
      <c r="GCQ3" s="136"/>
      <c r="GCR3" s="136"/>
      <c r="GCS3" s="136"/>
      <c r="GCT3" s="136"/>
      <c r="GCU3" s="136"/>
      <c r="GCV3" s="136"/>
      <c r="GCW3" s="136"/>
      <c r="GCX3" s="136"/>
      <c r="GCY3" s="136"/>
      <c r="GCZ3" s="136"/>
      <c r="GDA3" s="136"/>
      <c r="GDB3" s="136"/>
      <c r="GDC3" s="136"/>
      <c r="GDD3" s="136"/>
      <c r="GDE3" s="136"/>
      <c r="GDF3" s="136"/>
      <c r="GDG3" s="136"/>
      <c r="GDH3" s="136"/>
      <c r="GDI3" s="136"/>
      <c r="GDJ3" s="136"/>
      <c r="GDK3" s="136"/>
      <c r="GDL3" s="136"/>
      <c r="GDM3" s="136"/>
      <c r="GDN3" s="136"/>
      <c r="GDO3" s="136"/>
      <c r="GDP3" s="136"/>
      <c r="GDQ3" s="136"/>
      <c r="GDR3" s="136"/>
      <c r="GDS3" s="136"/>
      <c r="GDT3" s="136"/>
      <c r="GDU3" s="136"/>
      <c r="GDV3" s="136"/>
      <c r="GDW3" s="136"/>
      <c r="GDX3" s="136"/>
      <c r="GDY3" s="136"/>
      <c r="GDZ3" s="136"/>
      <c r="GEA3" s="136"/>
      <c r="GEB3" s="136"/>
      <c r="GEC3" s="136"/>
      <c r="GED3" s="136"/>
      <c r="GEE3" s="136"/>
      <c r="GEF3" s="136"/>
      <c r="GEG3" s="136"/>
      <c r="GEH3" s="136"/>
      <c r="GEI3" s="136"/>
      <c r="GEJ3" s="136"/>
      <c r="GEK3" s="136"/>
      <c r="GEL3" s="136"/>
      <c r="GEM3" s="136"/>
      <c r="GEN3" s="136"/>
      <c r="GEO3" s="136"/>
      <c r="GEP3" s="136"/>
      <c r="GEQ3" s="136"/>
      <c r="GER3" s="136"/>
      <c r="GES3" s="136"/>
      <c r="GET3" s="136"/>
      <c r="GEU3" s="136"/>
      <c r="GEV3" s="136"/>
      <c r="GEW3" s="136"/>
      <c r="GEX3" s="136"/>
      <c r="GEY3" s="136"/>
      <c r="GEZ3" s="136"/>
      <c r="GFA3" s="136"/>
      <c r="GFB3" s="136"/>
      <c r="GFC3" s="136"/>
      <c r="GFD3" s="136"/>
      <c r="GFE3" s="136"/>
      <c r="GFF3" s="136"/>
      <c r="GFG3" s="136"/>
      <c r="GFH3" s="136"/>
      <c r="GFI3" s="136"/>
      <c r="GFJ3" s="136"/>
      <c r="GFK3" s="136"/>
      <c r="GFL3" s="136"/>
      <c r="GFM3" s="136"/>
      <c r="GFN3" s="136"/>
      <c r="GFO3" s="136"/>
      <c r="GFP3" s="136"/>
      <c r="GFQ3" s="136"/>
      <c r="GFR3" s="136"/>
      <c r="GFS3" s="136"/>
      <c r="GFT3" s="136"/>
      <c r="GFU3" s="136"/>
      <c r="GFV3" s="136"/>
      <c r="GFW3" s="136"/>
      <c r="GFX3" s="136"/>
      <c r="GFY3" s="136"/>
      <c r="GFZ3" s="136"/>
      <c r="GGA3" s="136"/>
      <c r="GGB3" s="136"/>
      <c r="GGC3" s="136"/>
      <c r="GGD3" s="136"/>
      <c r="GGE3" s="136"/>
      <c r="GGF3" s="136"/>
      <c r="GGG3" s="136"/>
      <c r="GGH3" s="136"/>
      <c r="GGI3" s="136"/>
      <c r="GGJ3" s="136"/>
      <c r="GGK3" s="136"/>
      <c r="GGL3" s="136"/>
      <c r="GGM3" s="136"/>
      <c r="GGN3" s="136"/>
      <c r="GGO3" s="136"/>
      <c r="GGP3" s="136"/>
      <c r="GGQ3" s="136"/>
      <c r="GGR3" s="136"/>
      <c r="GGS3" s="136"/>
      <c r="GGT3" s="136"/>
      <c r="GGU3" s="136"/>
      <c r="GGV3" s="136"/>
      <c r="GGW3" s="136"/>
      <c r="GGX3" s="136"/>
      <c r="GGY3" s="136"/>
      <c r="GGZ3" s="136"/>
      <c r="GHA3" s="136"/>
      <c r="GHB3" s="136"/>
      <c r="GHC3" s="136"/>
      <c r="GHD3" s="136"/>
      <c r="GHE3" s="136"/>
      <c r="GHF3" s="136"/>
      <c r="GHG3" s="136"/>
      <c r="GHH3" s="136"/>
      <c r="GHI3" s="136"/>
      <c r="GHJ3" s="136"/>
      <c r="GHK3" s="136"/>
      <c r="GHL3" s="136"/>
      <c r="GHM3" s="136"/>
      <c r="GHN3" s="136"/>
      <c r="GHO3" s="136"/>
      <c r="GHP3" s="136"/>
      <c r="GHQ3" s="136"/>
      <c r="GHR3" s="136"/>
      <c r="GHS3" s="136"/>
      <c r="GHT3" s="136"/>
      <c r="GHU3" s="136"/>
      <c r="GHV3" s="136"/>
      <c r="GHW3" s="136"/>
      <c r="GHX3" s="136"/>
      <c r="GHY3" s="136"/>
      <c r="GHZ3" s="136"/>
      <c r="GIA3" s="136"/>
      <c r="GIB3" s="136"/>
      <c r="GIC3" s="136"/>
      <c r="GID3" s="136"/>
      <c r="GIE3" s="136"/>
      <c r="GIF3" s="136"/>
      <c r="GIG3" s="136"/>
      <c r="GIH3" s="136"/>
      <c r="GII3" s="136"/>
      <c r="GIJ3" s="136"/>
      <c r="GIK3" s="136"/>
      <c r="GIL3" s="136"/>
      <c r="GIM3" s="136"/>
      <c r="GIN3" s="136"/>
      <c r="GIO3" s="136"/>
      <c r="GIP3" s="136"/>
      <c r="GIQ3" s="136"/>
      <c r="GIR3" s="136"/>
      <c r="GIS3" s="136"/>
      <c r="GIT3" s="136"/>
      <c r="GIU3" s="136"/>
      <c r="GIV3" s="136"/>
      <c r="GIW3" s="136"/>
      <c r="GIX3" s="136"/>
      <c r="GIY3" s="136"/>
      <c r="GIZ3" s="136"/>
      <c r="GJA3" s="136"/>
      <c r="GJB3" s="136"/>
      <c r="GJC3" s="136"/>
      <c r="GJD3" s="136"/>
      <c r="GJE3" s="136"/>
      <c r="GJF3" s="136"/>
      <c r="GJG3" s="136"/>
      <c r="GJH3" s="136"/>
      <c r="GJI3" s="136"/>
      <c r="GJJ3" s="136"/>
      <c r="GJK3" s="136"/>
      <c r="GJL3" s="136"/>
      <c r="GJM3" s="136"/>
      <c r="GJN3" s="136"/>
      <c r="GJO3" s="136"/>
      <c r="GJP3" s="136"/>
      <c r="GJQ3" s="136"/>
      <c r="GJR3" s="136"/>
      <c r="GJS3" s="136"/>
      <c r="GJT3" s="136"/>
      <c r="GJU3" s="136"/>
      <c r="GJV3" s="136"/>
      <c r="GJW3" s="136"/>
      <c r="GJX3" s="136"/>
      <c r="GJY3" s="136"/>
      <c r="GJZ3" s="136"/>
      <c r="GKA3" s="136"/>
      <c r="GKB3" s="136"/>
      <c r="GKC3" s="136"/>
      <c r="GKD3" s="136"/>
      <c r="GKE3" s="136"/>
      <c r="GKF3" s="136"/>
      <c r="GKG3" s="136"/>
      <c r="GKH3" s="136"/>
      <c r="GKI3" s="136"/>
      <c r="GKJ3" s="136"/>
      <c r="GKK3" s="136"/>
      <c r="GKL3" s="136"/>
      <c r="GKM3" s="136"/>
      <c r="GKN3" s="136"/>
      <c r="GKO3" s="136"/>
      <c r="GKP3" s="136"/>
      <c r="GKQ3" s="136"/>
      <c r="GKR3" s="136"/>
      <c r="GKS3" s="136"/>
      <c r="GKT3" s="136"/>
      <c r="GKU3" s="136"/>
      <c r="GKV3" s="136"/>
      <c r="GKW3" s="136"/>
      <c r="GKX3" s="136"/>
      <c r="GKY3" s="136"/>
      <c r="GKZ3" s="136"/>
      <c r="GLA3" s="136"/>
      <c r="GLB3" s="136"/>
      <c r="GLC3" s="136"/>
      <c r="GLD3" s="136"/>
      <c r="GLE3" s="136"/>
      <c r="GLF3" s="136"/>
      <c r="GLG3" s="136"/>
      <c r="GLH3" s="136"/>
      <c r="GLI3" s="136"/>
      <c r="GLJ3" s="136"/>
      <c r="GLK3" s="136"/>
      <c r="GLL3" s="136"/>
      <c r="GLM3" s="136"/>
      <c r="GLN3" s="136"/>
      <c r="GLO3" s="136"/>
      <c r="GLP3" s="136"/>
      <c r="GLQ3" s="136"/>
      <c r="GLR3" s="136"/>
      <c r="GLS3" s="136"/>
      <c r="GLT3" s="136"/>
      <c r="GLU3" s="136"/>
      <c r="GLV3" s="136"/>
      <c r="GLW3" s="136"/>
      <c r="GLX3" s="136"/>
      <c r="GLY3" s="136"/>
      <c r="GLZ3" s="136"/>
      <c r="GMA3" s="136"/>
      <c r="GMB3" s="136"/>
      <c r="GMC3" s="136"/>
      <c r="GMD3" s="136"/>
      <c r="GME3" s="136"/>
      <c r="GMF3" s="136"/>
      <c r="GMG3" s="136"/>
      <c r="GMH3" s="136"/>
      <c r="GMI3" s="136"/>
      <c r="GMJ3" s="136"/>
      <c r="GMK3" s="136"/>
      <c r="GML3" s="136"/>
      <c r="GMM3" s="136"/>
      <c r="GMN3" s="136"/>
      <c r="GMO3" s="136"/>
      <c r="GMP3" s="136"/>
      <c r="GMQ3" s="136"/>
      <c r="GMR3" s="136"/>
      <c r="GMS3" s="136"/>
      <c r="GMT3" s="136"/>
      <c r="GMU3" s="136"/>
      <c r="GMV3" s="136"/>
      <c r="GMW3" s="136"/>
      <c r="GMX3" s="136"/>
      <c r="GMY3" s="136"/>
      <c r="GMZ3" s="136"/>
      <c r="GNA3" s="136"/>
      <c r="GNB3" s="136"/>
      <c r="GNC3" s="136"/>
      <c r="GND3" s="136"/>
      <c r="GNE3" s="136"/>
      <c r="GNF3" s="136"/>
      <c r="GNG3" s="136"/>
      <c r="GNH3" s="136"/>
      <c r="GNI3" s="136"/>
      <c r="GNJ3" s="136"/>
      <c r="GNK3" s="136"/>
      <c r="GNL3" s="136"/>
      <c r="GNM3" s="136"/>
      <c r="GNN3" s="136"/>
      <c r="GNO3" s="136"/>
      <c r="GNP3" s="136"/>
      <c r="GNQ3" s="136"/>
      <c r="GNR3" s="136"/>
      <c r="GNS3" s="136"/>
      <c r="GNT3" s="136"/>
      <c r="GNU3" s="136"/>
      <c r="GNV3" s="136"/>
      <c r="GNW3" s="136"/>
      <c r="GNX3" s="136"/>
      <c r="GNY3" s="136"/>
      <c r="GNZ3" s="136"/>
      <c r="GOA3" s="136"/>
      <c r="GOB3" s="136"/>
      <c r="GOC3" s="136"/>
      <c r="GOD3" s="136"/>
      <c r="GOE3" s="136"/>
      <c r="GOF3" s="136"/>
      <c r="GOG3" s="136"/>
      <c r="GOH3" s="136"/>
      <c r="GOI3" s="136"/>
      <c r="GOJ3" s="136"/>
      <c r="GOK3" s="136"/>
      <c r="GOL3" s="136"/>
      <c r="GOM3" s="136"/>
      <c r="GON3" s="136"/>
      <c r="GOO3" s="136"/>
      <c r="GOP3" s="136"/>
      <c r="GOQ3" s="136"/>
      <c r="GOR3" s="136"/>
      <c r="GOS3" s="136"/>
      <c r="GOT3" s="136"/>
      <c r="GOU3" s="136"/>
      <c r="GOV3" s="136"/>
      <c r="GOW3" s="136"/>
      <c r="GOX3" s="136"/>
      <c r="GOY3" s="136"/>
      <c r="GOZ3" s="136"/>
      <c r="GPA3" s="136"/>
      <c r="GPB3" s="136"/>
      <c r="GPC3" s="136"/>
      <c r="GPD3" s="136"/>
      <c r="GPE3" s="136"/>
      <c r="GPF3" s="136"/>
      <c r="GPG3" s="136"/>
      <c r="GPH3" s="136"/>
      <c r="GPI3" s="136"/>
      <c r="GPJ3" s="136"/>
      <c r="GPK3" s="136"/>
      <c r="GPL3" s="136"/>
      <c r="GPM3" s="136"/>
      <c r="GPN3" s="136"/>
      <c r="GPO3" s="136"/>
      <c r="GPP3" s="136"/>
      <c r="GPQ3" s="136"/>
      <c r="GPR3" s="136"/>
      <c r="GPS3" s="136"/>
      <c r="GPT3" s="136"/>
      <c r="GPU3" s="136"/>
      <c r="GPV3" s="136"/>
      <c r="GPW3" s="136"/>
      <c r="GPX3" s="136"/>
      <c r="GPY3" s="136"/>
      <c r="GPZ3" s="136"/>
      <c r="GQA3" s="136"/>
      <c r="GQB3" s="136"/>
      <c r="GQC3" s="136"/>
      <c r="GQD3" s="136"/>
      <c r="GQE3" s="136"/>
      <c r="GQF3" s="136"/>
      <c r="GQG3" s="136"/>
      <c r="GQH3" s="136"/>
      <c r="GQI3" s="136"/>
      <c r="GQJ3" s="136"/>
      <c r="GQK3" s="136"/>
      <c r="GQL3" s="136"/>
      <c r="GQM3" s="136"/>
      <c r="GQN3" s="136"/>
      <c r="GQO3" s="136"/>
      <c r="GQP3" s="136"/>
      <c r="GQQ3" s="136"/>
      <c r="GQR3" s="136"/>
      <c r="GQS3" s="136"/>
      <c r="GQT3" s="136"/>
      <c r="GQU3" s="136"/>
      <c r="GQV3" s="136"/>
      <c r="GQW3" s="136"/>
      <c r="GQX3" s="136"/>
      <c r="GQY3" s="136"/>
      <c r="GQZ3" s="136"/>
      <c r="GRA3" s="136"/>
      <c r="GRB3" s="136"/>
      <c r="GRC3" s="136"/>
      <c r="GRD3" s="136"/>
      <c r="GRE3" s="136"/>
      <c r="GRF3" s="136"/>
      <c r="GRG3" s="136"/>
      <c r="GRH3" s="136"/>
      <c r="GRI3" s="136"/>
      <c r="GRJ3" s="136"/>
      <c r="GRK3" s="136"/>
      <c r="GRL3" s="136"/>
      <c r="GRM3" s="136"/>
      <c r="GRN3" s="136"/>
      <c r="GRO3" s="136"/>
      <c r="GRP3" s="136"/>
      <c r="GRQ3" s="136"/>
      <c r="GRR3" s="136"/>
      <c r="GRS3" s="136"/>
      <c r="GRT3" s="136"/>
      <c r="GRU3" s="136"/>
      <c r="GRV3" s="136"/>
      <c r="GRW3" s="136"/>
      <c r="GRX3" s="136"/>
      <c r="GRY3" s="136"/>
      <c r="GRZ3" s="136"/>
      <c r="GSA3" s="136"/>
      <c r="GSB3" s="136"/>
      <c r="GSC3" s="136"/>
      <c r="GSD3" s="136"/>
      <c r="GSE3" s="136"/>
      <c r="GSF3" s="136"/>
      <c r="GSG3" s="136"/>
      <c r="GSH3" s="136"/>
      <c r="GSI3" s="136"/>
      <c r="GSJ3" s="136"/>
      <c r="GSK3" s="136"/>
      <c r="GSL3" s="136"/>
      <c r="GSM3" s="136"/>
      <c r="GSN3" s="136"/>
      <c r="GSO3" s="136"/>
      <c r="GSP3" s="136"/>
      <c r="GSQ3" s="136"/>
      <c r="GSR3" s="136"/>
      <c r="GSS3" s="136"/>
      <c r="GST3" s="136"/>
      <c r="GSU3" s="136"/>
      <c r="GSV3" s="136"/>
      <c r="GSW3" s="136"/>
      <c r="GSX3" s="136"/>
      <c r="GSY3" s="136"/>
      <c r="GSZ3" s="136"/>
      <c r="GTA3" s="136"/>
      <c r="GTB3" s="136"/>
      <c r="GTC3" s="136"/>
      <c r="GTD3" s="136"/>
      <c r="GTE3" s="136"/>
      <c r="GTF3" s="136"/>
      <c r="GTG3" s="136"/>
      <c r="GTH3" s="136"/>
      <c r="GTI3" s="136"/>
      <c r="GTJ3" s="136"/>
      <c r="GTK3" s="136"/>
      <c r="GTL3" s="136"/>
      <c r="GTM3" s="136"/>
      <c r="GTN3" s="136"/>
      <c r="GTO3" s="136"/>
      <c r="GTP3" s="136"/>
      <c r="GTQ3" s="136"/>
      <c r="GTR3" s="136"/>
      <c r="GTS3" s="136"/>
      <c r="GTT3" s="136"/>
      <c r="GTU3" s="136"/>
      <c r="GTV3" s="136"/>
      <c r="GTW3" s="136"/>
      <c r="GTX3" s="136"/>
      <c r="GTY3" s="136"/>
      <c r="GTZ3" s="136"/>
      <c r="GUA3" s="136"/>
      <c r="GUB3" s="136"/>
      <c r="GUC3" s="136"/>
      <c r="GUD3" s="136"/>
      <c r="GUE3" s="136"/>
      <c r="GUF3" s="136"/>
      <c r="GUG3" s="136"/>
      <c r="GUH3" s="136"/>
      <c r="GUI3" s="136"/>
      <c r="GUJ3" s="136"/>
      <c r="GUK3" s="136"/>
      <c r="GUL3" s="136"/>
      <c r="GUM3" s="136"/>
      <c r="GUN3" s="136"/>
      <c r="GUO3" s="136"/>
      <c r="GUP3" s="136"/>
      <c r="GUQ3" s="136"/>
      <c r="GUR3" s="136"/>
      <c r="GUS3" s="136"/>
      <c r="GUT3" s="136"/>
      <c r="GUU3" s="136"/>
      <c r="GUV3" s="136"/>
      <c r="GUW3" s="136"/>
      <c r="GUX3" s="136"/>
      <c r="GUY3" s="136"/>
      <c r="GUZ3" s="136"/>
      <c r="GVA3" s="136"/>
      <c r="GVB3" s="136"/>
      <c r="GVC3" s="136"/>
      <c r="GVD3" s="136"/>
      <c r="GVE3" s="136"/>
      <c r="GVF3" s="136"/>
      <c r="GVG3" s="136"/>
      <c r="GVH3" s="136"/>
      <c r="GVI3" s="136"/>
      <c r="GVJ3" s="136"/>
      <c r="GVK3" s="136"/>
      <c r="GVL3" s="136"/>
      <c r="GVM3" s="136"/>
      <c r="GVN3" s="136"/>
      <c r="GVO3" s="136"/>
      <c r="GVP3" s="136"/>
      <c r="GVQ3" s="136"/>
      <c r="GVR3" s="136"/>
      <c r="GVS3" s="136"/>
      <c r="GVT3" s="136"/>
      <c r="GVU3" s="136"/>
      <c r="GVV3" s="136"/>
      <c r="GVW3" s="136"/>
      <c r="GVX3" s="136"/>
      <c r="GVY3" s="136"/>
      <c r="GVZ3" s="136"/>
      <c r="GWA3" s="136"/>
      <c r="GWB3" s="136"/>
      <c r="GWC3" s="136"/>
      <c r="GWD3" s="136"/>
      <c r="GWE3" s="136"/>
      <c r="GWF3" s="136"/>
      <c r="GWG3" s="136"/>
      <c r="GWH3" s="136"/>
      <c r="GWI3" s="136"/>
      <c r="GWJ3" s="136"/>
      <c r="GWK3" s="136"/>
      <c r="GWL3" s="136"/>
      <c r="GWM3" s="136"/>
      <c r="GWN3" s="136"/>
      <c r="GWO3" s="136"/>
      <c r="GWP3" s="136"/>
      <c r="GWQ3" s="136"/>
      <c r="GWR3" s="136"/>
      <c r="GWS3" s="136"/>
      <c r="GWT3" s="136"/>
      <c r="GWU3" s="136"/>
      <c r="GWV3" s="136"/>
      <c r="GWW3" s="136"/>
      <c r="GWX3" s="136"/>
      <c r="GWY3" s="136"/>
      <c r="GWZ3" s="136"/>
      <c r="GXA3" s="136"/>
      <c r="GXB3" s="136"/>
      <c r="GXC3" s="136"/>
      <c r="GXD3" s="136"/>
      <c r="GXE3" s="136"/>
      <c r="GXF3" s="136"/>
      <c r="GXG3" s="136"/>
      <c r="GXH3" s="136"/>
      <c r="GXI3" s="136"/>
      <c r="GXJ3" s="136"/>
      <c r="GXK3" s="136"/>
      <c r="GXL3" s="136"/>
      <c r="GXM3" s="136"/>
      <c r="GXN3" s="136"/>
      <c r="GXO3" s="136"/>
      <c r="GXP3" s="136"/>
      <c r="GXQ3" s="136"/>
      <c r="GXR3" s="136"/>
      <c r="GXS3" s="136"/>
      <c r="GXT3" s="136"/>
      <c r="GXU3" s="136"/>
      <c r="GXV3" s="136"/>
      <c r="GXW3" s="136"/>
      <c r="GXX3" s="136"/>
      <c r="GXY3" s="136"/>
      <c r="GXZ3" s="136"/>
      <c r="GYA3" s="136"/>
      <c r="GYB3" s="136"/>
      <c r="GYC3" s="136"/>
      <c r="GYD3" s="136"/>
      <c r="GYE3" s="136"/>
      <c r="GYF3" s="136"/>
      <c r="GYG3" s="136"/>
      <c r="GYH3" s="136"/>
      <c r="GYI3" s="136"/>
      <c r="GYJ3" s="136"/>
      <c r="GYK3" s="136"/>
      <c r="GYL3" s="136"/>
      <c r="GYM3" s="136"/>
      <c r="GYN3" s="136"/>
      <c r="GYO3" s="136"/>
      <c r="GYP3" s="136"/>
      <c r="GYQ3" s="136"/>
      <c r="GYR3" s="136"/>
      <c r="GYS3" s="136"/>
      <c r="GYT3" s="136"/>
      <c r="GYU3" s="136"/>
      <c r="GYV3" s="136"/>
      <c r="GYW3" s="136"/>
      <c r="GYX3" s="136"/>
      <c r="GYY3" s="136"/>
      <c r="GYZ3" s="136"/>
      <c r="GZA3" s="136"/>
      <c r="GZB3" s="136"/>
      <c r="GZC3" s="136"/>
      <c r="GZD3" s="136"/>
      <c r="GZE3" s="136"/>
      <c r="GZF3" s="136"/>
      <c r="GZG3" s="136"/>
      <c r="GZH3" s="136"/>
      <c r="GZI3" s="136"/>
      <c r="GZJ3" s="136"/>
      <c r="GZK3" s="136"/>
      <c r="GZL3" s="136"/>
      <c r="GZM3" s="136"/>
      <c r="GZN3" s="136"/>
      <c r="GZO3" s="136"/>
      <c r="GZP3" s="136"/>
      <c r="GZQ3" s="136"/>
      <c r="GZR3" s="136"/>
      <c r="GZS3" s="136"/>
      <c r="GZT3" s="136"/>
      <c r="GZU3" s="136"/>
      <c r="GZV3" s="136"/>
      <c r="GZW3" s="136"/>
      <c r="GZX3" s="136"/>
      <c r="GZY3" s="136"/>
      <c r="GZZ3" s="136"/>
      <c r="HAA3" s="136"/>
      <c r="HAB3" s="136"/>
      <c r="HAC3" s="136"/>
      <c r="HAD3" s="136"/>
      <c r="HAE3" s="136"/>
      <c r="HAF3" s="136"/>
      <c r="HAG3" s="136"/>
      <c r="HAH3" s="136"/>
      <c r="HAI3" s="136"/>
      <c r="HAJ3" s="136"/>
      <c r="HAK3" s="136"/>
      <c r="HAL3" s="136"/>
      <c r="HAM3" s="136"/>
      <c r="HAN3" s="136"/>
      <c r="HAO3" s="136"/>
      <c r="HAP3" s="136"/>
      <c r="HAQ3" s="136"/>
      <c r="HAR3" s="136"/>
      <c r="HAS3" s="136"/>
      <c r="HAT3" s="136"/>
      <c r="HAU3" s="136"/>
      <c r="HAV3" s="136"/>
      <c r="HAW3" s="136"/>
      <c r="HAX3" s="136"/>
      <c r="HAY3" s="136"/>
      <c r="HAZ3" s="136"/>
      <c r="HBA3" s="136"/>
      <c r="HBB3" s="136"/>
      <c r="HBC3" s="136"/>
      <c r="HBD3" s="136"/>
      <c r="HBE3" s="136"/>
      <c r="HBF3" s="136"/>
      <c r="HBG3" s="136"/>
      <c r="HBH3" s="136"/>
      <c r="HBI3" s="136"/>
      <c r="HBJ3" s="136"/>
      <c r="HBK3" s="136"/>
      <c r="HBL3" s="136"/>
      <c r="HBM3" s="136"/>
      <c r="HBN3" s="136"/>
      <c r="HBO3" s="136"/>
      <c r="HBP3" s="136"/>
      <c r="HBQ3" s="136"/>
      <c r="HBR3" s="136"/>
      <c r="HBS3" s="136"/>
      <c r="HBT3" s="136"/>
      <c r="HBU3" s="136"/>
      <c r="HBV3" s="136"/>
      <c r="HBW3" s="136"/>
      <c r="HBX3" s="136"/>
      <c r="HBY3" s="136"/>
      <c r="HBZ3" s="136"/>
      <c r="HCA3" s="136"/>
      <c r="HCB3" s="136"/>
      <c r="HCC3" s="136"/>
      <c r="HCD3" s="136"/>
      <c r="HCE3" s="136"/>
      <c r="HCF3" s="136"/>
      <c r="HCG3" s="136"/>
      <c r="HCH3" s="136"/>
      <c r="HCI3" s="136"/>
      <c r="HCJ3" s="136"/>
      <c r="HCK3" s="136"/>
      <c r="HCL3" s="136"/>
      <c r="HCM3" s="136"/>
      <c r="HCN3" s="136"/>
      <c r="HCO3" s="136"/>
      <c r="HCP3" s="136"/>
      <c r="HCQ3" s="136"/>
      <c r="HCR3" s="136"/>
      <c r="HCS3" s="136"/>
      <c r="HCT3" s="136"/>
      <c r="HCU3" s="136"/>
      <c r="HCV3" s="136"/>
      <c r="HCW3" s="136"/>
      <c r="HCX3" s="136"/>
      <c r="HCY3" s="136"/>
      <c r="HCZ3" s="136"/>
      <c r="HDA3" s="136"/>
      <c r="HDB3" s="136"/>
      <c r="HDC3" s="136"/>
      <c r="HDD3" s="136"/>
      <c r="HDE3" s="136"/>
      <c r="HDF3" s="136"/>
      <c r="HDG3" s="136"/>
      <c r="HDH3" s="136"/>
      <c r="HDI3" s="136"/>
      <c r="HDJ3" s="136"/>
      <c r="HDK3" s="136"/>
      <c r="HDL3" s="136"/>
      <c r="HDM3" s="136"/>
      <c r="HDN3" s="136"/>
      <c r="HDO3" s="136"/>
      <c r="HDP3" s="136"/>
      <c r="HDQ3" s="136"/>
      <c r="HDR3" s="136"/>
      <c r="HDS3" s="136"/>
      <c r="HDT3" s="136"/>
      <c r="HDU3" s="136"/>
      <c r="HDV3" s="136"/>
      <c r="HDW3" s="136"/>
      <c r="HDX3" s="136"/>
      <c r="HDY3" s="136"/>
      <c r="HDZ3" s="136"/>
      <c r="HEA3" s="136"/>
      <c r="HEB3" s="136"/>
      <c r="HEC3" s="136"/>
      <c r="HED3" s="136"/>
      <c r="HEE3" s="136"/>
      <c r="HEF3" s="136"/>
      <c r="HEG3" s="136"/>
      <c r="HEH3" s="136"/>
      <c r="HEI3" s="136"/>
      <c r="HEJ3" s="136"/>
      <c r="HEK3" s="136"/>
      <c r="HEL3" s="136"/>
      <c r="HEM3" s="136"/>
      <c r="HEN3" s="136"/>
      <c r="HEO3" s="136"/>
      <c r="HEP3" s="136"/>
      <c r="HEQ3" s="136"/>
      <c r="HER3" s="136"/>
      <c r="HES3" s="136"/>
      <c r="HET3" s="136"/>
      <c r="HEU3" s="136"/>
      <c r="HEV3" s="136"/>
      <c r="HEW3" s="136"/>
      <c r="HEX3" s="136"/>
      <c r="HEY3" s="136"/>
      <c r="HEZ3" s="136"/>
      <c r="HFA3" s="136"/>
      <c r="HFB3" s="136"/>
      <c r="HFC3" s="136"/>
      <c r="HFD3" s="136"/>
      <c r="HFE3" s="136"/>
      <c r="HFF3" s="136"/>
      <c r="HFG3" s="136"/>
      <c r="HFH3" s="136"/>
      <c r="HFI3" s="136"/>
      <c r="HFJ3" s="136"/>
      <c r="HFK3" s="136"/>
      <c r="HFL3" s="136"/>
      <c r="HFM3" s="136"/>
      <c r="HFN3" s="136"/>
      <c r="HFO3" s="136"/>
      <c r="HFP3" s="136"/>
      <c r="HFQ3" s="136"/>
      <c r="HFR3" s="136"/>
      <c r="HFS3" s="136"/>
      <c r="HFT3" s="136"/>
      <c r="HFU3" s="136"/>
      <c r="HFV3" s="136"/>
      <c r="HFW3" s="136"/>
      <c r="HFX3" s="136"/>
      <c r="HFY3" s="136"/>
      <c r="HFZ3" s="136"/>
      <c r="HGA3" s="136"/>
      <c r="HGB3" s="136"/>
      <c r="HGC3" s="136"/>
      <c r="HGD3" s="136"/>
      <c r="HGE3" s="136"/>
      <c r="HGF3" s="136"/>
      <c r="HGG3" s="136"/>
      <c r="HGH3" s="136"/>
      <c r="HGI3" s="136"/>
      <c r="HGJ3" s="136"/>
      <c r="HGK3" s="136"/>
      <c r="HGL3" s="136"/>
      <c r="HGM3" s="136"/>
      <c r="HGN3" s="136"/>
      <c r="HGO3" s="136"/>
      <c r="HGP3" s="136"/>
      <c r="HGQ3" s="136"/>
      <c r="HGR3" s="136"/>
      <c r="HGS3" s="136"/>
      <c r="HGT3" s="136"/>
      <c r="HGU3" s="136"/>
      <c r="HGV3" s="136"/>
      <c r="HGW3" s="136"/>
      <c r="HGX3" s="136"/>
      <c r="HGY3" s="136"/>
      <c r="HGZ3" s="136"/>
      <c r="HHA3" s="136"/>
      <c r="HHB3" s="136"/>
      <c r="HHC3" s="136"/>
      <c r="HHD3" s="136"/>
      <c r="HHE3" s="136"/>
      <c r="HHF3" s="136"/>
      <c r="HHG3" s="136"/>
      <c r="HHH3" s="136"/>
      <c r="HHI3" s="136"/>
      <c r="HHJ3" s="136"/>
      <c r="HHK3" s="136"/>
      <c r="HHL3" s="136"/>
      <c r="HHM3" s="136"/>
      <c r="HHN3" s="136"/>
      <c r="HHO3" s="136"/>
      <c r="HHP3" s="136"/>
      <c r="HHQ3" s="136"/>
      <c r="HHR3" s="136"/>
      <c r="HHS3" s="136"/>
      <c r="HHT3" s="136"/>
      <c r="HHU3" s="136"/>
      <c r="HHV3" s="136"/>
      <c r="HHW3" s="136"/>
      <c r="HHX3" s="136"/>
      <c r="HHY3" s="136"/>
      <c r="HHZ3" s="136"/>
      <c r="HIA3" s="136"/>
      <c r="HIB3" s="136"/>
      <c r="HIC3" s="136"/>
      <c r="HID3" s="136"/>
      <c r="HIE3" s="136"/>
      <c r="HIF3" s="136"/>
      <c r="HIG3" s="136"/>
      <c r="HIH3" s="136"/>
      <c r="HII3" s="136"/>
      <c r="HIJ3" s="136"/>
      <c r="HIK3" s="136"/>
      <c r="HIL3" s="136"/>
      <c r="HIM3" s="136"/>
      <c r="HIN3" s="136"/>
      <c r="HIO3" s="136"/>
      <c r="HIP3" s="136"/>
      <c r="HIQ3" s="136"/>
      <c r="HIR3" s="136"/>
      <c r="HIS3" s="136"/>
      <c r="HIT3" s="136"/>
      <c r="HIU3" s="136"/>
      <c r="HIV3" s="136"/>
      <c r="HIW3" s="136"/>
      <c r="HIX3" s="136"/>
      <c r="HIY3" s="136"/>
      <c r="HIZ3" s="136"/>
      <c r="HJA3" s="136"/>
      <c r="HJB3" s="136"/>
      <c r="HJC3" s="136"/>
      <c r="HJD3" s="136"/>
      <c r="HJE3" s="136"/>
      <c r="HJF3" s="136"/>
      <c r="HJG3" s="136"/>
      <c r="HJH3" s="136"/>
      <c r="HJI3" s="136"/>
      <c r="HJJ3" s="136"/>
      <c r="HJK3" s="136"/>
      <c r="HJL3" s="136"/>
      <c r="HJM3" s="136"/>
      <c r="HJN3" s="136"/>
      <c r="HJO3" s="136"/>
      <c r="HJP3" s="136"/>
      <c r="HJQ3" s="136"/>
      <c r="HJR3" s="136"/>
      <c r="HJS3" s="136"/>
      <c r="HJT3" s="136"/>
      <c r="HJU3" s="136"/>
      <c r="HJV3" s="136"/>
      <c r="HJW3" s="136"/>
      <c r="HJX3" s="136"/>
      <c r="HJY3" s="136"/>
      <c r="HJZ3" s="136"/>
      <c r="HKA3" s="136"/>
      <c r="HKB3" s="136"/>
      <c r="HKC3" s="136"/>
      <c r="HKD3" s="136"/>
      <c r="HKE3" s="136"/>
      <c r="HKF3" s="136"/>
      <c r="HKG3" s="136"/>
      <c r="HKH3" s="136"/>
      <c r="HKI3" s="136"/>
      <c r="HKJ3" s="136"/>
      <c r="HKK3" s="136"/>
      <c r="HKL3" s="136"/>
      <c r="HKM3" s="136"/>
      <c r="HKN3" s="136"/>
      <c r="HKO3" s="136"/>
      <c r="HKP3" s="136"/>
      <c r="HKQ3" s="136"/>
      <c r="HKR3" s="136"/>
      <c r="HKS3" s="136"/>
      <c r="HKT3" s="136"/>
      <c r="HKU3" s="136"/>
      <c r="HKV3" s="136"/>
      <c r="HKW3" s="136"/>
      <c r="HKX3" s="136"/>
      <c r="HKY3" s="136"/>
      <c r="HKZ3" s="136"/>
      <c r="HLA3" s="136"/>
      <c r="HLB3" s="136"/>
      <c r="HLC3" s="136"/>
      <c r="HLD3" s="136"/>
      <c r="HLE3" s="136"/>
      <c r="HLF3" s="136"/>
      <c r="HLG3" s="136"/>
      <c r="HLH3" s="136"/>
      <c r="HLI3" s="136"/>
      <c r="HLJ3" s="136"/>
      <c r="HLK3" s="136"/>
      <c r="HLL3" s="136"/>
      <c r="HLM3" s="136"/>
      <c r="HLN3" s="136"/>
      <c r="HLO3" s="136"/>
      <c r="HLP3" s="136"/>
      <c r="HLQ3" s="136"/>
      <c r="HLR3" s="136"/>
      <c r="HLS3" s="136"/>
      <c r="HLT3" s="136"/>
      <c r="HLU3" s="136"/>
      <c r="HLV3" s="136"/>
      <c r="HLW3" s="136"/>
      <c r="HLX3" s="136"/>
      <c r="HLY3" s="136"/>
      <c r="HLZ3" s="136"/>
      <c r="HMA3" s="136"/>
      <c r="HMB3" s="136"/>
      <c r="HMC3" s="136"/>
      <c r="HMD3" s="136"/>
      <c r="HME3" s="136"/>
      <c r="HMF3" s="136"/>
      <c r="HMG3" s="136"/>
      <c r="HMH3" s="136"/>
      <c r="HMI3" s="136"/>
      <c r="HMJ3" s="136"/>
      <c r="HMK3" s="136"/>
      <c r="HML3" s="136"/>
      <c r="HMM3" s="136"/>
      <c r="HMN3" s="136"/>
      <c r="HMO3" s="136"/>
      <c r="HMP3" s="136"/>
      <c r="HMQ3" s="136"/>
      <c r="HMR3" s="136"/>
      <c r="HMS3" s="136"/>
      <c r="HMT3" s="136"/>
      <c r="HMU3" s="136"/>
      <c r="HMV3" s="136"/>
      <c r="HMW3" s="136"/>
      <c r="HMX3" s="136"/>
      <c r="HMY3" s="136"/>
      <c r="HMZ3" s="136"/>
      <c r="HNA3" s="136"/>
      <c r="HNB3" s="136"/>
      <c r="HNC3" s="136"/>
      <c r="HND3" s="136"/>
      <c r="HNE3" s="136"/>
      <c r="HNF3" s="136"/>
      <c r="HNG3" s="136"/>
      <c r="HNH3" s="136"/>
      <c r="HNI3" s="136"/>
      <c r="HNJ3" s="136"/>
      <c r="HNK3" s="136"/>
      <c r="HNL3" s="136"/>
      <c r="HNM3" s="136"/>
      <c r="HNN3" s="136"/>
      <c r="HNO3" s="136"/>
      <c r="HNP3" s="136"/>
      <c r="HNQ3" s="136"/>
      <c r="HNR3" s="136"/>
      <c r="HNS3" s="136"/>
      <c r="HNT3" s="136"/>
      <c r="HNU3" s="136"/>
      <c r="HNV3" s="136"/>
      <c r="HNW3" s="136"/>
      <c r="HNX3" s="136"/>
      <c r="HNY3" s="136"/>
      <c r="HNZ3" s="136"/>
      <c r="HOA3" s="136"/>
      <c r="HOB3" s="136"/>
      <c r="HOC3" s="136"/>
      <c r="HOD3" s="136"/>
      <c r="HOE3" s="136"/>
      <c r="HOF3" s="136"/>
      <c r="HOG3" s="136"/>
      <c r="HOH3" s="136"/>
      <c r="HOI3" s="136"/>
      <c r="HOJ3" s="136"/>
      <c r="HOK3" s="136"/>
      <c r="HOL3" s="136"/>
      <c r="HOM3" s="136"/>
      <c r="HON3" s="136"/>
      <c r="HOO3" s="136"/>
      <c r="HOP3" s="136"/>
      <c r="HOQ3" s="136"/>
      <c r="HOR3" s="136"/>
      <c r="HOS3" s="136"/>
      <c r="HOT3" s="136"/>
      <c r="HOU3" s="136"/>
      <c r="HOV3" s="136"/>
      <c r="HOW3" s="136"/>
      <c r="HOX3" s="136"/>
      <c r="HOY3" s="136"/>
      <c r="HOZ3" s="136"/>
      <c r="HPA3" s="136"/>
      <c r="HPB3" s="136"/>
      <c r="HPC3" s="136"/>
      <c r="HPD3" s="136"/>
      <c r="HPE3" s="136"/>
      <c r="HPF3" s="136"/>
      <c r="HPG3" s="136"/>
      <c r="HPH3" s="136"/>
      <c r="HPI3" s="136"/>
      <c r="HPJ3" s="136"/>
      <c r="HPK3" s="136"/>
      <c r="HPL3" s="136"/>
      <c r="HPM3" s="136"/>
      <c r="HPN3" s="136"/>
      <c r="HPO3" s="136"/>
      <c r="HPP3" s="136"/>
      <c r="HPQ3" s="136"/>
      <c r="HPR3" s="136"/>
      <c r="HPS3" s="136"/>
      <c r="HPT3" s="136"/>
      <c r="HPU3" s="136"/>
      <c r="HPV3" s="136"/>
      <c r="HPW3" s="136"/>
      <c r="HPX3" s="136"/>
      <c r="HPY3" s="136"/>
      <c r="HPZ3" s="136"/>
      <c r="HQA3" s="136"/>
      <c r="HQB3" s="136"/>
      <c r="HQC3" s="136"/>
      <c r="HQD3" s="136"/>
      <c r="HQE3" s="136"/>
      <c r="HQF3" s="136"/>
      <c r="HQG3" s="136"/>
      <c r="HQH3" s="136"/>
      <c r="HQI3" s="136"/>
      <c r="HQJ3" s="136"/>
      <c r="HQK3" s="136"/>
      <c r="HQL3" s="136"/>
      <c r="HQM3" s="136"/>
      <c r="HQN3" s="136"/>
      <c r="HQO3" s="136"/>
      <c r="HQP3" s="136"/>
      <c r="HQQ3" s="136"/>
      <c r="HQR3" s="136"/>
      <c r="HQS3" s="136"/>
      <c r="HQT3" s="136"/>
      <c r="HQU3" s="136"/>
      <c r="HQV3" s="136"/>
      <c r="HQW3" s="136"/>
      <c r="HQX3" s="136"/>
      <c r="HQY3" s="136"/>
      <c r="HQZ3" s="136"/>
      <c r="HRA3" s="136"/>
      <c r="HRB3" s="136"/>
      <c r="HRC3" s="136"/>
      <c r="HRD3" s="136"/>
      <c r="HRE3" s="136"/>
      <c r="HRF3" s="136"/>
      <c r="HRG3" s="136"/>
      <c r="HRH3" s="136"/>
      <c r="HRI3" s="136"/>
      <c r="HRJ3" s="136"/>
      <c r="HRK3" s="136"/>
      <c r="HRL3" s="136"/>
      <c r="HRM3" s="136"/>
      <c r="HRN3" s="136"/>
      <c r="HRO3" s="136"/>
      <c r="HRP3" s="136"/>
      <c r="HRQ3" s="136"/>
      <c r="HRR3" s="136"/>
      <c r="HRS3" s="136"/>
      <c r="HRT3" s="136"/>
      <c r="HRU3" s="136"/>
      <c r="HRV3" s="136"/>
      <c r="HRW3" s="136"/>
      <c r="HRX3" s="136"/>
      <c r="HRY3" s="136"/>
      <c r="HRZ3" s="136"/>
      <c r="HSA3" s="136"/>
      <c r="HSB3" s="136"/>
      <c r="HSC3" s="136"/>
      <c r="HSD3" s="136"/>
      <c r="HSE3" s="136"/>
      <c r="HSF3" s="136"/>
      <c r="HSG3" s="136"/>
      <c r="HSH3" s="136"/>
      <c r="HSI3" s="136"/>
      <c r="HSJ3" s="136"/>
      <c r="HSK3" s="136"/>
      <c r="HSL3" s="136"/>
      <c r="HSM3" s="136"/>
      <c r="HSN3" s="136"/>
      <c r="HSO3" s="136"/>
      <c r="HSP3" s="136"/>
      <c r="HSQ3" s="136"/>
      <c r="HSR3" s="136"/>
      <c r="HSS3" s="136"/>
      <c r="HST3" s="136"/>
      <c r="HSU3" s="136"/>
      <c r="HSV3" s="136"/>
      <c r="HSW3" s="136"/>
      <c r="HSX3" s="136"/>
      <c r="HSY3" s="136"/>
      <c r="HSZ3" s="136"/>
      <c r="HTA3" s="136"/>
      <c r="HTB3" s="136"/>
      <c r="HTC3" s="136"/>
      <c r="HTD3" s="136"/>
      <c r="HTE3" s="136"/>
      <c r="HTF3" s="136"/>
      <c r="HTG3" s="136"/>
      <c r="HTH3" s="136"/>
      <c r="HTI3" s="136"/>
      <c r="HTJ3" s="136"/>
      <c r="HTK3" s="136"/>
      <c r="HTL3" s="136"/>
      <c r="HTM3" s="136"/>
      <c r="HTN3" s="136"/>
      <c r="HTO3" s="136"/>
      <c r="HTP3" s="136"/>
      <c r="HTQ3" s="136"/>
      <c r="HTR3" s="136"/>
      <c r="HTS3" s="136"/>
      <c r="HTT3" s="136"/>
      <c r="HTU3" s="136"/>
      <c r="HTV3" s="136"/>
      <c r="HTW3" s="136"/>
      <c r="HTX3" s="136"/>
      <c r="HTY3" s="136"/>
      <c r="HTZ3" s="136"/>
      <c r="HUA3" s="136"/>
      <c r="HUB3" s="136"/>
      <c r="HUC3" s="136"/>
      <c r="HUD3" s="136"/>
      <c r="HUE3" s="136"/>
      <c r="HUF3" s="136"/>
      <c r="HUG3" s="136"/>
      <c r="HUH3" s="136"/>
      <c r="HUI3" s="136"/>
      <c r="HUJ3" s="136"/>
      <c r="HUK3" s="136"/>
      <c r="HUL3" s="136"/>
      <c r="HUM3" s="136"/>
      <c r="HUN3" s="136"/>
      <c r="HUO3" s="136"/>
      <c r="HUP3" s="136"/>
      <c r="HUQ3" s="136"/>
      <c r="HUR3" s="136"/>
      <c r="HUS3" s="136"/>
      <c r="HUT3" s="136"/>
      <c r="HUU3" s="136"/>
      <c r="HUV3" s="136"/>
      <c r="HUW3" s="136"/>
      <c r="HUX3" s="136"/>
      <c r="HUY3" s="136"/>
      <c r="HUZ3" s="136"/>
      <c r="HVA3" s="136"/>
      <c r="HVB3" s="136"/>
      <c r="HVC3" s="136"/>
      <c r="HVD3" s="136"/>
      <c r="HVE3" s="136"/>
      <c r="HVF3" s="136"/>
      <c r="HVG3" s="136"/>
      <c r="HVH3" s="136"/>
      <c r="HVI3" s="136"/>
      <c r="HVJ3" s="136"/>
      <c r="HVK3" s="136"/>
      <c r="HVL3" s="136"/>
      <c r="HVM3" s="136"/>
      <c r="HVN3" s="136"/>
      <c r="HVO3" s="136"/>
      <c r="HVP3" s="136"/>
      <c r="HVQ3" s="136"/>
      <c r="HVR3" s="136"/>
      <c r="HVS3" s="136"/>
      <c r="HVT3" s="136"/>
      <c r="HVU3" s="136"/>
      <c r="HVV3" s="136"/>
      <c r="HVW3" s="136"/>
      <c r="HVX3" s="136"/>
      <c r="HVY3" s="136"/>
      <c r="HVZ3" s="136"/>
      <c r="HWA3" s="136"/>
      <c r="HWB3" s="136"/>
      <c r="HWC3" s="136"/>
      <c r="HWD3" s="136"/>
      <c r="HWE3" s="136"/>
      <c r="HWF3" s="136"/>
      <c r="HWG3" s="136"/>
      <c r="HWH3" s="136"/>
      <c r="HWI3" s="136"/>
      <c r="HWJ3" s="136"/>
      <c r="HWK3" s="136"/>
      <c r="HWL3" s="136"/>
      <c r="HWM3" s="136"/>
      <c r="HWN3" s="136"/>
      <c r="HWO3" s="136"/>
      <c r="HWP3" s="136"/>
      <c r="HWQ3" s="136"/>
      <c r="HWR3" s="136"/>
      <c r="HWS3" s="136"/>
      <c r="HWT3" s="136"/>
      <c r="HWU3" s="136"/>
      <c r="HWV3" s="136"/>
      <c r="HWW3" s="136"/>
      <c r="HWX3" s="136"/>
      <c r="HWY3" s="136"/>
      <c r="HWZ3" s="136"/>
      <c r="HXA3" s="136"/>
      <c r="HXB3" s="136"/>
      <c r="HXC3" s="136"/>
      <c r="HXD3" s="136"/>
      <c r="HXE3" s="136"/>
      <c r="HXF3" s="136"/>
      <c r="HXG3" s="136"/>
      <c r="HXH3" s="136"/>
      <c r="HXI3" s="136"/>
      <c r="HXJ3" s="136"/>
      <c r="HXK3" s="136"/>
      <c r="HXL3" s="136"/>
      <c r="HXM3" s="136"/>
      <c r="HXN3" s="136"/>
      <c r="HXO3" s="136"/>
      <c r="HXP3" s="136"/>
      <c r="HXQ3" s="136"/>
      <c r="HXR3" s="136"/>
      <c r="HXS3" s="136"/>
      <c r="HXT3" s="136"/>
      <c r="HXU3" s="136"/>
      <c r="HXV3" s="136"/>
      <c r="HXW3" s="136"/>
      <c r="HXX3" s="136"/>
      <c r="HXY3" s="136"/>
      <c r="HXZ3" s="136"/>
      <c r="HYA3" s="136"/>
      <c r="HYB3" s="136"/>
      <c r="HYC3" s="136"/>
      <c r="HYD3" s="136"/>
      <c r="HYE3" s="136"/>
      <c r="HYF3" s="136"/>
      <c r="HYG3" s="136"/>
      <c r="HYH3" s="136"/>
      <c r="HYI3" s="136"/>
      <c r="HYJ3" s="136"/>
      <c r="HYK3" s="136"/>
      <c r="HYL3" s="136"/>
      <c r="HYM3" s="136"/>
      <c r="HYN3" s="136"/>
      <c r="HYO3" s="136"/>
      <c r="HYP3" s="136"/>
      <c r="HYQ3" s="136"/>
      <c r="HYR3" s="136"/>
      <c r="HYS3" s="136"/>
      <c r="HYT3" s="136"/>
      <c r="HYU3" s="136"/>
      <c r="HYV3" s="136"/>
      <c r="HYW3" s="136"/>
      <c r="HYX3" s="136"/>
      <c r="HYY3" s="136"/>
      <c r="HYZ3" s="136"/>
      <c r="HZA3" s="136"/>
      <c r="HZB3" s="136"/>
      <c r="HZC3" s="136"/>
      <c r="HZD3" s="136"/>
      <c r="HZE3" s="136"/>
      <c r="HZF3" s="136"/>
      <c r="HZG3" s="136"/>
      <c r="HZH3" s="136"/>
      <c r="HZI3" s="136"/>
      <c r="HZJ3" s="136"/>
      <c r="HZK3" s="136"/>
      <c r="HZL3" s="136"/>
      <c r="HZM3" s="136"/>
      <c r="HZN3" s="136"/>
      <c r="HZO3" s="136"/>
      <c r="HZP3" s="136"/>
      <c r="HZQ3" s="136"/>
      <c r="HZR3" s="136"/>
      <c r="HZS3" s="136"/>
      <c r="HZT3" s="136"/>
      <c r="HZU3" s="136"/>
      <c r="HZV3" s="136"/>
      <c r="HZW3" s="136"/>
      <c r="HZX3" s="136"/>
      <c r="HZY3" s="136"/>
      <c r="HZZ3" s="136"/>
      <c r="IAA3" s="136"/>
      <c r="IAB3" s="136"/>
      <c r="IAC3" s="136"/>
      <c r="IAD3" s="136"/>
      <c r="IAE3" s="136"/>
      <c r="IAF3" s="136"/>
      <c r="IAG3" s="136"/>
      <c r="IAH3" s="136"/>
      <c r="IAI3" s="136"/>
      <c r="IAJ3" s="136"/>
      <c r="IAK3" s="136"/>
      <c r="IAL3" s="136"/>
      <c r="IAM3" s="136"/>
      <c r="IAN3" s="136"/>
      <c r="IAO3" s="136"/>
      <c r="IAP3" s="136"/>
      <c r="IAQ3" s="136"/>
      <c r="IAR3" s="136"/>
      <c r="IAS3" s="136"/>
      <c r="IAT3" s="136"/>
      <c r="IAU3" s="136"/>
      <c r="IAV3" s="136"/>
      <c r="IAW3" s="136"/>
      <c r="IAX3" s="136"/>
      <c r="IAY3" s="136"/>
      <c r="IAZ3" s="136"/>
      <c r="IBA3" s="136"/>
      <c r="IBB3" s="136"/>
      <c r="IBC3" s="136"/>
      <c r="IBD3" s="136"/>
      <c r="IBE3" s="136"/>
      <c r="IBF3" s="136"/>
      <c r="IBG3" s="136"/>
      <c r="IBH3" s="136"/>
      <c r="IBI3" s="136"/>
      <c r="IBJ3" s="136"/>
      <c r="IBK3" s="136"/>
      <c r="IBL3" s="136"/>
      <c r="IBM3" s="136"/>
      <c r="IBN3" s="136"/>
      <c r="IBO3" s="136"/>
      <c r="IBP3" s="136"/>
      <c r="IBQ3" s="136"/>
      <c r="IBR3" s="136"/>
      <c r="IBS3" s="136"/>
      <c r="IBT3" s="136"/>
      <c r="IBU3" s="136"/>
      <c r="IBV3" s="136"/>
      <c r="IBW3" s="136"/>
      <c r="IBX3" s="136"/>
      <c r="IBY3" s="136"/>
      <c r="IBZ3" s="136"/>
      <c r="ICA3" s="136"/>
      <c r="ICB3" s="136"/>
      <c r="ICC3" s="136"/>
      <c r="ICD3" s="136"/>
      <c r="ICE3" s="136"/>
      <c r="ICF3" s="136"/>
      <c r="ICG3" s="136"/>
      <c r="ICH3" s="136"/>
      <c r="ICI3" s="136"/>
      <c r="ICJ3" s="136"/>
      <c r="ICK3" s="136"/>
      <c r="ICL3" s="136"/>
      <c r="ICM3" s="136"/>
      <c r="ICN3" s="136"/>
      <c r="ICO3" s="136"/>
      <c r="ICP3" s="136"/>
      <c r="ICQ3" s="136"/>
      <c r="ICR3" s="136"/>
      <c r="ICS3" s="136"/>
      <c r="ICT3" s="136"/>
      <c r="ICU3" s="136"/>
      <c r="ICV3" s="136"/>
      <c r="ICW3" s="136"/>
      <c r="ICX3" s="136"/>
      <c r="ICY3" s="136"/>
      <c r="ICZ3" s="136"/>
      <c r="IDA3" s="136"/>
      <c r="IDB3" s="136"/>
      <c r="IDC3" s="136"/>
      <c r="IDD3" s="136"/>
      <c r="IDE3" s="136"/>
      <c r="IDF3" s="136"/>
      <c r="IDG3" s="136"/>
      <c r="IDH3" s="136"/>
      <c r="IDI3" s="136"/>
      <c r="IDJ3" s="136"/>
      <c r="IDK3" s="136"/>
      <c r="IDL3" s="136"/>
      <c r="IDM3" s="136"/>
      <c r="IDN3" s="136"/>
      <c r="IDO3" s="136"/>
      <c r="IDP3" s="136"/>
      <c r="IDQ3" s="136"/>
      <c r="IDR3" s="136"/>
      <c r="IDS3" s="136"/>
      <c r="IDT3" s="136"/>
      <c r="IDU3" s="136"/>
      <c r="IDV3" s="136"/>
      <c r="IDW3" s="136"/>
      <c r="IDX3" s="136"/>
      <c r="IDY3" s="136"/>
      <c r="IDZ3" s="136"/>
      <c r="IEA3" s="136"/>
      <c r="IEB3" s="136"/>
      <c r="IEC3" s="136"/>
      <c r="IED3" s="136"/>
      <c r="IEE3" s="136"/>
      <c r="IEF3" s="136"/>
      <c r="IEG3" s="136"/>
      <c r="IEH3" s="136"/>
      <c r="IEI3" s="136"/>
      <c r="IEJ3" s="136"/>
      <c r="IEK3" s="136"/>
      <c r="IEL3" s="136"/>
      <c r="IEM3" s="136"/>
      <c r="IEN3" s="136"/>
      <c r="IEO3" s="136"/>
      <c r="IEP3" s="136"/>
      <c r="IEQ3" s="136"/>
      <c r="IER3" s="136"/>
      <c r="IES3" s="136"/>
      <c r="IET3" s="136"/>
      <c r="IEU3" s="136"/>
      <c r="IEV3" s="136"/>
      <c r="IEW3" s="136"/>
      <c r="IEX3" s="136"/>
      <c r="IEY3" s="136"/>
      <c r="IEZ3" s="136"/>
      <c r="IFA3" s="136"/>
      <c r="IFB3" s="136"/>
      <c r="IFC3" s="136"/>
      <c r="IFD3" s="136"/>
      <c r="IFE3" s="136"/>
      <c r="IFF3" s="136"/>
      <c r="IFG3" s="136"/>
      <c r="IFH3" s="136"/>
      <c r="IFI3" s="136"/>
      <c r="IFJ3" s="136"/>
      <c r="IFK3" s="136"/>
      <c r="IFL3" s="136"/>
      <c r="IFM3" s="136"/>
      <c r="IFN3" s="136"/>
      <c r="IFO3" s="136"/>
      <c r="IFP3" s="136"/>
      <c r="IFQ3" s="136"/>
      <c r="IFR3" s="136"/>
      <c r="IFS3" s="136"/>
      <c r="IFT3" s="136"/>
      <c r="IFU3" s="136"/>
      <c r="IFV3" s="136"/>
      <c r="IFW3" s="136"/>
      <c r="IFX3" s="136"/>
      <c r="IFY3" s="136"/>
      <c r="IFZ3" s="136"/>
      <c r="IGA3" s="136"/>
      <c r="IGB3" s="136"/>
      <c r="IGC3" s="136"/>
      <c r="IGD3" s="136"/>
      <c r="IGE3" s="136"/>
      <c r="IGF3" s="136"/>
      <c r="IGG3" s="136"/>
      <c r="IGH3" s="136"/>
      <c r="IGI3" s="136"/>
      <c r="IGJ3" s="136"/>
      <c r="IGK3" s="136"/>
      <c r="IGL3" s="136"/>
      <c r="IGM3" s="136"/>
      <c r="IGN3" s="136"/>
      <c r="IGO3" s="136"/>
      <c r="IGP3" s="136"/>
      <c r="IGQ3" s="136"/>
      <c r="IGR3" s="136"/>
      <c r="IGS3" s="136"/>
      <c r="IGT3" s="136"/>
      <c r="IGU3" s="136"/>
      <c r="IGV3" s="136"/>
      <c r="IGW3" s="136"/>
      <c r="IGX3" s="136"/>
      <c r="IGY3" s="136"/>
      <c r="IGZ3" s="136"/>
      <c r="IHA3" s="136"/>
      <c r="IHB3" s="136"/>
      <c r="IHC3" s="136"/>
      <c r="IHD3" s="136"/>
      <c r="IHE3" s="136"/>
      <c r="IHF3" s="136"/>
      <c r="IHG3" s="136"/>
      <c r="IHH3" s="136"/>
      <c r="IHI3" s="136"/>
      <c r="IHJ3" s="136"/>
      <c r="IHK3" s="136"/>
      <c r="IHL3" s="136"/>
      <c r="IHM3" s="136"/>
      <c r="IHN3" s="136"/>
      <c r="IHO3" s="136"/>
      <c r="IHP3" s="136"/>
      <c r="IHQ3" s="136"/>
      <c r="IHR3" s="136"/>
      <c r="IHS3" s="136"/>
      <c r="IHT3" s="136"/>
      <c r="IHU3" s="136"/>
      <c r="IHV3" s="136"/>
      <c r="IHW3" s="136"/>
      <c r="IHX3" s="136"/>
      <c r="IHY3" s="136"/>
      <c r="IHZ3" s="136"/>
      <c r="IIA3" s="136"/>
      <c r="IIB3" s="136"/>
      <c r="IIC3" s="136"/>
      <c r="IID3" s="136"/>
      <c r="IIE3" s="136"/>
      <c r="IIF3" s="136"/>
      <c r="IIG3" s="136"/>
      <c r="IIH3" s="136"/>
      <c r="III3" s="136"/>
      <c r="IIJ3" s="136"/>
      <c r="IIK3" s="136"/>
      <c r="IIL3" s="136"/>
      <c r="IIM3" s="136"/>
      <c r="IIN3" s="136"/>
      <c r="IIO3" s="136"/>
      <c r="IIP3" s="136"/>
      <c r="IIQ3" s="136"/>
      <c r="IIR3" s="136"/>
      <c r="IIS3" s="136"/>
      <c r="IIT3" s="136"/>
      <c r="IIU3" s="136"/>
      <c r="IIV3" s="136"/>
      <c r="IIW3" s="136"/>
      <c r="IIX3" s="136"/>
      <c r="IIY3" s="136"/>
      <c r="IIZ3" s="136"/>
      <c r="IJA3" s="136"/>
      <c r="IJB3" s="136"/>
      <c r="IJC3" s="136"/>
      <c r="IJD3" s="136"/>
      <c r="IJE3" s="136"/>
      <c r="IJF3" s="136"/>
      <c r="IJG3" s="136"/>
      <c r="IJH3" s="136"/>
      <c r="IJI3" s="136"/>
      <c r="IJJ3" s="136"/>
      <c r="IJK3" s="136"/>
      <c r="IJL3" s="136"/>
      <c r="IJM3" s="136"/>
      <c r="IJN3" s="136"/>
      <c r="IJO3" s="136"/>
      <c r="IJP3" s="136"/>
      <c r="IJQ3" s="136"/>
      <c r="IJR3" s="136"/>
      <c r="IJS3" s="136"/>
      <c r="IJT3" s="136"/>
      <c r="IJU3" s="136"/>
      <c r="IJV3" s="136"/>
      <c r="IJW3" s="136"/>
      <c r="IJX3" s="136"/>
      <c r="IJY3" s="136"/>
      <c r="IJZ3" s="136"/>
      <c r="IKA3" s="136"/>
      <c r="IKB3" s="136"/>
      <c r="IKC3" s="136"/>
      <c r="IKD3" s="136"/>
      <c r="IKE3" s="136"/>
      <c r="IKF3" s="136"/>
      <c r="IKG3" s="136"/>
      <c r="IKH3" s="136"/>
      <c r="IKI3" s="136"/>
      <c r="IKJ3" s="136"/>
      <c r="IKK3" s="136"/>
      <c r="IKL3" s="136"/>
      <c r="IKM3" s="136"/>
      <c r="IKN3" s="136"/>
      <c r="IKO3" s="136"/>
      <c r="IKP3" s="136"/>
      <c r="IKQ3" s="136"/>
      <c r="IKR3" s="136"/>
      <c r="IKS3" s="136"/>
      <c r="IKT3" s="136"/>
      <c r="IKU3" s="136"/>
      <c r="IKV3" s="136"/>
      <c r="IKW3" s="136"/>
      <c r="IKX3" s="136"/>
      <c r="IKY3" s="136"/>
      <c r="IKZ3" s="136"/>
      <c r="ILA3" s="136"/>
      <c r="ILB3" s="136"/>
      <c r="ILC3" s="136"/>
      <c r="ILD3" s="136"/>
      <c r="ILE3" s="136"/>
      <c r="ILF3" s="136"/>
      <c r="ILG3" s="136"/>
      <c r="ILH3" s="136"/>
      <c r="ILI3" s="136"/>
      <c r="ILJ3" s="136"/>
      <c r="ILK3" s="136"/>
      <c r="ILL3" s="136"/>
      <c r="ILM3" s="136"/>
      <c r="ILN3" s="136"/>
      <c r="ILO3" s="136"/>
      <c r="ILP3" s="136"/>
      <c r="ILQ3" s="136"/>
      <c r="ILR3" s="136"/>
      <c r="ILS3" s="136"/>
      <c r="ILT3" s="136"/>
      <c r="ILU3" s="136"/>
      <c r="ILV3" s="136"/>
      <c r="ILW3" s="136"/>
      <c r="ILX3" s="136"/>
      <c r="ILY3" s="136"/>
      <c r="ILZ3" s="136"/>
      <c r="IMA3" s="136"/>
      <c r="IMB3" s="136"/>
      <c r="IMC3" s="136"/>
      <c r="IMD3" s="136"/>
      <c r="IME3" s="136"/>
      <c r="IMF3" s="136"/>
      <c r="IMG3" s="136"/>
      <c r="IMH3" s="136"/>
      <c r="IMI3" s="136"/>
      <c r="IMJ3" s="136"/>
      <c r="IMK3" s="136"/>
      <c r="IML3" s="136"/>
      <c r="IMM3" s="136"/>
      <c r="IMN3" s="136"/>
      <c r="IMO3" s="136"/>
      <c r="IMP3" s="136"/>
      <c r="IMQ3" s="136"/>
      <c r="IMR3" s="136"/>
      <c r="IMS3" s="136"/>
      <c r="IMT3" s="136"/>
      <c r="IMU3" s="136"/>
      <c r="IMV3" s="136"/>
      <c r="IMW3" s="136"/>
      <c r="IMX3" s="136"/>
      <c r="IMY3" s="136"/>
      <c r="IMZ3" s="136"/>
      <c r="INA3" s="136"/>
      <c r="INB3" s="136"/>
      <c r="INC3" s="136"/>
      <c r="IND3" s="136"/>
      <c r="INE3" s="136"/>
      <c r="INF3" s="136"/>
      <c r="ING3" s="136"/>
      <c r="INH3" s="136"/>
      <c r="INI3" s="136"/>
      <c r="INJ3" s="136"/>
      <c r="INK3" s="136"/>
      <c r="INL3" s="136"/>
      <c r="INM3" s="136"/>
      <c r="INN3" s="136"/>
      <c r="INO3" s="136"/>
      <c r="INP3" s="136"/>
      <c r="INQ3" s="136"/>
      <c r="INR3" s="136"/>
      <c r="INS3" s="136"/>
      <c r="INT3" s="136"/>
      <c r="INU3" s="136"/>
      <c r="INV3" s="136"/>
      <c r="INW3" s="136"/>
      <c r="INX3" s="136"/>
      <c r="INY3" s="136"/>
      <c r="INZ3" s="136"/>
      <c r="IOA3" s="136"/>
      <c r="IOB3" s="136"/>
      <c r="IOC3" s="136"/>
      <c r="IOD3" s="136"/>
      <c r="IOE3" s="136"/>
      <c r="IOF3" s="136"/>
      <c r="IOG3" s="136"/>
      <c r="IOH3" s="136"/>
      <c r="IOI3" s="136"/>
      <c r="IOJ3" s="136"/>
      <c r="IOK3" s="136"/>
      <c r="IOL3" s="136"/>
      <c r="IOM3" s="136"/>
      <c r="ION3" s="136"/>
      <c r="IOO3" s="136"/>
      <c r="IOP3" s="136"/>
      <c r="IOQ3" s="136"/>
      <c r="IOR3" s="136"/>
      <c r="IOS3" s="136"/>
      <c r="IOT3" s="136"/>
      <c r="IOU3" s="136"/>
      <c r="IOV3" s="136"/>
      <c r="IOW3" s="136"/>
      <c r="IOX3" s="136"/>
      <c r="IOY3" s="136"/>
      <c r="IOZ3" s="136"/>
      <c r="IPA3" s="136"/>
      <c r="IPB3" s="136"/>
      <c r="IPC3" s="136"/>
      <c r="IPD3" s="136"/>
      <c r="IPE3" s="136"/>
      <c r="IPF3" s="136"/>
      <c r="IPG3" s="136"/>
      <c r="IPH3" s="136"/>
      <c r="IPI3" s="136"/>
      <c r="IPJ3" s="136"/>
      <c r="IPK3" s="136"/>
      <c r="IPL3" s="136"/>
      <c r="IPM3" s="136"/>
      <c r="IPN3" s="136"/>
      <c r="IPO3" s="136"/>
      <c r="IPP3" s="136"/>
      <c r="IPQ3" s="136"/>
      <c r="IPR3" s="136"/>
      <c r="IPS3" s="136"/>
      <c r="IPT3" s="136"/>
      <c r="IPU3" s="136"/>
      <c r="IPV3" s="136"/>
      <c r="IPW3" s="136"/>
      <c r="IPX3" s="136"/>
      <c r="IPY3" s="136"/>
      <c r="IPZ3" s="136"/>
      <c r="IQA3" s="136"/>
      <c r="IQB3" s="136"/>
      <c r="IQC3" s="136"/>
      <c r="IQD3" s="136"/>
      <c r="IQE3" s="136"/>
      <c r="IQF3" s="136"/>
      <c r="IQG3" s="136"/>
      <c r="IQH3" s="136"/>
      <c r="IQI3" s="136"/>
      <c r="IQJ3" s="136"/>
      <c r="IQK3" s="136"/>
      <c r="IQL3" s="136"/>
      <c r="IQM3" s="136"/>
      <c r="IQN3" s="136"/>
      <c r="IQO3" s="136"/>
      <c r="IQP3" s="136"/>
      <c r="IQQ3" s="136"/>
      <c r="IQR3" s="136"/>
      <c r="IQS3" s="136"/>
      <c r="IQT3" s="136"/>
      <c r="IQU3" s="136"/>
      <c r="IQV3" s="136"/>
      <c r="IQW3" s="136"/>
      <c r="IQX3" s="136"/>
      <c r="IQY3" s="136"/>
      <c r="IQZ3" s="136"/>
      <c r="IRA3" s="136"/>
      <c r="IRB3" s="136"/>
      <c r="IRC3" s="136"/>
      <c r="IRD3" s="136"/>
      <c r="IRE3" s="136"/>
      <c r="IRF3" s="136"/>
      <c r="IRG3" s="136"/>
      <c r="IRH3" s="136"/>
      <c r="IRI3" s="136"/>
      <c r="IRJ3" s="136"/>
      <c r="IRK3" s="136"/>
      <c r="IRL3" s="136"/>
      <c r="IRM3" s="136"/>
      <c r="IRN3" s="136"/>
      <c r="IRO3" s="136"/>
      <c r="IRP3" s="136"/>
      <c r="IRQ3" s="136"/>
      <c r="IRR3" s="136"/>
      <c r="IRS3" s="136"/>
      <c r="IRT3" s="136"/>
      <c r="IRU3" s="136"/>
      <c r="IRV3" s="136"/>
      <c r="IRW3" s="136"/>
      <c r="IRX3" s="136"/>
      <c r="IRY3" s="136"/>
      <c r="IRZ3" s="136"/>
      <c r="ISA3" s="136"/>
      <c r="ISB3" s="136"/>
      <c r="ISC3" s="136"/>
      <c r="ISD3" s="136"/>
      <c r="ISE3" s="136"/>
      <c r="ISF3" s="136"/>
      <c r="ISG3" s="136"/>
      <c r="ISH3" s="136"/>
      <c r="ISI3" s="136"/>
      <c r="ISJ3" s="136"/>
      <c r="ISK3" s="136"/>
      <c r="ISL3" s="136"/>
      <c r="ISM3" s="136"/>
      <c r="ISN3" s="136"/>
      <c r="ISO3" s="136"/>
      <c r="ISP3" s="136"/>
      <c r="ISQ3" s="136"/>
      <c r="ISR3" s="136"/>
      <c r="ISS3" s="136"/>
      <c r="IST3" s="136"/>
      <c r="ISU3" s="136"/>
      <c r="ISV3" s="136"/>
      <c r="ISW3" s="136"/>
      <c r="ISX3" s="136"/>
      <c r="ISY3" s="136"/>
      <c r="ISZ3" s="136"/>
      <c r="ITA3" s="136"/>
      <c r="ITB3" s="136"/>
      <c r="ITC3" s="136"/>
      <c r="ITD3" s="136"/>
      <c r="ITE3" s="136"/>
      <c r="ITF3" s="136"/>
      <c r="ITG3" s="136"/>
      <c r="ITH3" s="136"/>
      <c r="ITI3" s="136"/>
      <c r="ITJ3" s="136"/>
      <c r="ITK3" s="136"/>
      <c r="ITL3" s="136"/>
      <c r="ITM3" s="136"/>
      <c r="ITN3" s="136"/>
      <c r="ITO3" s="136"/>
      <c r="ITP3" s="136"/>
      <c r="ITQ3" s="136"/>
      <c r="ITR3" s="136"/>
      <c r="ITS3" s="136"/>
      <c r="ITT3" s="136"/>
      <c r="ITU3" s="136"/>
      <c r="ITV3" s="136"/>
      <c r="ITW3" s="136"/>
      <c r="ITX3" s="136"/>
      <c r="ITY3" s="136"/>
      <c r="ITZ3" s="136"/>
      <c r="IUA3" s="136"/>
      <c r="IUB3" s="136"/>
      <c r="IUC3" s="136"/>
      <c r="IUD3" s="136"/>
      <c r="IUE3" s="136"/>
      <c r="IUF3" s="136"/>
      <c r="IUG3" s="136"/>
      <c r="IUH3" s="136"/>
      <c r="IUI3" s="136"/>
      <c r="IUJ3" s="136"/>
      <c r="IUK3" s="136"/>
      <c r="IUL3" s="136"/>
      <c r="IUM3" s="136"/>
      <c r="IUN3" s="136"/>
      <c r="IUO3" s="136"/>
      <c r="IUP3" s="136"/>
      <c r="IUQ3" s="136"/>
      <c r="IUR3" s="136"/>
      <c r="IUS3" s="136"/>
      <c r="IUT3" s="136"/>
      <c r="IUU3" s="136"/>
      <c r="IUV3" s="136"/>
      <c r="IUW3" s="136"/>
      <c r="IUX3" s="136"/>
      <c r="IUY3" s="136"/>
      <c r="IUZ3" s="136"/>
      <c r="IVA3" s="136"/>
      <c r="IVB3" s="136"/>
      <c r="IVC3" s="136"/>
      <c r="IVD3" s="136"/>
      <c r="IVE3" s="136"/>
      <c r="IVF3" s="136"/>
      <c r="IVG3" s="136"/>
      <c r="IVH3" s="136"/>
      <c r="IVI3" s="136"/>
      <c r="IVJ3" s="136"/>
      <c r="IVK3" s="136"/>
      <c r="IVL3" s="136"/>
      <c r="IVM3" s="136"/>
      <c r="IVN3" s="136"/>
      <c r="IVO3" s="136"/>
      <c r="IVP3" s="136"/>
      <c r="IVQ3" s="136"/>
      <c r="IVR3" s="136"/>
      <c r="IVS3" s="136"/>
      <c r="IVT3" s="136"/>
      <c r="IVU3" s="136"/>
      <c r="IVV3" s="136"/>
      <c r="IVW3" s="136"/>
      <c r="IVX3" s="136"/>
      <c r="IVY3" s="136"/>
      <c r="IVZ3" s="136"/>
      <c r="IWA3" s="136"/>
      <c r="IWB3" s="136"/>
      <c r="IWC3" s="136"/>
      <c r="IWD3" s="136"/>
      <c r="IWE3" s="136"/>
      <c r="IWF3" s="136"/>
      <c r="IWG3" s="136"/>
      <c r="IWH3" s="136"/>
      <c r="IWI3" s="136"/>
      <c r="IWJ3" s="136"/>
      <c r="IWK3" s="136"/>
      <c r="IWL3" s="136"/>
      <c r="IWM3" s="136"/>
      <c r="IWN3" s="136"/>
      <c r="IWO3" s="136"/>
      <c r="IWP3" s="136"/>
      <c r="IWQ3" s="136"/>
      <c r="IWR3" s="136"/>
      <c r="IWS3" s="136"/>
      <c r="IWT3" s="136"/>
      <c r="IWU3" s="136"/>
      <c r="IWV3" s="136"/>
      <c r="IWW3" s="136"/>
      <c r="IWX3" s="136"/>
      <c r="IWY3" s="136"/>
      <c r="IWZ3" s="136"/>
      <c r="IXA3" s="136"/>
      <c r="IXB3" s="136"/>
      <c r="IXC3" s="136"/>
      <c r="IXD3" s="136"/>
      <c r="IXE3" s="136"/>
      <c r="IXF3" s="136"/>
      <c r="IXG3" s="136"/>
      <c r="IXH3" s="136"/>
      <c r="IXI3" s="136"/>
      <c r="IXJ3" s="136"/>
      <c r="IXK3" s="136"/>
      <c r="IXL3" s="136"/>
      <c r="IXM3" s="136"/>
      <c r="IXN3" s="136"/>
      <c r="IXO3" s="136"/>
      <c r="IXP3" s="136"/>
      <c r="IXQ3" s="136"/>
      <c r="IXR3" s="136"/>
      <c r="IXS3" s="136"/>
      <c r="IXT3" s="136"/>
      <c r="IXU3" s="136"/>
      <c r="IXV3" s="136"/>
      <c r="IXW3" s="136"/>
      <c r="IXX3" s="136"/>
      <c r="IXY3" s="136"/>
      <c r="IXZ3" s="136"/>
      <c r="IYA3" s="136"/>
      <c r="IYB3" s="136"/>
      <c r="IYC3" s="136"/>
      <c r="IYD3" s="136"/>
      <c r="IYE3" s="136"/>
      <c r="IYF3" s="136"/>
      <c r="IYG3" s="136"/>
      <c r="IYH3" s="136"/>
      <c r="IYI3" s="136"/>
      <c r="IYJ3" s="136"/>
      <c r="IYK3" s="136"/>
      <c r="IYL3" s="136"/>
      <c r="IYM3" s="136"/>
      <c r="IYN3" s="136"/>
      <c r="IYO3" s="136"/>
      <c r="IYP3" s="136"/>
      <c r="IYQ3" s="136"/>
      <c r="IYR3" s="136"/>
      <c r="IYS3" s="136"/>
      <c r="IYT3" s="136"/>
      <c r="IYU3" s="136"/>
      <c r="IYV3" s="136"/>
      <c r="IYW3" s="136"/>
      <c r="IYX3" s="136"/>
      <c r="IYY3" s="136"/>
      <c r="IYZ3" s="136"/>
      <c r="IZA3" s="136"/>
      <c r="IZB3" s="136"/>
      <c r="IZC3" s="136"/>
      <c r="IZD3" s="136"/>
      <c r="IZE3" s="136"/>
      <c r="IZF3" s="136"/>
      <c r="IZG3" s="136"/>
      <c r="IZH3" s="136"/>
      <c r="IZI3" s="136"/>
      <c r="IZJ3" s="136"/>
      <c r="IZK3" s="136"/>
      <c r="IZL3" s="136"/>
      <c r="IZM3" s="136"/>
      <c r="IZN3" s="136"/>
      <c r="IZO3" s="136"/>
      <c r="IZP3" s="136"/>
      <c r="IZQ3" s="136"/>
      <c r="IZR3" s="136"/>
      <c r="IZS3" s="136"/>
      <c r="IZT3" s="136"/>
      <c r="IZU3" s="136"/>
      <c r="IZV3" s="136"/>
      <c r="IZW3" s="136"/>
      <c r="IZX3" s="136"/>
      <c r="IZY3" s="136"/>
      <c r="IZZ3" s="136"/>
      <c r="JAA3" s="136"/>
      <c r="JAB3" s="136"/>
      <c r="JAC3" s="136"/>
      <c r="JAD3" s="136"/>
      <c r="JAE3" s="136"/>
      <c r="JAF3" s="136"/>
      <c r="JAG3" s="136"/>
      <c r="JAH3" s="136"/>
      <c r="JAI3" s="136"/>
      <c r="JAJ3" s="136"/>
      <c r="JAK3" s="136"/>
      <c r="JAL3" s="136"/>
      <c r="JAM3" s="136"/>
      <c r="JAN3" s="136"/>
      <c r="JAO3" s="136"/>
      <c r="JAP3" s="136"/>
      <c r="JAQ3" s="136"/>
      <c r="JAR3" s="136"/>
      <c r="JAS3" s="136"/>
      <c r="JAT3" s="136"/>
      <c r="JAU3" s="136"/>
      <c r="JAV3" s="136"/>
      <c r="JAW3" s="136"/>
      <c r="JAX3" s="136"/>
      <c r="JAY3" s="136"/>
      <c r="JAZ3" s="136"/>
      <c r="JBA3" s="136"/>
      <c r="JBB3" s="136"/>
      <c r="JBC3" s="136"/>
      <c r="JBD3" s="136"/>
      <c r="JBE3" s="136"/>
      <c r="JBF3" s="136"/>
      <c r="JBG3" s="136"/>
      <c r="JBH3" s="136"/>
      <c r="JBI3" s="136"/>
      <c r="JBJ3" s="136"/>
      <c r="JBK3" s="136"/>
      <c r="JBL3" s="136"/>
      <c r="JBM3" s="136"/>
      <c r="JBN3" s="136"/>
      <c r="JBO3" s="136"/>
      <c r="JBP3" s="136"/>
      <c r="JBQ3" s="136"/>
      <c r="JBR3" s="136"/>
      <c r="JBS3" s="136"/>
      <c r="JBT3" s="136"/>
      <c r="JBU3" s="136"/>
      <c r="JBV3" s="136"/>
      <c r="JBW3" s="136"/>
      <c r="JBX3" s="136"/>
      <c r="JBY3" s="136"/>
      <c r="JBZ3" s="136"/>
      <c r="JCA3" s="136"/>
      <c r="JCB3" s="136"/>
      <c r="JCC3" s="136"/>
      <c r="JCD3" s="136"/>
      <c r="JCE3" s="136"/>
      <c r="JCF3" s="136"/>
      <c r="JCG3" s="136"/>
      <c r="JCH3" s="136"/>
      <c r="JCI3" s="136"/>
      <c r="JCJ3" s="136"/>
      <c r="JCK3" s="136"/>
      <c r="JCL3" s="136"/>
      <c r="JCM3" s="136"/>
      <c r="JCN3" s="136"/>
      <c r="JCO3" s="136"/>
      <c r="JCP3" s="136"/>
      <c r="JCQ3" s="136"/>
      <c r="JCR3" s="136"/>
      <c r="JCS3" s="136"/>
      <c r="JCT3" s="136"/>
      <c r="JCU3" s="136"/>
      <c r="JCV3" s="136"/>
      <c r="JCW3" s="136"/>
      <c r="JCX3" s="136"/>
      <c r="JCY3" s="136"/>
      <c r="JCZ3" s="136"/>
      <c r="JDA3" s="136"/>
      <c r="JDB3" s="136"/>
      <c r="JDC3" s="136"/>
      <c r="JDD3" s="136"/>
      <c r="JDE3" s="136"/>
      <c r="JDF3" s="136"/>
      <c r="JDG3" s="136"/>
      <c r="JDH3" s="136"/>
      <c r="JDI3" s="136"/>
      <c r="JDJ3" s="136"/>
      <c r="JDK3" s="136"/>
      <c r="JDL3" s="136"/>
      <c r="JDM3" s="136"/>
      <c r="JDN3" s="136"/>
      <c r="JDO3" s="136"/>
      <c r="JDP3" s="136"/>
      <c r="JDQ3" s="136"/>
      <c r="JDR3" s="136"/>
      <c r="JDS3" s="136"/>
      <c r="JDT3" s="136"/>
      <c r="JDU3" s="136"/>
      <c r="JDV3" s="136"/>
      <c r="JDW3" s="136"/>
      <c r="JDX3" s="136"/>
      <c r="JDY3" s="136"/>
      <c r="JDZ3" s="136"/>
      <c r="JEA3" s="136"/>
      <c r="JEB3" s="136"/>
      <c r="JEC3" s="136"/>
      <c r="JED3" s="136"/>
      <c r="JEE3" s="136"/>
      <c r="JEF3" s="136"/>
      <c r="JEG3" s="136"/>
      <c r="JEH3" s="136"/>
      <c r="JEI3" s="136"/>
      <c r="JEJ3" s="136"/>
      <c r="JEK3" s="136"/>
      <c r="JEL3" s="136"/>
      <c r="JEM3" s="136"/>
      <c r="JEN3" s="136"/>
      <c r="JEO3" s="136"/>
      <c r="JEP3" s="136"/>
      <c r="JEQ3" s="136"/>
      <c r="JER3" s="136"/>
      <c r="JES3" s="136"/>
      <c r="JET3" s="136"/>
      <c r="JEU3" s="136"/>
      <c r="JEV3" s="136"/>
      <c r="JEW3" s="136"/>
      <c r="JEX3" s="136"/>
      <c r="JEY3" s="136"/>
      <c r="JEZ3" s="136"/>
      <c r="JFA3" s="136"/>
      <c r="JFB3" s="136"/>
      <c r="JFC3" s="136"/>
      <c r="JFD3" s="136"/>
      <c r="JFE3" s="136"/>
      <c r="JFF3" s="136"/>
      <c r="JFG3" s="136"/>
      <c r="JFH3" s="136"/>
      <c r="JFI3" s="136"/>
      <c r="JFJ3" s="136"/>
      <c r="JFK3" s="136"/>
      <c r="JFL3" s="136"/>
      <c r="JFM3" s="136"/>
      <c r="JFN3" s="136"/>
      <c r="JFO3" s="136"/>
      <c r="JFP3" s="136"/>
      <c r="JFQ3" s="136"/>
      <c r="JFR3" s="136"/>
      <c r="JFS3" s="136"/>
      <c r="JFT3" s="136"/>
      <c r="JFU3" s="136"/>
      <c r="JFV3" s="136"/>
      <c r="JFW3" s="136"/>
      <c r="JFX3" s="136"/>
      <c r="JFY3" s="136"/>
      <c r="JFZ3" s="136"/>
      <c r="JGA3" s="136"/>
      <c r="JGB3" s="136"/>
      <c r="JGC3" s="136"/>
      <c r="JGD3" s="136"/>
      <c r="JGE3" s="136"/>
      <c r="JGF3" s="136"/>
      <c r="JGG3" s="136"/>
      <c r="JGH3" s="136"/>
      <c r="JGI3" s="136"/>
      <c r="JGJ3" s="136"/>
      <c r="JGK3" s="136"/>
      <c r="JGL3" s="136"/>
      <c r="JGM3" s="136"/>
      <c r="JGN3" s="136"/>
      <c r="JGO3" s="136"/>
      <c r="JGP3" s="136"/>
      <c r="JGQ3" s="136"/>
      <c r="JGR3" s="136"/>
      <c r="JGS3" s="136"/>
      <c r="JGT3" s="136"/>
      <c r="JGU3" s="136"/>
      <c r="JGV3" s="136"/>
      <c r="JGW3" s="136"/>
      <c r="JGX3" s="136"/>
      <c r="JGY3" s="136"/>
      <c r="JGZ3" s="136"/>
      <c r="JHA3" s="136"/>
      <c r="JHB3" s="136"/>
      <c r="JHC3" s="136"/>
      <c r="JHD3" s="136"/>
      <c r="JHE3" s="136"/>
      <c r="JHF3" s="136"/>
      <c r="JHG3" s="136"/>
      <c r="JHH3" s="136"/>
      <c r="JHI3" s="136"/>
      <c r="JHJ3" s="136"/>
      <c r="JHK3" s="136"/>
      <c r="JHL3" s="136"/>
      <c r="JHM3" s="136"/>
      <c r="JHN3" s="136"/>
      <c r="JHO3" s="136"/>
      <c r="JHP3" s="136"/>
      <c r="JHQ3" s="136"/>
      <c r="JHR3" s="136"/>
      <c r="JHS3" s="136"/>
      <c r="JHT3" s="136"/>
      <c r="JHU3" s="136"/>
      <c r="JHV3" s="136"/>
      <c r="JHW3" s="136"/>
      <c r="JHX3" s="136"/>
      <c r="JHY3" s="136"/>
      <c r="JHZ3" s="136"/>
      <c r="JIA3" s="136"/>
      <c r="JIB3" s="136"/>
      <c r="JIC3" s="136"/>
      <c r="JID3" s="136"/>
      <c r="JIE3" s="136"/>
      <c r="JIF3" s="136"/>
      <c r="JIG3" s="136"/>
      <c r="JIH3" s="136"/>
      <c r="JII3" s="136"/>
      <c r="JIJ3" s="136"/>
      <c r="JIK3" s="136"/>
      <c r="JIL3" s="136"/>
      <c r="JIM3" s="136"/>
      <c r="JIN3" s="136"/>
      <c r="JIO3" s="136"/>
      <c r="JIP3" s="136"/>
      <c r="JIQ3" s="136"/>
      <c r="JIR3" s="136"/>
      <c r="JIS3" s="136"/>
      <c r="JIT3" s="136"/>
      <c r="JIU3" s="136"/>
      <c r="JIV3" s="136"/>
      <c r="JIW3" s="136"/>
      <c r="JIX3" s="136"/>
      <c r="JIY3" s="136"/>
      <c r="JIZ3" s="136"/>
      <c r="JJA3" s="136"/>
      <c r="JJB3" s="136"/>
      <c r="JJC3" s="136"/>
      <c r="JJD3" s="136"/>
      <c r="JJE3" s="136"/>
      <c r="JJF3" s="136"/>
      <c r="JJG3" s="136"/>
      <c r="JJH3" s="136"/>
      <c r="JJI3" s="136"/>
      <c r="JJJ3" s="136"/>
      <c r="JJK3" s="136"/>
      <c r="JJL3" s="136"/>
      <c r="JJM3" s="136"/>
      <c r="JJN3" s="136"/>
      <c r="JJO3" s="136"/>
      <c r="JJP3" s="136"/>
      <c r="JJQ3" s="136"/>
      <c r="JJR3" s="136"/>
      <c r="JJS3" s="136"/>
      <c r="JJT3" s="136"/>
      <c r="JJU3" s="136"/>
      <c r="JJV3" s="136"/>
      <c r="JJW3" s="136"/>
      <c r="JJX3" s="136"/>
      <c r="JJY3" s="136"/>
      <c r="JJZ3" s="136"/>
      <c r="JKA3" s="136"/>
      <c r="JKB3" s="136"/>
      <c r="JKC3" s="136"/>
      <c r="JKD3" s="136"/>
      <c r="JKE3" s="136"/>
      <c r="JKF3" s="136"/>
      <c r="JKG3" s="136"/>
      <c r="JKH3" s="136"/>
      <c r="JKI3" s="136"/>
      <c r="JKJ3" s="136"/>
      <c r="JKK3" s="136"/>
      <c r="JKL3" s="136"/>
      <c r="JKM3" s="136"/>
      <c r="JKN3" s="136"/>
      <c r="JKO3" s="136"/>
      <c r="JKP3" s="136"/>
      <c r="JKQ3" s="136"/>
      <c r="JKR3" s="136"/>
      <c r="JKS3" s="136"/>
      <c r="JKT3" s="136"/>
      <c r="JKU3" s="136"/>
      <c r="JKV3" s="136"/>
      <c r="JKW3" s="136"/>
      <c r="JKX3" s="136"/>
      <c r="JKY3" s="136"/>
      <c r="JKZ3" s="136"/>
      <c r="JLA3" s="136"/>
      <c r="JLB3" s="136"/>
      <c r="JLC3" s="136"/>
      <c r="JLD3" s="136"/>
      <c r="JLE3" s="136"/>
      <c r="JLF3" s="136"/>
      <c r="JLG3" s="136"/>
      <c r="JLH3" s="136"/>
      <c r="JLI3" s="136"/>
      <c r="JLJ3" s="136"/>
      <c r="JLK3" s="136"/>
      <c r="JLL3" s="136"/>
      <c r="JLM3" s="136"/>
      <c r="JLN3" s="136"/>
      <c r="JLO3" s="136"/>
      <c r="JLP3" s="136"/>
      <c r="JLQ3" s="136"/>
      <c r="JLR3" s="136"/>
      <c r="JLS3" s="136"/>
      <c r="JLT3" s="136"/>
      <c r="JLU3" s="136"/>
      <c r="JLV3" s="136"/>
      <c r="JLW3" s="136"/>
      <c r="JLX3" s="136"/>
      <c r="JLY3" s="136"/>
      <c r="JLZ3" s="136"/>
      <c r="JMA3" s="136"/>
      <c r="JMB3" s="136"/>
      <c r="JMC3" s="136"/>
      <c r="JMD3" s="136"/>
      <c r="JME3" s="136"/>
      <c r="JMF3" s="136"/>
      <c r="JMG3" s="136"/>
      <c r="JMH3" s="136"/>
      <c r="JMI3" s="136"/>
      <c r="JMJ3" s="136"/>
      <c r="JMK3" s="136"/>
      <c r="JML3" s="136"/>
      <c r="JMM3" s="136"/>
      <c r="JMN3" s="136"/>
      <c r="JMO3" s="136"/>
      <c r="JMP3" s="136"/>
      <c r="JMQ3" s="136"/>
      <c r="JMR3" s="136"/>
      <c r="JMS3" s="136"/>
      <c r="JMT3" s="136"/>
      <c r="JMU3" s="136"/>
      <c r="JMV3" s="136"/>
      <c r="JMW3" s="136"/>
      <c r="JMX3" s="136"/>
      <c r="JMY3" s="136"/>
      <c r="JMZ3" s="136"/>
      <c r="JNA3" s="136"/>
      <c r="JNB3" s="136"/>
      <c r="JNC3" s="136"/>
      <c r="JND3" s="136"/>
      <c r="JNE3" s="136"/>
      <c r="JNF3" s="136"/>
      <c r="JNG3" s="136"/>
      <c r="JNH3" s="136"/>
      <c r="JNI3" s="136"/>
      <c r="JNJ3" s="136"/>
      <c r="JNK3" s="136"/>
      <c r="JNL3" s="136"/>
      <c r="JNM3" s="136"/>
      <c r="JNN3" s="136"/>
      <c r="JNO3" s="136"/>
      <c r="JNP3" s="136"/>
      <c r="JNQ3" s="136"/>
      <c r="JNR3" s="136"/>
      <c r="JNS3" s="136"/>
      <c r="JNT3" s="136"/>
      <c r="JNU3" s="136"/>
      <c r="JNV3" s="136"/>
      <c r="JNW3" s="136"/>
      <c r="JNX3" s="136"/>
      <c r="JNY3" s="136"/>
      <c r="JNZ3" s="136"/>
      <c r="JOA3" s="136"/>
      <c r="JOB3" s="136"/>
      <c r="JOC3" s="136"/>
      <c r="JOD3" s="136"/>
      <c r="JOE3" s="136"/>
      <c r="JOF3" s="136"/>
      <c r="JOG3" s="136"/>
      <c r="JOH3" s="136"/>
      <c r="JOI3" s="136"/>
      <c r="JOJ3" s="136"/>
      <c r="JOK3" s="136"/>
      <c r="JOL3" s="136"/>
      <c r="JOM3" s="136"/>
      <c r="JON3" s="136"/>
      <c r="JOO3" s="136"/>
      <c r="JOP3" s="136"/>
      <c r="JOQ3" s="136"/>
      <c r="JOR3" s="136"/>
      <c r="JOS3" s="136"/>
      <c r="JOT3" s="136"/>
      <c r="JOU3" s="136"/>
      <c r="JOV3" s="136"/>
      <c r="JOW3" s="136"/>
      <c r="JOX3" s="136"/>
      <c r="JOY3" s="136"/>
      <c r="JOZ3" s="136"/>
      <c r="JPA3" s="136"/>
      <c r="JPB3" s="136"/>
      <c r="JPC3" s="136"/>
      <c r="JPD3" s="136"/>
      <c r="JPE3" s="136"/>
      <c r="JPF3" s="136"/>
      <c r="JPG3" s="136"/>
      <c r="JPH3" s="136"/>
      <c r="JPI3" s="136"/>
      <c r="JPJ3" s="136"/>
      <c r="JPK3" s="136"/>
      <c r="JPL3" s="136"/>
      <c r="JPM3" s="136"/>
      <c r="JPN3" s="136"/>
      <c r="JPO3" s="136"/>
      <c r="JPP3" s="136"/>
      <c r="JPQ3" s="136"/>
      <c r="JPR3" s="136"/>
      <c r="JPS3" s="136"/>
      <c r="JPT3" s="136"/>
      <c r="JPU3" s="136"/>
      <c r="JPV3" s="136"/>
      <c r="JPW3" s="136"/>
      <c r="JPX3" s="136"/>
      <c r="JPY3" s="136"/>
      <c r="JPZ3" s="136"/>
      <c r="JQA3" s="136"/>
      <c r="JQB3" s="136"/>
      <c r="JQC3" s="136"/>
      <c r="JQD3" s="136"/>
      <c r="JQE3" s="136"/>
      <c r="JQF3" s="136"/>
      <c r="JQG3" s="136"/>
      <c r="JQH3" s="136"/>
      <c r="JQI3" s="136"/>
      <c r="JQJ3" s="136"/>
      <c r="JQK3" s="136"/>
      <c r="JQL3" s="136"/>
      <c r="JQM3" s="136"/>
      <c r="JQN3" s="136"/>
      <c r="JQO3" s="136"/>
      <c r="JQP3" s="136"/>
      <c r="JQQ3" s="136"/>
      <c r="JQR3" s="136"/>
      <c r="JQS3" s="136"/>
      <c r="JQT3" s="136"/>
      <c r="JQU3" s="136"/>
      <c r="JQV3" s="136"/>
      <c r="JQW3" s="136"/>
      <c r="JQX3" s="136"/>
      <c r="JQY3" s="136"/>
      <c r="JQZ3" s="136"/>
      <c r="JRA3" s="136"/>
      <c r="JRB3" s="136"/>
      <c r="JRC3" s="136"/>
      <c r="JRD3" s="136"/>
      <c r="JRE3" s="136"/>
      <c r="JRF3" s="136"/>
      <c r="JRG3" s="136"/>
      <c r="JRH3" s="136"/>
      <c r="JRI3" s="136"/>
      <c r="JRJ3" s="136"/>
      <c r="JRK3" s="136"/>
      <c r="JRL3" s="136"/>
      <c r="JRM3" s="136"/>
      <c r="JRN3" s="136"/>
      <c r="JRO3" s="136"/>
      <c r="JRP3" s="136"/>
      <c r="JRQ3" s="136"/>
      <c r="JRR3" s="136"/>
      <c r="JRS3" s="136"/>
      <c r="JRT3" s="136"/>
      <c r="JRU3" s="136"/>
      <c r="JRV3" s="136"/>
      <c r="JRW3" s="136"/>
      <c r="JRX3" s="136"/>
      <c r="JRY3" s="136"/>
      <c r="JRZ3" s="136"/>
      <c r="JSA3" s="136"/>
      <c r="JSB3" s="136"/>
      <c r="JSC3" s="136"/>
      <c r="JSD3" s="136"/>
      <c r="JSE3" s="136"/>
      <c r="JSF3" s="136"/>
      <c r="JSG3" s="136"/>
      <c r="JSH3" s="136"/>
      <c r="JSI3" s="136"/>
      <c r="JSJ3" s="136"/>
      <c r="JSK3" s="136"/>
      <c r="JSL3" s="136"/>
      <c r="JSM3" s="136"/>
      <c r="JSN3" s="136"/>
      <c r="JSO3" s="136"/>
      <c r="JSP3" s="136"/>
      <c r="JSQ3" s="136"/>
      <c r="JSR3" s="136"/>
      <c r="JSS3" s="136"/>
      <c r="JST3" s="136"/>
      <c r="JSU3" s="136"/>
      <c r="JSV3" s="136"/>
      <c r="JSW3" s="136"/>
      <c r="JSX3" s="136"/>
      <c r="JSY3" s="136"/>
      <c r="JSZ3" s="136"/>
      <c r="JTA3" s="136"/>
      <c r="JTB3" s="136"/>
      <c r="JTC3" s="136"/>
      <c r="JTD3" s="136"/>
      <c r="JTE3" s="136"/>
      <c r="JTF3" s="136"/>
      <c r="JTG3" s="136"/>
      <c r="JTH3" s="136"/>
      <c r="JTI3" s="136"/>
      <c r="JTJ3" s="136"/>
      <c r="JTK3" s="136"/>
      <c r="JTL3" s="136"/>
      <c r="JTM3" s="136"/>
      <c r="JTN3" s="136"/>
      <c r="JTO3" s="136"/>
      <c r="JTP3" s="136"/>
      <c r="JTQ3" s="136"/>
      <c r="JTR3" s="136"/>
      <c r="JTS3" s="136"/>
      <c r="JTT3" s="136"/>
      <c r="JTU3" s="136"/>
      <c r="JTV3" s="136"/>
      <c r="JTW3" s="136"/>
      <c r="JTX3" s="136"/>
      <c r="JTY3" s="136"/>
      <c r="JTZ3" s="136"/>
      <c r="JUA3" s="136"/>
      <c r="JUB3" s="136"/>
      <c r="JUC3" s="136"/>
      <c r="JUD3" s="136"/>
      <c r="JUE3" s="136"/>
      <c r="JUF3" s="136"/>
      <c r="JUG3" s="136"/>
      <c r="JUH3" s="136"/>
      <c r="JUI3" s="136"/>
      <c r="JUJ3" s="136"/>
      <c r="JUK3" s="136"/>
      <c r="JUL3" s="136"/>
      <c r="JUM3" s="136"/>
      <c r="JUN3" s="136"/>
      <c r="JUO3" s="136"/>
      <c r="JUP3" s="136"/>
      <c r="JUQ3" s="136"/>
      <c r="JUR3" s="136"/>
      <c r="JUS3" s="136"/>
      <c r="JUT3" s="136"/>
      <c r="JUU3" s="136"/>
      <c r="JUV3" s="136"/>
      <c r="JUW3" s="136"/>
      <c r="JUX3" s="136"/>
      <c r="JUY3" s="136"/>
      <c r="JUZ3" s="136"/>
      <c r="JVA3" s="136"/>
      <c r="JVB3" s="136"/>
      <c r="JVC3" s="136"/>
      <c r="JVD3" s="136"/>
      <c r="JVE3" s="136"/>
      <c r="JVF3" s="136"/>
      <c r="JVG3" s="136"/>
      <c r="JVH3" s="136"/>
      <c r="JVI3" s="136"/>
      <c r="JVJ3" s="136"/>
      <c r="JVK3" s="136"/>
      <c r="JVL3" s="136"/>
      <c r="JVM3" s="136"/>
      <c r="JVN3" s="136"/>
      <c r="JVO3" s="136"/>
      <c r="JVP3" s="136"/>
      <c r="JVQ3" s="136"/>
      <c r="JVR3" s="136"/>
      <c r="JVS3" s="136"/>
      <c r="JVT3" s="136"/>
      <c r="JVU3" s="136"/>
      <c r="JVV3" s="136"/>
      <c r="JVW3" s="136"/>
      <c r="JVX3" s="136"/>
      <c r="JVY3" s="136"/>
      <c r="JVZ3" s="136"/>
      <c r="JWA3" s="136"/>
      <c r="JWB3" s="136"/>
      <c r="JWC3" s="136"/>
      <c r="JWD3" s="136"/>
      <c r="JWE3" s="136"/>
      <c r="JWF3" s="136"/>
      <c r="JWG3" s="136"/>
      <c r="JWH3" s="136"/>
      <c r="JWI3" s="136"/>
      <c r="JWJ3" s="136"/>
      <c r="JWK3" s="136"/>
      <c r="JWL3" s="136"/>
      <c r="JWM3" s="136"/>
      <c r="JWN3" s="136"/>
      <c r="JWO3" s="136"/>
      <c r="JWP3" s="136"/>
      <c r="JWQ3" s="136"/>
      <c r="JWR3" s="136"/>
      <c r="JWS3" s="136"/>
      <c r="JWT3" s="136"/>
      <c r="JWU3" s="136"/>
      <c r="JWV3" s="136"/>
      <c r="JWW3" s="136"/>
      <c r="JWX3" s="136"/>
      <c r="JWY3" s="136"/>
      <c r="JWZ3" s="136"/>
      <c r="JXA3" s="136"/>
      <c r="JXB3" s="136"/>
      <c r="JXC3" s="136"/>
      <c r="JXD3" s="136"/>
      <c r="JXE3" s="136"/>
      <c r="JXF3" s="136"/>
      <c r="JXG3" s="136"/>
      <c r="JXH3" s="136"/>
      <c r="JXI3" s="136"/>
      <c r="JXJ3" s="136"/>
      <c r="JXK3" s="136"/>
      <c r="JXL3" s="136"/>
      <c r="JXM3" s="136"/>
      <c r="JXN3" s="136"/>
      <c r="JXO3" s="136"/>
      <c r="JXP3" s="136"/>
      <c r="JXQ3" s="136"/>
      <c r="JXR3" s="136"/>
      <c r="JXS3" s="136"/>
      <c r="JXT3" s="136"/>
      <c r="JXU3" s="136"/>
      <c r="JXV3" s="136"/>
      <c r="JXW3" s="136"/>
      <c r="JXX3" s="136"/>
      <c r="JXY3" s="136"/>
      <c r="JXZ3" s="136"/>
      <c r="JYA3" s="136"/>
      <c r="JYB3" s="136"/>
      <c r="JYC3" s="136"/>
      <c r="JYD3" s="136"/>
      <c r="JYE3" s="136"/>
      <c r="JYF3" s="136"/>
      <c r="JYG3" s="136"/>
      <c r="JYH3" s="136"/>
      <c r="JYI3" s="136"/>
      <c r="JYJ3" s="136"/>
      <c r="JYK3" s="136"/>
      <c r="JYL3" s="136"/>
      <c r="JYM3" s="136"/>
      <c r="JYN3" s="136"/>
      <c r="JYO3" s="136"/>
      <c r="JYP3" s="136"/>
      <c r="JYQ3" s="136"/>
      <c r="JYR3" s="136"/>
      <c r="JYS3" s="136"/>
      <c r="JYT3" s="136"/>
      <c r="JYU3" s="136"/>
      <c r="JYV3" s="136"/>
      <c r="JYW3" s="136"/>
      <c r="JYX3" s="136"/>
      <c r="JYY3" s="136"/>
      <c r="JYZ3" s="136"/>
      <c r="JZA3" s="136"/>
      <c r="JZB3" s="136"/>
      <c r="JZC3" s="136"/>
      <c r="JZD3" s="136"/>
      <c r="JZE3" s="136"/>
      <c r="JZF3" s="136"/>
      <c r="JZG3" s="136"/>
      <c r="JZH3" s="136"/>
      <c r="JZI3" s="136"/>
      <c r="JZJ3" s="136"/>
      <c r="JZK3" s="136"/>
      <c r="JZL3" s="136"/>
      <c r="JZM3" s="136"/>
      <c r="JZN3" s="136"/>
      <c r="JZO3" s="136"/>
      <c r="JZP3" s="136"/>
      <c r="JZQ3" s="136"/>
      <c r="JZR3" s="136"/>
      <c r="JZS3" s="136"/>
      <c r="JZT3" s="136"/>
      <c r="JZU3" s="136"/>
      <c r="JZV3" s="136"/>
      <c r="JZW3" s="136"/>
      <c r="JZX3" s="136"/>
      <c r="JZY3" s="136"/>
      <c r="JZZ3" s="136"/>
      <c r="KAA3" s="136"/>
      <c r="KAB3" s="136"/>
      <c r="KAC3" s="136"/>
      <c r="KAD3" s="136"/>
      <c r="KAE3" s="136"/>
      <c r="KAF3" s="136"/>
      <c r="KAG3" s="136"/>
      <c r="KAH3" s="136"/>
      <c r="KAI3" s="136"/>
      <c r="KAJ3" s="136"/>
      <c r="KAK3" s="136"/>
      <c r="KAL3" s="136"/>
      <c r="KAM3" s="136"/>
      <c r="KAN3" s="136"/>
      <c r="KAO3" s="136"/>
      <c r="KAP3" s="136"/>
      <c r="KAQ3" s="136"/>
      <c r="KAR3" s="136"/>
      <c r="KAS3" s="136"/>
      <c r="KAT3" s="136"/>
      <c r="KAU3" s="136"/>
      <c r="KAV3" s="136"/>
      <c r="KAW3" s="136"/>
      <c r="KAX3" s="136"/>
      <c r="KAY3" s="136"/>
      <c r="KAZ3" s="136"/>
      <c r="KBA3" s="136"/>
      <c r="KBB3" s="136"/>
      <c r="KBC3" s="136"/>
      <c r="KBD3" s="136"/>
      <c r="KBE3" s="136"/>
      <c r="KBF3" s="136"/>
      <c r="KBG3" s="136"/>
      <c r="KBH3" s="136"/>
      <c r="KBI3" s="136"/>
      <c r="KBJ3" s="136"/>
      <c r="KBK3" s="136"/>
      <c r="KBL3" s="136"/>
      <c r="KBM3" s="136"/>
      <c r="KBN3" s="136"/>
      <c r="KBO3" s="136"/>
      <c r="KBP3" s="136"/>
      <c r="KBQ3" s="136"/>
      <c r="KBR3" s="136"/>
      <c r="KBS3" s="136"/>
      <c r="KBT3" s="136"/>
      <c r="KBU3" s="136"/>
      <c r="KBV3" s="136"/>
      <c r="KBW3" s="136"/>
      <c r="KBX3" s="136"/>
      <c r="KBY3" s="136"/>
      <c r="KBZ3" s="136"/>
      <c r="KCA3" s="136"/>
      <c r="KCB3" s="136"/>
      <c r="KCC3" s="136"/>
      <c r="KCD3" s="136"/>
      <c r="KCE3" s="136"/>
      <c r="KCF3" s="136"/>
      <c r="KCG3" s="136"/>
      <c r="KCH3" s="136"/>
      <c r="KCI3" s="136"/>
      <c r="KCJ3" s="136"/>
      <c r="KCK3" s="136"/>
      <c r="KCL3" s="136"/>
      <c r="KCM3" s="136"/>
      <c r="KCN3" s="136"/>
      <c r="KCO3" s="136"/>
      <c r="KCP3" s="136"/>
      <c r="KCQ3" s="136"/>
      <c r="KCR3" s="136"/>
      <c r="KCS3" s="136"/>
      <c r="KCT3" s="136"/>
      <c r="KCU3" s="136"/>
      <c r="KCV3" s="136"/>
      <c r="KCW3" s="136"/>
      <c r="KCX3" s="136"/>
      <c r="KCY3" s="136"/>
      <c r="KCZ3" s="136"/>
      <c r="KDA3" s="136"/>
      <c r="KDB3" s="136"/>
      <c r="KDC3" s="136"/>
      <c r="KDD3" s="136"/>
      <c r="KDE3" s="136"/>
      <c r="KDF3" s="136"/>
      <c r="KDG3" s="136"/>
      <c r="KDH3" s="136"/>
      <c r="KDI3" s="136"/>
      <c r="KDJ3" s="136"/>
      <c r="KDK3" s="136"/>
      <c r="KDL3" s="136"/>
      <c r="KDM3" s="136"/>
      <c r="KDN3" s="136"/>
      <c r="KDO3" s="136"/>
      <c r="KDP3" s="136"/>
      <c r="KDQ3" s="136"/>
      <c r="KDR3" s="136"/>
      <c r="KDS3" s="136"/>
      <c r="KDT3" s="136"/>
      <c r="KDU3" s="136"/>
      <c r="KDV3" s="136"/>
      <c r="KDW3" s="136"/>
      <c r="KDX3" s="136"/>
      <c r="KDY3" s="136"/>
      <c r="KDZ3" s="136"/>
      <c r="KEA3" s="136"/>
      <c r="KEB3" s="136"/>
      <c r="KEC3" s="136"/>
      <c r="KED3" s="136"/>
      <c r="KEE3" s="136"/>
      <c r="KEF3" s="136"/>
      <c r="KEG3" s="136"/>
      <c r="KEH3" s="136"/>
      <c r="KEI3" s="136"/>
      <c r="KEJ3" s="136"/>
      <c r="KEK3" s="136"/>
      <c r="KEL3" s="136"/>
      <c r="KEM3" s="136"/>
      <c r="KEN3" s="136"/>
      <c r="KEO3" s="136"/>
      <c r="KEP3" s="136"/>
      <c r="KEQ3" s="136"/>
      <c r="KER3" s="136"/>
      <c r="KES3" s="136"/>
      <c r="KET3" s="136"/>
      <c r="KEU3" s="136"/>
      <c r="KEV3" s="136"/>
      <c r="KEW3" s="136"/>
      <c r="KEX3" s="136"/>
      <c r="KEY3" s="136"/>
      <c r="KEZ3" s="136"/>
      <c r="KFA3" s="136"/>
      <c r="KFB3" s="136"/>
      <c r="KFC3" s="136"/>
      <c r="KFD3" s="136"/>
      <c r="KFE3" s="136"/>
      <c r="KFF3" s="136"/>
      <c r="KFG3" s="136"/>
      <c r="KFH3" s="136"/>
      <c r="KFI3" s="136"/>
      <c r="KFJ3" s="136"/>
      <c r="KFK3" s="136"/>
      <c r="KFL3" s="136"/>
      <c r="KFM3" s="136"/>
      <c r="KFN3" s="136"/>
      <c r="KFO3" s="136"/>
      <c r="KFP3" s="136"/>
      <c r="KFQ3" s="136"/>
      <c r="KFR3" s="136"/>
      <c r="KFS3" s="136"/>
      <c r="KFT3" s="136"/>
      <c r="KFU3" s="136"/>
      <c r="KFV3" s="136"/>
      <c r="KFW3" s="136"/>
      <c r="KFX3" s="136"/>
      <c r="KFY3" s="136"/>
      <c r="KFZ3" s="136"/>
      <c r="KGA3" s="136"/>
      <c r="KGB3" s="136"/>
      <c r="KGC3" s="136"/>
      <c r="KGD3" s="136"/>
      <c r="KGE3" s="136"/>
      <c r="KGF3" s="136"/>
      <c r="KGG3" s="136"/>
      <c r="KGH3" s="136"/>
      <c r="KGI3" s="136"/>
      <c r="KGJ3" s="136"/>
      <c r="KGK3" s="136"/>
      <c r="KGL3" s="136"/>
      <c r="KGM3" s="136"/>
      <c r="KGN3" s="136"/>
      <c r="KGO3" s="136"/>
      <c r="KGP3" s="136"/>
      <c r="KGQ3" s="136"/>
      <c r="KGR3" s="136"/>
      <c r="KGS3" s="136"/>
      <c r="KGT3" s="136"/>
      <c r="KGU3" s="136"/>
      <c r="KGV3" s="136"/>
      <c r="KGW3" s="136"/>
      <c r="KGX3" s="136"/>
      <c r="KGY3" s="136"/>
      <c r="KGZ3" s="136"/>
      <c r="KHA3" s="136"/>
      <c r="KHB3" s="136"/>
      <c r="KHC3" s="136"/>
      <c r="KHD3" s="136"/>
      <c r="KHE3" s="136"/>
      <c r="KHF3" s="136"/>
      <c r="KHG3" s="136"/>
      <c r="KHH3" s="136"/>
      <c r="KHI3" s="136"/>
      <c r="KHJ3" s="136"/>
      <c r="KHK3" s="136"/>
      <c r="KHL3" s="136"/>
      <c r="KHM3" s="136"/>
      <c r="KHN3" s="136"/>
      <c r="KHO3" s="136"/>
      <c r="KHP3" s="136"/>
      <c r="KHQ3" s="136"/>
      <c r="KHR3" s="136"/>
      <c r="KHS3" s="136"/>
      <c r="KHT3" s="136"/>
      <c r="KHU3" s="136"/>
      <c r="KHV3" s="136"/>
      <c r="KHW3" s="136"/>
      <c r="KHX3" s="136"/>
      <c r="KHY3" s="136"/>
      <c r="KHZ3" s="136"/>
      <c r="KIA3" s="136"/>
      <c r="KIB3" s="136"/>
      <c r="KIC3" s="136"/>
      <c r="KID3" s="136"/>
      <c r="KIE3" s="136"/>
      <c r="KIF3" s="136"/>
      <c r="KIG3" s="136"/>
      <c r="KIH3" s="136"/>
      <c r="KII3" s="136"/>
      <c r="KIJ3" s="136"/>
      <c r="KIK3" s="136"/>
      <c r="KIL3" s="136"/>
      <c r="KIM3" s="136"/>
      <c r="KIN3" s="136"/>
      <c r="KIO3" s="136"/>
      <c r="KIP3" s="136"/>
      <c r="KIQ3" s="136"/>
      <c r="KIR3" s="136"/>
      <c r="KIS3" s="136"/>
      <c r="KIT3" s="136"/>
      <c r="KIU3" s="136"/>
      <c r="KIV3" s="136"/>
      <c r="KIW3" s="136"/>
      <c r="KIX3" s="136"/>
      <c r="KIY3" s="136"/>
      <c r="KIZ3" s="136"/>
      <c r="KJA3" s="136"/>
      <c r="KJB3" s="136"/>
      <c r="KJC3" s="136"/>
      <c r="KJD3" s="136"/>
      <c r="KJE3" s="136"/>
      <c r="KJF3" s="136"/>
      <c r="KJG3" s="136"/>
      <c r="KJH3" s="136"/>
      <c r="KJI3" s="136"/>
      <c r="KJJ3" s="136"/>
      <c r="KJK3" s="136"/>
      <c r="KJL3" s="136"/>
      <c r="KJM3" s="136"/>
      <c r="KJN3" s="136"/>
      <c r="KJO3" s="136"/>
      <c r="KJP3" s="136"/>
      <c r="KJQ3" s="136"/>
      <c r="KJR3" s="136"/>
      <c r="KJS3" s="136"/>
      <c r="KJT3" s="136"/>
      <c r="KJU3" s="136"/>
      <c r="KJV3" s="136"/>
      <c r="KJW3" s="136"/>
      <c r="KJX3" s="136"/>
      <c r="KJY3" s="136"/>
      <c r="KJZ3" s="136"/>
      <c r="KKA3" s="136"/>
      <c r="KKB3" s="136"/>
      <c r="KKC3" s="136"/>
      <c r="KKD3" s="136"/>
      <c r="KKE3" s="136"/>
      <c r="KKF3" s="136"/>
      <c r="KKG3" s="136"/>
      <c r="KKH3" s="136"/>
      <c r="KKI3" s="136"/>
      <c r="KKJ3" s="136"/>
      <c r="KKK3" s="136"/>
      <c r="KKL3" s="136"/>
      <c r="KKM3" s="136"/>
      <c r="KKN3" s="136"/>
      <c r="KKO3" s="136"/>
      <c r="KKP3" s="136"/>
      <c r="KKQ3" s="136"/>
      <c r="KKR3" s="136"/>
      <c r="KKS3" s="136"/>
      <c r="KKT3" s="136"/>
      <c r="KKU3" s="136"/>
      <c r="KKV3" s="136"/>
      <c r="KKW3" s="136"/>
      <c r="KKX3" s="136"/>
      <c r="KKY3" s="136"/>
      <c r="KKZ3" s="136"/>
      <c r="KLA3" s="136"/>
      <c r="KLB3" s="136"/>
      <c r="KLC3" s="136"/>
      <c r="KLD3" s="136"/>
      <c r="KLE3" s="136"/>
      <c r="KLF3" s="136"/>
      <c r="KLG3" s="136"/>
      <c r="KLH3" s="136"/>
      <c r="KLI3" s="136"/>
      <c r="KLJ3" s="136"/>
      <c r="KLK3" s="136"/>
      <c r="KLL3" s="136"/>
      <c r="KLM3" s="136"/>
      <c r="KLN3" s="136"/>
      <c r="KLO3" s="136"/>
      <c r="KLP3" s="136"/>
      <c r="KLQ3" s="136"/>
      <c r="KLR3" s="136"/>
      <c r="KLS3" s="136"/>
      <c r="KLT3" s="136"/>
      <c r="KLU3" s="136"/>
      <c r="KLV3" s="136"/>
      <c r="KLW3" s="136"/>
      <c r="KLX3" s="136"/>
      <c r="KLY3" s="136"/>
      <c r="KLZ3" s="136"/>
      <c r="KMA3" s="136"/>
      <c r="KMB3" s="136"/>
      <c r="KMC3" s="136"/>
      <c r="KMD3" s="136"/>
      <c r="KME3" s="136"/>
      <c r="KMF3" s="136"/>
      <c r="KMG3" s="136"/>
      <c r="KMH3" s="136"/>
      <c r="KMI3" s="136"/>
      <c r="KMJ3" s="136"/>
      <c r="KMK3" s="136"/>
      <c r="KML3" s="136"/>
      <c r="KMM3" s="136"/>
      <c r="KMN3" s="136"/>
      <c r="KMO3" s="136"/>
      <c r="KMP3" s="136"/>
      <c r="KMQ3" s="136"/>
      <c r="KMR3" s="136"/>
      <c r="KMS3" s="136"/>
      <c r="KMT3" s="136"/>
      <c r="KMU3" s="136"/>
      <c r="KMV3" s="136"/>
      <c r="KMW3" s="136"/>
      <c r="KMX3" s="136"/>
      <c r="KMY3" s="136"/>
      <c r="KMZ3" s="136"/>
      <c r="KNA3" s="136"/>
      <c r="KNB3" s="136"/>
      <c r="KNC3" s="136"/>
      <c r="KND3" s="136"/>
      <c r="KNE3" s="136"/>
      <c r="KNF3" s="136"/>
      <c r="KNG3" s="136"/>
      <c r="KNH3" s="136"/>
      <c r="KNI3" s="136"/>
      <c r="KNJ3" s="136"/>
      <c r="KNK3" s="136"/>
      <c r="KNL3" s="136"/>
      <c r="KNM3" s="136"/>
      <c r="KNN3" s="136"/>
      <c r="KNO3" s="136"/>
      <c r="KNP3" s="136"/>
      <c r="KNQ3" s="136"/>
      <c r="KNR3" s="136"/>
      <c r="KNS3" s="136"/>
      <c r="KNT3" s="136"/>
      <c r="KNU3" s="136"/>
      <c r="KNV3" s="136"/>
      <c r="KNW3" s="136"/>
      <c r="KNX3" s="136"/>
      <c r="KNY3" s="136"/>
      <c r="KNZ3" s="136"/>
      <c r="KOA3" s="136"/>
      <c r="KOB3" s="136"/>
      <c r="KOC3" s="136"/>
      <c r="KOD3" s="136"/>
      <c r="KOE3" s="136"/>
      <c r="KOF3" s="136"/>
      <c r="KOG3" s="136"/>
      <c r="KOH3" s="136"/>
      <c r="KOI3" s="136"/>
      <c r="KOJ3" s="136"/>
      <c r="KOK3" s="136"/>
      <c r="KOL3" s="136"/>
      <c r="KOM3" s="136"/>
      <c r="KON3" s="136"/>
      <c r="KOO3" s="136"/>
      <c r="KOP3" s="136"/>
      <c r="KOQ3" s="136"/>
      <c r="KOR3" s="136"/>
      <c r="KOS3" s="136"/>
      <c r="KOT3" s="136"/>
      <c r="KOU3" s="136"/>
      <c r="KOV3" s="136"/>
      <c r="KOW3" s="136"/>
      <c r="KOX3" s="136"/>
      <c r="KOY3" s="136"/>
      <c r="KOZ3" s="136"/>
      <c r="KPA3" s="136"/>
      <c r="KPB3" s="136"/>
      <c r="KPC3" s="136"/>
      <c r="KPD3" s="136"/>
      <c r="KPE3" s="136"/>
      <c r="KPF3" s="136"/>
      <c r="KPG3" s="136"/>
      <c r="KPH3" s="136"/>
      <c r="KPI3" s="136"/>
      <c r="KPJ3" s="136"/>
      <c r="KPK3" s="136"/>
      <c r="KPL3" s="136"/>
      <c r="KPM3" s="136"/>
      <c r="KPN3" s="136"/>
      <c r="KPO3" s="136"/>
      <c r="KPP3" s="136"/>
      <c r="KPQ3" s="136"/>
      <c r="KPR3" s="136"/>
      <c r="KPS3" s="136"/>
      <c r="KPT3" s="136"/>
      <c r="KPU3" s="136"/>
      <c r="KPV3" s="136"/>
      <c r="KPW3" s="136"/>
      <c r="KPX3" s="136"/>
      <c r="KPY3" s="136"/>
      <c r="KPZ3" s="136"/>
      <c r="KQA3" s="136"/>
      <c r="KQB3" s="136"/>
      <c r="KQC3" s="136"/>
      <c r="KQD3" s="136"/>
      <c r="KQE3" s="136"/>
      <c r="KQF3" s="136"/>
      <c r="KQG3" s="136"/>
      <c r="KQH3" s="136"/>
      <c r="KQI3" s="136"/>
      <c r="KQJ3" s="136"/>
      <c r="KQK3" s="136"/>
      <c r="KQL3" s="136"/>
      <c r="KQM3" s="136"/>
      <c r="KQN3" s="136"/>
      <c r="KQO3" s="136"/>
      <c r="KQP3" s="136"/>
      <c r="KQQ3" s="136"/>
      <c r="KQR3" s="136"/>
      <c r="KQS3" s="136"/>
      <c r="KQT3" s="136"/>
      <c r="KQU3" s="136"/>
      <c r="KQV3" s="136"/>
      <c r="KQW3" s="136"/>
      <c r="KQX3" s="136"/>
      <c r="KQY3" s="136"/>
      <c r="KQZ3" s="136"/>
      <c r="KRA3" s="136"/>
      <c r="KRB3" s="136"/>
      <c r="KRC3" s="136"/>
      <c r="KRD3" s="136"/>
      <c r="KRE3" s="136"/>
      <c r="KRF3" s="136"/>
      <c r="KRG3" s="136"/>
      <c r="KRH3" s="136"/>
      <c r="KRI3" s="136"/>
      <c r="KRJ3" s="136"/>
      <c r="KRK3" s="136"/>
      <c r="KRL3" s="136"/>
      <c r="KRM3" s="136"/>
      <c r="KRN3" s="136"/>
      <c r="KRO3" s="136"/>
      <c r="KRP3" s="136"/>
      <c r="KRQ3" s="136"/>
      <c r="KRR3" s="136"/>
      <c r="KRS3" s="136"/>
      <c r="KRT3" s="136"/>
      <c r="KRU3" s="136"/>
      <c r="KRV3" s="136"/>
      <c r="KRW3" s="136"/>
      <c r="KRX3" s="136"/>
      <c r="KRY3" s="136"/>
      <c r="KRZ3" s="136"/>
      <c r="KSA3" s="136"/>
      <c r="KSB3" s="136"/>
      <c r="KSC3" s="136"/>
      <c r="KSD3" s="136"/>
      <c r="KSE3" s="136"/>
      <c r="KSF3" s="136"/>
      <c r="KSG3" s="136"/>
      <c r="KSH3" s="136"/>
      <c r="KSI3" s="136"/>
      <c r="KSJ3" s="136"/>
      <c r="KSK3" s="136"/>
      <c r="KSL3" s="136"/>
      <c r="KSM3" s="136"/>
      <c r="KSN3" s="136"/>
      <c r="KSO3" s="136"/>
      <c r="KSP3" s="136"/>
      <c r="KSQ3" s="136"/>
      <c r="KSR3" s="136"/>
      <c r="KSS3" s="136"/>
      <c r="KST3" s="136"/>
      <c r="KSU3" s="136"/>
      <c r="KSV3" s="136"/>
      <c r="KSW3" s="136"/>
      <c r="KSX3" s="136"/>
      <c r="KSY3" s="136"/>
      <c r="KSZ3" s="136"/>
      <c r="KTA3" s="136"/>
      <c r="KTB3" s="136"/>
      <c r="KTC3" s="136"/>
      <c r="KTD3" s="136"/>
      <c r="KTE3" s="136"/>
      <c r="KTF3" s="136"/>
      <c r="KTG3" s="136"/>
      <c r="KTH3" s="136"/>
      <c r="KTI3" s="136"/>
      <c r="KTJ3" s="136"/>
      <c r="KTK3" s="136"/>
      <c r="KTL3" s="136"/>
      <c r="KTM3" s="136"/>
      <c r="KTN3" s="136"/>
      <c r="KTO3" s="136"/>
      <c r="KTP3" s="136"/>
      <c r="KTQ3" s="136"/>
      <c r="KTR3" s="136"/>
      <c r="KTS3" s="136"/>
      <c r="KTT3" s="136"/>
      <c r="KTU3" s="136"/>
      <c r="KTV3" s="136"/>
      <c r="KTW3" s="136"/>
      <c r="KTX3" s="136"/>
      <c r="KTY3" s="136"/>
      <c r="KTZ3" s="136"/>
      <c r="KUA3" s="136"/>
      <c r="KUB3" s="136"/>
      <c r="KUC3" s="136"/>
      <c r="KUD3" s="136"/>
      <c r="KUE3" s="136"/>
      <c r="KUF3" s="136"/>
      <c r="KUG3" s="136"/>
      <c r="KUH3" s="136"/>
      <c r="KUI3" s="136"/>
      <c r="KUJ3" s="136"/>
      <c r="KUK3" s="136"/>
      <c r="KUL3" s="136"/>
      <c r="KUM3" s="136"/>
      <c r="KUN3" s="136"/>
      <c r="KUO3" s="136"/>
      <c r="KUP3" s="136"/>
      <c r="KUQ3" s="136"/>
      <c r="KUR3" s="136"/>
      <c r="KUS3" s="136"/>
      <c r="KUT3" s="136"/>
      <c r="KUU3" s="136"/>
      <c r="KUV3" s="136"/>
      <c r="KUW3" s="136"/>
      <c r="KUX3" s="136"/>
      <c r="KUY3" s="136"/>
      <c r="KUZ3" s="136"/>
      <c r="KVA3" s="136"/>
      <c r="KVB3" s="136"/>
      <c r="KVC3" s="136"/>
      <c r="KVD3" s="136"/>
      <c r="KVE3" s="136"/>
      <c r="KVF3" s="136"/>
      <c r="KVG3" s="136"/>
      <c r="KVH3" s="136"/>
      <c r="KVI3" s="136"/>
      <c r="KVJ3" s="136"/>
      <c r="KVK3" s="136"/>
      <c r="KVL3" s="136"/>
      <c r="KVM3" s="136"/>
      <c r="KVN3" s="136"/>
      <c r="KVO3" s="136"/>
      <c r="KVP3" s="136"/>
      <c r="KVQ3" s="136"/>
      <c r="KVR3" s="136"/>
      <c r="KVS3" s="136"/>
      <c r="KVT3" s="136"/>
      <c r="KVU3" s="136"/>
      <c r="KVV3" s="136"/>
      <c r="KVW3" s="136"/>
      <c r="KVX3" s="136"/>
      <c r="KVY3" s="136"/>
      <c r="KVZ3" s="136"/>
      <c r="KWA3" s="136"/>
      <c r="KWB3" s="136"/>
      <c r="KWC3" s="136"/>
      <c r="KWD3" s="136"/>
      <c r="KWE3" s="136"/>
      <c r="KWF3" s="136"/>
      <c r="KWG3" s="136"/>
      <c r="KWH3" s="136"/>
      <c r="KWI3" s="136"/>
      <c r="KWJ3" s="136"/>
      <c r="KWK3" s="136"/>
      <c r="KWL3" s="136"/>
      <c r="KWM3" s="136"/>
      <c r="KWN3" s="136"/>
      <c r="KWO3" s="136"/>
      <c r="KWP3" s="136"/>
      <c r="KWQ3" s="136"/>
      <c r="KWR3" s="136"/>
      <c r="KWS3" s="136"/>
      <c r="KWT3" s="136"/>
      <c r="KWU3" s="136"/>
      <c r="KWV3" s="136"/>
      <c r="KWW3" s="136"/>
      <c r="KWX3" s="136"/>
      <c r="KWY3" s="136"/>
      <c r="KWZ3" s="136"/>
      <c r="KXA3" s="136"/>
      <c r="KXB3" s="136"/>
      <c r="KXC3" s="136"/>
      <c r="KXD3" s="136"/>
      <c r="KXE3" s="136"/>
      <c r="KXF3" s="136"/>
      <c r="KXG3" s="136"/>
      <c r="KXH3" s="136"/>
      <c r="KXI3" s="136"/>
      <c r="KXJ3" s="136"/>
      <c r="KXK3" s="136"/>
      <c r="KXL3" s="136"/>
      <c r="KXM3" s="136"/>
      <c r="KXN3" s="136"/>
      <c r="KXO3" s="136"/>
      <c r="KXP3" s="136"/>
      <c r="KXQ3" s="136"/>
      <c r="KXR3" s="136"/>
      <c r="KXS3" s="136"/>
      <c r="KXT3" s="136"/>
      <c r="KXU3" s="136"/>
      <c r="KXV3" s="136"/>
      <c r="KXW3" s="136"/>
      <c r="KXX3" s="136"/>
      <c r="KXY3" s="136"/>
      <c r="KXZ3" s="136"/>
      <c r="KYA3" s="136"/>
      <c r="KYB3" s="136"/>
      <c r="KYC3" s="136"/>
      <c r="KYD3" s="136"/>
      <c r="KYE3" s="136"/>
      <c r="KYF3" s="136"/>
      <c r="KYG3" s="136"/>
      <c r="KYH3" s="136"/>
      <c r="KYI3" s="136"/>
      <c r="KYJ3" s="136"/>
      <c r="KYK3" s="136"/>
      <c r="KYL3" s="136"/>
      <c r="KYM3" s="136"/>
      <c r="KYN3" s="136"/>
      <c r="KYO3" s="136"/>
      <c r="KYP3" s="136"/>
      <c r="KYQ3" s="136"/>
      <c r="KYR3" s="136"/>
      <c r="KYS3" s="136"/>
      <c r="KYT3" s="136"/>
      <c r="KYU3" s="136"/>
      <c r="KYV3" s="136"/>
      <c r="KYW3" s="136"/>
      <c r="KYX3" s="136"/>
      <c r="KYY3" s="136"/>
      <c r="KYZ3" s="136"/>
      <c r="KZA3" s="136"/>
      <c r="KZB3" s="136"/>
      <c r="KZC3" s="136"/>
      <c r="KZD3" s="136"/>
      <c r="KZE3" s="136"/>
      <c r="KZF3" s="136"/>
      <c r="KZG3" s="136"/>
      <c r="KZH3" s="136"/>
      <c r="KZI3" s="136"/>
      <c r="KZJ3" s="136"/>
      <c r="KZK3" s="136"/>
      <c r="KZL3" s="136"/>
      <c r="KZM3" s="136"/>
      <c r="KZN3" s="136"/>
      <c r="KZO3" s="136"/>
      <c r="KZP3" s="136"/>
      <c r="KZQ3" s="136"/>
      <c r="KZR3" s="136"/>
      <c r="KZS3" s="136"/>
      <c r="KZT3" s="136"/>
      <c r="KZU3" s="136"/>
      <c r="KZV3" s="136"/>
      <c r="KZW3" s="136"/>
      <c r="KZX3" s="136"/>
      <c r="KZY3" s="136"/>
      <c r="KZZ3" s="136"/>
      <c r="LAA3" s="136"/>
      <c r="LAB3" s="136"/>
      <c r="LAC3" s="136"/>
      <c r="LAD3" s="136"/>
      <c r="LAE3" s="136"/>
      <c r="LAF3" s="136"/>
      <c r="LAG3" s="136"/>
      <c r="LAH3" s="136"/>
      <c r="LAI3" s="136"/>
      <c r="LAJ3" s="136"/>
      <c r="LAK3" s="136"/>
      <c r="LAL3" s="136"/>
      <c r="LAM3" s="136"/>
      <c r="LAN3" s="136"/>
      <c r="LAO3" s="136"/>
      <c r="LAP3" s="136"/>
      <c r="LAQ3" s="136"/>
      <c r="LAR3" s="136"/>
      <c r="LAS3" s="136"/>
      <c r="LAT3" s="136"/>
      <c r="LAU3" s="136"/>
      <c r="LAV3" s="136"/>
      <c r="LAW3" s="136"/>
      <c r="LAX3" s="136"/>
      <c r="LAY3" s="136"/>
      <c r="LAZ3" s="136"/>
      <c r="LBA3" s="136"/>
      <c r="LBB3" s="136"/>
      <c r="LBC3" s="136"/>
      <c r="LBD3" s="136"/>
      <c r="LBE3" s="136"/>
      <c r="LBF3" s="136"/>
      <c r="LBG3" s="136"/>
      <c r="LBH3" s="136"/>
      <c r="LBI3" s="136"/>
      <c r="LBJ3" s="136"/>
      <c r="LBK3" s="136"/>
      <c r="LBL3" s="136"/>
      <c r="LBM3" s="136"/>
      <c r="LBN3" s="136"/>
      <c r="LBO3" s="136"/>
      <c r="LBP3" s="136"/>
      <c r="LBQ3" s="136"/>
      <c r="LBR3" s="136"/>
      <c r="LBS3" s="136"/>
      <c r="LBT3" s="136"/>
      <c r="LBU3" s="136"/>
      <c r="LBV3" s="136"/>
      <c r="LBW3" s="136"/>
      <c r="LBX3" s="136"/>
      <c r="LBY3" s="136"/>
      <c r="LBZ3" s="136"/>
      <c r="LCA3" s="136"/>
      <c r="LCB3" s="136"/>
      <c r="LCC3" s="136"/>
      <c r="LCD3" s="136"/>
      <c r="LCE3" s="136"/>
      <c r="LCF3" s="136"/>
      <c r="LCG3" s="136"/>
      <c r="LCH3" s="136"/>
      <c r="LCI3" s="136"/>
      <c r="LCJ3" s="136"/>
      <c r="LCK3" s="136"/>
      <c r="LCL3" s="136"/>
      <c r="LCM3" s="136"/>
      <c r="LCN3" s="136"/>
      <c r="LCO3" s="136"/>
      <c r="LCP3" s="136"/>
      <c r="LCQ3" s="136"/>
      <c r="LCR3" s="136"/>
      <c r="LCS3" s="136"/>
      <c r="LCT3" s="136"/>
      <c r="LCU3" s="136"/>
      <c r="LCV3" s="136"/>
      <c r="LCW3" s="136"/>
      <c r="LCX3" s="136"/>
      <c r="LCY3" s="136"/>
      <c r="LCZ3" s="136"/>
      <c r="LDA3" s="136"/>
      <c r="LDB3" s="136"/>
      <c r="LDC3" s="136"/>
      <c r="LDD3" s="136"/>
      <c r="LDE3" s="136"/>
      <c r="LDF3" s="136"/>
      <c r="LDG3" s="136"/>
      <c r="LDH3" s="136"/>
      <c r="LDI3" s="136"/>
      <c r="LDJ3" s="136"/>
      <c r="LDK3" s="136"/>
      <c r="LDL3" s="136"/>
      <c r="LDM3" s="136"/>
      <c r="LDN3" s="136"/>
      <c r="LDO3" s="136"/>
      <c r="LDP3" s="136"/>
      <c r="LDQ3" s="136"/>
      <c r="LDR3" s="136"/>
      <c r="LDS3" s="136"/>
      <c r="LDT3" s="136"/>
      <c r="LDU3" s="136"/>
      <c r="LDV3" s="136"/>
      <c r="LDW3" s="136"/>
      <c r="LDX3" s="136"/>
      <c r="LDY3" s="136"/>
      <c r="LDZ3" s="136"/>
      <c r="LEA3" s="136"/>
      <c r="LEB3" s="136"/>
      <c r="LEC3" s="136"/>
      <c r="LED3" s="136"/>
      <c r="LEE3" s="136"/>
      <c r="LEF3" s="136"/>
      <c r="LEG3" s="136"/>
      <c r="LEH3" s="136"/>
      <c r="LEI3" s="136"/>
      <c r="LEJ3" s="136"/>
      <c r="LEK3" s="136"/>
      <c r="LEL3" s="136"/>
      <c r="LEM3" s="136"/>
      <c r="LEN3" s="136"/>
      <c r="LEO3" s="136"/>
      <c r="LEP3" s="136"/>
      <c r="LEQ3" s="136"/>
      <c r="LER3" s="136"/>
      <c r="LES3" s="136"/>
      <c r="LET3" s="136"/>
      <c r="LEU3" s="136"/>
      <c r="LEV3" s="136"/>
      <c r="LEW3" s="136"/>
      <c r="LEX3" s="136"/>
      <c r="LEY3" s="136"/>
      <c r="LEZ3" s="136"/>
      <c r="LFA3" s="136"/>
      <c r="LFB3" s="136"/>
      <c r="LFC3" s="136"/>
      <c r="LFD3" s="136"/>
      <c r="LFE3" s="136"/>
      <c r="LFF3" s="136"/>
      <c r="LFG3" s="136"/>
      <c r="LFH3" s="136"/>
      <c r="LFI3" s="136"/>
      <c r="LFJ3" s="136"/>
      <c r="LFK3" s="136"/>
      <c r="LFL3" s="136"/>
      <c r="LFM3" s="136"/>
      <c r="LFN3" s="136"/>
      <c r="LFO3" s="136"/>
      <c r="LFP3" s="136"/>
      <c r="LFQ3" s="136"/>
      <c r="LFR3" s="136"/>
      <c r="LFS3" s="136"/>
      <c r="LFT3" s="136"/>
      <c r="LFU3" s="136"/>
      <c r="LFV3" s="136"/>
      <c r="LFW3" s="136"/>
      <c r="LFX3" s="136"/>
      <c r="LFY3" s="136"/>
      <c r="LFZ3" s="136"/>
      <c r="LGA3" s="136"/>
      <c r="LGB3" s="136"/>
      <c r="LGC3" s="136"/>
      <c r="LGD3" s="136"/>
      <c r="LGE3" s="136"/>
      <c r="LGF3" s="136"/>
      <c r="LGG3" s="136"/>
      <c r="LGH3" s="136"/>
      <c r="LGI3" s="136"/>
      <c r="LGJ3" s="136"/>
      <c r="LGK3" s="136"/>
      <c r="LGL3" s="136"/>
      <c r="LGM3" s="136"/>
      <c r="LGN3" s="136"/>
      <c r="LGO3" s="136"/>
      <c r="LGP3" s="136"/>
      <c r="LGQ3" s="136"/>
      <c r="LGR3" s="136"/>
      <c r="LGS3" s="136"/>
      <c r="LGT3" s="136"/>
      <c r="LGU3" s="136"/>
      <c r="LGV3" s="136"/>
      <c r="LGW3" s="136"/>
      <c r="LGX3" s="136"/>
      <c r="LGY3" s="136"/>
      <c r="LGZ3" s="136"/>
      <c r="LHA3" s="136"/>
      <c r="LHB3" s="136"/>
      <c r="LHC3" s="136"/>
      <c r="LHD3" s="136"/>
      <c r="LHE3" s="136"/>
      <c r="LHF3" s="136"/>
      <c r="LHG3" s="136"/>
      <c r="LHH3" s="136"/>
      <c r="LHI3" s="136"/>
      <c r="LHJ3" s="136"/>
      <c r="LHK3" s="136"/>
      <c r="LHL3" s="136"/>
      <c r="LHM3" s="136"/>
      <c r="LHN3" s="136"/>
      <c r="LHO3" s="136"/>
      <c r="LHP3" s="136"/>
      <c r="LHQ3" s="136"/>
      <c r="LHR3" s="136"/>
      <c r="LHS3" s="136"/>
      <c r="LHT3" s="136"/>
      <c r="LHU3" s="136"/>
      <c r="LHV3" s="136"/>
      <c r="LHW3" s="136"/>
      <c r="LHX3" s="136"/>
      <c r="LHY3" s="136"/>
      <c r="LHZ3" s="136"/>
      <c r="LIA3" s="136"/>
      <c r="LIB3" s="136"/>
      <c r="LIC3" s="136"/>
      <c r="LID3" s="136"/>
      <c r="LIE3" s="136"/>
      <c r="LIF3" s="136"/>
      <c r="LIG3" s="136"/>
      <c r="LIH3" s="136"/>
      <c r="LII3" s="136"/>
      <c r="LIJ3" s="136"/>
      <c r="LIK3" s="136"/>
      <c r="LIL3" s="136"/>
      <c r="LIM3" s="136"/>
      <c r="LIN3" s="136"/>
      <c r="LIO3" s="136"/>
      <c r="LIP3" s="136"/>
      <c r="LIQ3" s="136"/>
      <c r="LIR3" s="136"/>
      <c r="LIS3" s="136"/>
      <c r="LIT3" s="136"/>
      <c r="LIU3" s="136"/>
      <c r="LIV3" s="136"/>
      <c r="LIW3" s="136"/>
      <c r="LIX3" s="136"/>
      <c r="LIY3" s="136"/>
      <c r="LIZ3" s="136"/>
      <c r="LJA3" s="136"/>
      <c r="LJB3" s="136"/>
      <c r="LJC3" s="136"/>
      <c r="LJD3" s="136"/>
      <c r="LJE3" s="136"/>
      <c r="LJF3" s="136"/>
      <c r="LJG3" s="136"/>
      <c r="LJH3" s="136"/>
      <c r="LJI3" s="136"/>
      <c r="LJJ3" s="136"/>
      <c r="LJK3" s="136"/>
      <c r="LJL3" s="136"/>
      <c r="LJM3" s="136"/>
      <c r="LJN3" s="136"/>
      <c r="LJO3" s="136"/>
      <c r="LJP3" s="136"/>
      <c r="LJQ3" s="136"/>
      <c r="LJR3" s="136"/>
      <c r="LJS3" s="136"/>
      <c r="LJT3" s="136"/>
      <c r="LJU3" s="136"/>
      <c r="LJV3" s="136"/>
      <c r="LJW3" s="136"/>
      <c r="LJX3" s="136"/>
      <c r="LJY3" s="136"/>
      <c r="LJZ3" s="136"/>
      <c r="LKA3" s="136"/>
      <c r="LKB3" s="136"/>
      <c r="LKC3" s="136"/>
      <c r="LKD3" s="136"/>
      <c r="LKE3" s="136"/>
      <c r="LKF3" s="136"/>
      <c r="LKG3" s="136"/>
      <c r="LKH3" s="136"/>
      <c r="LKI3" s="136"/>
      <c r="LKJ3" s="136"/>
      <c r="LKK3" s="136"/>
      <c r="LKL3" s="136"/>
      <c r="LKM3" s="136"/>
      <c r="LKN3" s="136"/>
      <c r="LKO3" s="136"/>
      <c r="LKP3" s="136"/>
      <c r="LKQ3" s="136"/>
      <c r="LKR3" s="136"/>
      <c r="LKS3" s="136"/>
      <c r="LKT3" s="136"/>
      <c r="LKU3" s="136"/>
      <c r="LKV3" s="136"/>
      <c r="LKW3" s="136"/>
      <c r="LKX3" s="136"/>
      <c r="LKY3" s="136"/>
      <c r="LKZ3" s="136"/>
      <c r="LLA3" s="136"/>
      <c r="LLB3" s="136"/>
      <c r="LLC3" s="136"/>
      <c r="LLD3" s="136"/>
      <c r="LLE3" s="136"/>
      <c r="LLF3" s="136"/>
      <c r="LLG3" s="136"/>
      <c r="LLH3" s="136"/>
      <c r="LLI3" s="136"/>
      <c r="LLJ3" s="136"/>
      <c r="LLK3" s="136"/>
      <c r="LLL3" s="136"/>
      <c r="LLM3" s="136"/>
      <c r="LLN3" s="136"/>
      <c r="LLO3" s="136"/>
      <c r="LLP3" s="136"/>
      <c r="LLQ3" s="136"/>
      <c r="LLR3" s="136"/>
      <c r="LLS3" s="136"/>
      <c r="LLT3" s="136"/>
      <c r="LLU3" s="136"/>
      <c r="LLV3" s="136"/>
      <c r="LLW3" s="136"/>
      <c r="LLX3" s="136"/>
      <c r="LLY3" s="136"/>
      <c r="LLZ3" s="136"/>
      <c r="LMA3" s="136"/>
      <c r="LMB3" s="136"/>
      <c r="LMC3" s="136"/>
      <c r="LMD3" s="136"/>
      <c r="LME3" s="136"/>
      <c r="LMF3" s="136"/>
      <c r="LMG3" s="136"/>
      <c r="LMH3" s="136"/>
      <c r="LMI3" s="136"/>
      <c r="LMJ3" s="136"/>
      <c r="LMK3" s="136"/>
      <c r="LML3" s="136"/>
      <c r="LMM3" s="136"/>
      <c r="LMN3" s="136"/>
      <c r="LMO3" s="136"/>
      <c r="LMP3" s="136"/>
      <c r="LMQ3" s="136"/>
      <c r="LMR3" s="136"/>
      <c r="LMS3" s="136"/>
      <c r="LMT3" s="136"/>
      <c r="LMU3" s="136"/>
      <c r="LMV3" s="136"/>
      <c r="LMW3" s="136"/>
      <c r="LMX3" s="136"/>
      <c r="LMY3" s="136"/>
      <c r="LMZ3" s="136"/>
      <c r="LNA3" s="136"/>
      <c r="LNB3" s="136"/>
      <c r="LNC3" s="136"/>
      <c r="LND3" s="136"/>
      <c r="LNE3" s="136"/>
      <c r="LNF3" s="136"/>
      <c r="LNG3" s="136"/>
      <c r="LNH3" s="136"/>
      <c r="LNI3" s="136"/>
      <c r="LNJ3" s="136"/>
      <c r="LNK3" s="136"/>
      <c r="LNL3" s="136"/>
      <c r="LNM3" s="136"/>
      <c r="LNN3" s="136"/>
      <c r="LNO3" s="136"/>
      <c r="LNP3" s="136"/>
      <c r="LNQ3" s="136"/>
      <c r="LNR3" s="136"/>
      <c r="LNS3" s="136"/>
      <c r="LNT3" s="136"/>
      <c r="LNU3" s="136"/>
      <c r="LNV3" s="136"/>
      <c r="LNW3" s="136"/>
      <c r="LNX3" s="136"/>
      <c r="LNY3" s="136"/>
      <c r="LNZ3" s="136"/>
      <c r="LOA3" s="136"/>
      <c r="LOB3" s="136"/>
      <c r="LOC3" s="136"/>
      <c r="LOD3" s="136"/>
      <c r="LOE3" s="136"/>
      <c r="LOF3" s="136"/>
      <c r="LOG3" s="136"/>
      <c r="LOH3" s="136"/>
      <c r="LOI3" s="136"/>
      <c r="LOJ3" s="136"/>
      <c r="LOK3" s="136"/>
      <c r="LOL3" s="136"/>
      <c r="LOM3" s="136"/>
      <c r="LON3" s="136"/>
      <c r="LOO3" s="136"/>
      <c r="LOP3" s="136"/>
      <c r="LOQ3" s="136"/>
      <c r="LOR3" s="136"/>
      <c r="LOS3" s="136"/>
      <c r="LOT3" s="136"/>
      <c r="LOU3" s="136"/>
      <c r="LOV3" s="136"/>
      <c r="LOW3" s="136"/>
      <c r="LOX3" s="136"/>
      <c r="LOY3" s="136"/>
      <c r="LOZ3" s="136"/>
      <c r="LPA3" s="136"/>
      <c r="LPB3" s="136"/>
      <c r="LPC3" s="136"/>
      <c r="LPD3" s="136"/>
      <c r="LPE3" s="136"/>
      <c r="LPF3" s="136"/>
      <c r="LPG3" s="136"/>
      <c r="LPH3" s="136"/>
      <c r="LPI3" s="136"/>
      <c r="LPJ3" s="136"/>
      <c r="LPK3" s="136"/>
      <c r="LPL3" s="136"/>
      <c r="LPM3" s="136"/>
      <c r="LPN3" s="136"/>
      <c r="LPO3" s="136"/>
      <c r="LPP3" s="136"/>
      <c r="LPQ3" s="136"/>
      <c r="LPR3" s="136"/>
      <c r="LPS3" s="136"/>
      <c r="LPT3" s="136"/>
      <c r="LPU3" s="136"/>
      <c r="LPV3" s="136"/>
      <c r="LPW3" s="136"/>
      <c r="LPX3" s="136"/>
      <c r="LPY3" s="136"/>
      <c r="LPZ3" s="136"/>
      <c r="LQA3" s="136"/>
      <c r="LQB3" s="136"/>
      <c r="LQC3" s="136"/>
      <c r="LQD3" s="136"/>
      <c r="LQE3" s="136"/>
      <c r="LQF3" s="136"/>
      <c r="LQG3" s="136"/>
      <c r="LQH3" s="136"/>
      <c r="LQI3" s="136"/>
      <c r="LQJ3" s="136"/>
      <c r="LQK3" s="136"/>
      <c r="LQL3" s="136"/>
      <c r="LQM3" s="136"/>
      <c r="LQN3" s="136"/>
      <c r="LQO3" s="136"/>
      <c r="LQP3" s="136"/>
      <c r="LQQ3" s="136"/>
      <c r="LQR3" s="136"/>
      <c r="LQS3" s="136"/>
      <c r="LQT3" s="136"/>
      <c r="LQU3" s="136"/>
      <c r="LQV3" s="136"/>
      <c r="LQW3" s="136"/>
      <c r="LQX3" s="136"/>
      <c r="LQY3" s="136"/>
      <c r="LQZ3" s="136"/>
      <c r="LRA3" s="136"/>
      <c r="LRB3" s="136"/>
      <c r="LRC3" s="136"/>
      <c r="LRD3" s="136"/>
      <c r="LRE3" s="136"/>
      <c r="LRF3" s="136"/>
      <c r="LRG3" s="136"/>
      <c r="LRH3" s="136"/>
      <c r="LRI3" s="136"/>
      <c r="LRJ3" s="136"/>
      <c r="LRK3" s="136"/>
      <c r="LRL3" s="136"/>
      <c r="LRM3" s="136"/>
      <c r="LRN3" s="136"/>
      <c r="LRO3" s="136"/>
      <c r="LRP3" s="136"/>
      <c r="LRQ3" s="136"/>
      <c r="LRR3" s="136"/>
      <c r="LRS3" s="136"/>
      <c r="LRT3" s="136"/>
      <c r="LRU3" s="136"/>
      <c r="LRV3" s="136"/>
      <c r="LRW3" s="136"/>
      <c r="LRX3" s="136"/>
      <c r="LRY3" s="136"/>
      <c r="LRZ3" s="136"/>
      <c r="LSA3" s="136"/>
      <c r="LSB3" s="136"/>
      <c r="LSC3" s="136"/>
      <c r="LSD3" s="136"/>
      <c r="LSE3" s="136"/>
      <c r="LSF3" s="136"/>
      <c r="LSG3" s="136"/>
      <c r="LSH3" s="136"/>
      <c r="LSI3" s="136"/>
      <c r="LSJ3" s="136"/>
      <c r="LSK3" s="136"/>
      <c r="LSL3" s="136"/>
      <c r="LSM3" s="136"/>
      <c r="LSN3" s="136"/>
      <c r="LSO3" s="136"/>
      <c r="LSP3" s="136"/>
      <c r="LSQ3" s="136"/>
      <c r="LSR3" s="136"/>
      <c r="LSS3" s="136"/>
      <c r="LST3" s="136"/>
      <c r="LSU3" s="136"/>
      <c r="LSV3" s="136"/>
      <c r="LSW3" s="136"/>
      <c r="LSX3" s="136"/>
      <c r="LSY3" s="136"/>
      <c r="LSZ3" s="136"/>
      <c r="LTA3" s="136"/>
      <c r="LTB3" s="136"/>
      <c r="LTC3" s="136"/>
      <c r="LTD3" s="136"/>
      <c r="LTE3" s="136"/>
      <c r="LTF3" s="136"/>
      <c r="LTG3" s="136"/>
      <c r="LTH3" s="136"/>
      <c r="LTI3" s="136"/>
      <c r="LTJ3" s="136"/>
      <c r="LTK3" s="136"/>
      <c r="LTL3" s="136"/>
      <c r="LTM3" s="136"/>
      <c r="LTN3" s="136"/>
      <c r="LTO3" s="136"/>
      <c r="LTP3" s="136"/>
      <c r="LTQ3" s="136"/>
      <c r="LTR3" s="136"/>
      <c r="LTS3" s="136"/>
      <c r="LTT3" s="136"/>
      <c r="LTU3" s="136"/>
      <c r="LTV3" s="136"/>
      <c r="LTW3" s="136"/>
      <c r="LTX3" s="136"/>
      <c r="LTY3" s="136"/>
      <c r="LTZ3" s="136"/>
      <c r="LUA3" s="136"/>
      <c r="LUB3" s="136"/>
      <c r="LUC3" s="136"/>
      <c r="LUD3" s="136"/>
      <c r="LUE3" s="136"/>
      <c r="LUF3" s="136"/>
      <c r="LUG3" s="136"/>
      <c r="LUH3" s="136"/>
      <c r="LUI3" s="136"/>
      <c r="LUJ3" s="136"/>
      <c r="LUK3" s="136"/>
      <c r="LUL3" s="136"/>
      <c r="LUM3" s="136"/>
      <c r="LUN3" s="136"/>
      <c r="LUO3" s="136"/>
      <c r="LUP3" s="136"/>
      <c r="LUQ3" s="136"/>
      <c r="LUR3" s="136"/>
      <c r="LUS3" s="136"/>
      <c r="LUT3" s="136"/>
      <c r="LUU3" s="136"/>
      <c r="LUV3" s="136"/>
      <c r="LUW3" s="136"/>
      <c r="LUX3" s="136"/>
      <c r="LUY3" s="136"/>
      <c r="LUZ3" s="136"/>
      <c r="LVA3" s="136"/>
      <c r="LVB3" s="136"/>
      <c r="LVC3" s="136"/>
      <c r="LVD3" s="136"/>
      <c r="LVE3" s="136"/>
      <c r="LVF3" s="136"/>
      <c r="LVG3" s="136"/>
      <c r="LVH3" s="136"/>
      <c r="LVI3" s="136"/>
      <c r="LVJ3" s="136"/>
      <c r="LVK3" s="136"/>
      <c r="LVL3" s="136"/>
      <c r="LVM3" s="136"/>
      <c r="LVN3" s="136"/>
      <c r="LVO3" s="136"/>
      <c r="LVP3" s="136"/>
      <c r="LVQ3" s="136"/>
      <c r="LVR3" s="136"/>
      <c r="LVS3" s="136"/>
      <c r="LVT3" s="136"/>
      <c r="LVU3" s="136"/>
      <c r="LVV3" s="136"/>
      <c r="LVW3" s="136"/>
      <c r="LVX3" s="136"/>
      <c r="LVY3" s="136"/>
      <c r="LVZ3" s="136"/>
      <c r="LWA3" s="136"/>
      <c r="LWB3" s="136"/>
      <c r="LWC3" s="136"/>
      <c r="LWD3" s="136"/>
      <c r="LWE3" s="136"/>
      <c r="LWF3" s="136"/>
      <c r="LWG3" s="136"/>
      <c r="LWH3" s="136"/>
      <c r="LWI3" s="136"/>
      <c r="LWJ3" s="136"/>
      <c r="LWK3" s="136"/>
      <c r="LWL3" s="136"/>
      <c r="LWM3" s="136"/>
      <c r="LWN3" s="136"/>
      <c r="LWO3" s="136"/>
      <c r="LWP3" s="136"/>
      <c r="LWQ3" s="136"/>
      <c r="LWR3" s="136"/>
      <c r="LWS3" s="136"/>
      <c r="LWT3" s="136"/>
      <c r="LWU3" s="136"/>
      <c r="LWV3" s="136"/>
      <c r="LWW3" s="136"/>
      <c r="LWX3" s="136"/>
      <c r="LWY3" s="136"/>
      <c r="LWZ3" s="136"/>
      <c r="LXA3" s="136"/>
      <c r="LXB3" s="136"/>
      <c r="LXC3" s="136"/>
      <c r="LXD3" s="136"/>
      <c r="LXE3" s="136"/>
      <c r="LXF3" s="136"/>
      <c r="LXG3" s="136"/>
      <c r="LXH3" s="136"/>
      <c r="LXI3" s="136"/>
      <c r="LXJ3" s="136"/>
      <c r="LXK3" s="136"/>
      <c r="LXL3" s="136"/>
      <c r="LXM3" s="136"/>
      <c r="LXN3" s="136"/>
      <c r="LXO3" s="136"/>
      <c r="LXP3" s="136"/>
      <c r="LXQ3" s="136"/>
      <c r="LXR3" s="136"/>
      <c r="LXS3" s="136"/>
      <c r="LXT3" s="136"/>
      <c r="LXU3" s="136"/>
      <c r="LXV3" s="136"/>
      <c r="LXW3" s="136"/>
      <c r="LXX3" s="136"/>
      <c r="LXY3" s="136"/>
      <c r="LXZ3" s="136"/>
      <c r="LYA3" s="136"/>
      <c r="LYB3" s="136"/>
      <c r="LYC3" s="136"/>
      <c r="LYD3" s="136"/>
      <c r="LYE3" s="136"/>
      <c r="LYF3" s="136"/>
      <c r="LYG3" s="136"/>
      <c r="LYH3" s="136"/>
      <c r="LYI3" s="136"/>
      <c r="LYJ3" s="136"/>
      <c r="LYK3" s="136"/>
      <c r="LYL3" s="136"/>
      <c r="LYM3" s="136"/>
      <c r="LYN3" s="136"/>
      <c r="LYO3" s="136"/>
      <c r="LYP3" s="136"/>
      <c r="LYQ3" s="136"/>
      <c r="LYR3" s="136"/>
      <c r="LYS3" s="136"/>
      <c r="LYT3" s="136"/>
      <c r="LYU3" s="136"/>
      <c r="LYV3" s="136"/>
      <c r="LYW3" s="136"/>
      <c r="LYX3" s="136"/>
      <c r="LYY3" s="136"/>
      <c r="LYZ3" s="136"/>
      <c r="LZA3" s="136"/>
      <c r="LZB3" s="136"/>
      <c r="LZC3" s="136"/>
      <c r="LZD3" s="136"/>
      <c r="LZE3" s="136"/>
      <c r="LZF3" s="136"/>
      <c r="LZG3" s="136"/>
      <c r="LZH3" s="136"/>
      <c r="LZI3" s="136"/>
      <c r="LZJ3" s="136"/>
      <c r="LZK3" s="136"/>
      <c r="LZL3" s="136"/>
      <c r="LZM3" s="136"/>
      <c r="LZN3" s="136"/>
      <c r="LZO3" s="136"/>
      <c r="LZP3" s="136"/>
      <c r="LZQ3" s="136"/>
      <c r="LZR3" s="136"/>
      <c r="LZS3" s="136"/>
      <c r="LZT3" s="136"/>
      <c r="LZU3" s="136"/>
      <c r="LZV3" s="136"/>
      <c r="LZW3" s="136"/>
      <c r="LZX3" s="136"/>
      <c r="LZY3" s="136"/>
      <c r="LZZ3" s="136"/>
      <c r="MAA3" s="136"/>
      <c r="MAB3" s="136"/>
      <c r="MAC3" s="136"/>
      <c r="MAD3" s="136"/>
      <c r="MAE3" s="136"/>
      <c r="MAF3" s="136"/>
      <c r="MAG3" s="136"/>
      <c r="MAH3" s="136"/>
      <c r="MAI3" s="136"/>
      <c r="MAJ3" s="136"/>
      <c r="MAK3" s="136"/>
      <c r="MAL3" s="136"/>
      <c r="MAM3" s="136"/>
      <c r="MAN3" s="136"/>
      <c r="MAO3" s="136"/>
      <c r="MAP3" s="136"/>
      <c r="MAQ3" s="136"/>
      <c r="MAR3" s="136"/>
      <c r="MAS3" s="136"/>
      <c r="MAT3" s="136"/>
      <c r="MAU3" s="136"/>
      <c r="MAV3" s="136"/>
      <c r="MAW3" s="136"/>
      <c r="MAX3" s="136"/>
      <c r="MAY3" s="136"/>
      <c r="MAZ3" s="136"/>
      <c r="MBA3" s="136"/>
      <c r="MBB3" s="136"/>
      <c r="MBC3" s="136"/>
      <c r="MBD3" s="136"/>
      <c r="MBE3" s="136"/>
      <c r="MBF3" s="136"/>
      <c r="MBG3" s="136"/>
      <c r="MBH3" s="136"/>
      <c r="MBI3" s="136"/>
      <c r="MBJ3" s="136"/>
      <c r="MBK3" s="136"/>
      <c r="MBL3" s="136"/>
      <c r="MBM3" s="136"/>
      <c r="MBN3" s="136"/>
      <c r="MBO3" s="136"/>
      <c r="MBP3" s="136"/>
      <c r="MBQ3" s="136"/>
      <c r="MBR3" s="136"/>
      <c r="MBS3" s="136"/>
      <c r="MBT3" s="136"/>
      <c r="MBU3" s="136"/>
      <c r="MBV3" s="136"/>
      <c r="MBW3" s="136"/>
      <c r="MBX3" s="136"/>
      <c r="MBY3" s="136"/>
      <c r="MBZ3" s="136"/>
      <c r="MCA3" s="136"/>
      <c r="MCB3" s="136"/>
      <c r="MCC3" s="136"/>
      <c r="MCD3" s="136"/>
      <c r="MCE3" s="136"/>
      <c r="MCF3" s="136"/>
      <c r="MCG3" s="136"/>
      <c r="MCH3" s="136"/>
      <c r="MCI3" s="136"/>
      <c r="MCJ3" s="136"/>
      <c r="MCK3" s="136"/>
      <c r="MCL3" s="136"/>
      <c r="MCM3" s="136"/>
      <c r="MCN3" s="136"/>
      <c r="MCO3" s="136"/>
      <c r="MCP3" s="136"/>
      <c r="MCQ3" s="136"/>
      <c r="MCR3" s="136"/>
      <c r="MCS3" s="136"/>
      <c r="MCT3" s="136"/>
      <c r="MCU3" s="136"/>
      <c r="MCV3" s="136"/>
      <c r="MCW3" s="136"/>
      <c r="MCX3" s="136"/>
      <c r="MCY3" s="136"/>
      <c r="MCZ3" s="136"/>
      <c r="MDA3" s="136"/>
      <c r="MDB3" s="136"/>
      <c r="MDC3" s="136"/>
      <c r="MDD3" s="136"/>
      <c r="MDE3" s="136"/>
      <c r="MDF3" s="136"/>
      <c r="MDG3" s="136"/>
      <c r="MDH3" s="136"/>
      <c r="MDI3" s="136"/>
      <c r="MDJ3" s="136"/>
      <c r="MDK3" s="136"/>
      <c r="MDL3" s="136"/>
      <c r="MDM3" s="136"/>
      <c r="MDN3" s="136"/>
      <c r="MDO3" s="136"/>
      <c r="MDP3" s="136"/>
      <c r="MDQ3" s="136"/>
      <c r="MDR3" s="136"/>
      <c r="MDS3" s="136"/>
      <c r="MDT3" s="136"/>
      <c r="MDU3" s="136"/>
      <c r="MDV3" s="136"/>
      <c r="MDW3" s="136"/>
      <c r="MDX3" s="136"/>
      <c r="MDY3" s="136"/>
      <c r="MDZ3" s="136"/>
      <c r="MEA3" s="136"/>
      <c r="MEB3" s="136"/>
      <c r="MEC3" s="136"/>
      <c r="MED3" s="136"/>
      <c r="MEE3" s="136"/>
      <c r="MEF3" s="136"/>
      <c r="MEG3" s="136"/>
      <c r="MEH3" s="136"/>
      <c r="MEI3" s="136"/>
      <c r="MEJ3" s="136"/>
      <c r="MEK3" s="136"/>
      <c r="MEL3" s="136"/>
      <c r="MEM3" s="136"/>
      <c r="MEN3" s="136"/>
      <c r="MEO3" s="136"/>
      <c r="MEP3" s="136"/>
      <c r="MEQ3" s="136"/>
      <c r="MER3" s="136"/>
      <c r="MES3" s="136"/>
      <c r="MET3" s="136"/>
      <c r="MEU3" s="136"/>
      <c r="MEV3" s="136"/>
      <c r="MEW3" s="136"/>
      <c r="MEX3" s="136"/>
      <c r="MEY3" s="136"/>
      <c r="MEZ3" s="136"/>
      <c r="MFA3" s="136"/>
      <c r="MFB3" s="136"/>
      <c r="MFC3" s="136"/>
      <c r="MFD3" s="136"/>
      <c r="MFE3" s="136"/>
      <c r="MFF3" s="136"/>
      <c r="MFG3" s="136"/>
      <c r="MFH3" s="136"/>
      <c r="MFI3" s="136"/>
      <c r="MFJ3" s="136"/>
      <c r="MFK3" s="136"/>
      <c r="MFL3" s="136"/>
      <c r="MFM3" s="136"/>
      <c r="MFN3" s="136"/>
      <c r="MFO3" s="136"/>
      <c r="MFP3" s="136"/>
      <c r="MFQ3" s="136"/>
      <c r="MFR3" s="136"/>
      <c r="MFS3" s="136"/>
      <c r="MFT3" s="136"/>
      <c r="MFU3" s="136"/>
      <c r="MFV3" s="136"/>
      <c r="MFW3" s="136"/>
      <c r="MFX3" s="136"/>
      <c r="MFY3" s="136"/>
      <c r="MFZ3" s="136"/>
      <c r="MGA3" s="136"/>
      <c r="MGB3" s="136"/>
      <c r="MGC3" s="136"/>
      <c r="MGD3" s="136"/>
      <c r="MGE3" s="136"/>
      <c r="MGF3" s="136"/>
      <c r="MGG3" s="136"/>
      <c r="MGH3" s="136"/>
      <c r="MGI3" s="136"/>
      <c r="MGJ3" s="136"/>
      <c r="MGK3" s="136"/>
      <c r="MGL3" s="136"/>
      <c r="MGM3" s="136"/>
      <c r="MGN3" s="136"/>
      <c r="MGO3" s="136"/>
      <c r="MGP3" s="136"/>
      <c r="MGQ3" s="136"/>
      <c r="MGR3" s="136"/>
      <c r="MGS3" s="136"/>
      <c r="MGT3" s="136"/>
      <c r="MGU3" s="136"/>
      <c r="MGV3" s="136"/>
      <c r="MGW3" s="136"/>
      <c r="MGX3" s="136"/>
      <c r="MGY3" s="136"/>
      <c r="MGZ3" s="136"/>
      <c r="MHA3" s="136"/>
      <c r="MHB3" s="136"/>
      <c r="MHC3" s="136"/>
      <c r="MHD3" s="136"/>
      <c r="MHE3" s="136"/>
      <c r="MHF3" s="136"/>
      <c r="MHG3" s="136"/>
      <c r="MHH3" s="136"/>
      <c r="MHI3" s="136"/>
      <c r="MHJ3" s="136"/>
      <c r="MHK3" s="136"/>
      <c r="MHL3" s="136"/>
      <c r="MHM3" s="136"/>
      <c r="MHN3" s="136"/>
      <c r="MHO3" s="136"/>
      <c r="MHP3" s="136"/>
      <c r="MHQ3" s="136"/>
      <c r="MHR3" s="136"/>
      <c r="MHS3" s="136"/>
      <c r="MHT3" s="136"/>
      <c r="MHU3" s="136"/>
      <c r="MHV3" s="136"/>
      <c r="MHW3" s="136"/>
      <c r="MHX3" s="136"/>
      <c r="MHY3" s="136"/>
      <c r="MHZ3" s="136"/>
      <c r="MIA3" s="136"/>
      <c r="MIB3" s="136"/>
      <c r="MIC3" s="136"/>
      <c r="MID3" s="136"/>
      <c r="MIE3" s="136"/>
      <c r="MIF3" s="136"/>
      <c r="MIG3" s="136"/>
      <c r="MIH3" s="136"/>
      <c r="MII3" s="136"/>
      <c r="MIJ3" s="136"/>
      <c r="MIK3" s="136"/>
      <c r="MIL3" s="136"/>
      <c r="MIM3" s="136"/>
      <c r="MIN3" s="136"/>
      <c r="MIO3" s="136"/>
      <c r="MIP3" s="136"/>
      <c r="MIQ3" s="136"/>
      <c r="MIR3" s="136"/>
      <c r="MIS3" s="136"/>
      <c r="MIT3" s="136"/>
      <c r="MIU3" s="136"/>
      <c r="MIV3" s="136"/>
      <c r="MIW3" s="136"/>
      <c r="MIX3" s="136"/>
      <c r="MIY3" s="136"/>
      <c r="MIZ3" s="136"/>
      <c r="MJA3" s="136"/>
      <c r="MJB3" s="136"/>
      <c r="MJC3" s="136"/>
      <c r="MJD3" s="136"/>
      <c r="MJE3" s="136"/>
      <c r="MJF3" s="136"/>
      <c r="MJG3" s="136"/>
      <c r="MJH3" s="136"/>
      <c r="MJI3" s="136"/>
      <c r="MJJ3" s="136"/>
      <c r="MJK3" s="136"/>
      <c r="MJL3" s="136"/>
      <c r="MJM3" s="136"/>
      <c r="MJN3" s="136"/>
      <c r="MJO3" s="136"/>
      <c r="MJP3" s="136"/>
      <c r="MJQ3" s="136"/>
      <c r="MJR3" s="136"/>
      <c r="MJS3" s="136"/>
      <c r="MJT3" s="136"/>
      <c r="MJU3" s="136"/>
      <c r="MJV3" s="136"/>
      <c r="MJW3" s="136"/>
      <c r="MJX3" s="136"/>
      <c r="MJY3" s="136"/>
      <c r="MJZ3" s="136"/>
      <c r="MKA3" s="136"/>
      <c r="MKB3" s="136"/>
      <c r="MKC3" s="136"/>
      <c r="MKD3" s="136"/>
      <c r="MKE3" s="136"/>
      <c r="MKF3" s="136"/>
      <c r="MKG3" s="136"/>
      <c r="MKH3" s="136"/>
      <c r="MKI3" s="136"/>
      <c r="MKJ3" s="136"/>
      <c r="MKK3" s="136"/>
      <c r="MKL3" s="136"/>
      <c r="MKM3" s="136"/>
      <c r="MKN3" s="136"/>
      <c r="MKO3" s="136"/>
      <c r="MKP3" s="136"/>
      <c r="MKQ3" s="136"/>
      <c r="MKR3" s="136"/>
      <c r="MKS3" s="136"/>
      <c r="MKT3" s="136"/>
      <c r="MKU3" s="136"/>
      <c r="MKV3" s="136"/>
      <c r="MKW3" s="136"/>
      <c r="MKX3" s="136"/>
      <c r="MKY3" s="136"/>
      <c r="MKZ3" s="136"/>
      <c r="MLA3" s="136"/>
      <c r="MLB3" s="136"/>
      <c r="MLC3" s="136"/>
      <c r="MLD3" s="136"/>
      <c r="MLE3" s="136"/>
      <c r="MLF3" s="136"/>
      <c r="MLG3" s="136"/>
      <c r="MLH3" s="136"/>
      <c r="MLI3" s="136"/>
      <c r="MLJ3" s="136"/>
      <c r="MLK3" s="136"/>
      <c r="MLL3" s="136"/>
      <c r="MLM3" s="136"/>
      <c r="MLN3" s="136"/>
      <c r="MLO3" s="136"/>
      <c r="MLP3" s="136"/>
      <c r="MLQ3" s="136"/>
      <c r="MLR3" s="136"/>
      <c r="MLS3" s="136"/>
      <c r="MLT3" s="136"/>
      <c r="MLU3" s="136"/>
      <c r="MLV3" s="136"/>
      <c r="MLW3" s="136"/>
      <c r="MLX3" s="136"/>
      <c r="MLY3" s="136"/>
      <c r="MLZ3" s="136"/>
      <c r="MMA3" s="136"/>
      <c r="MMB3" s="136"/>
      <c r="MMC3" s="136"/>
      <c r="MMD3" s="136"/>
      <c r="MME3" s="136"/>
      <c r="MMF3" s="136"/>
      <c r="MMG3" s="136"/>
      <c r="MMH3" s="136"/>
      <c r="MMI3" s="136"/>
      <c r="MMJ3" s="136"/>
      <c r="MMK3" s="136"/>
      <c r="MML3" s="136"/>
      <c r="MMM3" s="136"/>
      <c r="MMN3" s="136"/>
      <c r="MMO3" s="136"/>
      <c r="MMP3" s="136"/>
      <c r="MMQ3" s="136"/>
      <c r="MMR3" s="136"/>
      <c r="MMS3" s="136"/>
      <c r="MMT3" s="136"/>
      <c r="MMU3" s="136"/>
      <c r="MMV3" s="136"/>
      <c r="MMW3" s="136"/>
      <c r="MMX3" s="136"/>
      <c r="MMY3" s="136"/>
      <c r="MMZ3" s="136"/>
      <c r="MNA3" s="136"/>
      <c r="MNB3" s="136"/>
      <c r="MNC3" s="136"/>
      <c r="MND3" s="136"/>
      <c r="MNE3" s="136"/>
      <c r="MNF3" s="136"/>
      <c r="MNG3" s="136"/>
      <c r="MNH3" s="136"/>
      <c r="MNI3" s="136"/>
      <c r="MNJ3" s="136"/>
      <c r="MNK3" s="136"/>
      <c r="MNL3" s="136"/>
      <c r="MNM3" s="136"/>
      <c r="MNN3" s="136"/>
      <c r="MNO3" s="136"/>
      <c r="MNP3" s="136"/>
      <c r="MNQ3" s="136"/>
      <c r="MNR3" s="136"/>
      <c r="MNS3" s="136"/>
      <c r="MNT3" s="136"/>
      <c r="MNU3" s="136"/>
      <c r="MNV3" s="136"/>
      <c r="MNW3" s="136"/>
      <c r="MNX3" s="136"/>
      <c r="MNY3" s="136"/>
      <c r="MNZ3" s="136"/>
      <c r="MOA3" s="136"/>
      <c r="MOB3" s="136"/>
      <c r="MOC3" s="136"/>
      <c r="MOD3" s="136"/>
      <c r="MOE3" s="136"/>
      <c r="MOF3" s="136"/>
      <c r="MOG3" s="136"/>
      <c r="MOH3" s="136"/>
      <c r="MOI3" s="136"/>
      <c r="MOJ3" s="136"/>
      <c r="MOK3" s="136"/>
      <c r="MOL3" s="136"/>
      <c r="MOM3" s="136"/>
      <c r="MON3" s="136"/>
      <c r="MOO3" s="136"/>
      <c r="MOP3" s="136"/>
      <c r="MOQ3" s="136"/>
      <c r="MOR3" s="136"/>
      <c r="MOS3" s="136"/>
      <c r="MOT3" s="136"/>
      <c r="MOU3" s="136"/>
      <c r="MOV3" s="136"/>
      <c r="MOW3" s="136"/>
      <c r="MOX3" s="136"/>
      <c r="MOY3" s="136"/>
      <c r="MOZ3" s="136"/>
      <c r="MPA3" s="136"/>
      <c r="MPB3" s="136"/>
      <c r="MPC3" s="136"/>
      <c r="MPD3" s="136"/>
      <c r="MPE3" s="136"/>
      <c r="MPF3" s="136"/>
      <c r="MPG3" s="136"/>
      <c r="MPH3" s="136"/>
      <c r="MPI3" s="136"/>
      <c r="MPJ3" s="136"/>
      <c r="MPK3" s="136"/>
      <c r="MPL3" s="136"/>
      <c r="MPM3" s="136"/>
      <c r="MPN3" s="136"/>
      <c r="MPO3" s="136"/>
      <c r="MPP3" s="136"/>
      <c r="MPQ3" s="136"/>
      <c r="MPR3" s="136"/>
      <c r="MPS3" s="136"/>
      <c r="MPT3" s="136"/>
      <c r="MPU3" s="136"/>
      <c r="MPV3" s="136"/>
      <c r="MPW3" s="136"/>
      <c r="MPX3" s="136"/>
      <c r="MPY3" s="136"/>
      <c r="MPZ3" s="136"/>
      <c r="MQA3" s="136"/>
      <c r="MQB3" s="136"/>
      <c r="MQC3" s="136"/>
      <c r="MQD3" s="136"/>
      <c r="MQE3" s="136"/>
      <c r="MQF3" s="136"/>
      <c r="MQG3" s="136"/>
      <c r="MQH3" s="136"/>
      <c r="MQI3" s="136"/>
      <c r="MQJ3" s="136"/>
      <c r="MQK3" s="136"/>
      <c r="MQL3" s="136"/>
      <c r="MQM3" s="136"/>
      <c r="MQN3" s="136"/>
      <c r="MQO3" s="136"/>
      <c r="MQP3" s="136"/>
      <c r="MQQ3" s="136"/>
      <c r="MQR3" s="136"/>
      <c r="MQS3" s="136"/>
      <c r="MQT3" s="136"/>
      <c r="MQU3" s="136"/>
      <c r="MQV3" s="136"/>
      <c r="MQW3" s="136"/>
      <c r="MQX3" s="136"/>
      <c r="MQY3" s="136"/>
      <c r="MQZ3" s="136"/>
      <c r="MRA3" s="136"/>
      <c r="MRB3" s="136"/>
      <c r="MRC3" s="136"/>
      <c r="MRD3" s="136"/>
      <c r="MRE3" s="136"/>
      <c r="MRF3" s="136"/>
      <c r="MRG3" s="136"/>
      <c r="MRH3" s="136"/>
      <c r="MRI3" s="136"/>
      <c r="MRJ3" s="136"/>
      <c r="MRK3" s="136"/>
      <c r="MRL3" s="136"/>
      <c r="MRM3" s="136"/>
      <c r="MRN3" s="136"/>
      <c r="MRO3" s="136"/>
      <c r="MRP3" s="136"/>
      <c r="MRQ3" s="136"/>
      <c r="MRR3" s="136"/>
      <c r="MRS3" s="136"/>
      <c r="MRT3" s="136"/>
      <c r="MRU3" s="136"/>
      <c r="MRV3" s="136"/>
      <c r="MRW3" s="136"/>
      <c r="MRX3" s="136"/>
      <c r="MRY3" s="136"/>
      <c r="MRZ3" s="136"/>
      <c r="MSA3" s="136"/>
      <c r="MSB3" s="136"/>
      <c r="MSC3" s="136"/>
      <c r="MSD3" s="136"/>
      <c r="MSE3" s="136"/>
      <c r="MSF3" s="136"/>
      <c r="MSG3" s="136"/>
      <c r="MSH3" s="136"/>
      <c r="MSI3" s="136"/>
      <c r="MSJ3" s="136"/>
      <c r="MSK3" s="136"/>
      <c r="MSL3" s="136"/>
      <c r="MSM3" s="136"/>
      <c r="MSN3" s="136"/>
      <c r="MSO3" s="136"/>
      <c r="MSP3" s="136"/>
      <c r="MSQ3" s="136"/>
      <c r="MSR3" s="136"/>
      <c r="MSS3" s="136"/>
      <c r="MST3" s="136"/>
      <c r="MSU3" s="136"/>
      <c r="MSV3" s="136"/>
      <c r="MSW3" s="136"/>
      <c r="MSX3" s="136"/>
      <c r="MSY3" s="136"/>
      <c r="MSZ3" s="136"/>
      <c r="MTA3" s="136"/>
      <c r="MTB3" s="136"/>
      <c r="MTC3" s="136"/>
      <c r="MTD3" s="136"/>
      <c r="MTE3" s="136"/>
      <c r="MTF3" s="136"/>
      <c r="MTG3" s="136"/>
      <c r="MTH3" s="136"/>
      <c r="MTI3" s="136"/>
      <c r="MTJ3" s="136"/>
      <c r="MTK3" s="136"/>
      <c r="MTL3" s="136"/>
      <c r="MTM3" s="136"/>
      <c r="MTN3" s="136"/>
      <c r="MTO3" s="136"/>
      <c r="MTP3" s="136"/>
      <c r="MTQ3" s="136"/>
      <c r="MTR3" s="136"/>
      <c r="MTS3" s="136"/>
      <c r="MTT3" s="136"/>
      <c r="MTU3" s="136"/>
      <c r="MTV3" s="136"/>
      <c r="MTW3" s="136"/>
      <c r="MTX3" s="136"/>
      <c r="MTY3" s="136"/>
      <c r="MTZ3" s="136"/>
      <c r="MUA3" s="136"/>
      <c r="MUB3" s="136"/>
      <c r="MUC3" s="136"/>
      <c r="MUD3" s="136"/>
      <c r="MUE3" s="136"/>
      <c r="MUF3" s="136"/>
      <c r="MUG3" s="136"/>
      <c r="MUH3" s="136"/>
      <c r="MUI3" s="136"/>
      <c r="MUJ3" s="136"/>
      <c r="MUK3" s="136"/>
      <c r="MUL3" s="136"/>
      <c r="MUM3" s="136"/>
      <c r="MUN3" s="136"/>
      <c r="MUO3" s="136"/>
      <c r="MUP3" s="136"/>
      <c r="MUQ3" s="136"/>
      <c r="MUR3" s="136"/>
      <c r="MUS3" s="136"/>
      <c r="MUT3" s="136"/>
      <c r="MUU3" s="136"/>
      <c r="MUV3" s="136"/>
      <c r="MUW3" s="136"/>
      <c r="MUX3" s="136"/>
      <c r="MUY3" s="136"/>
      <c r="MUZ3" s="136"/>
      <c r="MVA3" s="136"/>
      <c r="MVB3" s="136"/>
      <c r="MVC3" s="136"/>
      <c r="MVD3" s="136"/>
      <c r="MVE3" s="136"/>
      <c r="MVF3" s="136"/>
      <c r="MVG3" s="136"/>
      <c r="MVH3" s="136"/>
      <c r="MVI3" s="136"/>
      <c r="MVJ3" s="136"/>
      <c r="MVK3" s="136"/>
      <c r="MVL3" s="136"/>
      <c r="MVM3" s="136"/>
      <c r="MVN3" s="136"/>
      <c r="MVO3" s="136"/>
      <c r="MVP3" s="136"/>
      <c r="MVQ3" s="136"/>
      <c r="MVR3" s="136"/>
      <c r="MVS3" s="136"/>
      <c r="MVT3" s="136"/>
      <c r="MVU3" s="136"/>
      <c r="MVV3" s="136"/>
      <c r="MVW3" s="136"/>
      <c r="MVX3" s="136"/>
      <c r="MVY3" s="136"/>
      <c r="MVZ3" s="136"/>
      <c r="MWA3" s="136"/>
      <c r="MWB3" s="136"/>
      <c r="MWC3" s="136"/>
      <c r="MWD3" s="136"/>
      <c r="MWE3" s="136"/>
      <c r="MWF3" s="136"/>
      <c r="MWG3" s="136"/>
      <c r="MWH3" s="136"/>
      <c r="MWI3" s="136"/>
      <c r="MWJ3" s="136"/>
      <c r="MWK3" s="136"/>
      <c r="MWL3" s="136"/>
      <c r="MWM3" s="136"/>
      <c r="MWN3" s="136"/>
      <c r="MWO3" s="136"/>
      <c r="MWP3" s="136"/>
      <c r="MWQ3" s="136"/>
      <c r="MWR3" s="136"/>
      <c r="MWS3" s="136"/>
      <c r="MWT3" s="136"/>
      <c r="MWU3" s="136"/>
      <c r="MWV3" s="136"/>
      <c r="MWW3" s="136"/>
      <c r="MWX3" s="136"/>
      <c r="MWY3" s="136"/>
      <c r="MWZ3" s="136"/>
      <c r="MXA3" s="136"/>
      <c r="MXB3" s="136"/>
      <c r="MXC3" s="136"/>
      <c r="MXD3" s="136"/>
      <c r="MXE3" s="136"/>
      <c r="MXF3" s="136"/>
      <c r="MXG3" s="136"/>
      <c r="MXH3" s="136"/>
      <c r="MXI3" s="136"/>
      <c r="MXJ3" s="136"/>
      <c r="MXK3" s="136"/>
      <c r="MXL3" s="136"/>
      <c r="MXM3" s="136"/>
      <c r="MXN3" s="136"/>
      <c r="MXO3" s="136"/>
      <c r="MXP3" s="136"/>
      <c r="MXQ3" s="136"/>
      <c r="MXR3" s="136"/>
      <c r="MXS3" s="136"/>
      <c r="MXT3" s="136"/>
      <c r="MXU3" s="136"/>
      <c r="MXV3" s="136"/>
      <c r="MXW3" s="136"/>
      <c r="MXX3" s="136"/>
      <c r="MXY3" s="136"/>
      <c r="MXZ3" s="136"/>
      <c r="MYA3" s="136"/>
      <c r="MYB3" s="136"/>
      <c r="MYC3" s="136"/>
      <c r="MYD3" s="136"/>
      <c r="MYE3" s="136"/>
      <c r="MYF3" s="136"/>
      <c r="MYG3" s="136"/>
      <c r="MYH3" s="136"/>
      <c r="MYI3" s="136"/>
      <c r="MYJ3" s="136"/>
      <c r="MYK3" s="136"/>
      <c r="MYL3" s="136"/>
      <c r="MYM3" s="136"/>
      <c r="MYN3" s="136"/>
      <c r="MYO3" s="136"/>
      <c r="MYP3" s="136"/>
      <c r="MYQ3" s="136"/>
      <c r="MYR3" s="136"/>
      <c r="MYS3" s="136"/>
      <c r="MYT3" s="136"/>
      <c r="MYU3" s="136"/>
      <c r="MYV3" s="136"/>
      <c r="MYW3" s="136"/>
      <c r="MYX3" s="136"/>
      <c r="MYY3" s="136"/>
      <c r="MYZ3" s="136"/>
      <c r="MZA3" s="136"/>
      <c r="MZB3" s="136"/>
      <c r="MZC3" s="136"/>
      <c r="MZD3" s="136"/>
      <c r="MZE3" s="136"/>
      <c r="MZF3" s="136"/>
      <c r="MZG3" s="136"/>
      <c r="MZH3" s="136"/>
      <c r="MZI3" s="136"/>
      <c r="MZJ3" s="136"/>
      <c r="MZK3" s="136"/>
      <c r="MZL3" s="136"/>
      <c r="MZM3" s="136"/>
      <c r="MZN3" s="136"/>
      <c r="MZO3" s="136"/>
      <c r="MZP3" s="136"/>
      <c r="MZQ3" s="136"/>
      <c r="MZR3" s="136"/>
      <c r="MZS3" s="136"/>
      <c r="MZT3" s="136"/>
      <c r="MZU3" s="136"/>
      <c r="MZV3" s="136"/>
      <c r="MZW3" s="136"/>
      <c r="MZX3" s="136"/>
      <c r="MZY3" s="136"/>
      <c r="MZZ3" s="136"/>
      <c r="NAA3" s="136"/>
      <c r="NAB3" s="136"/>
      <c r="NAC3" s="136"/>
      <c r="NAD3" s="136"/>
      <c r="NAE3" s="136"/>
      <c r="NAF3" s="136"/>
      <c r="NAG3" s="136"/>
      <c r="NAH3" s="136"/>
      <c r="NAI3" s="136"/>
      <c r="NAJ3" s="136"/>
      <c r="NAK3" s="136"/>
      <c r="NAL3" s="136"/>
      <c r="NAM3" s="136"/>
      <c r="NAN3" s="136"/>
      <c r="NAO3" s="136"/>
      <c r="NAP3" s="136"/>
      <c r="NAQ3" s="136"/>
      <c r="NAR3" s="136"/>
      <c r="NAS3" s="136"/>
      <c r="NAT3" s="136"/>
      <c r="NAU3" s="136"/>
      <c r="NAV3" s="136"/>
      <c r="NAW3" s="136"/>
      <c r="NAX3" s="136"/>
      <c r="NAY3" s="136"/>
      <c r="NAZ3" s="136"/>
      <c r="NBA3" s="136"/>
      <c r="NBB3" s="136"/>
      <c r="NBC3" s="136"/>
      <c r="NBD3" s="136"/>
      <c r="NBE3" s="136"/>
      <c r="NBF3" s="136"/>
      <c r="NBG3" s="136"/>
      <c r="NBH3" s="136"/>
      <c r="NBI3" s="136"/>
      <c r="NBJ3" s="136"/>
      <c r="NBK3" s="136"/>
      <c r="NBL3" s="136"/>
      <c r="NBM3" s="136"/>
      <c r="NBN3" s="136"/>
      <c r="NBO3" s="136"/>
      <c r="NBP3" s="136"/>
      <c r="NBQ3" s="136"/>
      <c r="NBR3" s="136"/>
      <c r="NBS3" s="136"/>
      <c r="NBT3" s="136"/>
      <c r="NBU3" s="136"/>
      <c r="NBV3" s="136"/>
      <c r="NBW3" s="136"/>
      <c r="NBX3" s="136"/>
      <c r="NBY3" s="136"/>
      <c r="NBZ3" s="136"/>
      <c r="NCA3" s="136"/>
      <c r="NCB3" s="136"/>
      <c r="NCC3" s="136"/>
      <c r="NCD3" s="136"/>
      <c r="NCE3" s="136"/>
      <c r="NCF3" s="136"/>
      <c r="NCG3" s="136"/>
      <c r="NCH3" s="136"/>
      <c r="NCI3" s="136"/>
      <c r="NCJ3" s="136"/>
      <c r="NCK3" s="136"/>
      <c r="NCL3" s="136"/>
      <c r="NCM3" s="136"/>
      <c r="NCN3" s="136"/>
      <c r="NCO3" s="136"/>
      <c r="NCP3" s="136"/>
      <c r="NCQ3" s="136"/>
      <c r="NCR3" s="136"/>
      <c r="NCS3" s="136"/>
      <c r="NCT3" s="136"/>
      <c r="NCU3" s="136"/>
      <c r="NCV3" s="136"/>
      <c r="NCW3" s="136"/>
      <c r="NCX3" s="136"/>
      <c r="NCY3" s="136"/>
      <c r="NCZ3" s="136"/>
      <c r="NDA3" s="136"/>
      <c r="NDB3" s="136"/>
      <c r="NDC3" s="136"/>
      <c r="NDD3" s="136"/>
      <c r="NDE3" s="136"/>
      <c r="NDF3" s="136"/>
      <c r="NDG3" s="136"/>
      <c r="NDH3" s="136"/>
      <c r="NDI3" s="136"/>
      <c r="NDJ3" s="136"/>
      <c r="NDK3" s="136"/>
      <c r="NDL3" s="136"/>
      <c r="NDM3" s="136"/>
      <c r="NDN3" s="136"/>
      <c r="NDO3" s="136"/>
      <c r="NDP3" s="136"/>
      <c r="NDQ3" s="136"/>
      <c r="NDR3" s="136"/>
      <c r="NDS3" s="136"/>
      <c r="NDT3" s="136"/>
      <c r="NDU3" s="136"/>
      <c r="NDV3" s="136"/>
      <c r="NDW3" s="136"/>
      <c r="NDX3" s="136"/>
      <c r="NDY3" s="136"/>
      <c r="NDZ3" s="136"/>
      <c r="NEA3" s="136"/>
      <c r="NEB3" s="136"/>
      <c r="NEC3" s="136"/>
      <c r="NED3" s="136"/>
      <c r="NEE3" s="136"/>
      <c r="NEF3" s="136"/>
      <c r="NEG3" s="136"/>
      <c r="NEH3" s="136"/>
      <c r="NEI3" s="136"/>
      <c r="NEJ3" s="136"/>
      <c r="NEK3" s="136"/>
      <c r="NEL3" s="136"/>
      <c r="NEM3" s="136"/>
      <c r="NEN3" s="136"/>
      <c r="NEO3" s="136"/>
      <c r="NEP3" s="136"/>
      <c r="NEQ3" s="136"/>
      <c r="NER3" s="136"/>
      <c r="NES3" s="136"/>
      <c r="NET3" s="136"/>
      <c r="NEU3" s="136"/>
      <c r="NEV3" s="136"/>
      <c r="NEW3" s="136"/>
      <c r="NEX3" s="136"/>
      <c r="NEY3" s="136"/>
      <c r="NEZ3" s="136"/>
      <c r="NFA3" s="136"/>
      <c r="NFB3" s="136"/>
      <c r="NFC3" s="136"/>
      <c r="NFD3" s="136"/>
      <c r="NFE3" s="136"/>
      <c r="NFF3" s="136"/>
      <c r="NFG3" s="136"/>
      <c r="NFH3" s="136"/>
      <c r="NFI3" s="136"/>
      <c r="NFJ3" s="136"/>
      <c r="NFK3" s="136"/>
      <c r="NFL3" s="136"/>
      <c r="NFM3" s="136"/>
      <c r="NFN3" s="136"/>
      <c r="NFO3" s="136"/>
      <c r="NFP3" s="136"/>
      <c r="NFQ3" s="136"/>
      <c r="NFR3" s="136"/>
      <c r="NFS3" s="136"/>
      <c r="NFT3" s="136"/>
      <c r="NFU3" s="136"/>
      <c r="NFV3" s="136"/>
      <c r="NFW3" s="136"/>
      <c r="NFX3" s="136"/>
      <c r="NFY3" s="136"/>
      <c r="NFZ3" s="136"/>
      <c r="NGA3" s="136"/>
      <c r="NGB3" s="136"/>
      <c r="NGC3" s="136"/>
      <c r="NGD3" s="136"/>
      <c r="NGE3" s="136"/>
      <c r="NGF3" s="136"/>
      <c r="NGG3" s="136"/>
      <c r="NGH3" s="136"/>
      <c r="NGI3" s="136"/>
      <c r="NGJ3" s="136"/>
      <c r="NGK3" s="136"/>
      <c r="NGL3" s="136"/>
      <c r="NGM3" s="136"/>
      <c r="NGN3" s="136"/>
      <c r="NGO3" s="136"/>
      <c r="NGP3" s="136"/>
      <c r="NGQ3" s="136"/>
      <c r="NGR3" s="136"/>
      <c r="NGS3" s="136"/>
      <c r="NGT3" s="136"/>
      <c r="NGU3" s="136"/>
      <c r="NGV3" s="136"/>
      <c r="NGW3" s="136"/>
      <c r="NGX3" s="136"/>
      <c r="NGY3" s="136"/>
      <c r="NGZ3" s="136"/>
      <c r="NHA3" s="136"/>
      <c r="NHB3" s="136"/>
      <c r="NHC3" s="136"/>
      <c r="NHD3" s="136"/>
      <c r="NHE3" s="136"/>
      <c r="NHF3" s="136"/>
      <c r="NHG3" s="136"/>
      <c r="NHH3" s="136"/>
      <c r="NHI3" s="136"/>
      <c r="NHJ3" s="136"/>
      <c r="NHK3" s="136"/>
      <c r="NHL3" s="136"/>
      <c r="NHM3" s="136"/>
      <c r="NHN3" s="136"/>
      <c r="NHO3" s="136"/>
      <c r="NHP3" s="136"/>
      <c r="NHQ3" s="136"/>
      <c r="NHR3" s="136"/>
      <c r="NHS3" s="136"/>
      <c r="NHT3" s="136"/>
      <c r="NHU3" s="136"/>
      <c r="NHV3" s="136"/>
      <c r="NHW3" s="136"/>
      <c r="NHX3" s="136"/>
      <c r="NHY3" s="136"/>
      <c r="NHZ3" s="136"/>
      <c r="NIA3" s="136"/>
      <c r="NIB3" s="136"/>
      <c r="NIC3" s="136"/>
      <c r="NID3" s="136"/>
      <c r="NIE3" s="136"/>
      <c r="NIF3" s="136"/>
      <c r="NIG3" s="136"/>
      <c r="NIH3" s="136"/>
      <c r="NII3" s="136"/>
      <c r="NIJ3" s="136"/>
      <c r="NIK3" s="136"/>
      <c r="NIL3" s="136"/>
      <c r="NIM3" s="136"/>
      <c r="NIN3" s="136"/>
      <c r="NIO3" s="136"/>
      <c r="NIP3" s="136"/>
      <c r="NIQ3" s="136"/>
      <c r="NIR3" s="136"/>
      <c r="NIS3" s="136"/>
      <c r="NIT3" s="136"/>
      <c r="NIU3" s="136"/>
      <c r="NIV3" s="136"/>
      <c r="NIW3" s="136"/>
      <c r="NIX3" s="136"/>
      <c r="NIY3" s="136"/>
      <c r="NIZ3" s="136"/>
      <c r="NJA3" s="136"/>
      <c r="NJB3" s="136"/>
      <c r="NJC3" s="136"/>
      <c r="NJD3" s="136"/>
      <c r="NJE3" s="136"/>
      <c r="NJF3" s="136"/>
      <c r="NJG3" s="136"/>
      <c r="NJH3" s="136"/>
      <c r="NJI3" s="136"/>
      <c r="NJJ3" s="136"/>
      <c r="NJK3" s="136"/>
      <c r="NJL3" s="136"/>
      <c r="NJM3" s="136"/>
      <c r="NJN3" s="136"/>
      <c r="NJO3" s="136"/>
      <c r="NJP3" s="136"/>
      <c r="NJQ3" s="136"/>
      <c r="NJR3" s="136"/>
      <c r="NJS3" s="136"/>
      <c r="NJT3" s="136"/>
      <c r="NJU3" s="136"/>
      <c r="NJV3" s="136"/>
      <c r="NJW3" s="136"/>
      <c r="NJX3" s="136"/>
      <c r="NJY3" s="136"/>
      <c r="NJZ3" s="136"/>
      <c r="NKA3" s="136"/>
      <c r="NKB3" s="136"/>
      <c r="NKC3" s="136"/>
      <c r="NKD3" s="136"/>
      <c r="NKE3" s="136"/>
      <c r="NKF3" s="136"/>
      <c r="NKG3" s="136"/>
      <c r="NKH3" s="136"/>
      <c r="NKI3" s="136"/>
      <c r="NKJ3" s="136"/>
      <c r="NKK3" s="136"/>
      <c r="NKL3" s="136"/>
      <c r="NKM3" s="136"/>
      <c r="NKN3" s="136"/>
      <c r="NKO3" s="136"/>
      <c r="NKP3" s="136"/>
      <c r="NKQ3" s="136"/>
      <c r="NKR3" s="136"/>
      <c r="NKS3" s="136"/>
      <c r="NKT3" s="136"/>
      <c r="NKU3" s="136"/>
      <c r="NKV3" s="136"/>
      <c r="NKW3" s="136"/>
      <c r="NKX3" s="136"/>
      <c r="NKY3" s="136"/>
      <c r="NKZ3" s="136"/>
      <c r="NLA3" s="136"/>
      <c r="NLB3" s="136"/>
      <c r="NLC3" s="136"/>
      <c r="NLD3" s="136"/>
      <c r="NLE3" s="136"/>
      <c r="NLF3" s="136"/>
      <c r="NLG3" s="136"/>
      <c r="NLH3" s="136"/>
      <c r="NLI3" s="136"/>
      <c r="NLJ3" s="136"/>
      <c r="NLK3" s="136"/>
      <c r="NLL3" s="136"/>
      <c r="NLM3" s="136"/>
      <c r="NLN3" s="136"/>
      <c r="NLO3" s="136"/>
      <c r="NLP3" s="136"/>
      <c r="NLQ3" s="136"/>
      <c r="NLR3" s="136"/>
      <c r="NLS3" s="136"/>
      <c r="NLT3" s="136"/>
      <c r="NLU3" s="136"/>
      <c r="NLV3" s="136"/>
      <c r="NLW3" s="136"/>
      <c r="NLX3" s="136"/>
      <c r="NLY3" s="136"/>
      <c r="NLZ3" s="136"/>
      <c r="NMA3" s="136"/>
      <c r="NMB3" s="136"/>
      <c r="NMC3" s="136"/>
      <c r="NMD3" s="136"/>
      <c r="NME3" s="136"/>
      <c r="NMF3" s="136"/>
      <c r="NMG3" s="136"/>
      <c r="NMH3" s="136"/>
      <c r="NMI3" s="136"/>
      <c r="NMJ3" s="136"/>
      <c r="NMK3" s="136"/>
      <c r="NML3" s="136"/>
      <c r="NMM3" s="136"/>
      <c r="NMN3" s="136"/>
      <c r="NMO3" s="136"/>
      <c r="NMP3" s="136"/>
      <c r="NMQ3" s="136"/>
      <c r="NMR3" s="136"/>
      <c r="NMS3" s="136"/>
      <c r="NMT3" s="136"/>
      <c r="NMU3" s="136"/>
      <c r="NMV3" s="136"/>
      <c r="NMW3" s="136"/>
      <c r="NMX3" s="136"/>
      <c r="NMY3" s="136"/>
      <c r="NMZ3" s="136"/>
      <c r="NNA3" s="136"/>
      <c r="NNB3" s="136"/>
      <c r="NNC3" s="136"/>
      <c r="NND3" s="136"/>
      <c r="NNE3" s="136"/>
      <c r="NNF3" s="136"/>
      <c r="NNG3" s="136"/>
      <c r="NNH3" s="136"/>
      <c r="NNI3" s="136"/>
      <c r="NNJ3" s="136"/>
      <c r="NNK3" s="136"/>
      <c r="NNL3" s="136"/>
      <c r="NNM3" s="136"/>
      <c r="NNN3" s="136"/>
      <c r="NNO3" s="136"/>
      <c r="NNP3" s="136"/>
      <c r="NNQ3" s="136"/>
      <c r="NNR3" s="136"/>
      <c r="NNS3" s="136"/>
      <c r="NNT3" s="136"/>
      <c r="NNU3" s="136"/>
      <c r="NNV3" s="136"/>
      <c r="NNW3" s="136"/>
      <c r="NNX3" s="136"/>
      <c r="NNY3" s="136"/>
      <c r="NNZ3" s="136"/>
      <c r="NOA3" s="136"/>
      <c r="NOB3" s="136"/>
      <c r="NOC3" s="136"/>
      <c r="NOD3" s="136"/>
      <c r="NOE3" s="136"/>
      <c r="NOF3" s="136"/>
      <c r="NOG3" s="136"/>
      <c r="NOH3" s="136"/>
      <c r="NOI3" s="136"/>
      <c r="NOJ3" s="136"/>
      <c r="NOK3" s="136"/>
      <c r="NOL3" s="136"/>
      <c r="NOM3" s="136"/>
      <c r="NON3" s="136"/>
      <c r="NOO3" s="136"/>
      <c r="NOP3" s="136"/>
      <c r="NOQ3" s="136"/>
      <c r="NOR3" s="136"/>
      <c r="NOS3" s="136"/>
      <c r="NOT3" s="136"/>
      <c r="NOU3" s="136"/>
      <c r="NOV3" s="136"/>
      <c r="NOW3" s="136"/>
      <c r="NOX3" s="136"/>
      <c r="NOY3" s="136"/>
      <c r="NOZ3" s="136"/>
      <c r="NPA3" s="136"/>
      <c r="NPB3" s="136"/>
      <c r="NPC3" s="136"/>
      <c r="NPD3" s="136"/>
      <c r="NPE3" s="136"/>
      <c r="NPF3" s="136"/>
      <c r="NPG3" s="136"/>
      <c r="NPH3" s="136"/>
      <c r="NPI3" s="136"/>
      <c r="NPJ3" s="136"/>
      <c r="NPK3" s="136"/>
      <c r="NPL3" s="136"/>
      <c r="NPM3" s="136"/>
      <c r="NPN3" s="136"/>
      <c r="NPO3" s="136"/>
      <c r="NPP3" s="136"/>
      <c r="NPQ3" s="136"/>
      <c r="NPR3" s="136"/>
      <c r="NPS3" s="136"/>
      <c r="NPT3" s="136"/>
      <c r="NPU3" s="136"/>
      <c r="NPV3" s="136"/>
      <c r="NPW3" s="136"/>
      <c r="NPX3" s="136"/>
      <c r="NPY3" s="136"/>
      <c r="NPZ3" s="136"/>
      <c r="NQA3" s="136"/>
      <c r="NQB3" s="136"/>
      <c r="NQC3" s="136"/>
      <c r="NQD3" s="136"/>
      <c r="NQE3" s="136"/>
      <c r="NQF3" s="136"/>
      <c r="NQG3" s="136"/>
      <c r="NQH3" s="136"/>
      <c r="NQI3" s="136"/>
      <c r="NQJ3" s="136"/>
      <c r="NQK3" s="136"/>
      <c r="NQL3" s="136"/>
      <c r="NQM3" s="136"/>
      <c r="NQN3" s="136"/>
      <c r="NQO3" s="136"/>
      <c r="NQP3" s="136"/>
      <c r="NQQ3" s="136"/>
      <c r="NQR3" s="136"/>
      <c r="NQS3" s="136"/>
      <c r="NQT3" s="136"/>
      <c r="NQU3" s="136"/>
      <c r="NQV3" s="136"/>
      <c r="NQW3" s="136"/>
      <c r="NQX3" s="136"/>
      <c r="NQY3" s="136"/>
      <c r="NQZ3" s="136"/>
      <c r="NRA3" s="136"/>
      <c r="NRB3" s="136"/>
      <c r="NRC3" s="136"/>
      <c r="NRD3" s="136"/>
      <c r="NRE3" s="136"/>
      <c r="NRF3" s="136"/>
      <c r="NRG3" s="136"/>
      <c r="NRH3" s="136"/>
      <c r="NRI3" s="136"/>
      <c r="NRJ3" s="136"/>
      <c r="NRK3" s="136"/>
      <c r="NRL3" s="136"/>
      <c r="NRM3" s="136"/>
      <c r="NRN3" s="136"/>
      <c r="NRO3" s="136"/>
      <c r="NRP3" s="136"/>
      <c r="NRQ3" s="136"/>
      <c r="NRR3" s="136"/>
      <c r="NRS3" s="136"/>
      <c r="NRT3" s="136"/>
      <c r="NRU3" s="136"/>
      <c r="NRV3" s="136"/>
      <c r="NRW3" s="136"/>
      <c r="NRX3" s="136"/>
      <c r="NRY3" s="136"/>
      <c r="NRZ3" s="136"/>
      <c r="NSA3" s="136"/>
      <c r="NSB3" s="136"/>
      <c r="NSC3" s="136"/>
      <c r="NSD3" s="136"/>
      <c r="NSE3" s="136"/>
      <c r="NSF3" s="136"/>
      <c r="NSG3" s="136"/>
      <c r="NSH3" s="136"/>
      <c r="NSI3" s="136"/>
      <c r="NSJ3" s="136"/>
      <c r="NSK3" s="136"/>
      <c r="NSL3" s="136"/>
      <c r="NSM3" s="136"/>
      <c r="NSN3" s="136"/>
      <c r="NSO3" s="136"/>
      <c r="NSP3" s="136"/>
      <c r="NSQ3" s="136"/>
      <c r="NSR3" s="136"/>
      <c r="NSS3" s="136"/>
      <c r="NST3" s="136"/>
      <c r="NSU3" s="136"/>
      <c r="NSV3" s="136"/>
      <c r="NSW3" s="136"/>
      <c r="NSX3" s="136"/>
      <c r="NSY3" s="136"/>
      <c r="NSZ3" s="136"/>
      <c r="NTA3" s="136"/>
      <c r="NTB3" s="136"/>
      <c r="NTC3" s="136"/>
      <c r="NTD3" s="136"/>
      <c r="NTE3" s="136"/>
      <c r="NTF3" s="136"/>
      <c r="NTG3" s="136"/>
      <c r="NTH3" s="136"/>
      <c r="NTI3" s="136"/>
      <c r="NTJ3" s="136"/>
      <c r="NTK3" s="136"/>
      <c r="NTL3" s="136"/>
      <c r="NTM3" s="136"/>
      <c r="NTN3" s="136"/>
      <c r="NTO3" s="136"/>
      <c r="NTP3" s="136"/>
      <c r="NTQ3" s="136"/>
      <c r="NTR3" s="136"/>
      <c r="NTS3" s="136"/>
      <c r="NTT3" s="136"/>
      <c r="NTU3" s="136"/>
      <c r="NTV3" s="136"/>
      <c r="NTW3" s="136"/>
      <c r="NTX3" s="136"/>
      <c r="NTY3" s="136"/>
      <c r="NTZ3" s="136"/>
      <c r="NUA3" s="136"/>
      <c r="NUB3" s="136"/>
      <c r="NUC3" s="136"/>
      <c r="NUD3" s="136"/>
      <c r="NUE3" s="136"/>
      <c r="NUF3" s="136"/>
      <c r="NUG3" s="136"/>
      <c r="NUH3" s="136"/>
      <c r="NUI3" s="136"/>
      <c r="NUJ3" s="136"/>
      <c r="NUK3" s="136"/>
      <c r="NUL3" s="136"/>
      <c r="NUM3" s="136"/>
      <c r="NUN3" s="136"/>
      <c r="NUO3" s="136"/>
      <c r="NUP3" s="136"/>
      <c r="NUQ3" s="136"/>
      <c r="NUR3" s="136"/>
      <c r="NUS3" s="136"/>
      <c r="NUT3" s="136"/>
      <c r="NUU3" s="136"/>
      <c r="NUV3" s="136"/>
      <c r="NUW3" s="136"/>
      <c r="NUX3" s="136"/>
      <c r="NUY3" s="136"/>
      <c r="NUZ3" s="136"/>
      <c r="NVA3" s="136"/>
      <c r="NVB3" s="136"/>
      <c r="NVC3" s="136"/>
      <c r="NVD3" s="136"/>
      <c r="NVE3" s="136"/>
      <c r="NVF3" s="136"/>
      <c r="NVG3" s="136"/>
      <c r="NVH3" s="136"/>
      <c r="NVI3" s="136"/>
      <c r="NVJ3" s="136"/>
      <c r="NVK3" s="136"/>
      <c r="NVL3" s="136"/>
      <c r="NVM3" s="136"/>
      <c r="NVN3" s="136"/>
      <c r="NVO3" s="136"/>
      <c r="NVP3" s="136"/>
      <c r="NVQ3" s="136"/>
      <c r="NVR3" s="136"/>
      <c r="NVS3" s="136"/>
      <c r="NVT3" s="136"/>
      <c r="NVU3" s="136"/>
      <c r="NVV3" s="136"/>
      <c r="NVW3" s="136"/>
      <c r="NVX3" s="136"/>
      <c r="NVY3" s="136"/>
      <c r="NVZ3" s="136"/>
      <c r="NWA3" s="136"/>
      <c r="NWB3" s="136"/>
      <c r="NWC3" s="136"/>
      <c r="NWD3" s="136"/>
      <c r="NWE3" s="136"/>
      <c r="NWF3" s="136"/>
      <c r="NWG3" s="136"/>
      <c r="NWH3" s="136"/>
      <c r="NWI3" s="136"/>
      <c r="NWJ3" s="136"/>
      <c r="NWK3" s="136"/>
      <c r="NWL3" s="136"/>
      <c r="NWM3" s="136"/>
      <c r="NWN3" s="136"/>
      <c r="NWO3" s="136"/>
      <c r="NWP3" s="136"/>
      <c r="NWQ3" s="136"/>
      <c r="NWR3" s="136"/>
      <c r="NWS3" s="136"/>
      <c r="NWT3" s="136"/>
      <c r="NWU3" s="136"/>
      <c r="NWV3" s="136"/>
      <c r="NWW3" s="136"/>
      <c r="NWX3" s="136"/>
      <c r="NWY3" s="136"/>
      <c r="NWZ3" s="136"/>
      <c r="NXA3" s="136"/>
      <c r="NXB3" s="136"/>
      <c r="NXC3" s="136"/>
      <c r="NXD3" s="136"/>
      <c r="NXE3" s="136"/>
      <c r="NXF3" s="136"/>
      <c r="NXG3" s="136"/>
      <c r="NXH3" s="136"/>
      <c r="NXI3" s="136"/>
      <c r="NXJ3" s="136"/>
      <c r="NXK3" s="136"/>
      <c r="NXL3" s="136"/>
      <c r="NXM3" s="136"/>
      <c r="NXN3" s="136"/>
      <c r="NXO3" s="136"/>
      <c r="NXP3" s="136"/>
      <c r="NXQ3" s="136"/>
      <c r="NXR3" s="136"/>
      <c r="NXS3" s="136"/>
      <c r="NXT3" s="136"/>
      <c r="NXU3" s="136"/>
      <c r="NXV3" s="136"/>
      <c r="NXW3" s="136"/>
      <c r="NXX3" s="136"/>
      <c r="NXY3" s="136"/>
      <c r="NXZ3" s="136"/>
      <c r="NYA3" s="136"/>
      <c r="NYB3" s="136"/>
      <c r="NYC3" s="136"/>
      <c r="NYD3" s="136"/>
      <c r="NYE3" s="136"/>
      <c r="NYF3" s="136"/>
      <c r="NYG3" s="136"/>
      <c r="NYH3" s="136"/>
      <c r="NYI3" s="136"/>
      <c r="NYJ3" s="136"/>
      <c r="NYK3" s="136"/>
      <c r="NYL3" s="136"/>
      <c r="NYM3" s="136"/>
      <c r="NYN3" s="136"/>
      <c r="NYO3" s="136"/>
      <c r="NYP3" s="136"/>
      <c r="NYQ3" s="136"/>
      <c r="NYR3" s="136"/>
      <c r="NYS3" s="136"/>
      <c r="NYT3" s="136"/>
      <c r="NYU3" s="136"/>
      <c r="NYV3" s="136"/>
      <c r="NYW3" s="136"/>
      <c r="NYX3" s="136"/>
      <c r="NYY3" s="136"/>
      <c r="NYZ3" s="136"/>
      <c r="NZA3" s="136"/>
      <c r="NZB3" s="136"/>
      <c r="NZC3" s="136"/>
      <c r="NZD3" s="136"/>
      <c r="NZE3" s="136"/>
      <c r="NZF3" s="136"/>
      <c r="NZG3" s="136"/>
      <c r="NZH3" s="136"/>
      <c r="NZI3" s="136"/>
      <c r="NZJ3" s="136"/>
      <c r="NZK3" s="136"/>
      <c r="NZL3" s="136"/>
      <c r="NZM3" s="136"/>
      <c r="NZN3" s="136"/>
      <c r="NZO3" s="136"/>
      <c r="NZP3" s="136"/>
      <c r="NZQ3" s="136"/>
      <c r="NZR3" s="136"/>
      <c r="NZS3" s="136"/>
      <c r="NZT3" s="136"/>
      <c r="NZU3" s="136"/>
      <c r="NZV3" s="136"/>
      <c r="NZW3" s="136"/>
      <c r="NZX3" s="136"/>
      <c r="NZY3" s="136"/>
      <c r="NZZ3" s="136"/>
      <c r="OAA3" s="136"/>
      <c r="OAB3" s="136"/>
      <c r="OAC3" s="136"/>
      <c r="OAD3" s="136"/>
      <c r="OAE3" s="136"/>
      <c r="OAF3" s="136"/>
      <c r="OAG3" s="136"/>
      <c r="OAH3" s="136"/>
      <c r="OAI3" s="136"/>
      <c r="OAJ3" s="136"/>
      <c r="OAK3" s="136"/>
      <c r="OAL3" s="136"/>
      <c r="OAM3" s="136"/>
      <c r="OAN3" s="136"/>
      <c r="OAO3" s="136"/>
      <c r="OAP3" s="136"/>
      <c r="OAQ3" s="136"/>
      <c r="OAR3" s="136"/>
      <c r="OAS3" s="136"/>
      <c r="OAT3" s="136"/>
      <c r="OAU3" s="136"/>
      <c r="OAV3" s="136"/>
      <c r="OAW3" s="136"/>
      <c r="OAX3" s="136"/>
      <c r="OAY3" s="136"/>
      <c r="OAZ3" s="136"/>
      <c r="OBA3" s="136"/>
      <c r="OBB3" s="136"/>
      <c r="OBC3" s="136"/>
      <c r="OBD3" s="136"/>
      <c r="OBE3" s="136"/>
      <c r="OBF3" s="136"/>
      <c r="OBG3" s="136"/>
      <c r="OBH3" s="136"/>
      <c r="OBI3" s="136"/>
      <c r="OBJ3" s="136"/>
      <c r="OBK3" s="136"/>
      <c r="OBL3" s="136"/>
      <c r="OBM3" s="136"/>
      <c r="OBN3" s="136"/>
      <c r="OBO3" s="136"/>
      <c r="OBP3" s="136"/>
      <c r="OBQ3" s="136"/>
      <c r="OBR3" s="136"/>
      <c r="OBS3" s="136"/>
      <c r="OBT3" s="136"/>
      <c r="OBU3" s="136"/>
      <c r="OBV3" s="136"/>
      <c r="OBW3" s="136"/>
      <c r="OBX3" s="136"/>
      <c r="OBY3" s="136"/>
      <c r="OBZ3" s="136"/>
      <c r="OCA3" s="136"/>
      <c r="OCB3" s="136"/>
      <c r="OCC3" s="136"/>
      <c r="OCD3" s="136"/>
      <c r="OCE3" s="136"/>
      <c r="OCF3" s="136"/>
      <c r="OCG3" s="136"/>
      <c r="OCH3" s="136"/>
      <c r="OCI3" s="136"/>
      <c r="OCJ3" s="136"/>
      <c r="OCK3" s="136"/>
      <c r="OCL3" s="136"/>
      <c r="OCM3" s="136"/>
      <c r="OCN3" s="136"/>
      <c r="OCO3" s="136"/>
      <c r="OCP3" s="136"/>
      <c r="OCQ3" s="136"/>
      <c r="OCR3" s="136"/>
      <c r="OCS3" s="136"/>
      <c r="OCT3" s="136"/>
      <c r="OCU3" s="136"/>
      <c r="OCV3" s="136"/>
      <c r="OCW3" s="136"/>
      <c r="OCX3" s="136"/>
      <c r="OCY3" s="136"/>
      <c r="OCZ3" s="136"/>
      <c r="ODA3" s="136"/>
      <c r="ODB3" s="136"/>
      <c r="ODC3" s="136"/>
      <c r="ODD3" s="136"/>
      <c r="ODE3" s="136"/>
      <c r="ODF3" s="136"/>
      <c r="ODG3" s="136"/>
      <c r="ODH3" s="136"/>
      <c r="ODI3" s="136"/>
      <c r="ODJ3" s="136"/>
      <c r="ODK3" s="136"/>
      <c r="ODL3" s="136"/>
      <c r="ODM3" s="136"/>
      <c r="ODN3" s="136"/>
      <c r="ODO3" s="136"/>
      <c r="ODP3" s="136"/>
      <c r="ODQ3" s="136"/>
      <c r="ODR3" s="136"/>
      <c r="ODS3" s="136"/>
      <c r="ODT3" s="136"/>
      <c r="ODU3" s="136"/>
      <c r="ODV3" s="136"/>
      <c r="ODW3" s="136"/>
      <c r="ODX3" s="136"/>
      <c r="ODY3" s="136"/>
      <c r="ODZ3" s="136"/>
      <c r="OEA3" s="136"/>
      <c r="OEB3" s="136"/>
      <c r="OEC3" s="136"/>
      <c r="OED3" s="136"/>
      <c r="OEE3" s="136"/>
      <c r="OEF3" s="136"/>
      <c r="OEG3" s="136"/>
      <c r="OEH3" s="136"/>
      <c r="OEI3" s="136"/>
      <c r="OEJ3" s="136"/>
      <c r="OEK3" s="136"/>
      <c r="OEL3" s="136"/>
      <c r="OEM3" s="136"/>
      <c r="OEN3" s="136"/>
      <c r="OEO3" s="136"/>
      <c r="OEP3" s="136"/>
      <c r="OEQ3" s="136"/>
      <c r="OER3" s="136"/>
      <c r="OES3" s="136"/>
      <c r="OET3" s="136"/>
      <c r="OEU3" s="136"/>
      <c r="OEV3" s="136"/>
      <c r="OEW3" s="136"/>
      <c r="OEX3" s="136"/>
      <c r="OEY3" s="136"/>
      <c r="OEZ3" s="136"/>
      <c r="OFA3" s="136"/>
      <c r="OFB3" s="136"/>
      <c r="OFC3" s="136"/>
      <c r="OFD3" s="136"/>
      <c r="OFE3" s="136"/>
      <c r="OFF3" s="136"/>
      <c r="OFG3" s="136"/>
      <c r="OFH3" s="136"/>
      <c r="OFI3" s="136"/>
      <c r="OFJ3" s="136"/>
      <c r="OFK3" s="136"/>
      <c r="OFL3" s="136"/>
      <c r="OFM3" s="136"/>
      <c r="OFN3" s="136"/>
      <c r="OFO3" s="136"/>
      <c r="OFP3" s="136"/>
      <c r="OFQ3" s="136"/>
      <c r="OFR3" s="136"/>
      <c r="OFS3" s="136"/>
      <c r="OFT3" s="136"/>
      <c r="OFU3" s="136"/>
      <c r="OFV3" s="136"/>
      <c r="OFW3" s="136"/>
      <c r="OFX3" s="136"/>
      <c r="OFY3" s="136"/>
      <c r="OFZ3" s="136"/>
      <c r="OGA3" s="136"/>
      <c r="OGB3" s="136"/>
      <c r="OGC3" s="136"/>
      <c r="OGD3" s="136"/>
      <c r="OGE3" s="136"/>
      <c r="OGF3" s="136"/>
      <c r="OGG3" s="136"/>
      <c r="OGH3" s="136"/>
      <c r="OGI3" s="136"/>
      <c r="OGJ3" s="136"/>
      <c r="OGK3" s="136"/>
      <c r="OGL3" s="136"/>
      <c r="OGM3" s="136"/>
      <c r="OGN3" s="136"/>
      <c r="OGO3" s="136"/>
      <c r="OGP3" s="136"/>
      <c r="OGQ3" s="136"/>
      <c r="OGR3" s="136"/>
      <c r="OGS3" s="136"/>
      <c r="OGT3" s="136"/>
      <c r="OGU3" s="136"/>
      <c r="OGV3" s="136"/>
      <c r="OGW3" s="136"/>
      <c r="OGX3" s="136"/>
      <c r="OGY3" s="136"/>
      <c r="OGZ3" s="136"/>
      <c r="OHA3" s="136"/>
      <c r="OHB3" s="136"/>
      <c r="OHC3" s="136"/>
      <c r="OHD3" s="136"/>
      <c r="OHE3" s="136"/>
      <c r="OHF3" s="136"/>
      <c r="OHG3" s="136"/>
      <c r="OHH3" s="136"/>
      <c r="OHI3" s="136"/>
      <c r="OHJ3" s="136"/>
      <c r="OHK3" s="136"/>
      <c r="OHL3" s="136"/>
      <c r="OHM3" s="136"/>
      <c r="OHN3" s="136"/>
      <c r="OHO3" s="136"/>
      <c r="OHP3" s="136"/>
      <c r="OHQ3" s="136"/>
      <c r="OHR3" s="136"/>
      <c r="OHS3" s="136"/>
      <c r="OHT3" s="136"/>
      <c r="OHU3" s="136"/>
      <c r="OHV3" s="136"/>
      <c r="OHW3" s="136"/>
      <c r="OHX3" s="136"/>
      <c r="OHY3" s="136"/>
      <c r="OHZ3" s="136"/>
      <c r="OIA3" s="136"/>
      <c r="OIB3" s="136"/>
      <c r="OIC3" s="136"/>
      <c r="OID3" s="136"/>
      <c r="OIE3" s="136"/>
      <c r="OIF3" s="136"/>
      <c r="OIG3" s="136"/>
      <c r="OIH3" s="136"/>
      <c r="OII3" s="136"/>
      <c r="OIJ3" s="136"/>
      <c r="OIK3" s="136"/>
      <c r="OIL3" s="136"/>
      <c r="OIM3" s="136"/>
      <c r="OIN3" s="136"/>
      <c r="OIO3" s="136"/>
      <c r="OIP3" s="136"/>
      <c r="OIQ3" s="136"/>
      <c r="OIR3" s="136"/>
      <c r="OIS3" s="136"/>
      <c r="OIT3" s="136"/>
      <c r="OIU3" s="136"/>
      <c r="OIV3" s="136"/>
      <c r="OIW3" s="136"/>
      <c r="OIX3" s="136"/>
      <c r="OIY3" s="136"/>
      <c r="OIZ3" s="136"/>
      <c r="OJA3" s="136"/>
      <c r="OJB3" s="136"/>
      <c r="OJC3" s="136"/>
      <c r="OJD3" s="136"/>
      <c r="OJE3" s="136"/>
      <c r="OJF3" s="136"/>
      <c r="OJG3" s="136"/>
      <c r="OJH3" s="136"/>
      <c r="OJI3" s="136"/>
      <c r="OJJ3" s="136"/>
      <c r="OJK3" s="136"/>
      <c r="OJL3" s="136"/>
      <c r="OJM3" s="136"/>
      <c r="OJN3" s="136"/>
      <c r="OJO3" s="136"/>
      <c r="OJP3" s="136"/>
      <c r="OJQ3" s="136"/>
      <c r="OJR3" s="136"/>
      <c r="OJS3" s="136"/>
      <c r="OJT3" s="136"/>
      <c r="OJU3" s="136"/>
      <c r="OJV3" s="136"/>
      <c r="OJW3" s="136"/>
      <c r="OJX3" s="136"/>
      <c r="OJY3" s="136"/>
      <c r="OJZ3" s="136"/>
      <c r="OKA3" s="136"/>
      <c r="OKB3" s="136"/>
      <c r="OKC3" s="136"/>
      <c r="OKD3" s="136"/>
      <c r="OKE3" s="136"/>
      <c r="OKF3" s="136"/>
      <c r="OKG3" s="136"/>
      <c r="OKH3" s="136"/>
      <c r="OKI3" s="136"/>
      <c r="OKJ3" s="136"/>
      <c r="OKK3" s="136"/>
      <c r="OKL3" s="136"/>
      <c r="OKM3" s="136"/>
      <c r="OKN3" s="136"/>
      <c r="OKO3" s="136"/>
      <c r="OKP3" s="136"/>
      <c r="OKQ3" s="136"/>
      <c r="OKR3" s="136"/>
      <c r="OKS3" s="136"/>
      <c r="OKT3" s="136"/>
      <c r="OKU3" s="136"/>
      <c r="OKV3" s="136"/>
      <c r="OKW3" s="136"/>
      <c r="OKX3" s="136"/>
      <c r="OKY3" s="136"/>
      <c r="OKZ3" s="136"/>
      <c r="OLA3" s="136"/>
      <c r="OLB3" s="136"/>
      <c r="OLC3" s="136"/>
      <c r="OLD3" s="136"/>
      <c r="OLE3" s="136"/>
      <c r="OLF3" s="136"/>
      <c r="OLG3" s="136"/>
      <c r="OLH3" s="136"/>
      <c r="OLI3" s="136"/>
      <c r="OLJ3" s="136"/>
      <c r="OLK3" s="136"/>
      <c r="OLL3" s="136"/>
      <c r="OLM3" s="136"/>
      <c r="OLN3" s="136"/>
      <c r="OLO3" s="136"/>
      <c r="OLP3" s="136"/>
      <c r="OLQ3" s="136"/>
      <c r="OLR3" s="136"/>
      <c r="OLS3" s="136"/>
      <c r="OLT3" s="136"/>
      <c r="OLU3" s="136"/>
      <c r="OLV3" s="136"/>
      <c r="OLW3" s="136"/>
      <c r="OLX3" s="136"/>
      <c r="OLY3" s="136"/>
      <c r="OLZ3" s="136"/>
      <c r="OMA3" s="136"/>
      <c r="OMB3" s="136"/>
      <c r="OMC3" s="136"/>
      <c r="OMD3" s="136"/>
      <c r="OME3" s="136"/>
      <c r="OMF3" s="136"/>
      <c r="OMG3" s="136"/>
      <c r="OMH3" s="136"/>
      <c r="OMI3" s="136"/>
      <c r="OMJ3" s="136"/>
      <c r="OMK3" s="136"/>
      <c r="OML3" s="136"/>
      <c r="OMM3" s="136"/>
      <c r="OMN3" s="136"/>
      <c r="OMO3" s="136"/>
      <c r="OMP3" s="136"/>
      <c r="OMQ3" s="136"/>
      <c r="OMR3" s="136"/>
      <c r="OMS3" s="136"/>
      <c r="OMT3" s="136"/>
      <c r="OMU3" s="136"/>
      <c r="OMV3" s="136"/>
      <c r="OMW3" s="136"/>
      <c r="OMX3" s="136"/>
      <c r="OMY3" s="136"/>
      <c r="OMZ3" s="136"/>
      <c r="ONA3" s="136"/>
      <c r="ONB3" s="136"/>
      <c r="ONC3" s="136"/>
      <c r="OND3" s="136"/>
      <c r="ONE3" s="136"/>
      <c r="ONF3" s="136"/>
      <c r="ONG3" s="136"/>
      <c r="ONH3" s="136"/>
      <c r="ONI3" s="136"/>
      <c r="ONJ3" s="136"/>
      <c r="ONK3" s="136"/>
      <c r="ONL3" s="136"/>
      <c r="ONM3" s="136"/>
      <c r="ONN3" s="136"/>
      <c r="ONO3" s="136"/>
      <c r="ONP3" s="136"/>
      <c r="ONQ3" s="136"/>
      <c r="ONR3" s="136"/>
      <c r="ONS3" s="136"/>
      <c r="ONT3" s="136"/>
      <c r="ONU3" s="136"/>
      <c r="ONV3" s="136"/>
      <c r="ONW3" s="136"/>
      <c r="ONX3" s="136"/>
      <c r="ONY3" s="136"/>
      <c r="ONZ3" s="136"/>
      <c r="OOA3" s="136"/>
      <c r="OOB3" s="136"/>
      <c r="OOC3" s="136"/>
      <c r="OOD3" s="136"/>
      <c r="OOE3" s="136"/>
      <c r="OOF3" s="136"/>
      <c r="OOG3" s="136"/>
      <c r="OOH3" s="136"/>
      <c r="OOI3" s="136"/>
      <c r="OOJ3" s="136"/>
      <c r="OOK3" s="136"/>
      <c r="OOL3" s="136"/>
      <c r="OOM3" s="136"/>
      <c r="OON3" s="136"/>
      <c r="OOO3" s="136"/>
      <c r="OOP3" s="136"/>
      <c r="OOQ3" s="136"/>
      <c r="OOR3" s="136"/>
      <c r="OOS3" s="136"/>
      <c r="OOT3" s="136"/>
      <c r="OOU3" s="136"/>
      <c r="OOV3" s="136"/>
      <c r="OOW3" s="136"/>
      <c r="OOX3" s="136"/>
      <c r="OOY3" s="136"/>
      <c r="OOZ3" s="136"/>
      <c r="OPA3" s="136"/>
      <c r="OPB3" s="136"/>
      <c r="OPC3" s="136"/>
      <c r="OPD3" s="136"/>
      <c r="OPE3" s="136"/>
      <c r="OPF3" s="136"/>
      <c r="OPG3" s="136"/>
      <c r="OPH3" s="136"/>
      <c r="OPI3" s="136"/>
      <c r="OPJ3" s="136"/>
      <c r="OPK3" s="136"/>
      <c r="OPL3" s="136"/>
      <c r="OPM3" s="136"/>
      <c r="OPN3" s="136"/>
      <c r="OPO3" s="136"/>
      <c r="OPP3" s="136"/>
      <c r="OPQ3" s="136"/>
      <c r="OPR3" s="136"/>
      <c r="OPS3" s="136"/>
      <c r="OPT3" s="136"/>
      <c r="OPU3" s="136"/>
      <c r="OPV3" s="136"/>
      <c r="OPW3" s="136"/>
      <c r="OPX3" s="136"/>
      <c r="OPY3" s="136"/>
      <c r="OPZ3" s="136"/>
      <c r="OQA3" s="136"/>
      <c r="OQB3" s="136"/>
      <c r="OQC3" s="136"/>
      <c r="OQD3" s="136"/>
      <c r="OQE3" s="136"/>
      <c r="OQF3" s="136"/>
      <c r="OQG3" s="136"/>
      <c r="OQH3" s="136"/>
      <c r="OQI3" s="136"/>
      <c r="OQJ3" s="136"/>
      <c r="OQK3" s="136"/>
      <c r="OQL3" s="136"/>
      <c r="OQM3" s="136"/>
      <c r="OQN3" s="136"/>
      <c r="OQO3" s="136"/>
      <c r="OQP3" s="136"/>
      <c r="OQQ3" s="136"/>
      <c r="OQR3" s="136"/>
      <c r="OQS3" s="136"/>
      <c r="OQT3" s="136"/>
      <c r="OQU3" s="136"/>
      <c r="OQV3" s="136"/>
      <c r="OQW3" s="136"/>
      <c r="OQX3" s="136"/>
      <c r="OQY3" s="136"/>
      <c r="OQZ3" s="136"/>
      <c r="ORA3" s="136"/>
      <c r="ORB3" s="136"/>
      <c r="ORC3" s="136"/>
      <c r="ORD3" s="136"/>
      <c r="ORE3" s="136"/>
      <c r="ORF3" s="136"/>
      <c r="ORG3" s="136"/>
      <c r="ORH3" s="136"/>
      <c r="ORI3" s="136"/>
      <c r="ORJ3" s="136"/>
      <c r="ORK3" s="136"/>
      <c r="ORL3" s="136"/>
      <c r="ORM3" s="136"/>
      <c r="ORN3" s="136"/>
      <c r="ORO3" s="136"/>
      <c r="ORP3" s="136"/>
      <c r="ORQ3" s="136"/>
      <c r="ORR3" s="136"/>
      <c r="ORS3" s="136"/>
      <c r="ORT3" s="136"/>
      <c r="ORU3" s="136"/>
      <c r="ORV3" s="136"/>
      <c r="ORW3" s="136"/>
      <c r="ORX3" s="136"/>
      <c r="ORY3" s="136"/>
      <c r="ORZ3" s="136"/>
      <c r="OSA3" s="136"/>
      <c r="OSB3" s="136"/>
      <c r="OSC3" s="136"/>
      <c r="OSD3" s="136"/>
      <c r="OSE3" s="136"/>
      <c r="OSF3" s="136"/>
      <c r="OSG3" s="136"/>
      <c r="OSH3" s="136"/>
      <c r="OSI3" s="136"/>
      <c r="OSJ3" s="136"/>
      <c r="OSK3" s="136"/>
      <c r="OSL3" s="136"/>
      <c r="OSM3" s="136"/>
      <c r="OSN3" s="136"/>
      <c r="OSO3" s="136"/>
      <c r="OSP3" s="136"/>
      <c r="OSQ3" s="136"/>
      <c r="OSR3" s="136"/>
      <c r="OSS3" s="136"/>
      <c r="OST3" s="136"/>
      <c r="OSU3" s="136"/>
      <c r="OSV3" s="136"/>
      <c r="OSW3" s="136"/>
      <c r="OSX3" s="136"/>
      <c r="OSY3" s="136"/>
      <c r="OSZ3" s="136"/>
      <c r="OTA3" s="136"/>
      <c r="OTB3" s="136"/>
      <c r="OTC3" s="136"/>
      <c r="OTD3" s="136"/>
      <c r="OTE3" s="136"/>
      <c r="OTF3" s="136"/>
      <c r="OTG3" s="136"/>
      <c r="OTH3" s="136"/>
      <c r="OTI3" s="136"/>
      <c r="OTJ3" s="136"/>
      <c r="OTK3" s="136"/>
      <c r="OTL3" s="136"/>
      <c r="OTM3" s="136"/>
      <c r="OTN3" s="136"/>
      <c r="OTO3" s="136"/>
      <c r="OTP3" s="136"/>
      <c r="OTQ3" s="136"/>
      <c r="OTR3" s="136"/>
      <c r="OTS3" s="136"/>
      <c r="OTT3" s="136"/>
      <c r="OTU3" s="136"/>
      <c r="OTV3" s="136"/>
      <c r="OTW3" s="136"/>
      <c r="OTX3" s="136"/>
      <c r="OTY3" s="136"/>
      <c r="OTZ3" s="136"/>
      <c r="OUA3" s="136"/>
      <c r="OUB3" s="136"/>
      <c r="OUC3" s="136"/>
      <c r="OUD3" s="136"/>
      <c r="OUE3" s="136"/>
      <c r="OUF3" s="136"/>
      <c r="OUG3" s="136"/>
      <c r="OUH3" s="136"/>
      <c r="OUI3" s="136"/>
      <c r="OUJ3" s="136"/>
      <c r="OUK3" s="136"/>
      <c r="OUL3" s="136"/>
      <c r="OUM3" s="136"/>
      <c r="OUN3" s="136"/>
      <c r="OUO3" s="136"/>
      <c r="OUP3" s="136"/>
      <c r="OUQ3" s="136"/>
      <c r="OUR3" s="136"/>
      <c r="OUS3" s="136"/>
      <c r="OUT3" s="136"/>
      <c r="OUU3" s="136"/>
      <c r="OUV3" s="136"/>
      <c r="OUW3" s="136"/>
      <c r="OUX3" s="136"/>
      <c r="OUY3" s="136"/>
      <c r="OUZ3" s="136"/>
      <c r="OVA3" s="136"/>
      <c r="OVB3" s="136"/>
      <c r="OVC3" s="136"/>
      <c r="OVD3" s="136"/>
      <c r="OVE3" s="136"/>
      <c r="OVF3" s="136"/>
      <c r="OVG3" s="136"/>
      <c r="OVH3" s="136"/>
      <c r="OVI3" s="136"/>
      <c r="OVJ3" s="136"/>
      <c r="OVK3" s="136"/>
      <c r="OVL3" s="136"/>
      <c r="OVM3" s="136"/>
      <c r="OVN3" s="136"/>
      <c r="OVO3" s="136"/>
      <c r="OVP3" s="136"/>
      <c r="OVQ3" s="136"/>
      <c r="OVR3" s="136"/>
      <c r="OVS3" s="136"/>
      <c r="OVT3" s="136"/>
      <c r="OVU3" s="136"/>
      <c r="OVV3" s="136"/>
      <c r="OVW3" s="136"/>
      <c r="OVX3" s="136"/>
      <c r="OVY3" s="136"/>
      <c r="OVZ3" s="136"/>
      <c r="OWA3" s="136"/>
      <c r="OWB3" s="136"/>
      <c r="OWC3" s="136"/>
      <c r="OWD3" s="136"/>
      <c r="OWE3" s="136"/>
      <c r="OWF3" s="136"/>
      <c r="OWG3" s="136"/>
      <c r="OWH3" s="136"/>
      <c r="OWI3" s="136"/>
      <c r="OWJ3" s="136"/>
      <c r="OWK3" s="136"/>
      <c r="OWL3" s="136"/>
      <c r="OWM3" s="136"/>
      <c r="OWN3" s="136"/>
      <c r="OWO3" s="136"/>
      <c r="OWP3" s="136"/>
      <c r="OWQ3" s="136"/>
      <c r="OWR3" s="136"/>
      <c r="OWS3" s="136"/>
      <c r="OWT3" s="136"/>
      <c r="OWU3" s="136"/>
      <c r="OWV3" s="136"/>
      <c r="OWW3" s="136"/>
      <c r="OWX3" s="136"/>
      <c r="OWY3" s="136"/>
      <c r="OWZ3" s="136"/>
      <c r="OXA3" s="136"/>
      <c r="OXB3" s="136"/>
      <c r="OXC3" s="136"/>
      <c r="OXD3" s="136"/>
      <c r="OXE3" s="136"/>
      <c r="OXF3" s="136"/>
      <c r="OXG3" s="136"/>
      <c r="OXH3" s="136"/>
      <c r="OXI3" s="136"/>
      <c r="OXJ3" s="136"/>
      <c r="OXK3" s="136"/>
      <c r="OXL3" s="136"/>
      <c r="OXM3" s="136"/>
      <c r="OXN3" s="136"/>
      <c r="OXO3" s="136"/>
      <c r="OXP3" s="136"/>
      <c r="OXQ3" s="136"/>
      <c r="OXR3" s="136"/>
      <c r="OXS3" s="136"/>
      <c r="OXT3" s="136"/>
      <c r="OXU3" s="136"/>
      <c r="OXV3" s="136"/>
      <c r="OXW3" s="136"/>
      <c r="OXX3" s="136"/>
      <c r="OXY3" s="136"/>
      <c r="OXZ3" s="136"/>
      <c r="OYA3" s="136"/>
      <c r="OYB3" s="136"/>
      <c r="OYC3" s="136"/>
      <c r="OYD3" s="136"/>
      <c r="OYE3" s="136"/>
      <c r="OYF3" s="136"/>
      <c r="OYG3" s="136"/>
      <c r="OYH3" s="136"/>
      <c r="OYI3" s="136"/>
      <c r="OYJ3" s="136"/>
      <c r="OYK3" s="136"/>
      <c r="OYL3" s="136"/>
      <c r="OYM3" s="136"/>
      <c r="OYN3" s="136"/>
      <c r="OYO3" s="136"/>
      <c r="OYP3" s="136"/>
      <c r="OYQ3" s="136"/>
      <c r="OYR3" s="136"/>
      <c r="OYS3" s="136"/>
      <c r="OYT3" s="136"/>
      <c r="OYU3" s="136"/>
      <c r="OYV3" s="136"/>
      <c r="OYW3" s="136"/>
      <c r="OYX3" s="136"/>
      <c r="OYY3" s="136"/>
      <c r="OYZ3" s="136"/>
      <c r="OZA3" s="136"/>
      <c r="OZB3" s="136"/>
      <c r="OZC3" s="136"/>
      <c r="OZD3" s="136"/>
      <c r="OZE3" s="136"/>
      <c r="OZF3" s="136"/>
      <c r="OZG3" s="136"/>
      <c r="OZH3" s="136"/>
      <c r="OZI3" s="136"/>
      <c r="OZJ3" s="136"/>
      <c r="OZK3" s="136"/>
      <c r="OZL3" s="136"/>
      <c r="OZM3" s="136"/>
      <c r="OZN3" s="136"/>
      <c r="OZO3" s="136"/>
      <c r="OZP3" s="136"/>
      <c r="OZQ3" s="136"/>
      <c r="OZR3" s="136"/>
      <c r="OZS3" s="136"/>
      <c r="OZT3" s="136"/>
      <c r="OZU3" s="136"/>
      <c r="OZV3" s="136"/>
      <c r="OZW3" s="136"/>
      <c r="OZX3" s="136"/>
      <c r="OZY3" s="136"/>
      <c r="OZZ3" s="136"/>
      <c r="PAA3" s="136"/>
      <c r="PAB3" s="136"/>
      <c r="PAC3" s="136"/>
      <c r="PAD3" s="136"/>
      <c r="PAE3" s="136"/>
      <c r="PAF3" s="136"/>
      <c r="PAG3" s="136"/>
      <c r="PAH3" s="136"/>
      <c r="PAI3" s="136"/>
      <c r="PAJ3" s="136"/>
      <c r="PAK3" s="136"/>
      <c r="PAL3" s="136"/>
      <c r="PAM3" s="136"/>
      <c r="PAN3" s="136"/>
      <c r="PAO3" s="136"/>
      <c r="PAP3" s="136"/>
      <c r="PAQ3" s="136"/>
      <c r="PAR3" s="136"/>
      <c r="PAS3" s="136"/>
      <c r="PAT3" s="136"/>
      <c r="PAU3" s="136"/>
      <c r="PAV3" s="136"/>
      <c r="PAW3" s="136"/>
      <c r="PAX3" s="136"/>
      <c r="PAY3" s="136"/>
      <c r="PAZ3" s="136"/>
      <c r="PBA3" s="136"/>
      <c r="PBB3" s="136"/>
      <c r="PBC3" s="136"/>
      <c r="PBD3" s="136"/>
      <c r="PBE3" s="136"/>
      <c r="PBF3" s="136"/>
      <c r="PBG3" s="136"/>
      <c r="PBH3" s="136"/>
      <c r="PBI3" s="136"/>
      <c r="PBJ3" s="136"/>
      <c r="PBK3" s="136"/>
      <c r="PBL3" s="136"/>
      <c r="PBM3" s="136"/>
      <c r="PBN3" s="136"/>
      <c r="PBO3" s="136"/>
      <c r="PBP3" s="136"/>
      <c r="PBQ3" s="136"/>
      <c r="PBR3" s="136"/>
      <c r="PBS3" s="136"/>
      <c r="PBT3" s="136"/>
      <c r="PBU3" s="136"/>
      <c r="PBV3" s="136"/>
      <c r="PBW3" s="136"/>
      <c r="PBX3" s="136"/>
      <c r="PBY3" s="136"/>
      <c r="PBZ3" s="136"/>
      <c r="PCA3" s="136"/>
      <c r="PCB3" s="136"/>
      <c r="PCC3" s="136"/>
      <c r="PCD3" s="136"/>
      <c r="PCE3" s="136"/>
      <c r="PCF3" s="136"/>
      <c r="PCG3" s="136"/>
      <c r="PCH3" s="136"/>
      <c r="PCI3" s="136"/>
      <c r="PCJ3" s="136"/>
      <c r="PCK3" s="136"/>
      <c r="PCL3" s="136"/>
      <c r="PCM3" s="136"/>
      <c r="PCN3" s="136"/>
      <c r="PCO3" s="136"/>
      <c r="PCP3" s="136"/>
      <c r="PCQ3" s="136"/>
      <c r="PCR3" s="136"/>
      <c r="PCS3" s="136"/>
      <c r="PCT3" s="136"/>
      <c r="PCU3" s="136"/>
      <c r="PCV3" s="136"/>
      <c r="PCW3" s="136"/>
      <c r="PCX3" s="136"/>
      <c r="PCY3" s="136"/>
      <c r="PCZ3" s="136"/>
      <c r="PDA3" s="136"/>
      <c r="PDB3" s="136"/>
      <c r="PDC3" s="136"/>
      <c r="PDD3" s="136"/>
      <c r="PDE3" s="136"/>
      <c r="PDF3" s="136"/>
      <c r="PDG3" s="136"/>
      <c r="PDH3" s="136"/>
      <c r="PDI3" s="136"/>
      <c r="PDJ3" s="136"/>
      <c r="PDK3" s="136"/>
      <c r="PDL3" s="136"/>
      <c r="PDM3" s="136"/>
      <c r="PDN3" s="136"/>
      <c r="PDO3" s="136"/>
      <c r="PDP3" s="136"/>
      <c r="PDQ3" s="136"/>
      <c r="PDR3" s="136"/>
      <c r="PDS3" s="136"/>
      <c r="PDT3" s="136"/>
      <c r="PDU3" s="136"/>
      <c r="PDV3" s="136"/>
      <c r="PDW3" s="136"/>
      <c r="PDX3" s="136"/>
      <c r="PDY3" s="136"/>
      <c r="PDZ3" s="136"/>
      <c r="PEA3" s="136"/>
      <c r="PEB3" s="136"/>
      <c r="PEC3" s="136"/>
      <c r="PED3" s="136"/>
      <c r="PEE3" s="136"/>
      <c r="PEF3" s="136"/>
      <c r="PEG3" s="136"/>
      <c r="PEH3" s="136"/>
      <c r="PEI3" s="136"/>
      <c r="PEJ3" s="136"/>
      <c r="PEK3" s="136"/>
      <c r="PEL3" s="136"/>
      <c r="PEM3" s="136"/>
      <c r="PEN3" s="136"/>
      <c r="PEO3" s="136"/>
      <c r="PEP3" s="136"/>
      <c r="PEQ3" s="136"/>
      <c r="PER3" s="136"/>
      <c r="PES3" s="136"/>
      <c r="PET3" s="136"/>
      <c r="PEU3" s="136"/>
      <c r="PEV3" s="136"/>
      <c r="PEW3" s="136"/>
      <c r="PEX3" s="136"/>
      <c r="PEY3" s="136"/>
      <c r="PEZ3" s="136"/>
      <c r="PFA3" s="136"/>
      <c r="PFB3" s="136"/>
      <c r="PFC3" s="136"/>
      <c r="PFD3" s="136"/>
      <c r="PFE3" s="136"/>
      <c r="PFF3" s="136"/>
      <c r="PFG3" s="136"/>
      <c r="PFH3" s="136"/>
      <c r="PFI3" s="136"/>
      <c r="PFJ3" s="136"/>
      <c r="PFK3" s="136"/>
      <c r="PFL3" s="136"/>
      <c r="PFM3" s="136"/>
      <c r="PFN3" s="136"/>
      <c r="PFO3" s="136"/>
      <c r="PFP3" s="136"/>
      <c r="PFQ3" s="136"/>
      <c r="PFR3" s="136"/>
      <c r="PFS3" s="136"/>
      <c r="PFT3" s="136"/>
      <c r="PFU3" s="136"/>
      <c r="PFV3" s="136"/>
      <c r="PFW3" s="136"/>
      <c r="PFX3" s="136"/>
      <c r="PFY3" s="136"/>
      <c r="PFZ3" s="136"/>
      <c r="PGA3" s="136"/>
      <c r="PGB3" s="136"/>
      <c r="PGC3" s="136"/>
      <c r="PGD3" s="136"/>
      <c r="PGE3" s="136"/>
      <c r="PGF3" s="136"/>
      <c r="PGG3" s="136"/>
      <c r="PGH3" s="136"/>
      <c r="PGI3" s="136"/>
      <c r="PGJ3" s="136"/>
      <c r="PGK3" s="136"/>
      <c r="PGL3" s="136"/>
      <c r="PGM3" s="136"/>
      <c r="PGN3" s="136"/>
      <c r="PGO3" s="136"/>
      <c r="PGP3" s="136"/>
      <c r="PGQ3" s="136"/>
      <c r="PGR3" s="136"/>
      <c r="PGS3" s="136"/>
      <c r="PGT3" s="136"/>
      <c r="PGU3" s="136"/>
      <c r="PGV3" s="136"/>
      <c r="PGW3" s="136"/>
      <c r="PGX3" s="136"/>
      <c r="PGY3" s="136"/>
      <c r="PGZ3" s="136"/>
      <c r="PHA3" s="136"/>
      <c r="PHB3" s="136"/>
      <c r="PHC3" s="136"/>
      <c r="PHD3" s="136"/>
      <c r="PHE3" s="136"/>
      <c r="PHF3" s="136"/>
      <c r="PHG3" s="136"/>
      <c r="PHH3" s="136"/>
      <c r="PHI3" s="136"/>
      <c r="PHJ3" s="136"/>
      <c r="PHK3" s="136"/>
      <c r="PHL3" s="136"/>
      <c r="PHM3" s="136"/>
      <c r="PHN3" s="136"/>
      <c r="PHO3" s="136"/>
      <c r="PHP3" s="136"/>
      <c r="PHQ3" s="136"/>
      <c r="PHR3" s="136"/>
      <c r="PHS3" s="136"/>
      <c r="PHT3" s="136"/>
      <c r="PHU3" s="136"/>
      <c r="PHV3" s="136"/>
      <c r="PHW3" s="136"/>
      <c r="PHX3" s="136"/>
      <c r="PHY3" s="136"/>
      <c r="PHZ3" s="136"/>
      <c r="PIA3" s="136"/>
      <c r="PIB3" s="136"/>
      <c r="PIC3" s="136"/>
      <c r="PID3" s="136"/>
      <c r="PIE3" s="136"/>
      <c r="PIF3" s="136"/>
      <c r="PIG3" s="136"/>
      <c r="PIH3" s="136"/>
      <c r="PII3" s="136"/>
      <c r="PIJ3" s="136"/>
      <c r="PIK3" s="136"/>
      <c r="PIL3" s="136"/>
      <c r="PIM3" s="136"/>
      <c r="PIN3" s="136"/>
      <c r="PIO3" s="136"/>
      <c r="PIP3" s="136"/>
      <c r="PIQ3" s="136"/>
      <c r="PIR3" s="136"/>
      <c r="PIS3" s="136"/>
      <c r="PIT3" s="136"/>
      <c r="PIU3" s="136"/>
      <c r="PIV3" s="136"/>
      <c r="PIW3" s="136"/>
      <c r="PIX3" s="136"/>
      <c r="PIY3" s="136"/>
      <c r="PIZ3" s="136"/>
      <c r="PJA3" s="136"/>
      <c r="PJB3" s="136"/>
      <c r="PJC3" s="136"/>
      <c r="PJD3" s="136"/>
      <c r="PJE3" s="136"/>
      <c r="PJF3" s="136"/>
      <c r="PJG3" s="136"/>
      <c r="PJH3" s="136"/>
      <c r="PJI3" s="136"/>
      <c r="PJJ3" s="136"/>
      <c r="PJK3" s="136"/>
      <c r="PJL3" s="136"/>
      <c r="PJM3" s="136"/>
      <c r="PJN3" s="136"/>
      <c r="PJO3" s="136"/>
      <c r="PJP3" s="136"/>
      <c r="PJQ3" s="136"/>
      <c r="PJR3" s="136"/>
      <c r="PJS3" s="136"/>
      <c r="PJT3" s="136"/>
      <c r="PJU3" s="136"/>
      <c r="PJV3" s="136"/>
      <c r="PJW3" s="136"/>
      <c r="PJX3" s="136"/>
      <c r="PJY3" s="136"/>
      <c r="PJZ3" s="136"/>
      <c r="PKA3" s="136"/>
      <c r="PKB3" s="136"/>
      <c r="PKC3" s="136"/>
      <c r="PKD3" s="136"/>
      <c r="PKE3" s="136"/>
      <c r="PKF3" s="136"/>
      <c r="PKG3" s="136"/>
      <c r="PKH3" s="136"/>
      <c r="PKI3" s="136"/>
      <c r="PKJ3" s="136"/>
      <c r="PKK3" s="136"/>
      <c r="PKL3" s="136"/>
      <c r="PKM3" s="136"/>
      <c r="PKN3" s="136"/>
      <c r="PKO3" s="136"/>
      <c r="PKP3" s="136"/>
      <c r="PKQ3" s="136"/>
      <c r="PKR3" s="136"/>
      <c r="PKS3" s="136"/>
      <c r="PKT3" s="136"/>
      <c r="PKU3" s="136"/>
      <c r="PKV3" s="136"/>
      <c r="PKW3" s="136"/>
      <c r="PKX3" s="136"/>
      <c r="PKY3" s="136"/>
      <c r="PKZ3" s="136"/>
      <c r="PLA3" s="136"/>
      <c r="PLB3" s="136"/>
      <c r="PLC3" s="136"/>
      <c r="PLD3" s="136"/>
      <c r="PLE3" s="136"/>
      <c r="PLF3" s="136"/>
      <c r="PLG3" s="136"/>
      <c r="PLH3" s="136"/>
      <c r="PLI3" s="136"/>
      <c r="PLJ3" s="136"/>
      <c r="PLK3" s="136"/>
      <c r="PLL3" s="136"/>
      <c r="PLM3" s="136"/>
      <c r="PLN3" s="136"/>
      <c r="PLO3" s="136"/>
      <c r="PLP3" s="136"/>
      <c r="PLQ3" s="136"/>
      <c r="PLR3" s="136"/>
      <c r="PLS3" s="136"/>
      <c r="PLT3" s="136"/>
      <c r="PLU3" s="136"/>
      <c r="PLV3" s="136"/>
      <c r="PLW3" s="136"/>
      <c r="PLX3" s="136"/>
      <c r="PLY3" s="136"/>
      <c r="PLZ3" s="136"/>
      <c r="PMA3" s="136"/>
      <c r="PMB3" s="136"/>
      <c r="PMC3" s="136"/>
      <c r="PMD3" s="136"/>
      <c r="PME3" s="136"/>
      <c r="PMF3" s="136"/>
      <c r="PMG3" s="136"/>
      <c r="PMH3" s="136"/>
      <c r="PMI3" s="136"/>
      <c r="PMJ3" s="136"/>
      <c r="PMK3" s="136"/>
      <c r="PML3" s="136"/>
      <c r="PMM3" s="136"/>
      <c r="PMN3" s="136"/>
      <c r="PMO3" s="136"/>
      <c r="PMP3" s="136"/>
      <c r="PMQ3" s="136"/>
      <c r="PMR3" s="136"/>
      <c r="PMS3" s="136"/>
      <c r="PMT3" s="136"/>
      <c r="PMU3" s="136"/>
      <c r="PMV3" s="136"/>
      <c r="PMW3" s="136"/>
      <c r="PMX3" s="136"/>
      <c r="PMY3" s="136"/>
      <c r="PMZ3" s="136"/>
      <c r="PNA3" s="136"/>
      <c r="PNB3" s="136"/>
      <c r="PNC3" s="136"/>
      <c r="PND3" s="136"/>
      <c r="PNE3" s="136"/>
      <c r="PNF3" s="136"/>
      <c r="PNG3" s="136"/>
      <c r="PNH3" s="136"/>
      <c r="PNI3" s="136"/>
      <c r="PNJ3" s="136"/>
      <c r="PNK3" s="136"/>
      <c r="PNL3" s="136"/>
      <c r="PNM3" s="136"/>
      <c r="PNN3" s="136"/>
      <c r="PNO3" s="136"/>
      <c r="PNP3" s="136"/>
      <c r="PNQ3" s="136"/>
      <c r="PNR3" s="136"/>
      <c r="PNS3" s="136"/>
      <c r="PNT3" s="136"/>
      <c r="PNU3" s="136"/>
      <c r="PNV3" s="136"/>
      <c r="PNW3" s="136"/>
      <c r="PNX3" s="136"/>
      <c r="PNY3" s="136"/>
      <c r="PNZ3" s="136"/>
      <c r="POA3" s="136"/>
      <c r="POB3" s="136"/>
      <c r="POC3" s="136"/>
      <c r="POD3" s="136"/>
      <c r="POE3" s="136"/>
      <c r="POF3" s="136"/>
      <c r="POG3" s="136"/>
      <c r="POH3" s="136"/>
      <c r="POI3" s="136"/>
      <c r="POJ3" s="136"/>
      <c r="POK3" s="136"/>
      <c r="POL3" s="136"/>
      <c r="POM3" s="136"/>
      <c r="PON3" s="136"/>
      <c r="POO3" s="136"/>
      <c r="POP3" s="136"/>
      <c r="POQ3" s="136"/>
      <c r="POR3" s="136"/>
      <c r="POS3" s="136"/>
      <c r="POT3" s="136"/>
      <c r="POU3" s="136"/>
      <c r="POV3" s="136"/>
      <c r="POW3" s="136"/>
      <c r="POX3" s="136"/>
      <c r="POY3" s="136"/>
      <c r="POZ3" s="136"/>
      <c r="PPA3" s="136"/>
      <c r="PPB3" s="136"/>
      <c r="PPC3" s="136"/>
      <c r="PPD3" s="136"/>
      <c r="PPE3" s="136"/>
      <c r="PPF3" s="136"/>
      <c r="PPG3" s="136"/>
      <c r="PPH3" s="136"/>
      <c r="PPI3" s="136"/>
      <c r="PPJ3" s="136"/>
      <c r="PPK3" s="136"/>
      <c r="PPL3" s="136"/>
      <c r="PPM3" s="136"/>
      <c r="PPN3" s="136"/>
      <c r="PPO3" s="136"/>
      <c r="PPP3" s="136"/>
      <c r="PPQ3" s="136"/>
      <c r="PPR3" s="136"/>
      <c r="PPS3" s="136"/>
      <c r="PPT3" s="136"/>
      <c r="PPU3" s="136"/>
      <c r="PPV3" s="136"/>
      <c r="PPW3" s="136"/>
      <c r="PPX3" s="136"/>
      <c r="PPY3" s="136"/>
      <c r="PPZ3" s="136"/>
      <c r="PQA3" s="136"/>
      <c r="PQB3" s="136"/>
      <c r="PQC3" s="136"/>
      <c r="PQD3" s="136"/>
      <c r="PQE3" s="136"/>
      <c r="PQF3" s="136"/>
      <c r="PQG3" s="136"/>
      <c r="PQH3" s="136"/>
      <c r="PQI3" s="136"/>
      <c r="PQJ3" s="136"/>
      <c r="PQK3" s="136"/>
      <c r="PQL3" s="136"/>
      <c r="PQM3" s="136"/>
      <c r="PQN3" s="136"/>
      <c r="PQO3" s="136"/>
      <c r="PQP3" s="136"/>
      <c r="PQQ3" s="136"/>
      <c r="PQR3" s="136"/>
      <c r="PQS3" s="136"/>
      <c r="PQT3" s="136"/>
      <c r="PQU3" s="136"/>
      <c r="PQV3" s="136"/>
      <c r="PQW3" s="136"/>
      <c r="PQX3" s="136"/>
      <c r="PQY3" s="136"/>
      <c r="PQZ3" s="136"/>
      <c r="PRA3" s="136"/>
      <c r="PRB3" s="136"/>
      <c r="PRC3" s="136"/>
      <c r="PRD3" s="136"/>
      <c r="PRE3" s="136"/>
      <c r="PRF3" s="136"/>
      <c r="PRG3" s="136"/>
      <c r="PRH3" s="136"/>
      <c r="PRI3" s="136"/>
      <c r="PRJ3" s="136"/>
      <c r="PRK3" s="136"/>
      <c r="PRL3" s="136"/>
      <c r="PRM3" s="136"/>
      <c r="PRN3" s="136"/>
      <c r="PRO3" s="136"/>
      <c r="PRP3" s="136"/>
      <c r="PRQ3" s="136"/>
      <c r="PRR3" s="136"/>
      <c r="PRS3" s="136"/>
      <c r="PRT3" s="136"/>
      <c r="PRU3" s="136"/>
      <c r="PRV3" s="136"/>
      <c r="PRW3" s="136"/>
      <c r="PRX3" s="136"/>
      <c r="PRY3" s="136"/>
      <c r="PRZ3" s="136"/>
      <c r="PSA3" s="136"/>
      <c r="PSB3" s="136"/>
      <c r="PSC3" s="136"/>
      <c r="PSD3" s="136"/>
      <c r="PSE3" s="136"/>
      <c r="PSF3" s="136"/>
      <c r="PSG3" s="136"/>
      <c r="PSH3" s="136"/>
      <c r="PSI3" s="136"/>
      <c r="PSJ3" s="136"/>
      <c r="PSK3" s="136"/>
      <c r="PSL3" s="136"/>
      <c r="PSM3" s="136"/>
      <c r="PSN3" s="136"/>
      <c r="PSO3" s="136"/>
      <c r="PSP3" s="136"/>
      <c r="PSQ3" s="136"/>
      <c r="PSR3" s="136"/>
      <c r="PSS3" s="136"/>
      <c r="PST3" s="136"/>
      <c r="PSU3" s="136"/>
      <c r="PSV3" s="136"/>
      <c r="PSW3" s="136"/>
      <c r="PSX3" s="136"/>
      <c r="PSY3" s="136"/>
      <c r="PSZ3" s="136"/>
      <c r="PTA3" s="136"/>
      <c r="PTB3" s="136"/>
      <c r="PTC3" s="136"/>
      <c r="PTD3" s="136"/>
      <c r="PTE3" s="136"/>
      <c r="PTF3" s="136"/>
      <c r="PTG3" s="136"/>
      <c r="PTH3" s="136"/>
      <c r="PTI3" s="136"/>
      <c r="PTJ3" s="136"/>
      <c r="PTK3" s="136"/>
      <c r="PTL3" s="136"/>
      <c r="PTM3" s="136"/>
      <c r="PTN3" s="136"/>
      <c r="PTO3" s="136"/>
      <c r="PTP3" s="136"/>
      <c r="PTQ3" s="136"/>
      <c r="PTR3" s="136"/>
      <c r="PTS3" s="136"/>
      <c r="PTT3" s="136"/>
      <c r="PTU3" s="136"/>
      <c r="PTV3" s="136"/>
      <c r="PTW3" s="136"/>
      <c r="PTX3" s="136"/>
      <c r="PTY3" s="136"/>
      <c r="PTZ3" s="136"/>
      <c r="PUA3" s="136"/>
      <c r="PUB3" s="136"/>
      <c r="PUC3" s="136"/>
      <c r="PUD3" s="136"/>
      <c r="PUE3" s="136"/>
      <c r="PUF3" s="136"/>
      <c r="PUG3" s="136"/>
      <c r="PUH3" s="136"/>
      <c r="PUI3" s="136"/>
      <c r="PUJ3" s="136"/>
      <c r="PUK3" s="136"/>
      <c r="PUL3" s="136"/>
      <c r="PUM3" s="136"/>
      <c r="PUN3" s="136"/>
      <c r="PUO3" s="136"/>
      <c r="PUP3" s="136"/>
      <c r="PUQ3" s="136"/>
      <c r="PUR3" s="136"/>
      <c r="PUS3" s="136"/>
      <c r="PUT3" s="136"/>
      <c r="PUU3" s="136"/>
      <c r="PUV3" s="136"/>
      <c r="PUW3" s="136"/>
      <c r="PUX3" s="136"/>
      <c r="PUY3" s="136"/>
      <c r="PUZ3" s="136"/>
      <c r="PVA3" s="136"/>
      <c r="PVB3" s="136"/>
      <c r="PVC3" s="136"/>
      <c r="PVD3" s="136"/>
      <c r="PVE3" s="136"/>
      <c r="PVF3" s="136"/>
      <c r="PVG3" s="136"/>
      <c r="PVH3" s="136"/>
      <c r="PVI3" s="136"/>
      <c r="PVJ3" s="136"/>
      <c r="PVK3" s="136"/>
      <c r="PVL3" s="136"/>
      <c r="PVM3" s="136"/>
      <c r="PVN3" s="136"/>
      <c r="PVO3" s="136"/>
      <c r="PVP3" s="136"/>
      <c r="PVQ3" s="136"/>
      <c r="PVR3" s="136"/>
      <c r="PVS3" s="136"/>
      <c r="PVT3" s="136"/>
      <c r="PVU3" s="136"/>
      <c r="PVV3" s="136"/>
      <c r="PVW3" s="136"/>
      <c r="PVX3" s="136"/>
      <c r="PVY3" s="136"/>
      <c r="PVZ3" s="136"/>
      <c r="PWA3" s="136"/>
      <c r="PWB3" s="136"/>
      <c r="PWC3" s="136"/>
      <c r="PWD3" s="136"/>
      <c r="PWE3" s="136"/>
      <c r="PWF3" s="136"/>
      <c r="PWG3" s="136"/>
      <c r="PWH3" s="136"/>
      <c r="PWI3" s="136"/>
      <c r="PWJ3" s="136"/>
      <c r="PWK3" s="136"/>
      <c r="PWL3" s="136"/>
      <c r="PWM3" s="136"/>
      <c r="PWN3" s="136"/>
      <c r="PWO3" s="136"/>
      <c r="PWP3" s="136"/>
      <c r="PWQ3" s="136"/>
      <c r="PWR3" s="136"/>
      <c r="PWS3" s="136"/>
      <c r="PWT3" s="136"/>
      <c r="PWU3" s="136"/>
      <c r="PWV3" s="136"/>
      <c r="PWW3" s="136"/>
      <c r="PWX3" s="136"/>
      <c r="PWY3" s="136"/>
      <c r="PWZ3" s="136"/>
      <c r="PXA3" s="136"/>
      <c r="PXB3" s="136"/>
      <c r="PXC3" s="136"/>
      <c r="PXD3" s="136"/>
      <c r="PXE3" s="136"/>
      <c r="PXF3" s="136"/>
      <c r="PXG3" s="136"/>
      <c r="PXH3" s="136"/>
      <c r="PXI3" s="136"/>
      <c r="PXJ3" s="136"/>
      <c r="PXK3" s="136"/>
      <c r="PXL3" s="136"/>
      <c r="PXM3" s="136"/>
      <c r="PXN3" s="136"/>
      <c r="PXO3" s="136"/>
      <c r="PXP3" s="136"/>
      <c r="PXQ3" s="136"/>
      <c r="PXR3" s="136"/>
      <c r="PXS3" s="136"/>
      <c r="PXT3" s="136"/>
      <c r="PXU3" s="136"/>
      <c r="PXV3" s="136"/>
      <c r="PXW3" s="136"/>
      <c r="PXX3" s="136"/>
      <c r="PXY3" s="136"/>
      <c r="PXZ3" s="136"/>
      <c r="PYA3" s="136"/>
      <c r="PYB3" s="136"/>
      <c r="PYC3" s="136"/>
      <c r="PYD3" s="136"/>
      <c r="PYE3" s="136"/>
      <c r="PYF3" s="136"/>
      <c r="PYG3" s="136"/>
      <c r="PYH3" s="136"/>
      <c r="PYI3" s="136"/>
      <c r="PYJ3" s="136"/>
      <c r="PYK3" s="136"/>
      <c r="PYL3" s="136"/>
      <c r="PYM3" s="136"/>
      <c r="PYN3" s="136"/>
      <c r="PYO3" s="136"/>
      <c r="PYP3" s="136"/>
      <c r="PYQ3" s="136"/>
      <c r="PYR3" s="136"/>
      <c r="PYS3" s="136"/>
      <c r="PYT3" s="136"/>
      <c r="PYU3" s="136"/>
      <c r="PYV3" s="136"/>
      <c r="PYW3" s="136"/>
      <c r="PYX3" s="136"/>
      <c r="PYY3" s="136"/>
      <c r="PYZ3" s="136"/>
      <c r="PZA3" s="136"/>
      <c r="PZB3" s="136"/>
      <c r="PZC3" s="136"/>
      <c r="PZD3" s="136"/>
      <c r="PZE3" s="136"/>
      <c r="PZF3" s="136"/>
      <c r="PZG3" s="136"/>
      <c r="PZH3" s="136"/>
      <c r="PZI3" s="136"/>
      <c r="PZJ3" s="136"/>
      <c r="PZK3" s="136"/>
      <c r="PZL3" s="136"/>
      <c r="PZM3" s="136"/>
      <c r="PZN3" s="136"/>
      <c r="PZO3" s="136"/>
      <c r="PZP3" s="136"/>
      <c r="PZQ3" s="136"/>
      <c r="PZR3" s="136"/>
      <c r="PZS3" s="136"/>
      <c r="PZT3" s="136"/>
      <c r="PZU3" s="136"/>
      <c r="PZV3" s="136"/>
      <c r="PZW3" s="136"/>
      <c r="PZX3" s="136"/>
      <c r="PZY3" s="136"/>
      <c r="PZZ3" s="136"/>
      <c r="QAA3" s="136"/>
      <c r="QAB3" s="136"/>
      <c r="QAC3" s="136"/>
      <c r="QAD3" s="136"/>
      <c r="QAE3" s="136"/>
      <c r="QAF3" s="136"/>
      <c r="QAG3" s="136"/>
      <c r="QAH3" s="136"/>
      <c r="QAI3" s="136"/>
      <c r="QAJ3" s="136"/>
      <c r="QAK3" s="136"/>
      <c r="QAL3" s="136"/>
      <c r="QAM3" s="136"/>
      <c r="QAN3" s="136"/>
      <c r="QAO3" s="136"/>
      <c r="QAP3" s="136"/>
      <c r="QAQ3" s="136"/>
      <c r="QAR3" s="136"/>
      <c r="QAS3" s="136"/>
      <c r="QAT3" s="136"/>
      <c r="QAU3" s="136"/>
      <c r="QAV3" s="136"/>
      <c r="QAW3" s="136"/>
      <c r="QAX3" s="136"/>
      <c r="QAY3" s="136"/>
      <c r="QAZ3" s="136"/>
      <c r="QBA3" s="136"/>
      <c r="QBB3" s="136"/>
      <c r="QBC3" s="136"/>
      <c r="QBD3" s="136"/>
      <c r="QBE3" s="136"/>
      <c r="QBF3" s="136"/>
      <c r="QBG3" s="136"/>
      <c r="QBH3" s="136"/>
      <c r="QBI3" s="136"/>
      <c r="QBJ3" s="136"/>
      <c r="QBK3" s="136"/>
      <c r="QBL3" s="136"/>
      <c r="QBM3" s="136"/>
      <c r="QBN3" s="136"/>
      <c r="QBO3" s="136"/>
      <c r="QBP3" s="136"/>
      <c r="QBQ3" s="136"/>
      <c r="QBR3" s="136"/>
      <c r="QBS3" s="136"/>
      <c r="QBT3" s="136"/>
      <c r="QBU3" s="136"/>
      <c r="QBV3" s="136"/>
      <c r="QBW3" s="136"/>
      <c r="QBX3" s="136"/>
      <c r="QBY3" s="136"/>
      <c r="QBZ3" s="136"/>
      <c r="QCA3" s="136"/>
      <c r="QCB3" s="136"/>
      <c r="QCC3" s="136"/>
      <c r="QCD3" s="136"/>
      <c r="QCE3" s="136"/>
      <c r="QCF3" s="136"/>
      <c r="QCG3" s="136"/>
      <c r="QCH3" s="136"/>
      <c r="QCI3" s="136"/>
      <c r="QCJ3" s="136"/>
      <c r="QCK3" s="136"/>
      <c r="QCL3" s="136"/>
      <c r="QCM3" s="136"/>
      <c r="QCN3" s="136"/>
      <c r="QCO3" s="136"/>
      <c r="QCP3" s="136"/>
      <c r="QCQ3" s="136"/>
      <c r="QCR3" s="136"/>
      <c r="QCS3" s="136"/>
      <c r="QCT3" s="136"/>
      <c r="QCU3" s="136"/>
      <c r="QCV3" s="136"/>
      <c r="QCW3" s="136"/>
      <c r="QCX3" s="136"/>
      <c r="QCY3" s="136"/>
      <c r="QCZ3" s="136"/>
      <c r="QDA3" s="136"/>
      <c r="QDB3" s="136"/>
      <c r="QDC3" s="136"/>
      <c r="QDD3" s="136"/>
      <c r="QDE3" s="136"/>
      <c r="QDF3" s="136"/>
      <c r="QDG3" s="136"/>
      <c r="QDH3" s="136"/>
      <c r="QDI3" s="136"/>
      <c r="QDJ3" s="136"/>
      <c r="QDK3" s="136"/>
      <c r="QDL3" s="136"/>
      <c r="QDM3" s="136"/>
      <c r="QDN3" s="136"/>
      <c r="QDO3" s="136"/>
      <c r="QDP3" s="136"/>
      <c r="QDQ3" s="136"/>
      <c r="QDR3" s="136"/>
      <c r="QDS3" s="136"/>
      <c r="QDT3" s="136"/>
      <c r="QDU3" s="136"/>
      <c r="QDV3" s="136"/>
      <c r="QDW3" s="136"/>
      <c r="QDX3" s="136"/>
      <c r="QDY3" s="136"/>
      <c r="QDZ3" s="136"/>
      <c r="QEA3" s="136"/>
      <c r="QEB3" s="136"/>
      <c r="QEC3" s="136"/>
      <c r="QED3" s="136"/>
      <c r="QEE3" s="136"/>
      <c r="QEF3" s="136"/>
      <c r="QEG3" s="136"/>
      <c r="QEH3" s="136"/>
      <c r="QEI3" s="136"/>
      <c r="QEJ3" s="136"/>
      <c r="QEK3" s="136"/>
      <c r="QEL3" s="136"/>
      <c r="QEM3" s="136"/>
      <c r="QEN3" s="136"/>
      <c r="QEO3" s="136"/>
      <c r="QEP3" s="136"/>
      <c r="QEQ3" s="136"/>
      <c r="QER3" s="136"/>
      <c r="QES3" s="136"/>
      <c r="QET3" s="136"/>
      <c r="QEU3" s="136"/>
      <c r="QEV3" s="136"/>
      <c r="QEW3" s="136"/>
      <c r="QEX3" s="136"/>
      <c r="QEY3" s="136"/>
      <c r="QEZ3" s="136"/>
      <c r="QFA3" s="136"/>
      <c r="QFB3" s="136"/>
      <c r="QFC3" s="136"/>
      <c r="QFD3" s="136"/>
      <c r="QFE3" s="136"/>
      <c r="QFF3" s="136"/>
      <c r="QFG3" s="136"/>
      <c r="QFH3" s="136"/>
      <c r="QFI3" s="136"/>
      <c r="QFJ3" s="136"/>
      <c r="QFK3" s="136"/>
      <c r="QFL3" s="136"/>
      <c r="QFM3" s="136"/>
      <c r="QFN3" s="136"/>
      <c r="QFO3" s="136"/>
      <c r="QFP3" s="136"/>
      <c r="QFQ3" s="136"/>
      <c r="QFR3" s="136"/>
      <c r="QFS3" s="136"/>
      <c r="QFT3" s="136"/>
      <c r="QFU3" s="136"/>
      <c r="QFV3" s="136"/>
      <c r="QFW3" s="136"/>
      <c r="QFX3" s="136"/>
      <c r="QFY3" s="136"/>
      <c r="QFZ3" s="136"/>
      <c r="QGA3" s="136"/>
      <c r="QGB3" s="136"/>
      <c r="QGC3" s="136"/>
      <c r="QGD3" s="136"/>
      <c r="QGE3" s="136"/>
      <c r="QGF3" s="136"/>
      <c r="QGG3" s="136"/>
      <c r="QGH3" s="136"/>
      <c r="QGI3" s="136"/>
      <c r="QGJ3" s="136"/>
      <c r="QGK3" s="136"/>
      <c r="QGL3" s="136"/>
      <c r="QGM3" s="136"/>
      <c r="QGN3" s="136"/>
      <c r="QGO3" s="136"/>
      <c r="QGP3" s="136"/>
      <c r="QGQ3" s="136"/>
      <c r="QGR3" s="136"/>
      <c r="QGS3" s="136"/>
      <c r="QGT3" s="136"/>
      <c r="QGU3" s="136"/>
      <c r="QGV3" s="136"/>
      <c r="QGW3" s="136"/>
      <c r="QGX3" s="136"/>
      <c r="QGY3" s="136"/>
      <c r="QGZ3" s="136"/>
      <c r="QHA3" s="136"/>
      <c r="QHB3" s="136"/>
      <c r="QHC3" s="136"/>
      <c r="QHD3" s="136"/>
      <c r="QHE3" s="136"/>
      <c r="QHF3" s="136"/>
      <c r="QHG3" s="136"/>
      <c r="QHH3" s="136"/>
      <c r="QHI3" s="136"/>
      <c r="QHJ3" s="136"/>
      <c r="QHK3" s="136"/>
      <c r="QHL3" s="136"/>
      <c r="QHM3" s="136"/>
      <c r="QHN3" s="136"/>
      <c r="QHO3" s="136"/>
      <c r="QHP3" s="136"/>
      <c r="QHQ3" s="136"/>
      <c r="QHR3" s="136"/>
      <c r="QHS3" s="136"/>
      <c r="QHT3" s="136"/>
      <c r="QHU3" s="136"/>
      <c r="QHV3" s="136"/>
      <c r="QHW3" s="136"/>
      <c r="QHX3" s="136"/>
      <c r="QHY3" s="136"/>
      <c r="QHZ3" s="136"/>
      <c r="QIA3" s="136"/>
      <c r="QIB3" s="136"/>
      <c r="QIC3" s="136"/>
      <c r="QID3" s="136"/>
      <c r="QIE3" s="136"/>
      <c r="QIF3" s="136"/>
      <c r="QIG3" s="136"/>
      <c r="QIH3" s="136"/>
      <c r="QII3" s="136"/>
      <c r="QIJ3" s="136"/>
      <c r="QIK3" s="136"/>
      <c r="QIL3" s="136"/>
      <c r="QIM3" s="136"/>
      <c r="QIN3" s="136"/>
      <c r="QIO3" s="136"/>
      <c r="QIP3" s="136"/>
      <c r="QIQ3" s="136"/>
      <c r="QIR3" s="136"/>
      <c r="QIS3" s="136"/>
      <c r="QIT3" s="136"/>
      <c r="QIU3" s="136"/>
      <c r="QIV3" s="136"/>
      <c r="QIW3" s="136"/>
      <c r="QIX3" s="136"/>
      <c r="QIY3" s="136"/>
      <c r="QIZ3" s="136"/>
      <c r="QJA3" s="136"/>
      <c r="QJB3" s="136"/>
      <c r="QJC3" s="136"/>
      <c r="QJD3" s="136"/>
      <c r="QJE3" s="136"/>
      <c r="QJF3" s="136"/>
      <c r="QJG3" s="136"/>
      <c r="QJH3" s="136"/>
      <c r="QJI3" s="136"/>
      <c r="QJJ3" s="136"/>
      <c r="QJK3" s="136"/>
      <c r="QJL3" s="136"/>
      <c r="QJM3" s="136"/>
      <c r="QJN3" s="136"/>
      <c r="QJO3" s="136"/>
      <c r="QJP3" s="136"/>
      <c r="QJQ3" s="136"/>
      <c r="QJR3" s="136"/>
      <c r="QJS3" s="136"/>
      <c r="QJT3" s="136"/>
      <c r="QJU3" s="136"/>
      <c r="QJV3" s="136"/>
      <c r="QJW3" s="136"/>
      <c r="QJX3" s="136"/>
      <c r="QJY3" s="136"/>
      <c r="QJZ3" s="136"/>
      <c r="QKA3" s="136"/>
      <c r="QKB3" s="136"/>
      <c r="QKC3" s="136"/>
      <c r="QKD3" s="136"/>
      <c r="QKE3" s="136"/>
      <c r="QKF3" s="136"/>
      <c r="QKG3" s="136"/>
      <c r="QKH3" s="136"/>
      <c r="QKI3" s="136"/>
      <c r="QKJ3" s="136"/>
      <c r="QKK3" s="136"/>
      <c r="QKL3" s="136"/>
      <c r="QKM3" s="136"/>
      <c r="QKN3" s="136"/>
      <c r="QKO3" s="136"/>
      <c r="QKP3" s="136"/>
      <c r="QKQ3" s="136"/>
      <c r="QKR3" s="136"/>
      <c r="QKS3" s="136"/>
      <c r="QKT3" s="136"/>
      <c r="QKU3" s="136"/>
      <c r="QKV3" s="136"/>
      <c r="QKW3" s="136"/>
      <c r="QKX3" s="136"/>
      <c r="QKY3" s="136"/>
      <c r="QKZ3" s="136"/>
      <c r="QLA3" s="136"/>
      <c r="QLB3" s="136"/>
      <c r="QLC3" s="136"/>
      <c r="QLD3" s="136"/>
      <c r="QLE3" s="136"/>
      <c r="QLF3" s="136"/>
      <c r="QLG3" s="136"/>
      <c r="QLH3" s="136"/>
      <c r="QLI3" s="136"/>
      <c r="QLJ3" s="136"/>
      <c r="QLK3" s="136"/>
      <c r="QLL3" s="136"/>
      <c r="QLM3" s="136"/>
      <c r="QLN3" s="136"/>
      <c r="QLO3" s="136"/>
      <c r="QLP3" s="136"/>
      <c r="QLQ3" s="136"/>
      <c r="QLR3" s="136"/>
      <c r="QLS3" s="136"/>
      <c r="QLT3" s="136"/>
      <c r="QLU3" s="136"/>
      <c r="QLV3" s="136"/>
      <c r="QLW3" s="136"/>
      <c r="QLX3" s="136"/>
      <c r="QLY3" s="136"/>
      <c r="QLZ3" s="136"/>
      <c r="QMA3" s="136"/>
      <c r="QMB3" s="136"/>
      <c r="QMC3" s="136"/>
      <c r="QMD3" s="136"/>
      <c r="QME3" s="136"/>
      <c r="QMF3" s="136"/>
      <c r="QMG3" s="136"/>
      <c r="QMH3" s="136"/>
      <c r="QMI3" s="136"/>
      <c r="QMJ3" s="136"/>
      <c r="QMK3" s="136"/>
      <c r="QML3" s="136"/>
      <c r="QMM3" s="136"/>
      <c r="QMN3" s="136"/>
      <c r="QMO3" s="136"/>
      <c r="QMP3" s="136"/>
      <c r="QMQ3" s="136"/>
      <c r="QMR3" s="136"/>
      <c r="QMS3" s="136"/>
      <c r="QMT3" s="136"/>
      <c r="QMU3" s="136"/>
      <c r="QMV3" s="136"/>
      <c r="QMW3" s="136"/>
      <c r="QMX3" s="136"/>
      <c r="QMY3" s="136"/>
      <c r="QMZ3" s="136"/>
      <c r="QNA3" s="136"/>
      <c r="QNB3" s="136"/>
      <c r="QNC3" s="136"/>
      <c r="QND3" s="136"/>
      <c r="QNE3" s="136"/>
      <c r="QNF3" s="136"/>
      <c r="QNG3" s="136"/>
      <c r="QNH3" s="136"/>
      <c r="QNI3" s="136"/>
      <c r="QNJ3" s="136"/>
      <c r="QNK3" s="136"/>
      <c r="QNL3" s="136"/>
      <c r="QNM3" s="136"/>
      <c r="QNN3" s="136"/>
      <c r="QNO3" s="136"/>
      <c r="QNP3" s="136"/>
      <c r="QNQ3" s="136"/>
      <c r="QNR3" s="136"/>
      <c r="QNS3" s="136"/>
      <c r="QNT3" s="136"/>
      <c r="QNU3" s="136"/>
      <c r="QNV3" s="136"/>
      <c r="QNW3" s="136"/>
      <c r="QNX3" s="136"/>
      <c r="QNY3" s="136"/>
      <c r="QNZ3" s="136"/>
      <c r="QOA3" s="136"/>
      <c r="QOB3" s="136"/>
      <c r="QOC3" s="136"/>
      <c r="QOD3" s="136"/>
      <c r="QOE3" s="136"/>
      <c r="QOF3" s="136"/>
      <c r="QOG3" s="136"/>
      <c r="QOH3" s="136"/>
      <c r="QOI3" s="136"/>
      <c r="QOJ3" s="136"/>
      <c r="QOK3" s="136"/>
      <c r="QOL3" s="136"/>
      <c r="QOM3" s="136"/>
      <c r="QON3" s="136"/>
      <c r="QOO3" s="136"/>
      <c r="QOP3" s="136"/>
      <c r="QOQ3" s="136"/>
      <c r="QOR3" s="136"/>
      <c r="QOS3" s="136"/>
      <c r="QOT3" s="136"/>
      <c r="QOU3" s="136"/>
      <c r="QOV3" s="136"/>
      <c r="QOW3" s="136"/>
      <c r="QOX3" s="136"/>
      <c r="QOY3" s="136"/>
      <c r="QOZ3" s="136"/>
      <c r="QPA3" s="136"/>
      <c r="QPB3" s="136"/>
      <c r="QPC3" s="136"/>
      <c r="QPD3" s="136"/>
      <c r="QPE3" s="136"/>
      <c r="QPF3" s="136"/>
      <c r="QPG3" s="136"/>
      <c r="QPH3" s="136"/>
      <c r="QPI3" s="136"/>
      <c r="QPJ3" s="136"/>
      <c r="QPK3" s="136"/>
      <c r="QPL3" s="136"/>
      <c r="QPM3" s="136"/>
      <c r="QPN3" s="136"/>
      <c r="QPO3" s="136"/>
      <c r="QPP3" s="136"/>
      <c r="QPQ3" s="136"/>
      <c r="QPR3" s="136"/>
      <c r="QPS3" s="136"/>
      <c r="QPT3" s="136"/>
      <c r="QPU3" s="136"/>
      <c r="QPV3" s="136"/>
      <c r="QPW3" s="136"/>
      <c r="QPX3" s="136"/>
      <c r="QPY3" s="136"/>
      <c r="QPZ3" s="136"/>
      <c r="QQA3" s="136"/>
      <c r="QQB3" s="136"/>
      <c r="QQC3" s="136"/>
      <c r="QQD3" s="136"/>
      <c r="QQE3" s="136"/>
      <c r="QQF3" s="136"/>
      <c r="QQG3" s="136"/>
      <c r="QQH3" s="136"/>
      <c r="QQI3" s="136"/>
      <c r="QQJ3" s="136"/>
      <c r="QQK3" s="136"/>
      <c r="QQL3" s="136"/>
      <c r="QQM3" s="136"/>
      <c r="QQN3" s="136"/>
      <c r="QQO3" s="136"/>
      <c r="QQP3" s="136"/>
      <c r="QQQ3" s="136"/>
      <c r="QQR3" s="136"/>
      <c r="QQS3" s="136"/>
      <c r="QQT3" s="136"/>
      <c r="QQU3" s="136"/>
      <c r="QQV3" s="136"/>
      <c r="QQW3" s="136"/>
      <c r="QQX3" s="136"/>
      <c r="QQY3" s="136"/>
      <c r="QQZ3" s="136"/>
      <c r="QRA3" s="136"/>
      <c r="QRB3" s="136"/>
      <c r="QRC3" s="136"/>
      <c r="QRD3" s="136"/>
      <c r="QRE3" s="136"/>
      <c r="QRF3" s="136"/>
      <c r="QRG3" s="136"/>
      <c r="QRH3" s="136"/>
      <c r="QRI3" s="136"/>
      <c r="QRJ3" s="136"/>
      <c r="QRK3" s="136"/>
      <c r="QRL3" s="136"/>
      <c r="QRM3" s="136"/>
      <c r="QRN3" s="136"/>
      <c r="QRO3" s="136"/>
      <c r="QRP3" s="136"/>
      <c r="QRQ3" s="136"/>
      <c r="QRR3" s="136"/>
      <c r="QRS3" s="136"/>
      <c r="QRT3" s="136"/>
      <c r="QRU3" s="136"/>
      <c r="QRV3" s="136"/>
      <c r="QRW3" s="136"/>
      <c r="QRX3" s="136"/>
      <c r="QRY3" s="136"/>
      <c r="QRZ3" s="136"/>
      <c r="QSA3" s="136"/>
      <c r="QSB3" s="136"/>
      <c r="QSC3" s="136"/>
      <c r="QSD3" s="136"/>
      <c r="QSE3" s="136"/>
      <c r="QSF3" s="136"/>
      <c r="QSG3" s="136"/>
      <c r="QSH3" s="136"/>
      <c r="QSI3" s="136"/>
      <c r="QSJ3" s="136"/>
      <c r="QSK3" s="136"/>
      <c r="QSL3" s="136"/>
      <c r="QSM3" s="136"/>
      <c r="QSN3" s="136"/>
      <c r="QSO3" s="136"/>
      <c r="QSP3" s="136"/>
      <c r="QSQ3" s="136"/>
      <c r="QSR3" s="136"/>
      <c r="QSS3" s="136"/>
      <c r="QST3" s="136"/>
      <c r="QSU3" s="136"/>
      <c r="QSV3" s="136"/>
      <c r="QSW3" s="136"/>
      <c r="QSX3" s="136"/>
      <c r="QSY3" s="136"/>
      <c r="QSZ3" s="136"/>
      <c r="QTA3" s="136"/>
      <c r="QTB3" s="136"/>
      <c r="QTC3" s="136"/>
      <c r="QTD3" s="136"/>
      <c r="QTE3" s="136"/>
      <c r="QTF3" s="136"/>
      <c r="QTG3" s="136"/>
      <c r="QTH3" s="136"/>
      <c r="QTI3" s="136"/>
      <c r="QTJ3" s="136"/>
      <c r="QTK3" s="136"/>
      <c r="QTL3" s="136"/>
      <c r="QTM3" s="136"/>
      <c r="QTN3" s="136"/>
      <c r="QTO3" s="136"/>
      <c r="QTP3" s="136"/>
      <c r="QTQ3" s="136"/>
      <c r="QTR3" s="136"/>
      <c r="QTS3" s="136"/>
      <c r="QTT3" s="136"/>
      <c r="QTU3" s="136"/>
      <c r="QTV3" s="136"/>
      <c r="QTW3" s="136"/>
      <c r="QTX3" s="136"/>
      <c r="QTY3" s="136"/>
      <c r="QTZ3" s="136"/>
      <c r="QUA3" s="136"/>
      <c r="QUB3" s="136"/>
      <c r="QUC3" s="136"/>
      <c r="QUD3" s="136"/>
      <c r="QUE3" s="136"/>
      <c r="QUF3" s="136"/>
      <c r="QUG3" s="136"/>
      <c r="QUH3" s="136"/>
      <c r="QUI3" s="136"/>
      <c r="QUJ3" s="136"/>
      <c r="QUK3" s="136"/>
      <c r="QUL3" s="136"/>
      <c r="QUM3" s="136"/>
      <c r="QUN3" s="136"/>
      <c r="QUO3" s="136"/>
      <c r="QUP3" s="136"/>
      <c r="QUQ3" s="136"/>
      <c r="QUR3" s="136"/>
      <c r="QUS3" s="136"/>
      <c r="QUT3" s="136"/>
      <c r="QUU3" s="136"/>
      <c r="QUV3" s="136"/>
      <c r="QUW3" s="136"/>
      <c r="QUX3" s="136"/>
      <c r="QUY3" s="136"/>
      <c r="QUZ3" s="136"/>
      <c r="QVA3" s="136"/>
      <c r="QVB3" s="136"/>
      <c r="QVC3" s="136"/>
      <c r="QVD3" s="136"/>
      <c r="QVE3" s="136"/>
      <c r="QVF3" s="136"/>
      <c r="QVG3" s="136"/>
      <c r="QVH3" s="136"/>
      <c r="QVI3" s="136"/>
      <c r="QVJ3" s="136"/>
      <c r="QVK3" s="136"/>
      <c r="QVL3" s="136"/>
      <c r="QVM3" s="136"/>
      <c r="QVN3" s="136"/>
      <c r="QVO3" s="136"/>
      <c r="QVP3" s="136"/>
      <c r="QVQ3" s="136"/>
      <c r="QVR3" s="136"/>
      <c r="QVS3" s="136"/>
      <c r="QVT3" s="136"/>
      <c r="QVU3" s="136"/>
      <c r="QVV3" s="136"/>
      <c r="QVW3" s="136"/>
      <c r="QVX3" s="136"/>
      <c r="QVY3" s="136"/>
      <c r="QVZ3" s="136"/>
      <c r="QWA3" s="136"/>
      <c r="QWB3" s="136"/>
      <c r="QWC3" s="136"/>
      <c r="QWD3" s="136"/>
      <c r="QWE3" s="136"/>
      <c r="QWF3" s="136"/>
      <c r="QWG3" s="136"/>
      <c r="QWH3" s="136"/>
      <c r="QWI3" s="136"/>
      <c r="QWJ3" s="136"/>
      <c r="QWK3" s="136"/>
      <c r="QWL3" s="136"/>
      <c r="QWM3" s="136"/>
      <c r="QWN3" s="136"/>
      <c r="QWO3" s="136"/>
      <c r="QWP3" s="136"/>
      <c r="QWQ3" s="136"/>
      <c r="QWR3" s="136"/>
      <c r="QWS3" s="136"/>
      <c r="QWT3" s="136"/>
      <c r="QWU3" s="136"/>
      <c r="QWV3" s="136"/>
      <c r="QWW3" s="136"/>
      <c r="QWX3" s="136"/>
      <c r="QWY3" s="136"/>
      <c r="QWZ3" s="136"/>
      <c r="QXA3" s="136"/>
      <c r="QXB3" s="136"/>
      <c r="QXC3" s="136"/>
      <c r="QXD3" s="136"/>
      <c r="QXE3" s="136"/>
      <c r="QXF3" s="136"/>
      <c r="QXG3" s="136"/>
      <c r="QXH3" s="136"/>
      <c r="QXI3" s="136"/>
      <c r="QXJ3" s="136"/>
      <c r="QXK3" s="136"/>
      <c r="QXL3" s="136"/>
      <c r="QXM3" s="136"/>
      <c r="QXN3" s="136"/>
      <c r="QXO3" s="136"/>
      <c r="QXP3" s="136"/>
      <c r="QXQ3" s="136"/>
      <c r="QXR3" s="136"/>
      <c r="QXS3" s="136"/>
      <c r="QXT3" s="136"/>
      <c r="QXU3" s="136"/>
      <c r="QXV3" s="136"/>
      <c r="QXW3" s="136"/>
      <c r="QXX3" s="136"/>
      <c r="QXY3" s="136"/>
      <c r="QXZ3" s="136"/>
      <c r="QYA3" s="136"/>
      <c r="QYB3" s="136"/>
      <c r="QYC3" s="136"/>
      <c r="QYD3" s="136"/>
      <c r="QYE3" s="136"/>
      <c r="QYF3" s="136"/>
      <c r="QYG3" s="136"/>
      <c r="QYH3" s="136"/>
      <c r="QYI3" s="136"/>
      <c r="QYJ3" s="136"/>
      <c r="QYK3" s="136"/>
      <c r="QYL3" s="136"/>
      <c r="QYM3" s="136"/>
      <c r="QYN3" s="136"/>
      <c r="QYO3" s="136"/>
      <c r="QYP3" s="136"/>
      <c r="QYQ3" s="136"/>
      <c r="QYR3" s="136"/>
      <c r="QYS3" s="136"/>
      <c r="QYT3" s="136"/>
      <c r="QYU3" s="136"/>
      <c r="QYV3" s="136"/>
      <c r="QYW3" s="136"/>
      <c r="QYX3" s="136"/>
      <c r="QYY3" s="136"/>
      <c r="QYZ3" s="136"/>
      <c r="QZA3" s="136"/>
      <c r="QZB3" s="136"/>
      <c r="QZC3" s="136"/>
      <c r="QZD3" s="136"/>
      <c r="QZE3" s="136"/>
      <c r="QZF3" s="136"/>
      <c r="QZG3" s="136"/>
      <c r="QZH3" s="136"/>
      <c r="QZI3" s="136"/>
      <c r="QZJ3" s="136"/>
      <c r="QZK3" s="136"/>
      <c r="QZL3" s="136"/>
      <c r="QZM3" s="136"/>
      <c r="QZN3" s="136"/>
      <c r="QZO3" s="136"/>
      <c r="QZP3" s="136"/>
      <c r="QZQ3" s="136"/>
      <c r="QZR3" s="136"/>
      <c r="QZS3" s="136"/>
      <c r="QZT3" s="136"/>
      <c r="QZU3" s="136"/>
      <c r="QZV3" s="136"/>
      <c r="QZW3" s="136"/>
      <c r="QZX3" s="136"/>
      <c r="QZY3" s="136"/>
      <c r="QZZ3" s="136"/>
      <c r="RAA3" s="136"/>
      <c r="RAB3" s="136"/>
      <c r="RAC3" s="136"/>
      <c r="RAD3" s="136"/>
      <c r="RAE3" s="136"/>
      <c r="RAF3" s="136"/>
      <c r="RAG3" s="136"/>
      <c r="RAH3" s="136"/>
      <c r="RAI3" s="136"/>
      <c r="RAJ3" s="136"/>
      <c r="RAK3" s="136"/>
      <c r="RAL3" s="136"/>
      <c r="RAM3" s="136"/>
      <c r="RAN3" s="136"/>
      <c r="RAO3" s="136"/>
      <c r="RAP3" s="136"/>
      <c r="RAQ3" s="136"/>
      <c r="RAR3" s="136"/>
      <c r="RAS3" s="136"/>
      <c r="RAT3" s="136"/>
      <c r="RAU3" s="136"/>
      <c r="RAV3" s="136"/>
      <c r="RAW3" s="136"/>
      <c r="RAX3" s="136"/>
      <c r="RAY3" s="136"/>
      <c r="RAZ3" s="136"/>
      <c r="RBA3" s="136"/>
      <c r="RBB3" s="136"/>
      <c r="RBC3" s="136"/>
      <c r="RBD3" s="136"/>
      <c r="RBE3" s="136"/>
      <c r="RBF3" s="136"/>
      <c r="RBG3" s="136"/>
      <c r="RBH3" s="136"/>
      <c r="RBI3" s="136"/>
      <c r="RBJ3" s="136"/>
      <c r="RBK3" s="136"/>
      <c r="RBL3" s="136"/>
      <c r="RBM3" s="136"/>
      <c r="RBN3" s="136"/>
      <c r="RBO3" s="136"/>
      <c r="RBP3" s="136"/>
      <c r="RBQ3" s="136"/>
      <c r="RBR3" s="136"/>
      <c r="RBS3" s="136"/>
      <c r="RBT3" s="136"/>
      <c r="RBU3" s="136"/>
      <c r="RBV3" s="136"/>
      <c r="RBW3" s="136"/>
      <c r="RBX3" s="136"/>
      <c r="RBY3" s="136"/>
      <c r="RBZ3" s="136"/>
      <c r="RCA3" s="136"/>
      <c r="RCB3" s="136"/>
      <c r="RCC3" s="136"/>
      <c r="RCD3" s="136"/>
      <c r="RCE3" s="136"/>
      <c r="RCF3" s="136"/>
      <c r="RCG3" s="136"/>
      <c r="RCH3" s="136"/>
      <c r="RCI3" s="136"/>
      <c r="RCJ3" s="136"/>
      <c r="RCK3" s="136"/>
      <c r="RCL3" s="136"/>
      <c r="RCM3" s="136"/>
      <c r="RCN3" s="136"/>
      <c r="RCO3" s="136"/>
      <c r="RCP3" s="136"/>
      <c r="RCQ3" s="136"/>
      <c r="RCR3" s="136"/>
      <c r="RCS3" s="136"/>
      <c r="RCT3" s="136"/>
      <c r="RCU3" s="136"/>
      <c r="RCV3" s="136"/>
      <c r="RCW3" s="136"/>
      <c r="RCX3" s="136"/>
      <c r="RCY3" s="136"/>
      <c r="RCZ3" s="136"/>
      <c r="RDA3" s="136"/>
      <c r="RDB3" s="136"/>
      <c r="RDC3" s="136"/>
      <c r="RDD3" s="136"/>
      <c r="RDE3" s="136"/>
      <c r="RDF3" s="136"/>
      <c r="RDG3" s="136"/>
      <c r="RDH3" s="136"/>
      <c r="RDI3" s="136"/>
      <c r="RDJ3" s="136"/>
      <c r="RDK3" s="136"/>
      <c r="RDL3" s="136"/>
      <c r="RDM3" s="136"/>
      <c r="RDN3" s="136"/>
      <c r="RDO3" s="136"/>
      <c r="RDP3" s="136"/>
      <c r="RDQ3" s="136"/>
      <c r="RDR3" s="136"/>
      <c r="RDS3" s="136"/>
      <c r="RDT3" s="136"/>
      <c r="RDU3" s="136"/>
      <c r="RDV3" s="136"/>
      <c r="RDW3" s="136"/>
      <c r="RDX3" s="136"/>
      <c r="RDY3" s="136"/>
      <c r="RDZ3" s="136"/>
      <c r="REA3" s="136"/>
      <c r="REB3" s="136"/>
      <c r="REC3" s="136"/>
      <c r="RED3" s="136"/>
      <c r="REE3" s="136"/>
      <c r="REF3" s="136"/>
      <c r="REG3" s="136"/>
      <c r="REH3" s="136"/>
      <c r="REI3" s="136"/>
      <c r="REJ3" s="136"/>
      <c r="REK3" s="136"/>
      <c r="REL3" s="136"/>
      <c r="REM3" s="136"/>
      <c r="REN3" s="136"/>
      <c r="REO3" s="136"/>
      <c r="REP3" s="136"/>
      <c r="REQ3" s="136"/>
      <c r="RER3" s="136"/>
      <c r="RES3" s="136"/>
      <c r="RET3" s="136"/>
      <c r="REU3" s="136"/>
      <c r="REV3" s="136"/>
      <c r="REW3" s="136"/>
      <c r="REX3" s="136"/>
      <c r="REY3" s="136"/>
      <c r="REZ3" s="136"/>
      <c r="RFA3" s="136"/>
      <c r="RFB3" s="136"/>
      <c r="RFC3" s="136"/>
      <c r="RFD3" s="136"/>
      <c r="RFE3" s="136"/>
      <c r="RFF3" s="136"/>
      <c r="RFG3" s="136"/>
      <c r="RFH3" s="136"/>
      <c r="RFI3" s="136"/>
      <c r="RFJ3" s="136"/>
      <c r="RFK3" s="136"/>
      <c r="RFL3" s="136"/>
      <c r="RFM3" s="136"/>
      <c r="RFN3" s="136"/>
      <c r="RFO3" s="136"/>
      <c r="RFP3" s="136"/>
      <c r="RFQ3" s="136"/>
      <c r="RFR3" s="136"/>
      <c r="RFS3" s="136"/>
      <c r="RFT3" s="136"/>
      <c r="RFU3" s="136"/>
      <c r="RFV3" s="136"/>
      <c r="RFW3" s="136"/>
      <c r="RFX3" s="136"/>
      <c r="RFY3" s="136"/>
      <c r="RFZ3" s="136"/>
      <c r="RGA3" s="136"/>
      <c r="RGB3" s="136"/>
      <c r="RGC3" s="136"/>
      <c r="RGD3" s="136"/>
      <c r="RGE3" s="136"/>
      <c r="RGF3" s="136"/>
      <c r="RGG3" s="136"/>
      <c r="RGH3" s="136"/>
      <c r="RGI3" s="136"/>
      <c r="RGJ3" s="136"/>
      <c r="RGK3" s="136"/>
      <c r="RGL3" s="136"/>
      <c r="RGM3" s="136"/>
      <c r="RGN3" s="136"/>
      <c r="RGO3" s="136"/>
      <c r="RGP3" s="136"/>
      <c r="RGQ3" s="136"/>
      <c r="RGR3" s="136"/>
      <c r="RGS3" s="136"/>
      <c r="RGT3" s="136"/>
      <c r="RGU3" s="136"/>
      <c r="RGV3" s="136"/>
      <c r="RGW3" s="136"/>
      <c r="RGX3" s="136"/>
      <c r="RGY3" s="136"/>
      <c r="RGZ3" s="136"/>
      <c r="RHA3" s="136"/>
      <c r="RHB3" s="136"/>
      <c r="RHC3" s="136"/>
      <c r="RHD3" s="136"/>
      <c r="RHE3" s="136"/>
      <c r="RHF3" s="136"/>
      <c r="RHG3" s="136"/>
      <c r="RHH3" s="136"/>
      <c r="RHI3" s="136"/>
      <c r="RHJ3" s="136"/>
      <c r="RHK3" s="136"/>
      <c r="RHL3" s="136"/>
      <c r="RHM3" s="136"/>
      <c r="RHN3" s="136"/>
      <c r="RHO3" s="136"/>
      <c r="RHP3" s="136"/>
      <c r="RHQ3" s="136"/>
      <c r="RHR3" s="136"/>
      <c r="RHS3" s="136"/>
      <c r="RHT3" s="136"/>
      <c r="RHU3" s="136"/>
      <c r="RHV3" s="136"/>
      <c r="RHW3" s="136"/>
      <c r="RHX3" s="136"/>
      <c r="RHY3" s="136"/>
      <c r="RHZ3" s="136"/>
      <c r="RIA3" s="136"/>
      <c r="RIB3" s="136"/>
      <c r="RIC3" s="136"/>
      <c r="RID3" s="136"/>
      <c r="RIE3" s="136"/>
      <c r="RIF3" s="136"/>
      <c r="RIG3" s="136"/>
      <c r="RIH3" s="136"/>
      <c r="RII3" s="136"/>
      <c r="RIJ3" s="136"/>
      <c r="RIK3" s="136"/>
      <c r="RIL3" s="136"/>
      <c r="RIM3" s="136"/>
      <c r="RIN3" s="136"/>
      <c r="RIO3" s="136"/>
      <c r="RIP3" s="136"/>
      <c r="RIQ3" s="136"/>
      <c r="RIR3" s="136"/>
      <c r="RIS3" s="136"/>
      <c r="RIT3" s="136"/>
      <c r="RIU3" s="136"/>
      <c r="RIV3" s="136"/>
      <c r="RIW3" s="136"/>
      <c r="RIX3" s="136"/>
      <c r="RIY3" s="136"/>
      <c r="RIZ3" s="136"/>
      <c r="RJA3" s="136"/>
      <c r="RJB3" s="136"/>
      <c r="RJC3" s="136"/>
      <c r="RJD3" s="136"/>
      <c r="RJE3" s="136"/>
      <c r="RJF3" s="136"/>
      <c r="RJG3" s="136"/>
      <c r="RJH3" s="136"/>
      <c r="RJI3" s="136"/>
      <c r="RJJ3" s="136"/>
      <c r="RJK3" s="136"/>
      <c r="RJL3" s="136"/>
      <c r="RJM3" s="136"/>
      <c r="RJN3" s="136"/>
      <c r="RJO3" s="136"/>
      <c r="RJP3" s="136"/>
      <c r="RJQ3" s="136"/>
      <c r="RJR3" s="136"/>
      <c r="RJS3" s="136"/>
      <c r="RJT3" s="136"/>
      <c r="RJU3" s="136"/>
      <c r="RJV3" s="136"/>
      <c r="RJW3" s="136"/>
      <c r="RJX3" s="136"/>
      <c r="RJY3" s="136"/>
      <c r="RJZ3" s="136"/>
      <c r="RKA3" s="136"/>
      <c r="RKB3" s="136"/>
      <c r="RKC3" s="136"/>
      <c r="RKD3" s="136"/>
      <c r="RKE3" s="136"/>
      <c r="RKF3" s="136"/>
      <c r="RKG3" s="136"/>
      <c r="RKH3" s="136"/>
      <c r="RKI3" s="136"/>
      <c r="RKJ3" s="136"/>
      <c r="RKK3" s="136"/>
      <c r="RKL3" s="136"/>
      <c r="RKM3" s="136"/>
      <c r="RKN3" s="136"/>
      <c r="RKO3" s="136"/>
      <c r="RKP3" s="136"/>
      <c r="RKQ3" s="136"/>
      <c r="RKR3" s="136"/>
      <c r="RKS3" s="136"/>
      <c r="RKT3" s="136"/>
      <c r="RKU3" s="136"/>
      <c r="RKV3" s="136"/>
      <c r="RKW3" s="136"/>
      <c r="RKX3" s="136"/>
      <c r="RKY3" s="136"/>
      <c r="RKZ3" s="136"/>
      <c r="RLA3" s="136"/>
      <c r="RLB3" s="136"/>
      <c r="RLC3" s="136"/>
      <c r="RLD3" s="136"/>
      <c r="RLE3" s="136"/>
      <c r="RLF3" s="136"/>
      <c r="RLG3" s="136"/>
      <c r="RLH3" s="136"/>
      <c r="RLI3" s="136"/>
      <c r="RLJ3" s="136"/>
      <c r="RLK3" s="136"/>
      <c r="RLL3" s="136"/>
      <c r="RLM3" s="136"/>
      <c r="RLN3" s="136"/>
      <c r="RLO3" s="136"/>
      <c r="RLP3" s="136"/>
      <c r="RLQ3" s="136"/>
      <c r="RLR3" s="136"/>
      <c r="RLS3" s="136"/>
      <c r="RLT3" s="136"/>
      <c r="RLU3" s="136"/>
      <c r="RLV3" s="136"/>
      <c r="RLW3" s="136"/>
      <c r="RLX3" s="136"/>
      <c r="RLY3" s="136"/>
      <c r="RLZ3" s="136"/>
      <c r="RMA3" s="136"/>
      <c r="RMB3" s="136"/>
      <c r="RMC3" s="136"/>
      <c r="RMD3" s="136"/>
      <c r="RME3" s="136"/>
      <c r="RMF3" s="136"/>
      <c r="RMG3" s="136"/>
      <c r="RMH3" s="136"/>
      <c r="RMI3" s="136"/>
      <c r="RMJ3" s="136"/>
      <c r="RMK3" s="136"/>
      <c r="RML3" s="136"/>
      <c r="RMM3" s="136"/>
      <c r="RMN3" s="136"/>
      <c r="RMO3" s="136"/>
      <c r="RMP3" s="136"/>
      <c r="RMQ3" s="136"/>
      <c r="RMR3" s="136"/>
      <c r="RMS3" s="136"/>
      <c r="RMT3" s="136"/>
      <c r="RMU3" s="136"/>
      <c r="RMV3" s="136"/>
      <c r="RMW3" s="136"/>
      <c r="RMX3" s="136"/>
      <c r="RMY3" s="136"/>
      <c r="RMZ3" s="136"/>
      <c r="RNA3" s="136"/>
      <c r="RNB3" s="136"/>
      <c r="RNC3" s="136"/>
      <c r="RND3" s="136"/>
      <c r="RNE3" s="136"/>
      <c r="RNF3" s="136"/>
      <c r="RNG3" s="136"/>
      <c r="RNH3" s="136"/>
      <c r="RNI3" s="136"/>
      <c r="RNJ3" s="136"/>
      <c r="RNK3" s="136"/>
      <c r="RNL3" s="136"/>
      <c r="RNM3" s="136"/>
      <c r="RNN3" s="136"/>
      <c r="RNO3" s="136"/>
      <c r="RNP3" s="136"/>
      <c r="RNQ3" s="136"/>
      <c r="RNR3" s="136"/>
      <c r="RNS3" s="136"/>
      <c r="RNT3" s="136"/>
      <c r="RNU3" s="136"/>
      <c r="RNV3" s="136"/>
      <c r="RNW3" s="136"/>
      <c r="RNX3" s="136"/>
      <c r="RNY3" s="136"/>
      <c r="RNZ3" s="136"/>
      <c r="ROA3" s="136"/>
      <c r="ROB3" s="136"/>
      <c r="ROC3" s="136"/>
      <c r="ROD3" s="136"/>
      <c r="ROE3" s="136"/>
      <c r="ROF3" s="136"/>
      <c r="ROG3" s="136"/>
      <c r="ROH3" s="136"/>
      <c r="ROI3" s="136"/>
      <c r="ROJ3" s="136"/>
      <c r="ROK3" s="136"/>
      <c r="ROL3" s="136"/>
      <c r="ROM3" s="136"/>
      <c r="RON3" s="136"/>
      <c r="ROO3" s="136"/>
      <c r="ROP3" s="136"/>
      <c r="ROQ3" s="136"/>
      <c r="ROR3" s="136"/>
      <c r="ROS3" s="136"/>
      <c r="ROT3" s="136"/>
      <c r="ROU3" s="136"/>
      <c r="ROV3" s="136"/>
      <c r="ROW3" s="136"/>
      <c r="ROX3" s="136"/>
      <c r="ROY3" s="136"/>
      <c r="ROZ3" s="136"/>
      <c r="RPA3" s="136"/>
      <c r="RPB3" s="136"/>
      <c r="RPC3" s="136"/>
      <c r="RPD3" s="136"/>
      <c r="RPE3" s="136"/>
      <c r="RPF3" s="136"/>
      <c r="RPG3" s="136"/>
      <c r="RPH3" s="136"/>
      <c r="RPI3" s="136"/>
      <c r="RPJ3" s="136"/>
      <c r="RPK3" s="136"/>
      <c r="RPL3" s="136"/>
      <c r="RPM3" s="136"/>
      <c r="RPN3" s="136"/>
      <c r="RPO3" s="136"/>
      <c r="RPP3" s="136"/>
      <c r="RPQ3" s="136"/>
      <c r="RPR3" s="136"/>
      <c r="RPS3" s="136"/>
      <c r="RPT3" s="136"/>
      <c r="RPU3" s="136"/>
      <c r="RPV3" s="136"/>
      <c r="RPW3" s="136"/>
      <c r="RPX3" s="136"/>
      <c r="RPY3" s="136"/>
      <c r="RPZ3" s="136"/>
      <c r="RQA3" s="136"/>
      <c r="RQB3" s="136"/>
      <c r="RQC3" s="136"/>
      <c r="RQD3" s="136"/>
      <c r="RQE3" s="136"/>
      <c r="RQF3" s="136"/>
      <c r="RQG3" s="136"/>
      <c r="RQH3" s="136"/>
      <c r="RQI3" s="136"/>
      <c r="RQJ3" s="136"/>
      <c r="RQK3" s="136"/>
      <c r="RQL3" s="136"/>
      <c r="RQM3" s="136"/>
      <c r="RQN3" s="136"/>
      <c r="RQO3" s="136"/>
      <c r="RQP3" s="136"/>
      <c r="RQQ3" s="136"/>
      <c r="RQR3" s="136"/>
      <c r="RQS3" s="136"/>
      <c r="RQT3" s="136"/>
      <c r="RQU3" s="136"/>
      <c r="RQV3" s="136"/>
      <c r="RQW3" s="136"/>
      <c r="RQX3" s="136"/>
      <c r="RQY3" s="136"/>
      <c r="RQZ3" s="136"/>
      <c r="RRA3" s="136"/>
      <c r="RRB3" s="136"/>
      <c r="RRC3" s="136"/>
      <c r="RRD3" s="136"/>
      <c r="RRE3" s="136"/>
      <c r="RRF3" s="136"/>
      <c r="RRG3" s="136"/>
      <c r="RRH3" s="136"/>
      <c r="RRI3" s="136"/>
      <c r="RRJ3" s="136"/>
      <c r="RRK3" s="136"/>
      <c r="RRL3" s="136"/>
      <c r="RRM3" s="136"/>
      <c r="RRN3" s="136"/>
      <c r="RRO3" s="136"/>
      <c r="RRP3" s="136"/>
      <c r="RRQ3" s="136"/>
      <c r="RRR3" s="136"/>
      <c r="RRS3" s="136"/>
      <c r="RRT3" s="136"/>
      <c r="RRU3" s="136"/>
      <c r="RRV3" s="136"/>
      <c r="RRW3" s="136"/>
      <c r="RRX3" s="136"/>
      <c r="RRY3" s="136"/>
      <c r="RRZ3" s="136"/>
      <c r="RSA3" s="136"/>
      <c r="RSB3" s="136"/>
      <c r="RSC3" s="136"/>
      <c r="RSD3" s="136"/>
      <c r="RSE3" s="136"/>
      <c r="RSF3" s="136"/>
      <c r="RSG3" s="136"/>
      <c r="RSH3" s="136"/>
      <c r="RSI3" s="136"/>
      <c r="RSJ3" s="136"/>
      <c r="RSK3" s="136"/>
      <c r="RSL3" s="136"/>
      <c r="RSM3" s="136"/>
      <c r="RSN3" s="136"/>
      <c r="RSO3" s="136"/>
      <c r="RSP3" s="136"/>
      <c r="RSQ3" s="136"/>
      <c r="RSR3" s="136"/>
      <c r="RSS3" s="136"/>
      <c r="RST3" s="136"/>
      <c r="RSU3" s="136"/>
      <c r="RSV3" s="136"/>
      <c r="RSW3" s="136"/>
      <c r="RSX3" s="136"/>
      <c r="RSY3" s="136"/>
      <c r="RSZ3" s="136"/>
      <c r="RTA3" s="136"/>
      <c r="RTB3" s="136"/>
      <c r="RTC3" s="136"/>
      <c r="RTD3" s="136"/>
      <c r="RTE3" s="136"/>
      <c r="RTF3" s="136"/>
      <c r="RTG3" s="136"/>
      <c r="RTH3" s="136"/>
      <c r="RTI3" s="136"/>
      <c r="RTJ3" s="136"/>
      <c r="RTK3" s="136"/>
      <c r="RTL3" s="136"/>
      <c r="RTM3" s="136"/>
      <c r="RTN3" s="136"/>
      <c r="RTO3" s="136"/>
      <c r="RTP3" s="136"/>
      <c r="RTQ3" s="136"/>
      <c r="RTR3" s="136"/>
      <c r="RTS3" s="136"/>
      <c r="RTT3" s="136"/>
      <c r="RTU3" s="136"/>
      <c r="RTV3" s="136"/>
      <c r="RTW3" s="136"/>
      <c r="RTX3" s="136"/>
      <c r="RTY3" s="136"/>
      <c r="RTZ3" s="136"/>
      <c r="RUA3" s="136"/>
      <c r="RUB3" s="136"/>
      <c r="RUC3" s="136"/>
      <c r="RUD3" s="136"/>
      <c r="RUE3" s="136"/>
      <c r="RUF3" s="136"/>
      <c r="RUG3" s="136"/>
      <c r="RUH3" s="136"/>
      <c r="RUI3" s="136"/>
      <c r="RUJ3" s="136"/>
      <c r="RUK3" s="136"/>
      <c r="RUL3" s="136"/>
      <c r="RUM3" s="136"/>
      <c r="RUN3" s="136"/>
      <c r="RUO3" s="136"/>
      <c r="RUP3" s="136"/>
      <c r="RUQ3" s="136"/>
      <c r="RUR3" s="136"/>
      <c r="RUS3" s="136"/>
      <c r="RUT3" s="136"/>
      <c r="RUU3" s="136"/>
      <c r="RUV3" s="136"/>
      <c r="RUW3" s="136"/>
      <c r="RUX3" s="136"/>
      <c r="RUY3" s="136"/>
      <c r="RUZ3" s="136"/>
      <c r="RVA3" s="136"/>
      <c r="RVB3" s="136"/>
      <c r="RVC3" s="136"/>
      <c r="RVD3" s="136"/>
      <c r="RVE3" s="136"/>
      <c r="RVF3" s="136"/>
      <c r="RVG3" s="136"/>
      <c r="RVH3" s="136"/>
      <c r="RVI3" s="136"/>
      <c r="RVJ3" s="136"/>
      <c r="RVK3" s="136"/>
      <c r="RVL3" s="136"/>
      <c r="RVM3" s="136"/>
      <c r="RVN3" s="136"/>
      <c r="RVO3" s="136"/>
      <c r="RVP3" s="136"/>
      <c r="RVQ3" s="136"/>
      <c r="RVR3" s="136"/>
      <c r="RVS3" s="136"/>
      <c r="RVT3" s="136"/>
      <c r="RVU3" s="136"/>
      <c r="RVV3" s="136"/>
      <c r="RVW3" s="136"/>
      <c r="RVX3" s="136"/>
      <c r="RVY3" s="136"/>
      <c r="RVZ3" s="136"/>
      <c r="RWA3" s="136"/>
      <c r="RWB3" s="136"/>
      <c r="RWC3" s="136"/>
      <c r="RWD3" s="136"/>
      <c r="RWE3" s="136"/>
      <c r="RWF3" s="136"/>
      <c r="RWG3" s="136"/>
      <c r="RWH3" s="136"/>
      <c r="RWI3" s="136"/>
      <c r="RWJ3" s="136"/>
      <c r="RWK3" s="136"/>
      <c r="RWL3" s="136"/>
      <c r="RWM3" s="136"/>
      <c r="RWN3" s="136"/>
      <c r="RWO3" s="136"/>
      <c r="RWP3" s="136"/>
      <c r="RWQ3" s="136"/>
      <c r="RWR3" s="136"/>
      <c r="RWS3" s="136"/>
      <c r="RWT3" s="136"/>
      <c r="RWU3" s="136"/>
      <c r="RWV3" s="136"/>
      <c r="RWW3" s="136"/>
      <c r="RWX3" s="136"/>
      <c r="RWY3" s="136"/>
      <c r="RWZ3" s="136"/>
      <c r="RXA3" s="136"/>
      <c r="RXB3" s="136"/>
      <c r="RXC3" s="136"/>
      <c r="RXD3" s="136"/>
      <c r="RXE3" s="136"/>
      <c r="RXF3" s="136"/>
      <c r="RXG3" s="136"/>
      <c r="RXH3" s="136"/>
      <c r="RXI3" s="136"/>
      <c r="RXJ3" s="136"/>
      <c r="RXK3" s="136"/>
      <c r="RXL3" s="136"/>
      <c r="RXM3" s="136"/>
      <c r="RXN3" s="136"/>
      <c r="RXO3" s="136"/>
      <c r="RXP3" s="136"/>
      <c r="RXQ3" s="136"/>
      <c r="RXR3" s="136"/>
      <c r="RXS3" s="136"/>
      <c r="RXT3" s="136"/>
      <c r="RXU3" s="136"/>
      <c r="RXV3" s="136"/>
      <c r="RXW3" s="136"/>
      <c r="RXX3" s="136"/>
      <c r="RXY3" s="136"/>
      <c r="RXZ3" s="136"/>
      <c r="RYA3" s="136"/>
      <c r="RYB3" s="136"/>
      <c r="RYC3" s="136"/>
      <c r="RYD3" s="136"/>
      <c r="RYE3" s="136"/>
      <c r="RYF3" s="136"/>
      <c r="RYG3" s="136"/>
      <c r="RYH3" s="136"/>
      <c r="RYI3" s="136"/>
      <c r="RYJ3" s="136"/>
      <c r="RYK3" s="136"/>
      <c r="RYL3" s="136"/>
      <c r="RYM3" s="136"/>
      <c r="RYN3" s="136"/>
      <c r="RYO3" s="136"/>
      <c r="RYP3" s="136"/>
      <c r="RYQ3" s="136"/>
      <c r="RYR3" s="136"/>
      <c r="RYS3" s="136"/>
      <c r="RYT3" s="136"/>
      <c r="RYU3" s="136"/>
      <c r="RYV3" s="136"/>
      <c r="RYW3" s="136"/>
      <c r="RYX3" s="136"/>
      <c r="RYY3" s="136"/>
      <c r="RYZ3" s="136"/>
      <c r="RZA3" s="136"/>
      <c r="RZB3" s="136"/>
      <c r="RZC3" s="136"/>
      <c r="RZD3" s="136"/>
      <c r="RZE3" s="136"/>
      <c r="RZF3" s="136"/>
      <c r="RZG3" s="136"/>
      <c r="RZH3" s="136"/>
      <c r="RZI3" s="136"/>
      <c r="RZJ3" s="136"/>
      <c r="RZK3" s="136"/>
      <c r="RZL3" s="136"/>
      <c r="RZM3" s="136"/>
      <c r="RZN3" s="136"/>
      <c r="RZO3" s="136"/>
      <c r="RZP3" s="136"/>
      <c r="RZQ3" s="136"/>
      <c r="RZR3" s="136"/>
      <c r="RZS3" s="136"/>
      <c r="RZT3" s="136"/>
      <c r="RZU3" s="136"/>
      <c r="RZV3" s="136"/>
      <c r="RZW3" s="136"/>
      <c r="RZX3" s="136"/>
      <c r="RZY3" s="136"/>
      <c r="RZZ3" s="136"/>
      <c r="SAA3" s="136"/>
      <c r="SAB3" s="136"/>
      <c r="SAC3" s="136"/>
      <c r="SAD3" s="136"/>
      <c r="SAE3" s="136"/>
      <c r="SAF3" s="136"/>
      <c r="SAG3" s="136"/>
      <c r="SAH3" s="136"/>
      <c r="SAI3" s="136"/>
      <c r="SAJ3" s="136"/>
      <c r="SAK3" s="136"/>
      <c r="SAL3" s="136"/>
      <c r="SAM3" s="136"/>
      <c r="SAN3" s="136"/>
      <c r="SAO3" s="136"/>
      <c r="SAP3" s="136"/>
      <c r="SAQ3" s="136"/>
      <c r="SAR3" s="136"/>
      <c r="SAS3" s="136"/>
      <c r="SAT3" s="136"/>
      <c r="SAU3" s="136"/>
      <c r="SAV3" s="136"/>
      <c r="SAW3" s="136"/>
      <c r="SAX3" s="136"/>
      <c r="SAY3" s="136"/>
      <c r="SAZ3" s="136"/>
      <c r="SBA3" s="136"/>
      <c r="SBB3" s="136"/>
      <c r="SBC3" s="136"/>
      <c r="SBD3" s="136"/>
      <c r="SBE3" s="136"/>
      <c r="SBF3" s="136"/>
      <c r="SBG3" s="136"/>
      <c r="SBH3" s="136"/>
      <c r="SBI3" s="136"/>
      <c r="SBJ3" s="136"/>
      <c r="SBK3" s="136"/>
      <c r="SBL3" s="136"/>
      <c r="SBM3" s="136"/>
      <c r="SBN3" s="136"/>
      <c r="SBO3" s="136"/>
      <c r="SBP3" s="136"/>
      <c r="SBQ3" s="136"/>
      <c r="SBR3" s="136"/>
      <c r="SBS3" s="136"/>
      <c r="SBT3" s="136"/>
      <c r="SBU3" s="136"/>
      <c r="SBV3" s="136"/>
      <c r="SBW3" s="136"/>
      <c r="SBX3" s="136"/>
      <c r="SBY3" s="136"/>
      <c r="SBZ3" s="136"/>
      <c r="SCA3" s="136"/>
      <c r="SCB3" s="136"/>
      <c r="SCC3" s="136"/>
      <c r="SCD3" s="136"/>
      <c r="SCE3" s="136"/>
      <c r="SCF3" s="136"/>
      <c r="SCG3" s="136"/>
      <c r="SCH3" s="136"/>
      <c r="SCI3" s="136"/>
      <c r="SCJ3" s="136"/>
      <c r="SCK3" s="136"/>
      <c r="SCL3" s="136"/>
      <c r="SCM3" s="136"/>
      <c r="SCN3" s="136"/>
      <c r="SCO3" s="136"/>
      <c r="SCP3" s="136"/>
      <c r="SCQ3" s="136"/>
      <c r="SCR3" s="136"/>
      <c r="SCS3" s="136"/>
      <c r="SCT3" s="136"/>
      <c r="SCU3" s="136"/>
      <c r="SCV3" s="136"/>
      <c r="SCW3" s="136"/>
      <c r="SCX3" s="136"/>
      <c r="SCY3" s="136"/>
      <c r="SCZ3" s="136"/>
      <c r="SDA3" s="136"/>
      <c r="SDB3" s="136"/>
      <c r="SDC3" s="136"/>
      <c r="SDD3" s="136"/>
      <c r="SDE3" s="136"/>
      <c r="SDF3" s="136"/>
      <c r="SDG3" s="136"/>
      <c r="SDH3" s="136"/>
      <c r="SDI3" s="136"/>
      <c r="SDJ3" s="136"/>
      <c r="SDK3" s="136"/>
      <c r="SDL3" s="136"/>
      <c r="SDM3" s="136"/>
      <c r="SDN3" s="136"/>
      <c r="SDO3" s="136"/>
      <c r="SDP3" s="136"/>
      <c r="SDQ3" s="136"/>
      <c r="SDR3" s="136"/>
      <c r="SDS3" s="136"/>
      <c r="SDT3" s="136"/>
      <c r="SDU3" s="136"/>
      <c r="SDV3" s="136"/>
      <c r="SDW3" s="136"/>
      <c r="SDX3" s="136"/>
      <c r="SDY3" s="136"/>
      <c r="SDZ3" s="136"/>
      <c r="SEA3" s="136"/>
      <c r="SEB3" s="136"/>
      <c r="SEC3" s="136"/>
      <c r="SED3" s="136"/>
      <c r="SEE3" s="136"/>
      <c r="SEF3" s="136"/>
      <c r="SEG3" s="136"/>
      <c r="SEH3" s="136"/>
      <c r="SEI3" s="136"/>
      <c r="SEJ3" s="136"/>
      <c r="SEK3" s="136"/>
      <c r="SEL3" s="136"/>
      <c r="SEM3" s="136"/>
      <c r="SEN3" s="136"/>
      <c r="SEO3" s="136"/>
      <c r="SEP3" s="136"/>
      <c r="SEQ3" s="136"/>
      <c r="SER3" s="136"/>
      <c r="SES3" s="136"/>
      <c r="SET3" s="136"/>
      <c r="SEU3" s="136"/>
      <c r="SEV3" s="136"/>
      <c r="SEW3" s="136"/>
      <c r="SEX3" s="136"/>
      <c r="SEY3" s="136"/>
      <c r="SEZ3" s="136"/>
      <c r="SFA3" s="136"/>
      <c r="SFB3" s="136"/>
      <c r="SFC3" s="136"/>
      <c r="SFD3" s="136"/>
      <c r="SFE3" s="136"/>
      <c r="SFF3" s="136"/>
      <c r="SFG3" s="136"/>
      <c r="SFH3" s="136"/>
      <c r="SFI3" s="136"/>
      <c r="SFJ3" s="136"/>
      <c r="SFK3" s="136"/>
      <c r="SFL3" s="136"/>
      <c r="SFM3" s="136"/>
      <c r="SFN3" s="136"/>
      <c r="SFO3" s="136"/>
      <c r="SFP3" s="136"/>
      <c r="SFQ3" s="136"/>
      <c r="SFR3" s="136"/>
      <c r="SFS3" s="136"/>
      <c r="SFT3" s="136"/>
      <c r="SFU3" s="136"/>
      <c r="SFV3" s="136"/>
      <c r="SFW3" s="136"/>
      <c r="SFX3" s="136"/>
      <c r="SFY3" s="136"/>
      <c r="SFZ3" s="136"/>
      <c r="SGA3" s="136"/>
      <c r="SGB3" s="136"/>
      <c r="SGC3" s="136"/>
      <c r="SGD3" s="136"/>
      <c r="SGE3" s="136"/>
      <c r="SGF3" s="136"/>
      <c r="SGG3" s="136"/>
      <c r="SGH3" s="136"/>
      <c r="SGI3" s="136"/>
      <c r="SGJ3" s="136"/>
      <c r="SGK3" s="136"/>
      <c r="SGL3" s="136"/>
      <c r="SGM3" s="136"/>
      <c r="SGN3" s="136"/>
      <c r="SGO3" s="136"/>
      <c r="SGP3" s="136"/>
      <c r="SGQ3" s="136"/>
      <c r="SGR3" s="136"/>
      <c r="SGS3" s="136"/>
      <c r="SGT3" s="136"/>
      <c r="SGU3" s="136"/>
      <c r="SGV3" s="136"/>
      <c r="SGW3" s="136"/>
      <c r="SGX3" s="136"/>
      <c r="SGY3" s="136"/>
      <c r="SGZ3" s="136"/>
      <c r="SHA3" s="136"/>
      <c r="SHB3" s="136"/>
      <c r="SHC3" s="136"/>
      <c r="SHD3" s="136"/>
      <c r="SHE3" s="136"/>
      <c r="SHF3" s="136"/>
      <c r="SHG3" s="136"/>
      <c r="SHH3" s="136"/>
      <c r="SHI3" s="136"/>
      <c r="SHJ3" s="136"/>
      <c r="SHK3" s="136"/>
      <c r="SHL3" s="136"/>
      <c r="SHM3" s="136"/>
      <c r="SHN3" s="136"/>
      <c r="SHO3" s="136"/>
      <c r="SHP3" s="136"/>
      <c r="SHQ3" s="136"/>
      <c r="SHR3" s="136"/>
      <c r="SHS3" s="136"/>
      <c r="SHT3" s="136"/>
      <c r="SHU3" s="136"/>
      <c r="SHV3" s="136"/>
      <c r="SHW3" s="136"/>
      <c r="SHX3" s="136"/>
      <c r="SHY3" s="136"/>
      <c r="SHZ3" s="136"/>
      <c r="SIA3" s="136"/>
      <c r="SIB3" s="136"/>
      <c r="SIC3" s="136"/>
      <c r="SID3" s="136"/>
      <c r="SIE3" s="136"/>
      <c r="SIF3" s="136"/>
      <c r="SIG3" s="136"/>
      <c r="SIH3" s="136"/>
      <c r="SII3" s="136"/>
      <c r="SIJ3" s="136"/>
      <c r="SIK3" s="136"/>
      <c r="SIL3" s="136"/>
      <c r="SIM3" s="136"/>
      <c r="SIN3" s="136"/>
      <c r="SIO3" s="136"/>
      <c r="SIP3" s="136"/>
      <c r="SIQ3" s="136"/>
      <c r="SIR3" s="136"/>
      <c r="SIS3" s="136"/>
      <c r="SIT3" s="136"/>
      <c r="SIU3" s="136"/>
      <c r="SIV3" s="136"/>
      <c r="SIW3" s="136"/>
      <c r="SIX3" s="136"/>
      <c r="SIY3" s="136"/>
      <c r="SIZ3" s="136"/>
      <c r="SJA3" s="136"/>
      <c r="SJB3" s="136"/>
      <c r="SJC3" s="136"/>
      <c r="SJD3" s="136"/>
      <c r="SJE3" s="136"/>
      <c r="SJF3" s="136"/>
      <c r="SJG3" s="136"/>
      <c r="SJH3" s="136"/>
      <c r="SJI3" s="136"/>
      <c r="SJJ3" s="136"/>
      <c r="SJK3" s="136"/>
      <c r="SJL3" s="136"/>
      <c r="SJM3" s="136"/>
      <c r="SJN3" s="136"/>
      <c r="SJO3" s="136"/>
      <c r="SJP3" s="136"/>
      <c r="SJQ3" s="136"/>
      <c r="SJR3" s="136"/>
      <c r="SJS3" s="136"/>
      <c r="SJT3" s="136"/>
      <c r="SJU3" s="136"/>
      <c r="SJV3" s="136"/>
      <c r="SJW3" s="136"/>
      <c r="SJX3" s="136"/>
      <c r="SJY3" s="136"/>
      <c r="SJZ3" s="136"/>
      <c r="SKA3" s="136"/>
      <c r="SKB3" s="136"/>
      <c r="SKC3" s="136"/>
      <c r="SKD3" s="136"/>
      <c r="SKE3" s="136"/>
      <c r="SKF3" s="136"/>
      <c r="SKG3" s="136"/>
      <c r="SKH3" s="136"/>
      <c r="SKI3" s="136"/>
      <c r="SKJ3" s="136"/>
      <c r="SKK3" s="136"/>
      <c r="SKL3" s="136"/>
      <c r="SKM3" s="136"/>
      <c r="SKN3" s="136"/>
      <c r="SKO3" s="136"/>
      <c r="SKP3" s="136"/>
      <c r="SKQ3" s="136"/>
      <c r="SKR3" s="136"/>
      <c r="SKS3" s="136"/>
      <c r="SKT3" s="136"/>
      <c r="SKU3" s="136"/>
      <c r="SKV3" s="136"/>
      <c r="SKW3" s="136"/>
      <c r="SKX3" s="136"/>
      <c r="SKY3" s="136"/>
      <c r="SKZ3" s="136"/>
      <c r="SLA3" s="136"/>
      <c r="SLB3" s="136"/>
      <c r="SLC3" s="136"/>
      <c r="SLD3" s="136"/>
      <c r="SLE3" s="136"/>
      <c r="SLF3" s="136"/>
      <c r="SLG3" s="136"/>
      <c r="SLH3" s="136"/>
      <c r="SLI3" s="136"/>
      <c r="SLJ3" s="136"/>
      <c r="SLK3" s="136"/>
      <c r="SLL3" s="136"/>
      <c r="SLM3" s="136"/>
      <c r="SLN3" s="136"/>
      <c r="SLO3" s="136"/>
      <c r="SLP3" s="136"/>
      <c r="SLQ3" s="136"/>
      <c r="SLR3" s="136"/>
      <c r="SLS3" s="136"/>
      <c r="SLT3" s="136"/>
      <c r="SLU3" s="136"/>
      <c r="SLV3" s="136"/>
      <c r="SLW3" s="136"/>
      <c r="SLX3" s="136"/>
      <c r="SLY3" s="136"/>
      <c r="SLZ3" s="136"/>
      <c r="SMA3" s="136"/>
      <c r="SMB3" s="136"/>
      <c r="SMC3" s="136"/>
      <c r="SMD3" s="136"/>
      <c r="SME3" s="136"/>
      <c r="SMF3" s="136"/>
      <c r="SMG3" s="136"/>
      <c r="SMH3" s="136"/>
      <c r="SMI3" s="136"/>
      <c r="SMJ3" s="136"/>
      <c r="SMK3" s="136"/>
      <c r="SML3" s="136"/>
      <c r="SMM3" s="136"/>
      <c r="SMN3" s="136"/>
      <c r="SMO3" s="136"/>
      <c r="SMP3" s="136"/>
      <c r="SMQ3" s="136"/>
      <c r="SMR3" s="136"/>
      <c r="SMS3" s="136"/>
      <c r="SMT3" s="136"/>
      <c r="SMU3" s="136"/>
      <c r="SMV3" s="136"/>
      <c r="SMW3" s="136"/>
      <c r="SMX3" s="136"/>
      <c r="SMY3" s="136"/>
      <c r="SMZ3" s="136"/>
      <c r="SNA3" s="136"/>
      <c r="SNB3" s="136"/>
      <c r="SNC3" s="136"/>
      <c r="SND3" s="136"/>
      <c r="SNE3" s="136"/>
      <c r="SNF3" s="136"/>
      <c r="SNG3" s="136"/>
      <c r="SNH3" s="136"/>
      <c r="SNI3" s="136"/>
      <c r="SNJ3" s="136"/>
      <c r="SNK3" s="136"/>
      <c r="SNL3" s="136"/>
      <c r="SNM3" s="136"/>
      <c r="SNN3" s="136"/>
      <c r="SNO3" s="136"/>
      <c r="SNP3" s="136"/>
      <c r="SNQ3" s="136"/>
      <c r="SNR3" s="136"/>
      <c r="SNS3" s="136"/>
      <c r="SNT3" s="136"/>
      <c r="SNU3" s="136"/>
      <c r="SNV3" s="136"/>
      <c r="SNW3" s="136"/>
      <c r="SNX3" s="136"/>
      <c r="SNY3" s="136"/>
      <c r="SNZ3" s="136"/>
      <c r="SOA3" s="136"/>
      <c r="SOB3" s="136"/>
      <c r="SOC3" s="136"/>
      <c r="SOD3" s="136"/>
      <c r="SOE3" s="136"/>
      <c r="SOF3" s="136"/>
      <c r="SOG3" s="136"/>
      <c r="SOH3" s="136"/>
      <c r="SOI3" s="136"/>
      <c r="SOJ3" s="136"/>
      <c r="SOK3" s="136"/>
      <c r="SOL3" s="136"/>
      <c r="SOM3" s="136"/>
      <c r="SON3" s="136"/>
      <c r="SOO3" s="136"/>
      <c r="SOP3" s="136"/>
      <c r="SOQ3" s="136"/>
      <c r="SOR3" s="136"/>
      <c r="SOS3" s="136"/>
      <c r="SOT3" s="136"/>
      <c r="SOU3" s="136"/>
      <c r="SOV3" s="136"/>
      <c r="SOW3" s="136"/>
      <c r="SOX3" s="136"/>
      <c r="SOY3" s="136"/>
      <c r="SOZ3" s="136"/>
      <c r="SPA3" s="136"/>
      <c r="SPB3" s="136"/>
      <c r="SPC3" s="136"/>
      <c r="SPD3" s="136"/>
      <c r="SPE3" s="136"/>
      <c r="SPF3" s="136"/>
      <c r="SPG3" s="136"/>
      <c r="SPH3" s="136"/>
      <c r="SPI3" s="136"/>
      <c r="SPJ3" s="136"/>
      <c r="SPK3" s="136"/>
      <c r="SPL3" s="136"/>
      <c r="SPM3" s="136"/>
      <c r="SPN3" s="136"/>
      <c r="SPO3" s="136"/>
      <c r="SPP3" s="136"/>
      <c r="SPQ3" s="136"/>
      <c r="SPR3" s="136"/>
      <c r="SPS3" s="136"/>
      <c r="SPT3" s="136"/>
      <c r="SPU3" s="136"/>
      <c r="SPV3" s="136"/>
      <c r="SPW3" s="136"/>
      <c r="SPX3" s="136"/>
      <c r="SPY3" s="136"/>
      <c r="SPZ3" s="136"/>
      <c r="SQA3" s="136"/>
      <c r="SQB3" s="136"/>
      <c r="SQC3" s="136"/>
      <c r="SQD3" s="136"/>
      <c r="SQE3" s="136"/>
      <c r="SQF3" s="136"/>
      <c r="SQG3" s="136"/>
      <c r="SQH3" s="136"/>
      <c r="SQI3" s="136"/>
      <c r="SQJ3" s="136"/>
      <c r="SQK3" s="136"/>
      <c r="SQL3" s="136"/>
      <c r="SQM3" s="136"/>
      <c r="SQN3" s="136"/>
      <c r="SQO3" s="136"/>
      <c r="SQP3" s="136"/>
      <c r="SQQ3" s="136"/>
      <c r="SQR3" s="136"/>
      <c r="SQS3" s="136"/>
      <c r="SQT3" s="136"/>
      <c r="SQU3" s="136"/>
      <c r="SQV3" s="136"/>
      <c r="SQW3" s="136"/>
      <c r="SQX3" s="136"/>
      <c r="SQY3" s="136"/>
      <c r="SQZ3" s="136"/>
      <c r="SRA3" s="136"/>
      <c r="SRB3" s="136"/>
      <c r="SRC3" s="136"/>
      <c r="SRD3" s="136"/>
      <c r="SRE3" s="136"/>
      <c r="SRF3" s="136"/>
      <c r="SRG3" s="136"/>
      <c r="SRH3" s="136"/>
      <c r="SRI3" s="136"/>
      <c r="SRJ3" s="136"/>
      <c r="SRK3" s="136"/>
      <c r="SRL3" s="136"/>
      <c r="SRM3" s="136"/>
      <c r="SRN3" s="136"/>
      <c r="SRO3" s="136"/>
      <c r="SRP3" s="136"/>
      <c r="SRQ3" s="136"/>
      <c r="SRR3" s="136"/>
      <c r="SRS3" s="136"/>
      <c r="SRT3" s="136"/>
      <c r="SRU3" s="136"/>
      <c r="SRV3" s="136"/>
      <c r="SRW3" s="136"/>
      <c r="SRX3" s="136"/>
      <c r="SRY3" s="136"/>
      <c r="SRZ3" s="136"/>
      <c r="SSA3" s="136"/>
      <c r="SSB3" s="136"/>
      <c r="SSC3" s="136"/>
      <c r="SSD3" s="136"/>
      <c r="SSE3" s="136"/>
      <c r="SSF3" s="136"/>
      <c r="SSG3" s="136"/>
      <c r="SSH3" s="136"/>
      <c r="SSI3" s="136"/>
      <c r="SSJ3" s="136"/>
      <c r="SSK3" s="136"/>
      <c r="SSL3" s="136"/>
      <c r="SSM3" s="136"/>
      <c r="SSN3" s="136"/>
      <c r="SSO3" s="136"/>
      <c r="SSP3" s="136"/>
      <c r="SSQ3" s="136"/>
      <c r="SSR3" s="136"/>
      <c r="SSS3" s="136"/>
      <c r="SST3" s="136"/>
      <c r="SSU3" s="136"/>
      <c r="SSV3" s="136"/>
      <c r="SSW3" s="136"/>
      <c r="SSX3" s="136"/>
      <c r="SSY3" s="136"/>
      <c r="SSZ3" s="136"/>
      <c r="STA3" s="136"/>
      <c r="STB3" s="136"/>
      <c r="STC3" s="136"/>
      <c r="STD3" s="136"/>
      <c r="STE3" s="136"/>
      <c r="STF3" s="136"/>
      <c r="STG3" s="136"/>
      <c r="STH3" s="136"/>
      <c r="STI3" s="136"/>
      <c r="STJ3" s="136"/>
      <c r="STK3" s="136"/>
      <c r="STL3" s="136"/>
      <c r="STM3" s="136"/>
      <c r="STN3" s="136"/>
      <c r="STO3" s="136"/>
      <c r="STP3" s="136"/>
      <c r="STQ3" s="136"/>
      <c r="STR3" s="136"/>
      <c r="STS3" s="136"/>
      <c r="STT3" s="136"/>
      <c r="STU3" s="136"/>
      <c r="STV3" s="136"/>
      <c r="STW3" s="136"/>
      <c r="STX3" s="136"/>
      <c r="STY3" s="136"/>
      <c r="STZ3" s="136"/>
      <c r="SUA3" s="136"/>
      <c r="SUB3" s="136"/>
      <c r="SUC3" s="136"/>
      <c r="SUD3" s="136"/>
      <c r="SUE3" s="136"/>
      <c r="SUF3" s="136"/>
      <c r="SUG3" s="136"/>
      <c r="SUH3" s="136"/>
      <c r="SUI3" s="136"/>
      <c r="SUJ3" s="136"/>
      <c r="SUK3" s="136"/>
      <c r="SUL3" s="136"/>
      <c r="SUM3" s="136"/>
      <c r="SUN3" s="136"/>
      <c r="SUO3" s="136"/>
      <c r="SUP3" s="136"/>
      <c r="SUQ3" s="136"/>
      <c r="SUR3" s="136"/>
      <c r="SUS3" s="136"/>
      <c r="SUT3" s="136"/>
      <c r="SUU3" s="136"/>
      <c r="SUV3" s="136"/>
      <c r="SUW3" s="136"/>
      <c r="SUX3" s="136"/>
      <c r="SUY3" s="136"/>
      <c r="SUZ3" s="136"/>
      <c r="SVA3" s="136"/>
      <c r="SVB3" s="136"/>
      <c r="SVC3" s="136"/>
      <c r="SVD3" s="136"/>
      <c r="SVE3" s="136"/>
      <c r="SVF3" s="136"/>
      <c r="SVG3" s="136"/>
      <c r="SVH3" s="136"/>
      <c r="SVI3" s="136"/>
      <c r="SVJ3" s="136"/>
      <c r="SVK3" s="136"/>
      <c r="SVL3" s="136"/>
      <c r="SVM3" s="136"/>
      <c r="SVN3" s="136"/>
      <c r="SVO3" s="136"/>
      <c r="SVP3" s="136"/>
      <c r="SVQ3" s="136"/>
      <c r="SVR3" s="136"/>
      <c r="SVS3" s="136"/>
      <c r="SVT3" s="136"/>
      <c r="SVU3" s="136"/>
      <c r="SVV3" s="136"/>
      <c r="SVW3" s="136"/>
      <c r="SVX3" s="136"/>
      <c r="SVY3" s="136"/>
      <c r="SVZ3" s="136"/>
      <c r="SWA3" s="136"/>
      <c r="SWB3" s="136"/>
      <c r="SWC3" s="136"/>
      <c r="SWD3" s="136"/>
      <c r="SWE3" s="136"/>
      <c r="SWF3" s="136"/>
      <c r="SWG3" s="136"/>
      <c r="SWH3" s="136"/>
      <c r="SWI3" s="136"/>
      <c r="SWJ3" s="136"/>
      <c r="SWK3" s="136"/>
      <c r="SWL3" s="136"/>
      <c r="SWM3" s="136"/>
      <c r="SWN3" s="136"/>
      <c r="SWO3" s="136"/>
      <c r="SWP3" s="136"/>
      <c r="SWQ3" s="136"/>
      <c r="SWR3" s="136"/>
      <c r="SWS3" s="136"/>
      <c r="SWT3" s="136"/>
      <c r="SWU3" s="136"/>
      <c r="SWV3" s="136"/>
      <c r="SWW3" s="136"/>
      <c r="SWX3" s="136"/>
      <c r="SWY3" s="136"/>
      <c r="SWZ3" s="136"/>
      <c r="SXA3" s="136"/>
      <c r="SXB3" s="136"/>
      <c r="SXC3" s="136"/>
      <c r="SXD3" s="136"/>
      <c r="SXE3" s="136"/>
      <c r="SXF3" s="136"/>
      <c r="SXG3" s="136"/>
      <c r="SXH3" s="136"/>
      <c r="SXI3" s="136"/>
      <c r="SXJ3" s="136"/>
      <c r="SXK3" s="136"/>
      <c r="SXL3" s="136"/>
      <c r="SXM3" s="136"/>
      <c r="SXN3" s="136"/>
      <c r="SXO3" s="136"/>
      <c r="SXP3" s="136"/>
      <c r="SXQ3" s="136"/>
      <c r="SXR3" s="136"/>
      <c r="SXS3" s="136"/>
      <c r="SXT3" s="136"/>
      <c r="SXU3" s="136"/>
      <c r="SXV3" s="136"/>
      <c r="SXW3" s="136"/>
      <c r="SXX3" s="136"/>
      <c r="SXY3" s="136"/>
      <c r="SXZ3" s="136"/>
      <c r="SYA3" s="136"/>
      <c r="SYB3" s="136"/>
      <c r="SYC3" s="136"/>
      <c r="SYD3" s="136"/>
      <c r="SYE3" s="136"/>
      <c r="SYF3" s="136"/>
      <c r="SYG3" s="136"/>
      <c r="SYH3" s="136"/>
      <c r="SYI3" s="136"/>
      <c r="SYJ3" s="136"/>
      <c r="SYK3" s="136"/>
      <c r="SYL3" s="136"/>
      <c r="SYM3" s="136"/>
      <c r="SYN3" s="136"/>
      <c r="SYO3" s="136"/>
      <c r="SYP3" s="136"/>
      <c r="SYQ3" s="136"/>
      <c r="SYR3" s="136"/>
      <c r="SYS3" s="136"/>
      <c r="SYT3" s="136"/>
      <c r="SYU3" s="136"/>
      <c r="SYV3" s="136"/>
      <c r="SYW3" s="136"/>
      <c r="SYX3" s="136"/>
      <c r="SYY3" s="136"/>
      <c r="SYZ3" s="136"/>
      <c r="SZA3" s="136"/>
      <c r="SZB3" s="136"/>
      <c r="SZC3" s="136"/>
      <c r="SZD3" s="136"/>
      <c r="SZE3" s="136"/>
      <c r="SZF3" s="136"/>
      <c r="SZG3" s="136"/>
      <c r="SZH3" s="136"/>
      <c r="SZI3" s="136"/>
      <c r="SZJ3" s="136"/>
      <c r="SZK3" s="136"/>
      <c r="SZL3" s="136"/>
      <c r="SZM3" s="136"/>
      <c r="SZN3" s="136"/>
      <c r="SZO3" s="136"/>
      <c r="SZP3" s="136"/>
      <c r="SZQ3" s="136"/>
      <c r="SZR3" s="136"/>
      <c r="SZS3" s="136"/>
      <c r="SZT3" s="136"/>
      <c r="SZU3" s="136"/>
      <c r="SZV3" s="136"/>
      <c r="SZW3" s="136"/>
      <c r="SZX3" s="136"/>
      <c r="SZY3" s="136"/>
      <c r="SZZ3" s="136"/>
      <c r="TAA3" s="136"/>
      <c r="TAB3" s="136"/>
      <c r="TAC3" s="136"/>
      <c r="TAD3" s="136"/>
      <c r="TAE3" s="136"/>
      <c r="TAF3" s="136"/>
      <c r="TAG3" s="136"/>
      <c r="TAH3" s="136"/>
      <c r="TAI3" s="136"/>
      <c r="TAJ3" s="136"/>
      <c r="TAK3" s="136"/>
      <c r="TAL3" s="136"/>
      <c r="TAM3" s="136"/>
      <c r="TAN3" s="136"/>
      <c r="TAO3" s="136"/>
      <c r="TAP3" s="136"/>
      <c r="TAQ3" s="136"/>
      <c r="TAR3" s="136"/>
      <c r="TAS3" s="136"/>
      <c r="TAT3" s="136"/>
      <c r="TAU3" s="136"/>
      <c r="TAV3" s="136"/>
      <c r="TAW3" s="136"/>
      <c r="TAX3" s="136"/>
      <c r="TAY3" s="136"/>
      <c r="TAZ3" s="136"/>
      <c r="TBA3" s="136"/>
      <c r="TBB3" s="136"/>
      <c r="TBC3" s="136"/>
      <c r="TBD3" s="136"/>
      <c r="TBE3" s="136"/>
      <c r="TBF3" s="136"/>
      <c r="TBG3" s="136"/>
      <c r="TBH3" s="136"/>
      <c r="TBI3" s="136"/>
      <c r="TBJ3" s="136"/>
      <c r="TBK3" s="136"/>
      <c r="TBL3" s="136"/>
      <c r="TBM3" s="136"/>
      <c r="TBN3" s="136"/>
      <c r="TBO3" s="136"/>
      <c r="TBP3" s="136"/>
      <c r="TBQ3" s="136"/>
      <c r="TBR3" s="136"/>
      <c r="TBS3" s="136"/>
      <c r="TBT3" s="136"/>
      <c r="TBU3" s="136"/>
      <c r="TBV3" s="136"/>
      <c r="TBW3" s="136"/>
      <c r="TBX3" s="136"/>
      <c r="TBY3" s="136"/>
      <c r="TBZ3" s="136"/>
      <c r="TCA3" s="136"/>
      <c r="TCB3" s="136"/>
      <c r="TCC3" s="136"/>
      <c r="TCD3" s="136"/>
      <c r="TCE3" s="136"/>
      <c r="TCF3" s="136"/>
      <c r="TCG3" s="136"/>
      <c r="TCH3" s="136"/>
      <c r="TCI3" s="136"/>
      <c r="TCJ3" s="136"/>
      <c r="TCK3" s="136"/>
      <c r="TCL3" s="136"/>
      <c r="TCM3" s="136"/>
      <c r="TCN3" s="136"/>
      <c r="TCO3" s="136"/>
      <c r="TCP3" s="136"/>
      <c r="TCQ3" s="136"/>
      <c r="TCR3" s="136"/>
      <c r="TCS3" s="136"/>
      <c r="TCT3" s="136"/>
      <c r="TCU3" s="136"/>
      <c r="TCV3" s="136"/>
      <c r="TCW3" s="136"/>
      <c r="TCX3" s="136"/>
      <c r="TCY3" s="136"/>
      <c r="TCZ3" s="136"/>
      <c r="TDA3" s="136"/>
      <c r="TDB3" s="136"/>
      <c r="TDC3" s="136"/>
      <c r="TDD3" s="136"/>
      <c r="TDE3" s="136"/>
      <c r="TDF3" s="136"/>
      <c r="TDG3" s="136"/>
      <c r="TDH3" s="136"/>
      <c r="TDI3" s="136"/>
      <c r="TDJ3" s="136"/>
      <c r="TDK3" s="136"/>
      <c r="TDL3" s="136"/>
      <c r="TDM3" s="136"/>
      <c r="TDN3" s="136"/>
      <c r="TDO3" s="136"/>
      <c r="TDP3" s="136"/>
      <c r="TDQ3" s="136"/>
      <c r="TDR3" s="136"/>
      <c r="TDS3" s="136"/>
      <c r="TDT3" s="136"/>
      <c r="TDU3" s="136"/>
      <c r="TDV3" s="136"/>
      <c r="TDW3" s="136"/>
      <c r="TDX3" s="136"/>
      <c r="TDY3" s="136"/>
      <c r="TDZ3" s="136"/>
      <c r="TEA3" s="136"/>
      <c r="TEB3" s="136"/>
      <c r="TEC3" s="136"/>
      <c r="TED3" s="136"/>
      <c r="TEE3" s="136"/>
      <c r="TEF3" s="136"/>
      <c r="TEG3" s="136"/>
      <c r="TEH3" s="136"/>
      <c r="TEI3" s="136"/>
      <c r="TEJ3" s="136"/>
      <c r="TEK3" s="136"/>
      <c r="TEL3" s="136"/>
      <c r="TEM3" s="136"/>
      <c r="TEN3" s="136"/>
      <c r="TEO3" s="136"/>
      <c r="TEP3" s="136"/>
      <c r="TEQ3" s="136"/>
      <c r="TER3" s="136"/>
      <c r="TES3" s="136"/>
      <c r="TET3" s="136"/>
      <c r="TEU3" s="136"/>
      <c r="TEV3" s="136"/>
      <c r="TEW3" s="136"/>
      <c r="TEX3" s="136"/>
      <c r="TEY3" s="136"/>
      <c r="TEZ3" s="136"/>
      <c r="TFA3" s="136"/>
      <c r="TFB3" s="136"/>
      <c r="TFC3" s="136"/>
      <c r="TFD3" s="136"/>
      <c r="TFE3" s="136"/>
      <c r="TFF3" s="136"/>
      <c r="TFG3" s="136"/>
      <c r="TFH3" s="136"/>
      <c r="TFI3" s="136"/>
      <c r="TFJ3" s="136"/>
      <c r="TFK3" s="136"/>
      <c r="TFL3" s="136"/>
      <c r="TFM3" s="136"/>
      <c r="TFN3" s="136"/>
      <c r="TFO3" s="136"/>
      <c r="TFP3" s="136"/>
      <c r="TFQ3" s="136"/>
      <c r="TFR3" s="136"/>
      <c r="TFS3" s="136"/>
      <c r="TFT3" s="136"/>
      <c r="TFU3" s="136"/>
      <c r="TFV3" s="136"/>
      <c r="TFW3" s="136"/>
      <c r="TFX3" s="136"/>
      <c r="TFY3" s="136"/>
      <c r="TFZ3" s="136"/>
      <c r="TGA3" s="136"/>
      <c r="TGB3" s="136"/>
      <c r="TGC3" s="136"/>
      <c r="TGD3" s="136"/>
      <c r="TGE3" s="136"/>
      <c r="TGF3" s="136"/>
      <c r="TGG3" s="136"/>
      <c r="TGH3" s="136"/>
      <c r="TGI3" s="136"/>
      <c r="TGJ3" s="136"/>
      <c r="TGK3" s="136"/>
      <c r="TGL3" s="136"/>
      <c r="TGM3" s="136"/>
      <c r="TGN3" s="136"/>
      <c r="TGO3" s="136"/>
      <c r="TGP3" s="136"/>
      <c r="TGQ3" s="136"/>
      <c r="TGR3" s="136"/>
      <c r="TGS3" s="136"/>
      <c r="TGT3" s="136"/>
      <c r="TGU3" s="136"/>
      <c r="TGV3" s="136"/>
      <c r="TGW3" s="136"/>
      <c r="TGX3" s="136"/>
      <c r="TGY3" s="136"/>
      <c r="TGZ3" s="136"/>
      <c r="THA3" s="136"/>
      <c r="THB3" s="136"/>
      <c r="THC3" s="136"/>
      <c r="THD3" s="136"/>
      <c r="THE3" s="136"/>
      <c r="THF3" s="136"/>
      <c r="THG3" s="136"/>
      <c r="THH3" s="136"/>
      <c r="THI3" s="136"/>
      <c r="THJ3" s="136"/>
      <c r="THK3" s="136"/>
      <c r="THL3" s="136"/>
      <c r="THM3" s="136"/>
      <c r="THN3" s="136"/>
      <c r="THO3" s="136"/>
      <c r="THP3" s="136"/>
      <c r="THQ3" s="136"/>
      <c r="THR3" s="136"/>
      <c r="THS3" s="136"/>
      <c r="THT3" s="136"/>
      <c r="THU3" s="136"/>
      <c r="THV3" s="136"/>
      <c r="THW3" s="136"/>
      <c r="THX3" s="136"/>
      <c r="THY3" s="136"/>
      <c r="THZ3" s="136"/>
      <c r="TIA3" s="136"/>
      <c r="TIB3" s="136"/>
      <c r="TIC3" s="136"/>
      <c r="TID3" s="136"/>
      <c r="TIE3" s="136"/>
      <c r="TIF3" s="136"/>
      <c r="TIG3" s="136"/>
      <c r="TIH3" s="136"/>
      <c r="TII3" s="136"/>
      <c r="TIJ3" s="136"/>
      <c r="TIK3" s="136"/>
      <c r="TIL3" s="136"/>
      <c r="TIM3" s="136"/>
      <c r="TIN3" s="136"/>
      <c r="TIO3" s="136"/>
      <c r="TIP3" s="136"/>
      <c r="TIQ3" s="136"/>
      <c r="TIR3" s="136"/>
      <c r="TIS3" s="136"/>
      <c r="TIT3" s="136"/>
      <c r="TIU3" s="136"/>
      <c r="TIV3" s="136"/>
      <c r="TIW3" s="136"/>
      <c r="TIX3" s="136"/>
      <c r="TIY3" s="136"/>
      <c r="TIZ3" s="136"/>
      <c r="TJA3" s="136"/>
      <c r="TJB3" s="136"/>
      <c r="TJC3" s="136"/>
      <c r="TJD3" s="136"/>
      <c r="TJE3" s="136"/>
      <c r="TJF3" s="136"/>
      <c r="TJG3" s="136"/>
      <c r="TJH3" s="136"/>
      <c r="TJI3" s="136"/>
      <c r="TJJ3" s="136"/>
      <c r="TJK3" s="136"/>
      <c r="TJL3" s="136"/>
      <c r="TJM3" s="136"/>
      <c r="TJN3" s="136"/>
      <c r="TJO3" s="136"/>
      <c r="TJP3" s="136"/>
      <c r="TJQ3" s="136"/>
      <c r="TJR3" s="136"/>
      <c r="TJS3" s="136"/>
      <c r="TJT3" s="136"/>
      <c r="TJU3" s="136"/>
      <c r="TJV3" s="136"/>
      <c r="TJW3" s="136"/>
      <c r="TJX3" s="136"/>
      <c r="TJY3" s="136"/>
      <c r="TJZ3" s="136"/>
      <c r="TKA3" s="136"/>
      <c r="TKB3" s="136"/>
      <c r="TKC3" s="136"/>
      <c r="TKD3" s="136"/>
      <c r="TKE3" s="136"/>
      <c r="TKF3" s="136"/>
      <c r="TKG3" s="136"/>
      <c r="TKH3" s="136"/>
      <c r="TKI3" s="136"/>
      <c r="TKJ3" s="136"/>
      <c r="TKK3" s="136"/>
      <c r="TKL3" s="136"/>
      <c r="TKM3" s="136"/>
      <c r="TKN3" s="136"/>
      <c r="TKO3" s="136"/>
      <c r="TKP3" s="136"/>
      <c r="TKQ3" s="136"/>
      <c r="TKR3" s="136"/>
      <c r="TKS3" s="136"/>
      <c r="TKT3" s="136"/>
      <c r="TKU3" s="136"/>
      <c r="TKV3" s="136"/>
      <c r="TKW3" s="136"/>
      <c r="TKX3" s="136"/>
      <c r="TKY3" s="136"/>
      <c r="TKZ3" s="136"/>
      <c r="TLA3" s="136"/>
      <c r="TLB3" s="136"/>
      <c r="TLC3" s="136"/>
      <c r="TLD3" s="136"/>
      <c r="TLE3" s="136"/>
      <c r="TLF3" s="136"/>
      <c r="TLG3" s="136"/>
      <c r="TLH3" s="136"/>
      <c r="TLI3" s="136"/>
      <c r="TLJ3" s="136"/>
      <c r="TLK3" s="136"/>
      <c r="TLL3" s="136"/>
      <c r="TLM3" s="136"/>
      <c r="TLN3" s="136"/>
      <c r="TLO3" s="136"/>
      <c r="TLP3" s="136"/>
      <c r="TLQ3" s="136"/>
      <c r="TLR3" s="136"/>
      <c r="TLS3" s="136"/>
      <c r="TLT3" s="136"/>
      <c r="TLU3" s="136"/>
      <c r="TLV3" s="136"/>
      <c r="TLW3" s="136"/>
      <c r="TLX3" s="136"/>
      <c r="TLY3" s="136"/>
      <c r="TLZ3" s="136"/>
      <c r="TMA3" s="136"/>
      <c r="TMB3" s="136"/>
      <c r="TMC3" s="136"/>
      <c r="TMD3" s="136"/>
      <c r="TME3" s="136"/>
      <c r="TMF3" s="136"/>
      <c r="TMG3" s="136"/>
      <c r="TMH3" s="136"/>
      <c r="TMI3" s="136"/>
      <c r="TMJ3" s="136"/>
      <c r="TMK3" s="136"/>
      <c r="TML3" s="136"/>
      <c r="TMM3" s="136"/>
      <c r="TMN3" s="136"/>
      <c r="TMO3" s="136"/>
      <c r="TMP3" s="136"/>
      <c r="TMQ3" s="136"/>
      <c r="TMR3" s="136"/>
      <c r="TMS3" s="136"/>
      <c r="TMT3" s="136"/>
      <c r="TMU3" s="136"/>
      <c r="TMV3" s="136"/>
      <c r="TMW3" s="136"/>
      <c r="TMX3" s="136"/>
      <c r="TMY3" s="136"/>
      <c r="TMZ3" s="136"/>
      <c r="TNA3" s="136"/>
      <c r="TNB3" s="136"/>
      <c r="TNC3" s="136"/>
      <c r="TND3" s="136"/>
      <c r="TNE3" s="136"/>
      <c r="TNF3" s="136"/>
      <c r="TNG3" s="136"/>
      <c r="TNH3" s="136"/>
      <c r="TNI3" s="136"/>
      <c r="TNJ3" s="136"/>
      <c r="TNK3" s="136"/>
      <c r="TNL3" s="136"/>
      <c r="TNM3" s="136"/>
      <c r="TNN3" s="136"/>
      <c r="TNO3" s="136"/>
      <c r="TNP3" s="136"/>
      <c r="TNQ3" s="136"/>
      <c r="TNR3" s="136"/>
      <c r="TNS3" s="136"/>
      <c r="TNT3" s="136"/>
      <c r="TNU3" s="136"/>
      <c r="TNV3" s="136"/>
      <c r="TNW3" s="136"/>
      <c r="TNX3" s="136"/>
      <c r="TNY3" s="136"/>
      <c r="TNZ3" s="136"/>
      <c r="TOA3" s="136"/>
      <c r="TOB3" s="136"/>
      <c r="TOC3" s="136"/>
      <c r="TOD3" s="136"/>
      <c r="TOE3" s="136"/>
      <c r="TOF3" s="136"/>
      <c r="TOG3" s="136"/>
      <c r="TOH3" s="136"/>
      <c r="TOI3" s="136"/>
      <c r="TOJ3" s="136"/>
      <c r="TOK3" s="136"/>
      <c r="TOL3" s="136"/>
      <c r="TOM3" s="136"/>
      <c r="TON3" s="136"/>
      <c r="TOO3" s="136"/>
      <c r="TOP3" s="136"/>
      <c r="TOQ3" s="136"/>
      <c r="TOR3" s="136"/>
      <c r="TOS3" s="136"/>
      <c r="TOT3" s="136"/>
      <c r="TOU3" s="136"/>
      <c r="TOV3" s="136"/>
      <c r="TOW3" s="136"/>
      <c r="TOX3" s="136"/>
      <c r="TOY3" s="136"/>
      <c r="TOZ3" s="136"/>
      <c r="TPA3" s="136"/>
      <c r="TPB3" s="136"/>
      <c r="TPC3" s="136"/>
      <c r="TPD3" s="136"/>
      <c r="TPE3" s="136"/>
      <c r="TPF3" s="136"/>
      <c r="TPG3" s="136"/>
      <c r="TPH3" s="136"/>
      <c r="TPI3" s="136"/>
      <c r="TPJ3" s="136"/>
      <c r="TPK3" s="136"/>
      <c r="TPL3" s="136"/>
      <c r="TPM3" s="136"/>
      <c r="TPN3" s="136"/>
      <c r="TPO3" s="136"/>
      <c r="TPP3" s="136"/>
      <c r="TPQ3" s="136"/>
      <c r="TPR3" s="136"/>
      <c r="TPS3" s="136"/>
      <c r="TPT3" s="136"/>
      <c r="TPU3" s="136"/>
      <c r="TPV3" s="136"/>
      <c r="TPW3" s="136"/>
      <c r="TPX3" s="136"/>
      <c r="TPY3" s="136"/>
      <c r="TPZ3" s="136"/>
      <c r="TQA3" s="136"/>
      <c r="TQB3" s="136"/>
      <c r="TQC3" s="136"/>
      <c r="TQD3" s="136"/>
      <c r="TQE3" s="136"/>
      <c r="TQF3" s="136"/>
      <c r="TQG3" s="136"/>
      <c r="TQH3" s="136"/>
      <c r="TQI3" s="136"/>
      <c r="TQJ3" s="136"/>
      <c r="TQK3" s="136"/>
      <c r="TQL3" s="136"/>
      <c r="TQM3" s="136"/>
      <c r="TQN3" s="136"/>
      <c r="TQO3" s="136"/>
      <c r="TQP3" s="136"/>
      <c r="TQQ3" s="136"/>
      <c r="TQR3" s="136"/>
      <c r="TQS3" s="136"/>
      <c r="TQT3" s="136"/>
      <c r="TQU3" s="136"/>
      <c r="TQV3" s="136"/>
      <c r="TQW3" s="136"/>
      <c r="TQX3" s="136"/>
      <c r="TQY3" s="136"/>
      <c r="TQZ3" s="136"/>
      <c r="TRA3" s="136"/>
      <c r="TRB3" s="136"/>
      <c r="TRC3" s="136"/>
      <c r="TRD3" s="136"/>
      <c r="TRE3" s="136"/>
      <c r="TRF3" s="136"/>
      <c r="TRG3" s="136"/>
      <c r="TRH3" s="136"/>
      <c r="TRI3" s="136"/>
      <c r="TRJ3" s="136"/>
      <c r="TRK3" s="136"/>
      <c r="TRL3" s="136"/>
      <c r="TRM3" s="136"/>
      <c r="TRN3" s="136"/>
      <c r="TRO3" s="136"/>
      <c r="TRP3" s="136"/>
      <c r="TRQ3" s="136"/>
      <c r="TRR3" s="136"/>
      <c r="TRS3" s="136"/>
      <c r="TRT3" s="136"/>
      <c r="TRU3" s="136"/>
      <c r="TRV3" s="136"/>
      <c r="TRW3" s="136"/>
      <c r="TRX3" s="136"/>
      <c r="TRY3" s="136"/>
      <c r="TRZ3" s="136"/>
      <c r="TSA3" s="136"/>
      <c r="TSB3" s="136"/>
      <c r="TSC3" s="136"/>
      <c r="TSD3" s="136"/>
      <c r="TSE3" s="136"/>
      <c r="TSF3" s="136"/>
      <c r="TSG3" s="136"/>
      <c r="TSH3" s="136"/>
      <c r="TSI3" s="136"/>
      <c r="TSJ3" s="136"/>
      <c r="TSK3" s="136"/>
      <c r="TSL3" s="136"/>
      <c r="TSM3" s="136"/>
      <c r="TSN3" s="136"/>
      <c r="TSO3" s="136"/>
      <c r="TSP3" s="136"/>
      <c r="TSQ3" s="136"/>
      <c r="TSR3" s="136"/>
      <c r="TSS3" s="136"/>
      <c r="TST3" s="136"/>
      <c r="TSU3" s="136"/>
      <c r="TSV3" s="136"/>
      <c r="TSW3" s="136"/>
      <c r="TSX3" s="136"/>
      <c r="TSY3" s="136"/>
      <c r="TSZ3" s="136"/>
      <c r="TTA3" s="136"/>
      <c r="TTB3" s="136"/>
      <c r="TTC3" s="136"/>
      <c r="TTD3" s="136"/>
      <c r="TTE3" s="136"/>
      <c r="TTF3" s="136"/>
      <c r="TTG3" s="136"/>
      <c r="TTH3" s="136"/>
      <c r="TTI3" s="136"/>
      <c r="TTJ3" s="136"/>
      <c r="TTK3" s="136"/>
      <c r="TTL3" s="136"/>
      <c r="TTM3" s="136"/>
      <c r="TTN3" s="136"/>
      <c r="TTO3" s="136"/>
      <c r="TTP3" s="136"/>
      <c r="TTQ3" s="136"/>
      <c r="TTR3" s="136"/>
      <c r="TTS3" s="136"/>
      <c r="TTT3" s="136"/>
      <c r="TTU3" s="136"/>
      <c r="TTV3" s="136"/>
      <c r="TTW3" s="136"/>
      <c r="TTX3" s="136"/>
      <c r="TTY3" s="136"/>
      <c r="TTZ3" s="136"/>
      <c r="TUA3" s="136"/>
      <c r="TUB3" s="136"/>
      <c r="TUC3" s="136"/>
      <c r="TUD3" s="136"/>
      <c r="TUE3" s="136"/>
      <c r="TUF3" s="136"/>
      <c r="TUG3" s="136"/>
      <c r="TUH3" s="136"/>
      <c r="TUI3" s="136"/>
      <c r="TUJ3" s="136"/>
      <c r="TUK3" s="136"/>
      <c r="TUL3" s="136"/>
      <c r="TUM3" s="136"/>
      <c r="TUN3" s="136"/>
      <c r="TUO3" s="136"/>
      <c r="TUP3" s="136"/>
      <c r="TUQ3" s="136"/>
      <c r="TUR3" s="136"/>
      <c r="TUS3" s="136"/>
      <c r="TUT3" s="136"/>
      <c r="TUU3" s="136"/>
      <c r="TUV3" s="136"/>
      <c r="TUW3" s="136"/>
      <c r="TUX3" s="136"/>
      <c r="TUY3" s="136"/>
      <c r="TUZ3" s="136"/>
      <c r="TVA3" s="136"/>
      <c r="TVB3" s="136"/>
      <c r="TVC3" s="136"/>
      <c r="TVD3" s="136"/>
      <c r="TVE3" s="136"/>
      <c r="TVF3" s="136"/>
      <c r="TVG3" s="136"/>
      <c r="TVH3" s="136"/>
      <c r="TVI3" s="136"/>
      <c r="TVJ3" s="136"/>
      <c r="TVK3" s="136"/>
      <c r="TVL3" s="136"/>
      <c r="TVM3" s="136"/>
      <c r="TVN3" s="136"/>
      <c r="TVO3" s="136"/>
      <c r="TVP3" s="136"/>
      <c r="TVQ3" s="136"/>
      <c r="TVR3" s="136"/>
      <c r="TVS3" s="136"/>
      <c r="TVT3" s="136"/>
      <c r="TVU3" s="136"/>
      <c r="TVV3" s="136"/>
      <c r="TVW3" s="136"/>
      <c r="TVX3" s="136"/>
      <c r="TVY3" s="136"/>
      <c r="TVZ3" s="136"/>
      <c r="TWA3" s="136"/>
      <c r="TWB3" s="136"/>
      <c r="TWC3" s="136"/>
      <c r="TWD3" s="136"/>
      <c r="TWE3" s="136"/>
      <c r="TWF3" s="136"/>
      <c r="TWG3" s="136"/>
      <c r="TWH3" s="136"/>
      <c r="TWI3" s="136"/>
      <c r="TWJ3" s="136"/>
      <c r="TWK3" s="136"/>
      <c r="TWL3" s="136"/>
      <c r="TWM3" s="136"/>
      <c r="TWN3" s="136"/>
      <c r="TWO3" s="136"/>
      <c r="TWP3" s="136"/>
      <c r="TWQ3" s="136"/>
      <c r="TWR3" s="136"/>
      <c r="TWS3" s="136"/>
      <c r="TWT3" s="136"/>
      <c r="TWU3" s="136"/>
      <c r="TWV3" s="136"/>
      <c r="TWW3" s="136"/>
      <c r="TWX3" s="136"/>
      <c r="TWY3" s="136"/>
      <c r="TWZ3" s="136"/>
      <c r="TXA3" s="136"/>
      <c r="TXB3" s="136"/>
      <c r="TXC3" s="136"/>
      <c r="TXD3" s="136"/>
      <c r="TXE3" s="136"/>
      <c r="TXF3" s="136"/>
      <c r="TXG3" s="136"/>
      <c r="TXH3" s="136"/>
      <c r="TXI3" s="136"/>
      <c r="TXJ3" s="136"/>
      <c r="TXK3" s="136"/>
      <c r="TXL3" s="136"/>
      <c r="TXM3" s="136"/>
      <c r="TXN3" s="136"/>
      <c r="TXO3" s="136"/>
      <c r="TXP3" s="136"/>
      <c r="TXQ3" s="136"/>
      <c r="TXR3" s="136"/>
      <c r="TXS3" s="136"/>
      <c r="TXT3" s="136"/>
      <c r="TXU3" s="136"/>
      <c r="TXV3" s="136"/>
      <c r="TXW3" s="136"/>
      <c r="TXX3" s="136"/>
      <c r="TXY3" s="136"/>
      <c r="TXZ3" s="136"/>
      <c r="TYA3" s="136"/>
      <c r="TYB3" s="136"/>
      <c r="TYC3" s="136"/>
      <c r="TYD3" s="136"/>
      <c r="TYE3" s="136"/>
      <c r="TYF3" s="136"/>
      <c r="TYG3" s="136"/>
      <c r="TYH3" s="136"/>
      <c r="TYI3" s="136"/>
      <c r="TYJ3" s="136"/>
      <c r="TYK3" s="136"/>
      <c r="TYL3" s="136"/>
      <c r="TYM3" s="136"/>
      <c r="TYN3" s="136"/>
      <c r="TYO3" s="136"/>
      <c r="TYP3" s="136"/>
      <c r="TYQ3" s="136"/>
      <c r="TYR3" s="136"/>
      <c r="TYS3" s="136"/>
      <c r="TYT3" s="136"/>
      <c r="TYU3" s="136"/>
      <c r="TYV3" s="136"/>
      <c r="TYW3" s="136"/>
      <c r="TYX3" s="136"/>
      <c r="TYY3" s="136"/>
      <c r="TYZ3" s="136"/>
      <c r="TZA3" s="136"/>
      <c r="TZB3" s="136"/>
      <c r="TZC3" s="136"/>
      <c r="TZD3" s="136"/>
      <c r="TZE3" s="136"/>
      <c r="TZF3" s="136"/>
      <c r="TZG3" s="136"/>
      <c r="TZH3" s="136"/>
      <c r="TZI3" s="136"/>
      <c r="TZJ3" s="136"/>
      <c r="TZK3" s="136"/>
      <c r="TZL3" s="136"/>
      <c r="TZM3" s="136"/>
      <c r="TZN3" s="136"/>
      <c r="TZO3" s="136"/>
      <c r="TZP3" s="136"/>
      <c r="TZQ3" s="136"/>
      <c r="TZR3" s="136"/>
      <c r="TZS3" s="136"/>
      <c r="TZT3" s="136"/>
      <c r="TZU3" s="136"/>
      <c r="TZV3" s="136"/>
      <c r="TZW3" s="136"/>
      <c r="TZX3" s="136"/>
      <c r="TZY3" s="136"/>
      <c r="TZZ3" s="136"/>
      <c r="UAA3" s="136"/>
      <c r="UAB3" s="136"/>
      <c r="UAC3" s="136"/>
      <c r="UAD3" s="136"/>
      <c r="UAE3" s="136"/>
      <c r="UAF3" s="136"/>
      <c r="UAG3" s="136"/>
      <c r="UAH3" s="136"/>
      <c r="UAI3" s="136"/>
      <c r="UAJ3" s="136"/>
      <c r="UAK3" s="136"/>
      <c r="UAL3" s="136"/>
      <c r="UAM3" s="136"/>
      <c r="UAN3" s="136"/>
      <c r="UAO3" s="136"/>
      <c r="UAP3" s="136"/>
      <c r="UAQ3" s="136"/>
      <c r="UAR3" s="136"/>
      <c r="UAS3" s="136"/>
      <c r="UAT3" s="136"/>
      <c r="UAU3" s="136"/>
      <c r="UAV3" s="136"/>
      <c r="UAW3" s="136"/>
      <c r="UAX3" s="136"/>
      <c r="UAY3" s="136"/>
      <c r="UAZ3" s="136"/>
      <c r="UBA3" s="136"/>
      <c r="UBB3" s="136"/>
      <c r="UBC3" s="136"/>
      <c r="UBD3" s="136"/>
      <c r="UBE3" s="136"/>
      <c r="UBF3" s="136"/>
      <c r="UBG3" s="136"/>
      <c r="UBH3" s="136"/>
      <c r="UBI3" s="136"/>
      <c r="UBJ3" s="136"/>
      <c r="UBK3" s="136"/>
      <c r="UBL3" s="136"/>
      <c r="UBM3" s="136"/>
      <c r="UBN3" s="136"/>
      <c r="UBO3" s="136"/>
      <c r="UBP3" s="136"/>
      <c r="UBQ3" s="136"/>
      <c r="UBR3" s="136"/>
      <c r="UBS3" s="136"/>
      <c r="UBT3" s="136"/>
      <c r="UBU3" s="136"/>
      <c r="UBV3" s="136"/>
      <c r="UBW3" s="136"/>
      <c r="UBX3" s="136"/>
      <c r="UBY3" s="136"/>
      <c r="UBZ3" s="136"/>
      <c r="UCA3" s="136"/>
      <c r="UCB3" s="136"/>
      <c r="UCC3" s="136"/>
      <c r="UCD3" s="136"/>
      <c r="UCE3" s="136"/>
      <c r="UCF3" s="136"/>
      <c r="UCG3" s="136"/>
      <c r="UCH3" s="136"/>
      <c r="UCI3" s="136"/>
      <c r="UCJ3" s="136"/>
      <c r="UCK3" s="136"/>
      <c r="UCL3" s="136"/>
      <c r="UCM3" s="136"/>
      <c r="UCN3" s="136"/>
      <c r="UCO3" s="136"/>
      <c r="UCP3" s="136"/>
      <c r="UCQ3" s="136"/>
      <c r="UCR3" s="136"/>
      <c r="UCS3" s="136"/>
      <c r="UCT3" s="136"/>
      <c r="UCU3" s="136"/>
      <c r="UCV3" s="136"/>
      <c r="UCW3" s="136"/>
      <c r="UCX3" s="136"/>
      <c r="UCY3" s="136"/>
      <c r="UCZ3" s="136"/>
      <c r="UDA3" s="136"/>
      <c r="UDB3" s="136"/>
      <c r="UDC3" s="136"/>
      <c r="UDD3" s="136"/>
      <c r="UDE3" s="136"/>
      <c r="UDF3" s="136"/>
      <c r="UDG3" s="136"/>
      <c r="UDH3" s="136"/>
      <c r="UDI3" s="136"/>
      <c r="UDJ3" s="136"/>
      <c r="UDK3" s="136"/>
      <c r="UDL3" s="136"/>
      <c r="UDM3" s="136"/>
      <c r="UDN3" s="136"/>
      <c r="UDO3" s="136"/>
      <c r="UDP3" s="136"/>
      <c r="UDQ3" s="136"/>
      <c r="UDR3" s="136"/>
      <c r="UDS3" s="136"/>
      <c r="UDT3" s="136"/>
      <c r="UDU3" s="136"/>
      <c r="UDV3" s="136"/>
      <c r="UDW3" s="136"/>
      <c r="UDX3" s="136"/>
      <c r="UDY3" s="136"/>
      <c r="UDZ3" s="136"/>
      <c r="UEA3" s="136"/>
      <c r="UEB3" s="136"/>
      <c r="UEC3" s="136"/>
      <c r="UED3" s="136"/>
      <c r="UEE3" s="136"/>
      <c r="UEF3" s="136"/>
      <c r="UEG3" s="136"/>
      <c r="UEH3" s="136"/>
      <c r="UEI3" s="136"/>
      <c r="UEJ3" s="136"/>
      <c r="UEK3" s="136"/>
      <c r="UEL3" s="136"/>
      <c r="UEM3" s="136"/>
      <c r="UEN3" s="136"/>
      <c r="UEO3" s="136"/>
      <c r="UEP3" s="136"/>
      <c r="UEQ3" s="136"/>
      <c r="UER3" s="136"/>
      <c r="UES3" s="136"/>
      <c r="UET3" s="136"/>
      <c r="UEU3" s="136"/>
      <c r="UEV3" s="136"/>
      <c r="UEW3" s="136"/>
      <c r="UEX3" s="136"/>
      <c r="UEY3" s="136"/>
      <c r="UEZ3" s="136"/>
      <c r="UFA3" s="136"/>
      <c r="UFB3" s="136"/>
      <c r="UFC3" s="136"/>
      <c r="UFD3" s="136"/>
      <c r="UFE3" s="136"/>
      <c r="UFF3" s="136"/>
      <c r="UFG3" s="136"/>
      <c r="UFH3" s="136"/>
      <c r="UFI3" s="136"/>
      <c r="UFJ3" s="136"/>
      <c r="UFK3" s="136"/>
      <c r="UFL3" s="136"/>
      <c r="UFM3" s="136"/>
      <c r="UFN3" s="136"/>
      <c r="UFO3" s="136"/>
      <c r="UFP3" s="136"/>
      <c r="UFQ3" s="136"/>
      <c r="UFR3" s="136"/>
      <c r="UFS3" s="136"/>
      <c r="UFT3" s="136"/>
      <c r="UFU3" s="136"/>
      <c r="UFV3" s="136"/>
      <c r="UFW3" s="136"/>
      <c r="UFX3" s="136"/>
      <c r="UFY3" s="136"/>
      <c r="UFZ3" s="136"/>
      <c r="UGA3" s="136"/>
      <c r="UGB3" s="136"/>
      <c r="UGC3" s="136"/>
      <c r="UGD3" s="136"/>
      <c r="UGE3" s="136"/>
      <c r="UGF3" s="136"/>
      <c r="UGG3" s="136"/>
      <c r="UGH3" s="136"/>
      <c r="UGI3" s="136"/>
      <c r="UGJ3" s="136"/>
      <c r="UGK3" s="136"/>
      <c r="UGL3" s="136"/>
      <c r="UGM3" s="136"/>
      <c r="UGN3" s="136"/>
      <c r="UGO3" s="136"/>
      <c r="UGP3" s="136"/>
      <c r="UGQ3" s="136"/>
      <c r="UGR3" s="136"/>
      <c r="UGS3" s="136"/>
      <c r="UGT3" s="136"/>
      <c r="UGU3" s="136"/>
      <c r="UGV3" s="136"/>
      <c r="UGW3" s="136"/>
      <c r="UGX3" s="136"/>
      <c r="UGY3" s="136"/>
      <c r="UGZ3" s="136"/>
      <c r="UHA3" s="136"/>
      <c r="UHB3" s="136"/>
      <c r="UHC3" s="136"/>
      <c r="UHD3" s="136"/>
      <c r="UHE3" s="136"/>
      <c r="UHF3" s="136"/>
      <c r="UHG3" s="136"/>
      <c r="UHH3" s="136"/>
      <c r="UHI3" s="136"/>
      <c r="UHJ3" s="136"/>
      <c r="UHK3" s="136"/>
      <c r="UHL3" s="136"/>
      <c r="UHM3" s="136"/>
      <c r="UHN3" s="136"/>
      <c r="UHO3" s="136"/>
      <c r="UHP3" s="136"/>
      <c r="UHQ3" s="136"/>
      <c r="UHR3" s="136"/>
      <c r="UHS3" s="136"/>
      <c r="UHT3" s="136"/>
      <c r="UHU3" s="136"/>
      <c r="UHV3" s="136"/>
      <c r="UHW3" s="136"/>
      <c r="UHX3" s="136"/>
      <c r="UHY3" s="136"/>
      <c r="UHZ3" s="136"/>
      <c r="UIA3" s="136"/>
      <c r="UIB3" s="136"/>
      <c r="UIC3" s="136"/>
      <c r="UID3" s="136"/>
      <c r="UIE3" s="136"/>
      <c r="UIF3" s="136"/>
      <c r="UIG3" s="136"/>
      <c r="UIH3" s="136"/>
      <c r="UII3" s="136"/>
      <c r="UIJ3" s="136"/>
      <c r="UIK3" s="136"/>
      <c r="UIL3" s="136"/>
      <c r="UIM3" s="136"/>
      <c r="UIN3" s="136"/>
      <c r="UIO3" s="136"/>
      <c r="UIP3" s="136"/>
      <c r="UIQ3" s="136"/>
      <c r="UIR3" s="136"/>
      <c r="UIS3" s="136"/>
      <c r="UIT3" s="136"/>
      <c r="UIU3" s="136"/>
      <c r="UIV3" s="136"/>
      <c r="UIW3" s="136"/>
      <c r="UIX3" s="136"/>
      <c r="UIY3" s="136"/>
      <c r="UIZ3" s="136"/>
      <c r="UJA3" s="136"/>
      <c r="UJB3" s="136"/>
      <c r="UJC3" s="136"/>
      <c r="UJD3" s="136"/>
      <c r="UJE3" s="136"/>
      <c r="UJF3" s="136"/>
      <c r="UJG3" s="136"/>
      <c r="UJH3" s="136"/>
      <c r="UJI3" s="136"/>
      <c r="UJJ3" s="136"/>
      <c r="UJK3" s="136"/>
      <c r="UJL3" s="136"/>
      <c r="UJM3" s="136"/>
      <c r="UJN3" s="136"/>
      <c r="UJO3" s="136"/>
      <c r="UJP3" s="136"/>
      <c r="UJQ3" s="136"/>
      <c r="UJR3" s="136"/>
      <c r="UJS3" s="136"/>
      <c r="UJT3" s="136"/>
      <c r="UJU3" s="136"/>
      <c r="UJV3" s="136"/>
      <c r="UJW3" s="136"/>
      <c r="UJX3" s="136"/>
      <c r="UJY3" s="136"/>
      <c r="UJZ3" s="136"/>
      <c r="UKA3" s="136"/>
      <c r="UKB3" s="136"/>
      <c r="UKC3" s="136"/>
      <c r="UKD3" s="136"/>
      <c r="UKE3" s="136"/>
      <c r="UKF3" s="136"/>
      <c r="UKG3" s="136"/>
      <c r="UKH3" s="136"/>
      <c r="UKI3" s="136"/>
      <c r="UKJ3" s="136"/>
      <c r="UKK3" s="136"/>
      <c r="UKL3" s="136"/>
      <c r="UKM3" s="136"/>
      <c r="UKN3" s="136"/>
      <c r="UKO3" s="136"/>
      <c r="UKP3" s="136"/>
      <c r="UKQ3" s="136"/>
      <c r="UKR3" s="136"/>
      <c r="UKS3" s="136"/>
      <c r="UKT3" s="136"/>
      <c r="UKU3" s="136"/>
      <c r="UKV3" s="136"/>
      <c r="UKW3" s="136"/>
      <c r="UKX3" s="136"/>
      <c r="UKY3" s="136"/>
      <c r="UKZ3" s="136"/>
      <c r="ULA3" s="136"/>
      <c r="ULB3" s="136"/>
      <c r="ULC3" s="136"/>
      <c r="ULD3" s="136"/>
      <c r="ULE3" s="136"/>
      <c r="ULF3" s="136"/>
      <c r="ULG3" s="136"/>
      <c r="ULH3" s="136"/>
      <c r="ULI3" s="136"/>
      <c r="ULJ3" s="136"/>
      <c r="ULK3" s="136"/>
      <c r="ULL3" s="136"/>
      <c r="ULM3" s="136"/>
      <c r="ULN3" s="136"/>
      <c r="ULO3" s="136"/>
      <c r="ULP3" s="136"/>
      <c r="ULQ3" s="136"/>
      <c r="ULR3" s="136"/>
      <c r="ULS3" s="136"/>
      <c r="ULT3" s="136"/>
      <c r="ULU3" s="136"/>
      <c r="ULV3" s="136"/>
      <c r="ULW3" s="136"/>
      <c r="ULX3" s="136"/>
      <c r="ULY3" s="136"/>
      <c r="ULZ3" s="136"/>
      <c r="UMA3" s="136"/>
      <c r="UMB3" s="136"/>
      <c r="UMC3" s="136"/>
      <c r="UMD3" s="136"/>
      <c r="UME3" s="136"/>
      <c r="UMF3" s="136"/>
      <c r="UMG3" s="136"/>
      <c r="UMH3" s="136"/>
      <c r="UMI3" s="136"/>
      <c r="UMJ3" s="136"/>
      <c r="UMK3" s="136"/>
      <c r="UML3" s="136"/>
      <c r="UMM3" s="136"/>
      <c r="UMN3" s="136"/>
      <c r="UMO3" s="136"/>
      <c r="UMP3" s="136"/>
      <c r="UMQ3" s="136"/>
      <c r="UMR3" s="136"/>
      <c r="UMS3" s="136"/>
      <c r="UMT3" s="136"/>
      <c r="UMU3" s="136"/>
      <c r="UMV3" s="136"/>
      <c r="UMW3" s="136"/>
      <c r="UMX3" s="136"/>
      <c r="UMY3" s="136"/>
      <c r="UMZ3" s="136"/>
      <c r="UNA3" s="136"/>
      <c r="UNB3" s="136"/>
      <c r="UNC3" s="136"/>
      <c r="UND3" s="136"/>
      <c r="UNE3" s="136"/>
      <c r="UNF3" s="136"/>
      <c r="UNG3" s="136"/>
      <c r="UNH3" s="136"/>
      <c r="UNI3" s="136"/>
      <c r="UNJ3" s="136"/>
      <c r="UNK3" s="136"/>
      <c r="UNL3" s="136"/>
      <c r="UNM3" s="136"/>
      <c r="UNN3" s="136"/>
      <c r="UNO3" s="136"/>
      <c r="UNP3" s="136"/>
      <c r="UNQ3" s="136"/>
      <c r="UNR3" s="136"/>
      <c r="UNS3" s="136"/>
      <c r="UNT3" s="136"/>
      <c r="UNU3" s="136"/>
      <c r="UNV3" s="136"/>
      <c r="UNW3" s="136"/>
      <c r="UNX3" s="136"/>
      <c r="UNY3" s="136"/>
      <c r="UNZ3" s="136"/>
      <c r="UOA3" s="136"/>
      <c r="UOB3" s="136"/>
      <c r="UOC3" s="136"/>
      <c r="UOD3" s="136"/>
      <c r="UOE3" s="136"/>
      <c r="UOF3" s="136"/>
      <c r="UOG3" s="136"/>
      <c r="UOH3" s="136"/>
      <c r="UOI3" s="136"/>
      <c r="UOJ3" s="136"/>
      <c r="UOK3" s="136"/>
      <c r="UOL3" s="136"/>
      <c r="UOM3" s="136"/>
      <c r="UON3" s="136"/>
      <c r="UOO3" s="136"/>
      <c r="UOP3" s="136"/>
      <c r="UOQ3" s="136"/>
      <c r="UOR3" s="136"/>
      <c r="UOS3" s="136"/>
      <c r="UOT3" s="136"/>
      <c r="UOU3" s="136"/>
      <c r="UOV3" s="136"/>
      <c r="UOW3" s="136"/>
      <c r="UOX3" s="136"/>
      <c r="UOY3" s="136"/>
      <c r="UOZ3" s="136"/>
      <c r="UPA3" s="136"/>
      <c r="UPB3" s="136"/>
      <c r="UPC3" s="136"/>
      <c r="UPD3" s="136"/>
      <c r="UPE3" s="136"/>
      <c r="UPF3" s="136"/>
      <c r="UPG3" s="136"/>
      <c r="UPH3" s="136"/>
      <c r="UPI3" s="136"/>
      <c r="UPJ3" s="136"/>
      <c r="UPK3" s="136"/>
      <c r="UPL3" s="136"/>
      <c r="UPM3" s="136"/>
      <c r="UPN3" s="136"/>
      <c r="UPO3" s="136"/>
      <c r="UPP3" s="136"/>
      <c r="UPQ3" s="136"/>
      <c r="UPR3" s="136"/>
      <c r="UPS3" s="136"/>
      <c r="UPT3" s="136"/>
      <c r="UPU3" s="136"/>
      <c r="UPV3" s="136"/>
      <c r="UPW3" s="136"/>
      <c r="UPX3" s="136"/>
      <c r="UPY3" s="136"/>
      <c r="UPZ3" s="136"/>
      <c r="UQA3" s="136"/>
      <c r="UQB3" s="136"/>
      <c r="UQC3" s="136"/>
      <c r="UQD3" s="136"/>
      <c r="UQE3" s="136"/>
      <c r="UQF3" s="136"/>
      <c r="UQG3" s="136"/>
      <c r="UQH3" s="136"/>
      <c r="UQI3" s="136"/>
      <c r="UQJ3" s="136"/>
      <c r="UQK3" s="136"/>
      <c r="UQL3" s="136"/>
      <c r="UQM3" s="136"/>
      <c r="UQN3" s="136"/>
      <c r="UQO3" s="136"/>
      <c r="UQP3" s="136"/>
      <c r="UQQ3" s="136"/>
      <c r="UQR3" s="136"/>
      <c r="UQS3" s="136"/>
      <c r="UQT3" s="136"/>
      <c r="UQU3" s="136"/>
      <c r="UQV3" s="136"/>
      <c r="UQW3" s="136"/>
      <c r="UQX3" s="136"/>
      <c r="UQY3" s="136"/>
      <c r="UQZ3" s="136"/>
      <c r="URA3" s="136"/>
      <c r="URB3" s="136"/>
      <c r="URC3" s="136"/>
      <c r="URD3" s="136"/>
      <c r="URE3" s="136"/>
      <c r="URF3" s="136"/>
      <c r="URG3" s="136"/>
      <c r="URH3" s="136"/>
      <c r="URI3" s="136"/>
      <c r="URJ3" s="136"/>
      <c r="URK3" s="136"/>
      <c r="URL3" s="136"/>
      <c r="URM3" s="136"/>
      <c r="URN3" s="136"/>
      <c r="URO3" s="136"/>
      <c r="URP3" s="136"/>
      <c r="URQ3" s="136"/>
      <c r="URR3" s="136"/>
      <c r="URS3" s="136"/>
      <c r="URT3" s="136"/>
      <c r="URU3" s="136"/>
      <c r="URV3" s="136"/>
      <c r="URW3" s="136"/>
      <c r="URX3" s="136"/>
      <c r="URY3" s="136"/>
      <c r="URZ3" s="136"/>
      <c r="USA3" s="136"/>
      <c r="USB3" s="136"/>
      <c r="USC3" s="136"/>
      <c r="USD3" s="136"/>
      <c r="USE3" s="136"/>
      <c r="USF3" s="136"/>
      <c r="USG3" s="136"/>
      <c r="USH3" s="136"/>
      <c r="USI3" s="136"/>
      <c r="USJ3" s="136"/>
      <c r="USK3" s="136"/>
      <c r="USL3" s="136"/>
      <c r="USM3" s="136"/>
      <c r="USN3" s="136"/>
      <c r="USO3" s="136"/>
      <c r="USP3" s="136"/>
      <c r="USQ3" s="136"/>
      <c r="USR3" s="136"/>
      <c r="USS3" s="136"/>
      <c r="UST3" s="136"/>
      <c r="USU3" s="136"/>
      <c r="USV3" s="136"/>
      <c r="USW3" s="136"/>
      <c r="USX3" s="136"/>
      <c r="USY3" s="136"/>
      <c r="USZ3" s="136"/>
      <c r="UTA3" s="136"/>
      <c r="UTB3" s="136"/>
      <c r="UTC3" s="136"/>
      <c r="UTD3" s="136"/>
      <c r="UTE3" s="136"/>
      <c r="UTF3" s="136"/>
      <c r="UTG3" s="136"/>
      <c r="UTH3" s="136"/>
      <c r="UTI3" s="136"/>
      <c r="UTJ3" s="136"/>
      <c r="UTK3" s="136"/>
      <c r="UTL3" s="136"/>
      <c r="UTM3" s="136"/>
      <c r="UTN3" s="136"/>
      <c r="UTO3" s="136"/>
      <c r="UTP3" s="136"/>
      <c r="UTQ3" s="136"/>
      <c r="UTR3" s="136"/>
      <c r="UTS3" s="136"/>
      <c r="UTT3" s="136"/>
      <c r="UTU3" s="136"/>
      <c r="UTV3" s="136"/>
      <c r="UTW3" s="136"/>
      <c r="UTX3" s="136"/>
      <c r="UTY3" s="136"/>
      <c r="UTZ3" s="136"/>
      <c r="UUA3" s="136"/>
      <c r="UUB3" s="136"/>
      <c r="UUC3" s="136"/>
      <c r="UUD3" s="136"/>
      <c r="UUE3" s="136"/>
      <c r="UUF3" s="136"/>
      <c r="UUG3" s="136"/>
      <c r="UUH3" s="136"/>
      <c r="UUI3" s="136"/>
      <c r="UUJ3" s="136"/>
      <c r="UUK3" s="136"/>
      <c r="UUL3" s="136"/>
      <c r="UUM3" s="136"/>
      <c r="UUN3" s="136"/>
      <c r="UUO3" s="136"/>
      <c r="UUP3" s="136"/>
      <c r="UUQ3" s="136"/>
      <c r="UUR3" s="136"/>
      <c r="UUS3" s="136"/>
      <c r="UUT3" s="136"/>
      <c r="UUU3" s="136"/>
      <c r="UUV3" s="136"/>
      <c r="UUW3" s="136"/>
      <c r="UUX3" s="136"/>
      <c r="UUY3" s="136"/>
      <c r="UUZ3" s="136"/>
      <c r="UVA3" s="136"/>
      <c r="UVB3" s="136"/>
      <c r="UVC3" s="136"/>
      <c r="UVD3" s="136"/>
      <c r="UVE3" s="136"/>
      <c r="UVF3" s="136"/>
      <c r="UVG3" s="136"/>
      <c r="UVH3" s="136"/>
      <c r="UVI3" s="136"/>
      <c r="UVJ3" s="136"/>
      <c r="UVK3" s="136"/>
      <c r="UVL3" s="136"/>
      <c r="UVM3" s="136"/>
      <c r="UVN3" s="136"/>
      <c r="UVO3" s="136"/>
      <c r="UVP3" s="136"/>
      <c r="UVQ3" s="136"/>
      <c r="UVR3" s="136"/>
      <c r="UVS3" s="136"/>
      <c r="UVT3" s="136"/>
      <c r="UVU3" s="136"/>
      <c r="UVV3" s="136"/>
      <c r="UVW3" s="136"/>
      <c r="UVX3" s="136"/>
      <c r="UVY3" s="136"/>
      <c r="UVZ3" s="136"/>
      <c r="UWA3" s="136"/>
      <c r="UWB3" s="136"/>
      <c r="UWC3" s="136"/>
      <c r="UWD3" s="136"/>
      <c r="UWE3" s="136"/>
      <c r="UWF3" s="136"/>
      <c r="UWG3" s="136"/>
      <c r="UWH3" s="136"/>
      <c r="UWI3" s="136"/>
      <c r="UWJ3" s="136"/>
      <c r="UWK3" s="136"/>
      <c r="UWL3" s="136"/>
      <c r="UWM3" s="136"/>
      <c r="UWN3" s="136"/>
      <c r="UWO3" s="136"/>
      <c r="UWP3" s="136"/>
      <c r="UWQ3" s="136"/>
      <c r="UWR3" s="136"/>
      <c r="UWS3" s="136"/>
      <c r="UWT3" s="136"/>
      <c r="UWU3" s="136"/>
      <c r="UWV3" s="136"/>
      <c r="UWW3" s="136"/>
      <c r="UWX3" s="136"/>
      <c r="UWY3" s="136"/>
      <c r="UWZ3" s="136"/>
      <c r="UXA3" s="136"/>
      <c r="UXB3" s="136"/>
      <c r="UXC3" s="136"/>
      <c r="UXD3" s="136"/>
      <c r="UXE3" s="136"/>
      <c r="UXF3" s="136"/>
      <c r="UXG3" s="136"/>
      <c r="UXH3" s="136"/>
      <c r="UXI3" s="136"/>
      <c r="UXJ3" s="136"/>
      <c r="UXK3" s="136"/>
      <c r="UXL3" s="136"/>
      <c r="UXM3" s="136"/>
      <c r="UXN3" s="136"/>
      <c r="UXO3" s="136"/>
      <c r="UXP3" s="136"/>
      <c r="UXQ3" s="136"/>
      <c r="UXR3" s="136"/>
      <c r="UXS3" s="136"/>
      <c r="UXT3" s="136"/>
      <c r="UXU3" s="136"/>
      <c r="UXV3" s="136"/>
      <c r="UXW3" s="136"/>
      <c r="UXX3" s="136"/>
      <c r="UXY3" s="136"/>
      <c r="UXZ3" s="136"/>
      <c r="UYA3" s="136"/>
      <c r="UYB3" s="136"/>
      <c r="UYC3" s="136"/>
      <c r="UYD3" s="136"/>
      <c r="UYE3" s="136"/>
      <c r="UYF3" s="136"/>
      <c r="UYG3" s="136"/>
      <c r="UYH3" s="136"/>
      <c r="UYI3" s="136"/>
      <c r="UYJ3" s="136"/>
      <c r="UYK3" s="136"/>
      <c r="UYL3" s="136"/>
      <c r="UYM3" s="136"/>
      <c r="UYN3" s="136"/>
      <c r="UYO3" s="136"/>
      <c r="UYP3" s="136"/>
      <c r="UYQ3" s="136"/>
      <c r="UYR3" s="136"/>
      <c r="UYS3" s="136"/>
      <c r="UYT3" s="136"/>
      <c r="UYU3" s="136"/>
      <c r="UYV3" s="136"/>
      <c r="UYW3" s="136"/>
      <c r="UYX3" s="136"/>
      <c r="UYY3" s="136"/>
      <c r="UYZ3" s="136"/>
      <c r="UZA3" s="136"/>
      <c r="UZB3" s="136"/>
      <c r="UZC3" s="136"/>
      <c r="UZD3" s="136"/>
      <c r="UZE3" s="136"/>
      <c r="UZF3" s="136"/>
      <c r="UZG3" s="136"/>
      <c r="UZH3" s="136"/>
      <c r="UZI3" s="136"/>
      <c r="UZJ3" s="136"/>
      <c r="UZK3" s="136"/>
      <c r="UZL3" s="136"/>
      <c r="UZM3" s="136"/>
      <c r="UZN3" s="136"/>
      <c r="UZO3" s="136"/>
      <c r="UZP3" s="136"/>
      <c r="UZQ3" s="136"/>
      <c r="UZR3" s="136"/>
      <c r="UZS3" s="136"/>
      <c r="UZT3" s="136"/>
      <c r="UZU3" s="136"/>
      <c r="UZV3" s="136"/>
      <c r="UZW3" s="136"/>
      <c r="UZX3" s="136"/>
      <c r="UZY3" s="136"/>
      <c r="UZZ3" s="136"/>
      <c r="VAA3" s="136"/>
      <c r="VAB3" s="136"/>
      <c r="VAC3" s="136"/>
      <c r="VAD3" s="136"/>
      <c r="VAE3" s="136"/>
      <c r="VAF3" s="136"/>
      <c r="VAG3" s="136"/>
      <c r="VAH3" s="136"/>
      <c r="VAI3" s="136"/>
      <c r="VAJ3" s="136"/>
      <c r="VAK3" s="136"/>
      <c r="VAL3" s="136"/>
      <c r="VAM3" s="136"/>
      <c r="VAN3" s="136"/>
      <c r="VAO3" s="136"/>
      <c r="VAP3" s="136"/>
      <c r="VAQ3" s="136"/>
      <c r="VAR3" s="136"/>
      <c r="VAS3" s="136"/>
      <c r="VAT3" s="136"/>
      <c r="VAU3" s="136"/>
      <c r="VAV3" s="136"/>
      <c r="VAW3" s="136"/>
      <c r="VAX3" s="136"/>
      <c r="VAY3" s="136"/>
      <c r="VAZ3" s="136"/>
      <c r="VBA3" s="136"/>
      <c r="VBB3" s="136"/>
      <c r="VBC3" s="136"/>
      <c r="VBD3" s="136"/>
      <c r="VBE3" s="136"/>
      <c r="VBF3" s="136"/>
      <c r="VBG3" s="136"/>
      <c r="VBH3" s="136"/>
      <c r="VBI3" s="136"/>
      <c r="VBJ3" s="136"/>
      <c r="VBK3" s="136"/>
      <c r="VBL3" s="136"/>
      <c r="VBM3" s="136"/>
      <c r="VBN3" s="136"/>
      <c r="VBO3" s="136"/>
      <c r="VBP3" s="136"/>
      <c r="VBQ3" s="136"/>
      <c r="VBR3" s="136"/>
      <c r="VBS3" s="136"/>
      <c r="VBT3" s="136"/>
      <c r="VBU3" s="136"/>
      <c r="VBV3" s="136"/>
      <c r="VBW3" s="136"/>
      <c r="VBX3" s="136"/>
      <c r="VBY3" s="136"/>
      <c r="VBZ3" s="136"/>
      <c r="VCA3" s="136"/>
      <c r="VCB3" s="136"/>
      <c r="VCC3" s="136"/>
      <c r="VCD3" s="136"/>
      <c r="VCE3" s="136"/>
      <c r="VCF3" s="136"/>
      <c r="VCG3" s="136"/>
      <c r="VCH3" s="136"/>
      <c r="VCI3" s="136"/>
      <c r="VCJ3" s="136"/>
      <c r="VCK3" s="136"/>
      <c r="VCL3" s="136"/>
      <c r="VCM3" s="136"/>
      <c r="VCN3" s="136"/>
      <c r="VCO3" s="136"/>
      <c r="VCP3" s="136"/>
      <c r="VCQ3" s="136"/>
      <c r="VCR3" s="136"/>
      <c r="VCS3" s="136"/>
      <c r="VCT3" s="136"/>
      <c r="VCU3" s="136"/>
      <c r="VCV3" s="136"/>
      <c r="VCW3" s="136"/>
      <c r="VCX3" s="136"/>
      <c r="VCY3" s="136"/>
      <c r="VCZ3" s="136"/>
      <c r="VDA3" s="136"/>
      <c r="VDB3" s="136"/>
      <c r="VDC3" s="136"/>
      <c r="VDD3" s="136"/>
      <c r="VDE3" s="136"/>
      <c r="VDF3" s="136"/>
      <c r="VDG3" s="136"/>
      <c r="VDH3" s="136"/>
      <c r="VDI3" s="136"/>
      <c r="VDJ3" s="136"/>
      <c r="VDK3" s="136"/>
      <c r="VDL3" s="136"/>
      <c r="VDM3" s="136"/>
      <c r="VDN3" s="136"/>
      <c r="VDO3" s="136"/>
      <c r="VDP3" s="136"/>
      <c r="VDQ3" s="136"/>
      <c r="VDR3" s="136"/>
      <c r="VDS3" s="136"/>
      <c r="VDT3" s="136"/>
      <c r="VDU3" s="136"/>
      <c r="VDV3" s="136"/>
      <c r="VDW3" s="136"/>
      <c r="VDX3" s="136"/>
      <c r="VDY3" s="136"/>
      <c r="VDZ3" s="136"/>
      <c r="VEA3" s="136"/>
      <c r="VEB3" s="136"/>
      <c r="VEC3" s="136"/>
      <c r="VED3" s="136"/>
      <c r="VEE3" s="136"/>
      <c r="VEF3" s="136"/>
      <c r="VEG3" s="136"/>
      <c r="VEH3" s="136"/>
      <c r="VEI3" s="136"/>
      <c r="VEJ3" s="136"/>
      <c r="VEK3" s="136"/>
      <c r="VEL3" s="136"/>
      <c r="VEM3" s="136"/>
      <c r="VEN3" s="136"/>
      <c r="VEO3" s="136"/>
      <c r="VEP3" s="136"/>
      <c r="VEQ3" s="136"/>
      <c r="VER3" s="136"/>
      <c r="VES3" s="136"/>
      <c r="VET3" s="136"/>
      <c r="VEU3" s="136"/>
      <c r="VEV3" s="136"/>
      <c r="VEW3" s="136"/>
      <c r="VEX3" s="136"/>
      <c r="VEY3" s="136"/>
      <c r="VEZ3" s="136"/>
      <c r="VFA3" s="136"/>
      <c r="VFB3" s="136"/>
      <c r="VFC3" s="136"/>
      <c r="VFD3" s="136"/>
      <c r="VFE3" s="136"/>
      <c r="VFF3" s="136"/>
      <c r="VFG3" s="136"/>
      <c r="VFH3" s="136"/>
      <c r="VFI3" s="136"/>
      <c r="VFJ3" s="136"/>
      <c r="VFK3" s="136"/>
      <c r="VFL3" s="136"/>
      <c r="VFM3" s="136"/>
      <c r="VFN3" s="136"/>
      <c r="VFO3" s="136"/>
      <c r="VFP3" s="136"/>
      <c r="VFQ3" s="136"/>
      <c r="VFR3" s="136"/>
      <c r="VFS3" s="136"/>
      <c r="VFT3" s="136"/>
      <c r="VFU3" s="136"/>
      <c r="VFV3" s="136"/>
      <c r="VFW3" s="136"/>
      <c r="VFX3" s="136"/>
      <c r="VFY3" s="136"/>
      <c r="VFZ3" s="136"/>
      <c r="VGA3" s="136"/>
      <c r="VGB3" s="136"/>
      <c r="VGC3" s="136"/>
      <c r="VGD3" s="136"/>
      <c r="VGE3" s="136"/>
      <c r="VGF3" s="136"/>
      <c r="VGG3" s="136"/>
      <c r="VGH3" s="136"/>
      <c r="VGI3" s="136"/>
      <c r="VGJ3" s="136"/>
      <c r="VGK3" s="136"/>
      <c r="VGL3" s="136"/>
      <c r="VGM3" s="136"/>
      <c r="VGN3" s="136"/>
      <c r="VGO3" s="136"/>
      <c r="VGP3" s="136"/>
      <c r="VGQ3" s="136"/>
      <c r="VGR3" s="136"/>
      <c r="VGS3" s="136"/>
      <c r="VGT3" s="136"/>
      <c r="VGU3" s="136"/>
      <c r="VGV3" s="136"/>
      <c r="VGW3" s="136"/>
      <c r="VGX3" s="136"/>
      <c r="VGY3" s="136"/>
      <c r="VGZ3" s="136"/>
      <c r="VHA3" s="136"/>
      <c r="VHB3" s="136"/>
      <c r="VHC3" s="136"/>
      <c r="VHD3" s="136"/>
      <c r="VHE3" s="136"/>
      <c r="VHF3" s="136"/>
      <c r="VHG3" s="136"/>
      <c r="VHH3" s="136"/>
      <c r="VHI3" s="136"/>
      <c r="VHJ3" s="136"/>
      <c r="VHK3" s="136"/>
      <c r="VHL3" s="136"/>
      <c r="VHM3" s="136"/>
      <c r="VHN3" s="136"/>
      <c r="VHO3" s="136"/>
      <c r="VHP3" s="136"/>
      <c r="VHQ3" s="136"/>
      <c r="VHR3" s="136"/>
      <c r="VHS3" s="136"/>
      <c r="VHT3" s="136"/>
      <c r="VHU3" s="136"/>
      <c r="VHV3" s="136"/>
      <c r="VHW3" s="136"/>
      <c r="VHX3" s="136"/>
      <c r="VHY3" s="136"/>
      <c r="VHZ3" s="136"/>
      <c r="VIA3" s="136"/>
      <c r="VIB3" s="136"/>
      <c r="VIC3" s="136"/>
      <c r="VID3" s="136"/>
      <c r="VIE3" s="136"/>
      <c r="VIF3" s="136"/>
      <c r="VIG3" s="136"/>
      <c r="VIH3" s="136"/>
      <c r="VII3" s="136"/>
      <c r="VIJ3" s="136"/>
      <c r="VIK3" s="136"/>
      <c r="VIL3" s="136"/>
      <c r="VIM3" s="136"/>
      <c r="VIN3" s="136"/>
      <c r="VIO3" s="136"/>
      <c r="VIP3" s="136"/>
      <c r="VIQ3" s="136"/>
      <c r="VIR3" s="136"/>
      <c r="VIS3" s="136"/>
      <c r="VIT3" s="136"/>
      <c r="VIU3" s="136"/>
      <c r="VIV3" s="136"/>
      <c r="VIW3" s="136"/>
      <c r="VIX3" s="136"/>
      <c r="VIY3" s="136"/>
      <c r="VIZ3" s="136"/>
      <c r="VJA3" s="136"/>
      <c r="VJB3" s="136"/>
      <c r="VJC3" s="136"/>
      <c r="VJD3" s="136"/>
      <c r="VJE3" s="136"/>
      <c r="VJF3" s="136"/>
      <c r="VJG3" s="136"/>
      <c r="VJH3" s="136"/>
      <c r="VJI3" s="136"/>
      <c r="VJJ3" s="136"/>
      <c r="VJK3" s="136"/>
      <c r="VJL3" s="136"/>
      <c r="VJM3" s="136"/>
      <c r="VJN3" s="136"/>
      <c r="VJO3" s="136"/>
      <c r="VJP3" s="136"/>
      <c r="VJQ3" s="136"/>
      <c r="VJR3" s="136"/>
      <c r="VJS3" s="136"/>
      <c r="VJT3" s="136"/>
      <c r="VJU3" s="136"/>
      <c r="VJV3" s="136"/>
      <c r="VJW3" s="136"/>
      <c r="VJX3" s="136"/>
      <c r="VJY3" s="136"/>
      <c r="VJZ3" s="136"/>
      <c r="VKA3" s="136"/>
      <c r="VKB3" s="136"/>
      <c r="VKC3" s="136"/>
      <c r="VKD3" s="136"/>
      <c r="VKE3" s="136"/>
      <c r="VKF3" s="136"/>
      <c r="VKG3" s="136"/>
      <c r="VKH3" s="136"/>
      <c r="VKI3" s="136"/>
      <c r="VKJ3" s="136"/>
      <c r="VKK3" s="136"/>
      <c r="VKL3" s="136"/>
      <c r="VKM3" s="136"/>
      <c r="VKN3" s="136"/>
      <c r="VKO3" s="136"/>
      <c r="VKP3" s="136"/>
      <c r="VKQ3" s="136"/>
      <c r="VKR3" s="136"/>
      <c r="VKS3" s="136"/>
      <c r="VKT3" s="136"/>
      <c r="VKU3" s="136"/>
      <c r="VKV3" s="136"/>
      <c r="VKW3" s="136"/>
      <c r="VKX3" s="136"/>
      <c r="VKY3" s="136"/>
      <c r="VKZ3" s="136"/>
      <c r="VLA3" s="136"/>
      <c r="VLB3" s="136"/>
      <c r="VLC3" s="136"/>
      <c r="VLD3" s="136"/>
      <c r="VLE3" s="136"/>
      <c r="VLF3" s="136"/>
      <c r="VLG3" s="136"/>
      <c r="VLH3" s="136"/>
      <c r="VLI3" s="136"/>
      <c r="VLJ3" s="136"/>
      <c r="VLK3" s="136"/>
      <c r="VLL3" s="136"/>
      <c r="VLM3" s="136"/>
      <c r="VLN3" s="136"/>
      <c r="VLO3" s="136"/>
      <c r="VLP3" s="136"/>
      <c r="VLQ3" s="136"/>
      <c r="VLR3" s="136"/>
      <c r="VLS3" s="136"/>
      <c r="VLT3" s="136"/>
      <c r="VLU3" s="136"/>
      <c r="VLV3" s="136"/>
      <c r="VLW3" s="136"/>
      <c r="VLX3" s="136"/>
      <c r="VLY3" s="136"/>
      <c r="VLZ3" s="136"/>
      <c r="VMA3" s="136"/>
      <c r="VMB3" s="136"/>
      <c r="VMC3" s="136"/>
      <c r="VMD3" s="136"/>
      <c r="VME3" s="136"/>
      <c r="VMF3" s="136"/>
      <c r="VMG3" s="136"/>
      <c r="VMH3" s="136"/>
      <c r="VMI3" s="136"/>
      <c r="VMJ3" s="136"/>
      <c r="VMK3" s="136"/>
      <c r="VML3" s="136"/>
      <c r="VMM3" s="136"/>
      <c r="VMN3" s="136"/>
      <c r="VMO3" s="136"/>
      <c r="VMP3" s="136"/>
      <c r="VMQ3" s="136"/>
      <c r="VMR3" s="136"/>
      <c r="VMS3" s="136"/>
      <c r="VMT3" s="136"/>
      <c r="VMU3" s="136"/>
      <c r="VMV3" s="136"/>
      <c r="VMW3" s="136"/>
      <c r="VMX3" s="136"/>
      <c r="VMY3" s="136"/>
      <c r="VMZ3" s="136"/>
      <c r="VNA3" s="136"/>
      <c r="VNB3" s="136"/>
      <c r="VNC3" s="136"/>
      <c r="VND3" s="136"/>
      <c r="VNE3" s="136"/>
      <c r="VNF3" s="136"/>
      <c r="VNG3" s="136"/>
      <c r="VNH3" s="136"/>
      <c r="VNI3" s="136"/>
      <c r="VNJ3" s="136"/>
      <c r="VNK3" s="136"/>
      <c r="VNL3" s="136"/>
      <c r="VNM3" s="136"/>
      <c r="VNN3" s="136"/>
      <c r="VNO3" s="136"/>
      <c r="VNP3" s="136"/>
      <c r="VNQ3" s="136"/>
      <c r="VNR3" s="136"/>
      <c r="VNS3" s="136"/>
      <c r="VNT3" s="136"/>
      <c r="VNU3" s="136"/>
      <c r="VNV3" s="136"/>
      <c r="VNW3" s="136"/>
      <c r="VNX3" s="136"/>
      <c r="VNY3" s="136"/>
      <c r="VNZ3" s="136"/>
      <c r="VOA3" s="136"/>
      <c r="VOB3" s="136"/>
      <c r="VOC3" s="136"/>
      <c r="VOD3" s="136"/>
      <c r="VOE3" s="136"/>
      <c r="VOF3" s="136"/>
      <c r="VOG3" s="136"/>
      <c r="VOH3" s="136"/>
      <c r="VOI3" s="136"/>
      <c r="VOJ3" s="136"/>
      <c r="VOK3" s="136"/>
      <c r="VOL3" s="136"/>
      <c r="VOM3" s="136"/>
      <c r="VON3" s="136"/>
      <c r="VOO3" s="136"/>
      <c r="VOP3" s="136"/>
      <c r="VOQ3" s="136"/>
      <c r="VOR3" s="136"/>
      <c r="VOS3" s="136"/>
      <c r="VOT3" s="136"/>
      <c r="VOU3" s="136"/>
      <c r="VOV3" s="136"/>
      <c r="VOW3" s="136"/>
      <c r="VOX3" s="136"/>
      <c r="VOY3" s="136"/>
      <c r="VOZ3" s="136"/>
      <c r="VPA3" s="136"/>
      <c r="VPB3" s="136"/>
      <c r="VPC3" s="136"/>
      <c r="VPD3" s="136"/>
      <c r="VPE3" s="136"/>
      <c r="VPF3" s="136"/>
      <c r="VPG3" s="136"/>
      <c r="VPH3" s="136"/>
      <c r="VPI3" s="136"/>
      <c r="VPJ3" s="136"/>
      <c r="VPK3" s="136"/>
      <c r="VPL3" s="136"/>
      <c r="VPM3" s="136"/>
      <c r="VPN3" s="136"/>
      <c r="VPO3" s="136"/>
      <c r="VPP3" s="136"/>
      <c r="VPQ3" s="136"/>
      <c r="VPR3" s="136"/>
      <c r="VPS3" s="136"/>
      <c r="VPT3" s="136"/>
      <c r="VPU3" s="136"/>
      <c r="VPV3" s="136"/>
      <c r="VPW3" s="136"/>
      <c r="VPX3" s="136"/>
      <c r="VPY3" s="136"/>
      <c r="VPZ3" s="136"/>
      <c r="VQA3" s="136"/>
      <c r="VQB3" s="136"/>
      <c r="VQC3" s="136"/>
      <c r="VQD3" s="136"/>
      <c r="VQE3" s="136"/>
      <c r="VQF3" s="136"/>
      <c r="VQG3" s="136"/>
      <c r="VQH3" s="136"/>
      <c r="VQI3" s="136"/>
      <c r="VQJ3" s="136"/>
      <c r="VQK3" s="136"/>
      <c r="VQL3" s="136"/>
      <c r="VQM3" s="136"/>
      <c r="VQN3" s="136"/>
      <c r="VQO3" s="136"/>
      <c r="VQP3" s="136"/>
      <c r="VQQ3" s="136"/>
      <c r="VQR3" s="136"/>
      <c r="VQS3" s="136"/>
      <c r="VQT3" s="136"/>
      <c r="VQU3" s="136"/>
      <c r="VQV3" s="136"/>
      <c r="VQW3" s="136"/>
      <c r="VQX3" s="136"/>
      <c r="VQY3" s="136"/>
      <c r="VQZ3" s="136"/>
      <c r="VRA3" s="136"/>
      <c r="VRB3" s="136"/>
      <c r="VRC3" s="136"/>
      <c r="VRD3" s="136"/>
      <c r="VRE3" s="136"/>
      <c r="VRF3" s="136"/>
      <c r="VRG3" s="136"/>
      <c r="VRH3" s="136"/>
      <c r="VRI3" s="136"/>
      <c r="VRJ3" s="136"/>
      <c r="VRK3" s="136"/>
      <c r="VRL3" s="136"/>
      <c r="VRM3" s="136"/>
      <c r="VRN3" s="136"/>
      <c r="VRO3" s="136"/>
      <c r="VRP3" s="136"/>
      <c r="VRQ3" s="136"/>
      <c r="VRR3" s="136"/>
      <c r="VRS3" s="136"/>
      <c r="VRT3" s="136"/>
      <c r="VRU3" s="136"/>
      <c r="VRV3" s="136"/>
      <c r="VRW3" s="136"/>
      <c r="VRX3" s="136"/>
      <c r="VRY3" s="136"/>
      <c r="VRZ3" s="136"/>
      <c r="VSA3" s="136"/>
      <c r="VSB3" s="136"/>
      <c r="VSC3" s="136"/>
      <c r="VSD3" s="136"/>
      <c r="VSE3" s="136"/>
      <c r="VSF3" s="136"/>
      <c r="VSG3" s="136"/>
      <c r="VSH3" s="136"/>
      <c r="VSI3" s="136"/>
      <c r="VSJ3" s="136"/>
      <c r="VSK3" s="136"/>
      <c r="VSL3" s="136"/>
      <c r="VSM3" s="136"/>
      <c r="VSN3" s="136"/>
      <c r="VSO3" s="136"/>
      <c r="VSP3" s="136"/>
      <c r="VSQ3" s="136"/>
      <c r="VSR3" s="136"/>
      <c r="VSS3" s="136"/>
      <c r="VST3" s="136"/>
      <c r="VSU3" s="136"/>
      <c r="VSV3" s="136"/>
      <c r="VSW3" s="136"/>
      <c r="VSX3" s="136"/>
      <c r="VSY3" s="136"/>
      <c r="VSZ3" s="136"/>
      <c r="VTA3" s="136"/>
      <c r="VTB3" s="136"/>
      <c r="VTC3" s="136"/>
      <c r="VTD3" s="136"/>
      <c r="VTE3" s="136"/>
      <c r="VTF3" s="136"/>
      <c r="VTG3" s="136"/>
      <c r="VTH3" s="136"/>
      <c r="VTI3" s="136"/>
      <c r="VTJ3" s="136"/>
      <c r="VTK3" s="136"/>
      <c r="VTL3" s="136"/>
      <c r="VTM3" s="136"/>
      <c r="VTN3" s="136"/>
      <c r="VTO3" s="136"/>
      <c r="VTP3" s="136"/>
      <c r="VTQ3" s="136"/>
      <c r="VTR3" s="136"/>
      <c r="VTS3" s="136"/>
      <c r="VTT3" s="136"/>
      <c r="VTU3" s="136"/>
      <c r="VTV3" s="136"/>
      <c r="VTW3" s="136"/>
      <c r="VTX3" s="136"/>
      <c r="VTY3" s="136"/>
      <c r="VTZ3" s="136"/>
      <c r="VUA3" s="136"/>
      <c r="VUB3" s="136"/>
      <c r="VUC3" s="136"/>
      <c r="VUD3" s="136"/>
      <c r="VUE3" s="136"/>
      <c r="VUF3" s="136"/>
      <c r="VUG3" s="136"/>
      <c r="VUH3" s="136"/>
      <c r="VUI3" s="136"/>
      <c r="VUJ3" s="136"/>
      <c r="VUK3" s="136"/>
      <c r="VUL3" s="136"/>
      <c r="VUM3" s="136"/>
      <c r="VUN3" s="136"/>
      <c r="VUO3" s="136"/>
      <c r="VUP3" s="136"/>
      <c r="VUQ3" s="136"/>
      <c r="VUR3" s="136"/>
      <c r="VUS3" s="136"/>
      <c r="VUT3" s="136"/>
      <c r="VUU3" s="136"/>
      <c r="VUV3" s="136"/>
      <c r="VUW3" s="136"/>
      <c r="VUX3" s="136"/>
      <c r="VUY3" s="136"/>
      <c r="VUZ3" s="136"/>
      <c r="VVA3" s="136"/>
      <c r="VVB3" s="136"/>
      <c r="VVC3" s="136"/>
      <c r="VVD3" s="136"/>
      <c r="VVE3" s="136"/>
      <c r="VVF3" s="136"/>
      <c r="VVG3" s="136"/>
      <c r="VVH3" s="136"/>
      <c r="VVI3" s="136"/>
      <c r="VVJ3" s="136"/>
      <c r="VVK3" s="136"/>
      <c r="VVL3" s="136"/>
      <c r="VVM3" s="136"/>
      <c r="VVN3" s="136"/>
      <c r="VVO3" s="136"/>
      <c r="VVP3" s="136"/>
      <c r="VVQ3" s="136"/>
      <c r="VVR3" s="136"/>
      <c r="VVS3" s="136"/>
      <c r="VVT3" s="136"/>
      <c r="VVU3" s="136"/>
      <c r="VVV3" s="136"/>
      <c r="VVW3" s="136"/>
      <c r="VVX3" s="136"/>
      <c r="VVY3" s="136"/>
      <c r="VVZ3" s="136"/>
      <c r="VWA3" s="136"/>
      <c r="VWB3" s="136"/>
      <c r="VWC3" s="136"/>
      <c r="VWD3" s="136"/>
      <c r="VWE3" s="136"/>
      <c r="VWF3" s="136"/>
      <c r="VWG3" s="136"/>
      <c r="VWH3" s="136"/>
      <c r="VWI3" s="136"/>
      <c r="VWJ3" s="136"/>
      <c r="VWK3" s="136"/>
      <c r="VWL3" s="136"/>
      <c r="VWM3" s="136"/>
      <c r="VWN3" s="136"/>
      <c r="VWO3" s="136"/>
      <c r="VWP3" s="136"/>
      <c r="VWQ3" s="136"/>
      <c r="VWR3" s="136"/>
      <c r="VWS3" s="136"/>
      <c r="VWT3" s="136"/>
      <c r="VWU3" s="136"/>
      <c r="VWV3" s="136"/>
      <c r="VWW3" s="136"/>
      <c r="VWX3" s="136"/>
      <c r="VWY3" s="136"/>
      <c r="VWZ3" s="136"/>
      <c r="VXA3" s="136"/>
      <c r="VXB3" s="136"/>
      <c r="VXC3" s="136"/>
      <c r="VXD3" s="136"/>
      <c r="VXE3" s="136"/>
      <c r="VXF3" s="136"/>
      <c r="VXG3" s="136"/>
      <c r="VXH3" s="136"/>
      <c r="VXI3" s="136"/>
      <c r="VXJ3" s="136"/>
      <c r="VXK3" s="136"/>
      <c r="VXL3" s="136"/>
      <c r="VXM3" s="136"/>
      <c r="VXN3" s="136"/>
      <c r="VXO3" s="136"/>
      <c r="VXP3" s="136"/>
      <c r="VXQ3" s="136"/>
      <c r="VXR3" s="136"/>
      <c r="VXS3" s="136"/>
      <c r="VXT3" s="136"/>
      <c r="VXU3" s="136"/>
      <c r="VXV3" s="136"/>
      <c r="VXW3" s="136"/>
      <c r="VXX3" s="136"/>
      <c r="VXY3" s="136"/>
      <c r="VXZ3" s="136"/>
      <c r="VYA3" s="136"/>
      <c r="VYB3" s="136"/>
      <c r="VYC3" s="136"/>
      <c r="VYD3" s="136"/>
      <c r="VYE3" s="136"/>
      <c r="VYF3" s="136"/>
      <c r="VYG3" s="136"/>
      <c r="VYH3" s="136"/>
      <c r="VYI3" s="136"/>
      <c r="VYJ3" s="136"/>
      <c r="VYK3" s="136"/>
      <c r="VYL3" s="136"/>
      <c r="VYM3" s="136"/>
      <c r="VYN3" s="136"/>
      <c r="VYO3" s="136"/>
      <c r="VYP3" s="136"/>
      <c r="VYQ3" s="136"/>
      <c r="VYR3" s="136"/>
      <c r="VYS3" s="136"/>
      <c r="VYT3" s="136"/>
      <c r="VYU3" s="136"/>
      <c r="VYV3" s="136"/>
      <c r="VYW3" s="136"/>
      <c r="VYX3" s="136"/>
      <c r="VYY3" s="136"/>
      <c r="VYZ3" s="136"/>
      <c r="VZA3" s="136"/>
      <c r="VZB3" s="136"/>
      <c r="VZC3" s="136"/>
      <c r="VZD3" s="136"/>
      <c r="VZE3" s="136"/>
      <c r="VZF3" s="136"/>
      <c r="VZG3" s="136"/>
      <c r="VZH3" s="136"/>
      <c r="VZI3" s="136"/>
      <c r="VZJ3" s="136"/>
      <c r="VZK3" s="136"/>
      <c r="VZL3" s="136"/>
      <c r="VZM3" s="136"/>
      <c r="VZN3" s="136"/>
      <c r="VZO3" s="136"/>
      <c r="VZP3" s="136"/>
      <c r="VZQ3" s="136"/>
      <c r="VZR3" s="136"/>
      <c r="VZS3" s="136"/>
      <c r="VZT3" s="136"/>
      <c r="VZU3" s="136"/>
      <c r="VZV3" s="136"/>
      <c r="VZW3" s="136"/>
      <c r="VZX3" s="136"/>
      <c r="VZY3" s="136"/>
      <c r="VZZ3" s="136"/>
      <c r="WAA3" s="136"/>
      <c r="WAB3" s="136"/>
      <c r="WAC3" s="136"/>
      <c r="WAD3" s="136"/>
      <c r="WAE3" s="136"/>
      <c r="WAF3" s="136"/>
      <c r="WAG3" s="136"/>
      <c r="WAH3" s="136"/>
      <c r="WAI3" s="136"/>
      <c r="WAJ3" s="136"/>
      <c r="WAK3" s="136"/>
      <c r="WAL3" s="136"/>
      <c r="WAM3" s="136"/>
      <c r="WAN3" s="136"/>
      <c r="WAO3" s="136"/>
      <c r="WAP3" s="136"/>
      <c r="WAQ3" s="136"/>
      <c r="WAR3" s="136"/>
      <c r="WAS3" s="136"/>
      <c r="WAT3" s="136"/>
      <c r="WAU3" s="136"/>
      <c r="WAV3" s="136"/>
      <c r="WAW3" s="136"/>
      <c r="WAX3" s="136"/>
      <c r="WAY3" s="136"/>
      <c r="WAZ3" s="136"/>
      <c r="WBA3" s="136"/>
      <c r="WBB3" s="136"/>
      <c r="WBC3" s="136"/>
      <c r="WBD3" s="136"/>
      <c r="WBE3" s="136"/>
      <c r="WBF3" s="136"/>
      <c r="WBG3" s="136"/>
      <c r="WBH3" s="136"/>
      <c r="WBI3" s="136"/>
      <c r="WBJ3" s="136"/>
      <c r="WBK3" s="136"/>
      <c r="WBL3" s="136"/>
      <c r="WBM3" s="136"/>
      <c r="WBN3" s="136"/>
      <c r="WBO3" s="136"/>
      <c r="WBP3" s="136"/>
      <c r="WBQ3" s="136"/>
      <c r="WBR3" s="136"/>
      <c r="WBS3" s="136"/>
      <c r="WBT3" s="136"/>
      <c r="WBU3" s="136"/>
      <c r="WBV3" s="136"/>
      <c r="WBW3" s="136"/>
      <c r="WBX3" s="136"/>
      <c r="WBY3" s="136"/>
      <c r="WBZ3" s="136"/>
      <c r="WCA3" s="136"/>
      <c r="WCB3" s="136"/>
      <c r="WCC3" s="136"/>
      <c r="WCD3" s="136"/>
      <c r="WCE3" s="136"/>
      <c r="WCF3" s="136"/>
      <c r="WCG3" s="136"/>
      <c r="WCH3" s="136"/>
      <c r="WCI3" s="136"/>
      <c r="WCJ3" s="136"/>
      <c r="WCK3" s="136"/>
      <c r="WCL3" s="136"/>
      <c r="WCM3" s="136"/>
      <c r="WCN3" s="136"/>
      <c r="WCO3" s="136"/>
      <c r="WCP3" s="136"/>
      <c r="WCQ3" s="136"/>
      <c r="WCR3" s="136"/>
      <c r="WCS3" s="136"/>
      <c r="WCT3" s="136"/>
      <c r="WCU3" s="136"/>
      <c r="WCV3" s="136"/>
      <c r="WCW3" s="136"/>
      <c r="WCX3" s="136"/>
      <c r="WCY3" s="136"/>
      <c r="WCZ3" s="136"/>
      <c r="WDA3" s="136"/>
      <c r="WDB3" s="136"/>
      <c r="WDC3" s="136"/>
      <c r="WDD3" s="136"/>
      <c r="WDE3" s="136"/>
      <c r="WDF3" s="136"/>
      <c r="WDG3" s="136"/>
      <c r="WDH3" s="136"/>
      <c r="WDI3" s="136"/>
      <c r="WDJ3" s="136"/>
      <c r="WDK3" s="136"/>
      <c r="WDL3" s="136"/>
      <c r="WDM3" s="136"/>
      <c r="WDN3" s="136"/>
      <c r="WDO3" s="136"/>
      <c r="WDP3" s="136"/>
      <c r="WDQ3" s="136"/>
      <c r="WDR3" s="136"/>
      <c r="WDS3" s="136"/>
      <c r="WDT3" s="136"/>
      <c r="WDU3" s="136"/>
      <c r="WDV3" s="136"/>
      <c r="WDW3" s="136"/>
      <c r="WDX3" s="136"/>
      <c r="WDY3" s="136"/>
      <c r="WDZ3" s="136"/>
      <c r="WEA3" s="136"/>
      <c r="WEB3" s="136"/>
      <c r="WEC3" s="136"/>
      <c r="WED3" s="136"/>
      <c r="WEE3" s="136"/>
      <c r="WEF3" s="136"/>
      <c r="WEG3" s="136"/>
      <c r="WEH3" s="136"/>
      <c r="WEI3" s="136"/>
      <c r="WEJ3" s="136"/>
      <c r="WEK3" s="136"/>
      <c r="WEL3" s="136"/>
      <c r="WEM3" s="136"/>
      <c r="WEN3" s="136"/>
      <c r="WEO3" s="136"/>
      <c r="WEP3" s="136"/>
      <c r="WEQ3" s="136"/>
      <c r="WER3" s="136"/>
      <c r="WES3" s="136"/>
      <c r="WET3" s="136"/>
      <c r="WEU3" s="136"/>
      <c r="WEV3" s="136"/>
      <c r="WEW3" s="136"/>
      <c r="WEX3" s="136"/>
      <c r="WEY3" s="136"/>
      <c r="WEZ3" s="136"/>
      <c r="WFA3" s="136"/>
      <c r="WFB3" s="136"/>
      <c r="WFC3" s="136"/>
      <c r="WFD3" s="136"/>
      <c r="WFE3" s="136"/>
      <c r="WFF3" s="136"/>
      <c r="WFG3" s="136"/>
      <c r="WFH3" s="136"/>
      <c r="WFI3" s="136"/>
      <c r="WFJ3" s="136"/>
      <c r="WFK3" s="136"/>
      <c r="WFL3" s="136"/>
      <c r="WFM3" s="136"/>
      <c r="WFN3" s="136"/>
      <c r="WFO3" s="136"/>
      <c r="WFP3" s="136"/>
      <c r="WFQ3" s="136"/>
      <c r="WFR3" s="136"/>
      <c r="WFS3" s="136"/>
      <c r="WFT3" s="136"/>
      <c r="WFU3" s="136"/>
      <c r="WFV3" s="136"/>
      <c r="WFW3" s="136"/>
      <c r="WFX3" s="136"/>
      <c r="WFY3" s="136"/>
      <c r="WFZ3" s="136"/>
      <c r="WGA3" s="136"/>
      <c r="WGB3" s="136"/>
      <c r="WGC3" s="136"/>
      <c r="WGD3" s="136"/>
      <c r="WGE3" s="136"/>
      <c r="WGF3" s="136"/>
      <c r="WGG3" s="136"/>
      <c r="WGH3" s="136"/>
      <c r="WGI3" s="136"/>
      <c r="WGJ3" s="136"/>
      <c r="WGK3" s="136"/>
      <c r="WGL3" s="136"/>
      <c r="WGM3" s="136"/>
      <c r="WGN3" s="136"/>
      <c r="WGO3" s="136"/>
      <c r="WGP3" s="136"/>
      <c r="WGQ3" s="136"/>
      <c r="WGR3" s="136"/>
      <c r="WGS3" s="136"/>
      <c r="WGT3" s="136"/>
      <c r="WGU3" s="136"/>
      <c r="WGV3" s="136"/>
      <c r="WGW3" s="136"/>
      <c r="WGX3" s="136"/>
      <c r="WGY3" s="136"/>
      <c r="WGZ3" s="136"/>
      <c r="WHA3" s="136"/>
      <c r="WHB3" s="136"/>
      <c r="WHC3" s="136"/>
      <c r="WHD3" s="136"/>
      <c r="WHE3" s="136"/>
      <c r="WHF3" s="136"/>
      <c r="WHG3" s="136"/>
      <c r="WHH3" s="136"/>
      <c r="WHI3" s="136"/>
      <c r="WHJ3" s="136"/>
      <c r="WHK3" s="136"/>
      <c r="WHL3" s="136"/>
      <c r="WHM3" s="136"/>
      <c r="WHN3" s="136"/>
      <c r="WHO3" s="136"/>
      <c r="WHP3" s="136"/>
      <c r="WHQ3" s="136"/>
      <c r="WHR3" s="136"/>
      <c r="WHS3" s="136"/>
      <c r="WHT3" s="136"/>
      <c r="WHU3" s="136"/>
      <c r="WHV3" s="136"/>
      <c r="WHW3" s="136"/>
      <c r="WHX3" s="136"/>
      <c r="WHY3" s="136"/>
      <c r="WHZ3" s="136"/>
      <c r="WIA3" s="136"/>
      <c r="WIB3" s="136"/>
      <c r="WIC3" s="136"/>
      <c r="WID3" s="136"/>
      <c r="WIE3" s="136"/>
      <c r="WIF3" s="136"/>
      <c r="WIG3" s="136"/>
      <c r="WIH3" s="136"/>
      <c r="WII3" s="136"/>
      <c r="WIJ3" s="136"/>
      <c r="WIK3" s="136"/>
      <c r="WIL3" s="136"/>
      <c r="WIM3" s="136"/>
      <c r="WIN3" s="136"/>
      <c r="WIO3" s="136"/>
      <c r="WIP3" s="136"/>
      <c r="WIQ3" s="136"/>
      <c r="WIR3" s="136"/>
      <c r="WIS3" s="136"/>
      <c r="WIT3" s="136"/>
      <c r="WIU3" s="136"/>
      <c r="WIV3" s="136"/>
      <c r="WIW3" s="136"/>
      <c r="WIX3" s="136"/>
      <c r="WIY3" s="136"/>
      <c r="WIZ3" s="136"/>
      <c r="WJA3" s="136"/>
      <c r="WJB3" s="136"/>
      <c r="WJC3" s="136"/>
      <c r="WJD3" s="136"/>
      <c r="WJE3" s="136"/>
      <c r="WJF3" s="136"/>
      <c r="WJG3" s="136"/>
      <c r="WJH3" s="136"/>
      <c r="WJI3" s="136"/>
      <c r="WJJ3" s="136"/>
      <c r="WJK3" s="136"/>
      <c r="WJL3" s="136"/>
      <c r="WJM3" s="136"/>
      <c r="WJN3" s="136"/>
      <c r="WJO3" s="136"/>
      <c r="WJP3" s="136"/>
      <c r="WJQ3" s="136"/>
      <c r="WJR3" s="136"/>
      <c r="WJS3" s="136"/>
      <c r="WJT3" s="136"/>
      <c r="WJU3" s="136"/>
      <c r="WJV3" s="136"/>
      <c r="WJW3" s="136"/>
      <c r="WJX3" s="136"/>
      <c r="WJY3" s="136"/>
      <c r="WJZ3" s="136"/>
      <c r="WKA3" s="136"/>
      <c r="WKB3" s="136"/>
      <c r="WKC3" s="136"/>
      <c r="WKD3" s="136"/>
      <c r="WKE3" s="136"/>
      <c r="WKF3" s="136"/>
      <c r="WKG3" s="136"/>
      <c r="WKH3" s="136"/>
      <c r="WKI3" s="136"/>
      <c r="WKJ3" s="136"/>
      <c r="WKK3" s="136"/>
      <c r="WKL3" s="136"/>
      <c r="WKM3" s="136"/>
      <c r="WKN3" s="136"/>
      <c r="WKO3" s="136"/>
      <c r="WKP3" s="136"/>
      <c r="WKQ3" s="136"/>
      <c r="WKR3" s="136"/>
      <c r="WKS3" s="136"/>
      <c r="WKT3" s="136"/>
      <c r="WKU3" s="136"/>
      <c r="WKV3" s="136"/>
      <c r="WKW3" s="136"/>
      <c r="WKX3" s="136"/>
      <c r="WKY3" s="136"/>
      <c r="WKZ3" s="136"/>
      <c r="WLA3" s="136"/>
      <c r="WLB3" s="136"/>
      <c r="WLC3" s="136"/>
      <c r="WLD3" s="136"/>
      <c r="WLE3" s="136"/>
      <c r="WLF3" s="136"/>
      <c r="WLG3" s="136"/>
      <c r="WLH3" s="136"/>
      <c r="WLI3" s="136"/>
      <c r="WLJ3" s="136"/>
      <c r="WLK3" s="136"/>
      <c r="WLL3" s="136"/>
      <c r="WLM3" s="136"/>
      <c r="WLN3" s="136"/>
      <c r="WLO3" s="136"/>
      <c r="WLP3" s="136"/>
      <c r="WLQ3" s="136"/>
      <c r="WLR3" s="136"/>
      <c r="WLS3" s="136"/>
      <c r="WLT3" s="136"/>
      <c r="WLU3" s="136"/>
      <c r="WLV3" s="136"/>
      <c r="WLW3" s="136"/>
      <c r="WLX3" s="136"/>
      <c r="WLY3" s="136"/>
      <c r="WLZ3" s="136"/>
      <c r="WMA3" s="136"/>
      <c r="WMB3" s="136"/>
      <c r="WMC3" s="136"/>
      <c r="WMD3" s="136"/>
      <c r="WME3" s="136"/>
      <c r="WMF3" s="136"/>
      <c r="WMG3" s="136"/>
      <c r="WMH3" s="136"/>
      <c r="WMI3" s="136"/>
      <c r="WMJ3" s="136"/>
      <c r="WMK3" s="136"/>
      <c r="WML3" s="136"/>
      <c r="WMM3" s="136"/>
      <c r="WMN3" s="136"/>
      <c r="WMO3" s="136"/>
      <c r="WMP3" s="136"/>
      <c r="WMQ3" s="136"/>
      <c r="WMR3" s="136"/>
      <c r="WMS3" s="136"/>
      <c r="WMT3" s="136"/>
      <c r="WMU3" s="136"/>
      <c r="WMV3" s="136"/>
      <c r="WMW3" s="136"/>
      <c r="WMX3" s="136"/>
      <c r="WMY3" s="136"/>
      <c r="WMZ3" s="136"/>
      <c r="WNA3" s="136"/>
      <c r="WNB3" s="136"/>
      <c r="WNC3" s="136"/>
      <c r="WND3" s="136"/>
      <c r="WNE3" s="136"/>
      <c r="WNF3" s="136"/>
      <c r="WNG3" s="136"/>
      <c r="WNH3" s="136"/>
      <c r="WNI3" s="136"/>
      <c r="WNJ3" s="136"/>
      <c r="WNK3" s="136"/>
      <c r="WNL3" s="136"/>
      <c r="WNM3" s="136"/>
      <c r="WNN3" s="136"/>
      <c r="WNO3" s="136"/>
      <c r="WNP3" s="136"/>
      <c r="WNQ3" s="136"/>
      <c r="WNR3" s="136"/>
      <c r="WNS3" s="136"/>
      <c r="WNT3" s="136"/>
      <c r="WNU3" s="136"/>
      <c r="WNV3" s="136"/>
      <c r="WNW3" s="136"/>
      <c r="WNX3" s="136"/>
      <c r="WNY3" s="136"/>
      <c r="WNZ3" s="136"/>
      <c r="WOA3" s="136"/>
      <c r="WOB3" s="136"/>
      <c r="WOC3" s="136"/>
      <c r="WOD3" s="136"/>
      <c r="WOE3" s="136"/>
      <c r="WOF3" s="136"/>
      <c r="WOG3" s="136"/>
      <c r="WOH3" s="136"/>
      <c r="WOI3" s="136"/>
      <c r="WOJ3" s="136"/>
      <c r="WOK3" s="136"/>
      <c r="WOL3" s="136"/>
      <c r="WOM3" s="136"/>
      <c r="WON3" s="136"/>
      <c r="WOO3" s="136"/>
      <c r="WOP3" s="136"/>
      <c r="WOQ3" s="136"/>
      <c r="WOR3" s="136"/>
      <c r="WOS3" s="136"/>
      <c r="WOT3" s="136"/>
      <c r="WOU3" s="136"/>
      <c r="WOV3" s="136"/>
      <c r="WOW3" s="136"/>
      <c r="WOX3" s="136"/>
      <c r="WOY3" s="136"/>
      <c r="WOZ3" s="136"/>
      <c r="WPA3" s="136"/>
      <c r="WPB3" s="136"/>
      <c r="WPC3" s="136"/>
      <c r="WPD3" s="136"/>
      <c r="WPE3" s="136"/>
      <c r="WPF3" s="136"/>
      <c r="WPG3" s="136"/>
      <c r="WPH3" s="136"/>
      <c r="WPI3" s="136"/>
      <c r="WPJ3" s="136"/>
      <c r="WPK3" s="136"/>
      <c r="WPL3" s="136"/>
      <c r="WPM3" s="136"/>
      <c r="WPN3" s="136"/>
      <c r="WPO3" s="136"/>
      <c r="WPP3" s="136"/>
      <c r="WPQ3" s="136"/>
      <c r="WPR3" s="136"/>
      <c r="WPS3" s="136"/>
      <c r="WPT3" s="136"/>
      <c r="WPU3" s="136"/>
      <c r="WPV3" s="136"/>
      <c r="WPW3" s="136"/>
      <c r="WPX3" s="136"/>
      <c r="WPY3" s="136"/>
      <c r="WPZ3" s="136"/>
      <c r="WQA3" s="136"/>
      <c r="WQB3" s="136"/>
      <c r="WQC3" s="136"/>
      <c r="WQD3" s="136"/>
      <c r="WQE3" s="136"/>
      <c r="WQF3" s="136"/>
      <c r="WQG3" s="136"/>
      <c r="WQH3" s="136"/>
      <c r="WQI3" s="136"/>
      <c r="WQJ3" s="136"/>
      <c r="WQK3" s="136"/>
      <c r="WQL3" s="136"/>
      <c r="WQM3" s="136"/>
      <c r="WQN3" s="136"/>
      <c r="WQO3" s="136"/>
      <c r="WQP3" s="136"/>
      <c r="WQQ3" s="136"/>
      <c r="WQR3" s="136"/>
      <c r="WQS3" s="136"/>
      <c r="WQT3" s="136"/>
      <c r="WQU3" s="136"/>
      <c r="WQV3" s="136"/>
      <c r="WQW3" s="136"/>
      <c r="WQX3" s="136"/>
      <c r="WQY3" s="136"/>
      <c r="WQZ3" s="136"/>
      <c r="WRA3" s="136"/>
      <c r="WRB3" s="136"/>
      <c r="WRC3" s="136"/>
      <c r="WRD3" s="136"/>
      <c r="WRE3" s="136"/>
      <c r="WRF3" s="136"/>
      <c r="WRG3" s="136"/>
      <c r="WRH3" s="136"/>
      <c r="WRI3" s="136"/>
      <c r="WRJ3" s="136"/>
      <c r="WRK3" s="136"/>
      <c r="WRL3" s="136"/>
      <c r="WRM3" s="136"/>
      <c r="WRN3" s="136"/>
      <c r="WRO3" s="136"/>
      <c r="WRP3" s="136"/>
      <c r="WRQ3" s="136"/>
      <c r="WRR3" s="136"/>
      <c r="WRS3" s="136"/>
      <c r="WRT3" s="136"/>
      <c r="WRU3" s="136"/>
      <c r="WRV3" s="136"/>
      <c r="WRW3" s="136"/>
      <c r="WRX3" s="136"/>
      <c r="WRY3" s="136"/>
      <c r="WRZ3" s="136"/>
      <c r="WSA3" s="136"/>
      <c r="WSB3" s="136"/>
      <c r="WSC3" s="136"/>
      <c r="WSD3" s="136"/>
      <c r="WSE3" s="136"/>
      <c r="WSF3" s="136"/>
      <c r="WSG3" s="136"/>
      <c r="WSH3" s="136"/>
      <c r="WSI3" s="136"/>
      <c r="WSJ3" s="136"/>
      <c r="WSK3" s="136"/>
      <c r="WSL3" s="136"/>
      <c r="WSM3" s="136"/>
      <c r="WSN3" s="136"/>
      <c r="WSO3" s="136"/>
      <c r="WSP3" s="136"/>
      <c r="WSQ3" s="136"/>
      <c r="WSR3" s="136"/>
      <c r="WSS3" s="136"/>
      <c r="WST3" s="136"/>
      <c r="WSU3" s="136"/>
      <c r="WSV3" s="136"/>
      <c r="WSW3" s="136"/>
      <c r="WSX3" s="136"/>
      <c r="WSY3" s="136"/>
      <c r="WSZ3" s="136"/>
      <c r="WTA3" s="136"/>
      <c r="WTB3" s="136"/>
      <c r="WTC3" s="136"/>
      <c r="WTD3" s="136"/>
      <c r="WTE3" s="136"/>
      <c r="WTF3" s="136"/>
      <c r="WTG3" s="136"/>
      <c r="WTH3" s="136"/>
      <c r="WTI3" s="136"/>
      <c r="WTJ3" s="136"/>
      <c r="WTK3" s="136"/>
      <c r="WTL3" s="136"/>
      <c r="WTM3" s="136"/>
      <c r="WTN3" s="136"/>
      <c r="WTO3" s="136"/>
      <c r="WTP3" s="136"/>
      <c r="WTQ3" s="136"/>
      <c r="WTR3" s="136"/>
      <c r="WTS3" s="136"/>
      <c r="WTT3" s="136"/>
      <c r="WTU3" s="136"/>
      <c r="WTV3" s="136"/>
      <c r="WTW3" s="136"/>
      <c r="WTX3" s="136"/>
      <c r="WTY3" s="136"/>
      <c r="WTZ3" s="136"/>
      <c r="WUA3" s="136"/>
      <c r="WUB3" s="136"/>
      <c r="WUC3" s="136"/>
      <c r="WUD3" s="136"/>
      <c r="WUE3" s="136"/>
      <c r="WUF3" s="136"/>
      <c r="WUG3" s="136"/>
      <c r="WUH3" s="136"/>
      <c r="WUI3" s="136"/>
      <c r="WUJ3" s="136"/>
      <c r="WUK3" s="136"/>
      <c r="WUL3" s="136"/>
      <c r="WUM3" s="136"/>
      <c r="WUN3" s="136"/>
      <c r="WUO3" s="136"/>
      <c r="WUP3" s="136"/>
      <c r="WUQ3" s="136"/>
      <c r="WUR3" s="136"/>
      <c r="WUS3" s="136"/>
      <c r="WUT3" s="136"/>
      <c r="WUU3" s="136"/>
      <c r="WUV3" s="136"/>
      <c r="WUW3" s="136"/>
      <c r="WUX3" s="136"/>
      <c r="WUY3" s="136"/>
      <c r="WUZ3" s="136"/>
      <c r="WVA3" s="136"/>
      <c r="WVB3" s="136"/>
      <c r="WVC3" s="136"/>
      <c r="WVD3" s="136"/>
      <c r="WVE3" s="136"/>
      <c r="WVF3" s="136"/>
      <c r="WVG3" s="136"/>
      <c r="WVH3" s="136"/>
      <c r="WVI3" s="136"/>
      <c r="WVJ3" s="136"/>
      <c r="WVK3" s="136"/>
      <c r="WVL3" s="136"/>
      <c r="WVM3" s="136"/>
      <c r="WVN3" s="136"/>
      <c r="WVO3" s="136"/>
      <c r="WVP3" s="136"/>
      <c r="WVQ3" s="136"/>
      <c r="WVR3" s="136"/>
      <c r="WVS3" s="136"/>
      <c r="WVT3" s="136"/>
      <c r="WVU3" s="136"/>
      <c r="WVV3" s="136"/>
      <c r="WVW3" s="136"/>
      <c r="WVX3" s="136"/>
      <c r="WVY3" s="136"/>
      <c r="WVZ3" s="136"/>
      <c r="WWA3" s="136"/>
      <c r="WWB3" s="136"/>
      <c r="WWC3" s="136"/>
      <c r="WWD3" s="136"/>
      <c r="WWE3" s="136"/>
      <c r="WWF3" s="136"/>
      <c r="WWG3" s="136"/>
      <c r="WWH3" s="136"/>
      <c r="WWI3" s="136"/>
      <c r="WWJ3" s="136"/>
      <c r="WWK3" s="136"/>
      <c r="WWL3" s="136"/>
      <c r="WWM3" s="136"/>
      <c r="WWN3" s="136"/>
      <c r="WWO3" s="136"/>
      <c r="WWP3" s="136"/>
      <c r="WWQ3" s="136"/>
      <c r="WWR3" s="136"/>
      <c r="WWS3" s="136"/>
      <c r="WWT3" s="136"/>
      <c r="WWU3" s="136"/>
      <c r="WWV3" s="136"/>
      <c r="WWW3" s="136"/>
      <c r="WWX3" s="136"/>
      <c r="WWY3" s="136"/>
      <c r="WWZ3" s="136"/>
      <c r="WXA3" s="136"/>
      <c r="WXB3" s="136"/>
      <c r="WXC3" s="136"/>
      <c r="WXD3" s="136"/>
      <c r="WXE3" s="136"/>
      <c r="WXF3" s="136"/>
      <c r="WXG3" s="136"/>
      <c r="WXH3" s="136"/>
      <c r="WXI3" s="136"/>
      <c r="WXJ3" s="136"/>
      <c r="WXK3" s="136"/>
      <c r="WXL3" s="136"/>
      <c r="WXM3" s="136"/>
      <c r="WXN3" s="136"/>
      <c r="WXO3" s="136"/>
      <c r="WXP3" s="136"/>
      <c r="WXQ3" s="136"/>
      <c r="WXR3" s="136"/>
      <c r="WXS3" s="136"/>
      <c r="WXT3" s="136"/>
      <c r="WXU3" s="136"/>
      <c r="WXV3" s="136"/>
      <c r="WXW3" s="136"/>
      <c r="WXX3" s="136"/>
      <c r="WXY3" s="136"/>
      <c r="WXZ3" s="136"/>
      <c r="WYA3" s="136"/>
      <c r="WYB3" s="136"/>
      <c r="WYC3" s="136"/>
      <c r="WYD3" s="136"/>
      <c r="WYE3" s="136"/>
      <c r="WYF3" s="136"/>
      <c r="WYG3" s="136"/>
      <c r="WYH3" s="136"/>
      <c r="WYI3" s="136"/>
      <c r="WYJ3" s="136"/>
      <c r="WYK3" s="136"/>
      <c r="WYL3" s="136"/>
      <c r="WYM3" s="136"/>
      <c r="WYN3" s="136"/>
      <c r="WYO3" s="136"/>
      <c r="WYP3" s="136"/>
      <c r="WYQ3" s="136"/>
      <c r="WYR3" s="136"/>
      <c r="WYS3" s="136"/>
      <c r="WYT3" s="136"/>
      <c r="WYU3" s="136"/>
      <c r="WYV3" s="136"/>
      <c r="WYW3" s="136"/>
      <c r="WYX3" s="136"/>
      <c r="WYY3" s="136"/>
      <c r="WYZ3" s="136"/>
      <c r="WZA3" s="136"/>
      <c r="WZB3" s="136"/>
      <c r="WZC3" s="136"/>
      <c r="WZD3" s="136"/>
      <c r="WZE3" s="136"/>
      <c r="WZF3" s="136"/>
      <c r="WZG3" s="136"/>
      <c r="WZH3" s="136"/>
      <c r="WZI3" s="136"/>
      <c r="WZJ3" s="136"/>
      <c r="WZK3" s="136"/>
      <c r="WZL3" s="136"/>
      <c r="WZM3" s="136"/>
      <c r="WZN3" s="136"/>
      <c r="WZO3" s="136"/>
      <c r="WZP3" s="136"/>
      <c r="WZQ3" s="136"/>
      <c r="WZR3" s="136"/>
      <c r="WZS3" s="136"/>
      <c r="WZT3" s="136"/>
      <c r="WZU3" s="136"/>
      <c r="WZV3" s="136"/>
      <c r="WZW3" s="136"/>
      <c r="WZX3" s="136"/>
      <c r="WZY3" s="136"/>
      <c r="WZZ3" s="136"/>
      <c r="XAA3" s="136"/>
      <c r="XAB3" s="136"/>
      <c r="XAC3" s="136"/>
      <c r="XAD3" s="136"/>
      <c r="XAE3" s="136"/>
      <c r="XAF3" s="136"/>
      <c r="XAG3" s="136"/>
      <c r="XAH3" s="136"/>
      <c r="XAI3" s="136"/>
      <c r="XAJ3" s="136"/>
      <c r="XAK3" s="136"/>
      <c r="XAL3" s="136"/>
      <c r="XAM3" s="136"/>
      <c r="XAN3" s="136"/>
      <c r="XAO3" s="136"/>
      <c r="XAP3" s="136"/>
      <c r="XAQ3" s="136"/>
      <c r="XAR3" s="136"/>
      <c r="XAS3" s="136"/>
      <c r="XAT3" s="136"/>
      <c r="XAU3" s="136"/>
      <c r="XAV3" s="136"/>
      <c r="XAW3" s="136"/>
      <c r="XAX3" s="136"/>
      <c r="XAY3" s="136"/>
      <c r="XAZ3" s="136"/>
      <c r="XBA3" s="136"/>
      <c r="XBB3" s="136"/>
      <c r="XBC3" s="136"/>
      <c r="XBD3" s="136"/>
      <c r="XBE3" s="136"/>
      <c r="XBF3" s="136"/>
      <c r="XBG3" s="136"/>
      <c r="XBH3" s="136"/>
      <c r="XBI3" s="136"/>
      <c r="XBJ3" s="136"/>
      <c r="XBK3" s="136"/>
      <c r="XBL3" s="136"/>
      <c r="XBM3" s="136"/>
      <c r="XBN3" s="136"/>
      <c r="XBO3" s="136"/>
      <c r="XBP3" s="136"/>
      <c r="XBQ3" s="136"/>
      <c r="XBR3" s="136"/>
      <c r="XBS3" s="136"/>
      <c r="XBT3" s="136"/>
      <c r="XBU3" s="136"/>
      <c r="XBV3" s="136"/>
      <c r="XBW3" s="136"/>
      <c r="XBX3" s="136"/>
      <c r="XBY3" s="136"/>
      <c r="XBZ3" s="136"/>
      <c r="XCA3" s="136"/>
      <c r="XCB3" s="136"/>
      <c r="XCC3" s="136"/>
      <c r="XCD3" s="136"/>
      <c r="XCE3" s="136"/>
      <c r="XCF3" s="136"/>
      <c r="XCG3" s="136"/>
      <c r="XCH3" s="136"/>
      <c r="XCI3" s="136"/>
      <c r="XCJ3" s="136"/>
      <c r="XCK3" s="136"/>
      <c r="XCL3" s="136"/>
      <c r="XCM3" s="136"/>
      <c r="XCN3" s="136"/>
      <c r="XCO3" s="136"/>
      <c r="XCP3" s="136"/>
      <c r="XCQ3" s="136"/>
      <c r="XCR3" s="136"/>
      <c r="XCS3" s="136"/>
      <c r="XCT3" s="136"/>
      <c r="XCU3" s="136"/>
      <c r="XCV3" s="136"/>
      <c r="XCW3" s="136"/>
      <c r="XCX3" s="136"/>
      <c r="XCY3" s="136"/>
      <c r="XCZ3" s="136"/>
      <c r="XDA3" s="136"/>
      <c r="XDB3" s="136"/>
      <c r="XDC3" s="136"/>
      <c r="XDD3" s="136"/>
      <c r="XDE3" s="136"/>
      <c r="XDF3" s="136"/>
      <c r="XDG3" s="136"/>
      <c r="XDH3" s="136"/>
      <c r="XDI3" s="136"/>
      <c r="XDJ3" s="136"/>
      <c r="XDK3" s="136"/>
      <c r="XDL3" s="136"/>
      <c r="XDM3" s="136"/>
      <c r="XDN3" s="136"/>
      <c r="XDO3" s="136"/>
      <c r="XDP3" s="136"/>
      <c r="XDQ3" s="136"/>
      <c r="XDR3" s="136"/>
      <c r="XDS3" s="136"/>
      <c r="XDT3" s="136"/>
      <c r="XDU3" s="136"/>
      <c r="XDV3" s="136"/>
      <c r="XDW3" s="136"/>
      <c r="XDX3" s="136"/>
      <c r="XDY3" s="136"/>
      <c r="XDZ3" s="136"/>
      <c r="XEA3" s="136"/>
      <c r="XEB3" s="136"/>
      <c r="XEC3" s="136"/>
      <c r="XED3" s="136"/>
      <c r="XEE3" s="136"/>
      <c r="XEF3" s="136"/>
      <c r="XEG3" s="136"/>
      <c r="XEH3" s="136"/>
      <c r="XEI3" s="136"/>
      <c r="XEJ3" s="136"/>
      <c r="XEK3" s="136"/>
      <c r="XEL3" s="136"/>
      <c r="XEM3" s="136"/>
      <c r="XEN3" s="136"/>
      <c r="XEO3" s="136"/>
      <c r="XEP3" s="136"/>
      <c r="XEQ3" s="136"/>
      <c r="XER3" s="136"/>
      <c r="XES3" s="136"/>
      <c r="XET3" s="136"/>
      <c r="XEU3" s="136"/>
      <c r="XEV3" s="136"/>
      <c r="XEW3" s="136"/>
      <c r="XEX3" s="136"/>
      <c r="XEY3" s="136"/>
      <c r="XEZ3" s="136"/>
      <c r="XFA3" s="136"/>
    </row>
    <row r="4" spans="1:16381" ht="14.4">
      <c r="A4" s="143"/>
    </row>
    <row r="5" spans="1:16381" ht="14.4">
      <c r="A5" s="143"/>
    </row>
    <row r="6" spans="1:16381">
      <c r="A6" s="335" t="str">
        <f>IF(Idioma=Castellano,"Índice",IF(Idioma=Valencià,"Índex","Índice"))</f>
        <v>Índice</v>
      </c>
    </row>
    <row r="7" spans="1:16381" ht="15" thickBot="1">
      <c r="A7" s="202" t="str">
        <f>IF(Idioma=Castellano,"Instrucciones",IF(Idioma=Valencià,"Instruccions","Instrucciones"))</f>
        <v>Instrucciones</v>
      </c>
      <c r="C7" s="154"/>
      <c r="D7" s="154"/>
      <c r="E7" s="154"/>
      <c r="F7" s="154"/>
      <c r="G7" s="154"/>
      <c r="H7" s="154"/>
      <c r="I7" s="154"/>
    </row>
    <row r="8" spans="1:16381" ht="15" thickBot="1">
      <c r="A8" s="203" t="str">
        <f>IF(Idioma=Castellano,"Sección de Mitigación",IF(Idioma=Valencià,"Secció de Mitigació", "Sección de Mitigación"))</f>
        <v>Sección de Mitigación</v>
      </c>
      <c r="C8" s="561" t="str">
        <f>IF(Idioma=Castellano,"Medidas de Mitigación",IF(Idioma=Valencià,"Mesures de Mitigació","Medidas de Mitigación"))</f>
        <v>Medidas de Mitigación</v>
      </c>
      <c r="D8" s="561" t="s">
        <v>764</v>
      </c>
      <c r="E8" s="561" t="str">
        <f>IF(Idioma=Castellano,"Movilidad",IF(Idioma=Valencià,"Mobilitat","Movilidad"))</f>
        <v>Movilidad</v>
      </c>
      <c r="F8" s="561" t="str">
        <f>IF(Idioma=Castellano,"Ciclo del agua",IF(Idioma=Valencià,"Cicle de l'aigua","Ciclo del agua"))</f>
        <v>Ciclo del agua</v>
      </c>
      <c r="G8" s="561" t="str">
        <f>IF(Idioma=Castellano,"Residuos",IF(Idioma=Valencià,"Residus","Residuos"))</f>
        <v>Residuos</v>
      </c>
      <c r="H8" s="561" t="str">
        <f>IF(Idioma=Castellano,"Usos del suelo",IF(Idioma=Valencià,"Usos del sòl","Usos del suelo"))</f>
        <v>Usos del suelo</v>
      </c>
      <c r="I8" s="561" t="str">
        <f>IF(Idioma=Castellano,"Impacto en mitigación",IF(Idioma=Valencià,"Impacte en mitigació","Impacto en mitigación"))</f>
        <v>Impacto en mitigación</v>
      </c>
    </row>
    <row r="9" spans="1:16381" ht="28.8">
      <c r="A9" s="204" t="str">
        <f>IF(Idioma=Castellano,"1. Datos de entrada",IF(Idioma=Valencià,"1.Dades d'entrada","1. Datos de entrada"))</f>
        <v>1. Datos de entrada</v>
      </c>
      <c r="C9" s="566" t="str">
        <f>IF(Idioma=Castellano,"Evitar el crecimiento urbanístico en zonas alejadas del núcleo urbano consolidado y con baja densidad, optando por un modelo de concentración de población, infraestructuras y servicios.",IF(Idioma=Valencià,"Evitar el creixement urbanístic en zones allunyades del nucli urbà consolidat i amb baixa densitat, optant per un model de concentració de població, infraestructures i serveis."))</f>
        <v>Evitar el crecimiento urbanístico en zonas alejadas del núcleo urbano consolidado y con baja densidad, optando por un modelo de concentración de población, infraestructuras y servicios.</v>
      </c>
      <c r="D9" s="570" t="s">
        <v>1006</v>
      </c>
      <c r="E9" s="570" t="s">
        <v>1006</v>
      </c>
      <c r="F9" s="570"/>
      <c r="G9" s="570"/>
      <c r="H9" s="570" t="s">
        <v>1006</v>
      </c>
      <c r="I9" s="570" t="str">
        <f>IF(Idioma=Castellano,"alto",IF(Idioma=Valencià,"alt"))</f>
        <v>alto</v>
      </c>
    </row>
    <row r="10" spans="1:16381" ht="14.4">
      <c r="A10" s="204" t="str">
        <f>IF(Idioma=Castellano,"2. Cálculo de Alternativas:",IF(Idioma=Valencià,"2. Càlcul d'alternatives :","2. Cálculo de Alternativas:"))</f>
        <v>2. Cálculo de Alternativas:</v>
      </c>
      <c r="C10" s="566" t="str">
        <f>IF(Idioma=Castellano,"Delimitar de forma estricta el suelo urbano consolidado y no consolidado en la planificación general.",IF(Idioma=Valencià,"Delimitar de manera estricta el sòl urbà consolidat i no consolidat en la planificació general."))</f>
        <v>Delimitar de forma estricta el suelo urbano consolidado y no consolidado en la planificación general.</v>
      </c>
      <c r="D10" s="570" t="s">
        <v>1006</v>
      </c>
      <c r="E10" s="570"/>
      <c r="F10" s="570"/>
      <c r="G10" s="570"/>
      <c r="H10" s="570" t="s">
        <v>1006</v>
      </c>
      <c r="I10" s="570" t="str">
        <f>IF(Idioma=Castellano,"medio",IF(Idioma=Valencià,"mitjà"))</f>
        <v>medio</v>
      </c>
    </row>
    <row r="11" spans="1:16381" ht="28.8">
      <c r="A11" s="205" t="s">
        <v>1</v>
      </c>
      <c r="C11" s="566" t="str">
        <f>IF(Idioma=Castellano,"Recuperar los suelos en desuso localizados en el centro urbano, dando así prioridad a la reutilización de un suelo que ya está dotado de servicios e integrado en la trama urbana.",IF(Idioma=Valencià,"Recuperar els sòls en desús localitzats en el centre urbà, donant així prioritat a la reutilització d'un sòl que ja està dotat de serveis i integrat en la trama urbana."))</f>
        <v>Recuperar los suelos en desuso localizados en el centro urbano, dando así prioridad a la reutilización de un suelo que ya está dotado de servicios e integrado en la trama urbana.</v>
      </c>
      <c r="D11" s="570"/>
      <c r="E11" s="570"/>
      <c r="F11" s="570"/>
      <c r="G11" s="570" t="s">
        <v>1006</v>
      </c>
      <c r="H11" s="570" t="s">
        <v>1006</v>
      </c>
      <c r="I11" s="570" t="str">
        <f>IF(Idioma=Castellano,"medio",IF(Idioma=Valencià,"mitjà"))</f>
        <v>medio</v>
      </c>
    </row>
    <row r="12" spans="1:16381" ht="43.2">
      <c r="A12" s="205" t="s">
        <v>2</v>
      </c>
      <c r="C12" s="566" t="str">
        <f>IF(Idioma=Castellano,"Recuperar los espacios infrautilizados en las áreas de urbanización consolidada para acondicionarlos como nuevos espacios públicos y mantener, ampliar y mejorar en lo posible la calidad de los existentes.",IF(Idioma=Valencià,"Recuperar els espais infrautilitzats en les àrees d'urbanització consolidada per a condicionar-los com a nous espais públics i mantindre, ampliar i millorar en la mesura del possible la qualitat dels existents."))</f>
        <v>Recuperar los espacios infrautilizados en las áreas de urbanización consolidada para acondicionarlos como nuevos espacios públicos y mantener, ampliar y mejorar en lo posible la calidad de los existentes.</v>
      </c>
      <c r="D12" s="570"/>
      <c r="E12" s="570" t="s">
        <v>1006</v>
      </c>
      <c r="F12" s="570"/>
      <c r="G12" s="570" t="s">
        <v>1006</v>
      </c>
      <c r="H12" s="570" t="s">
        <v>1006</v>
      </c>
      <c r="I12" s="570" t="str">
        <f>IF(Idioma=Castellano,"alto",IF(Idioma=Valencià,"alt"))</f>
        <v>alto</v>
      </c>
    </row>
    <row r="13" spans="1:16381" ht="43.2">
      <c r="A13" s="205" t="s">
        <v>3</v>
      </c>
      <c r="C13" s="566" t="str">
        <f>IF(Idioma=Castellano,"RIncluir en la revisión de los planes generales programas de recualificación de las áreas de baja densidad situadas en las periferias y ya construidas con el objetivo de cambiar los usos casi exclusivamente residenciales permitiendo muchos otros.",IF(Idioma=Valencià,"Incloure en la revisió dels plans generals programes de requalificació de les àrees de baixa densitat situades en les perifèries i ja construïdes amb l'objectiu de canviar els usos quasi exclusivament residencials permetent molts altres."))</f>
        <v>RIncluir en la revisión de los planes generales programas de recualificación de las áreas de baja densidad situadas en las periferias y ya construidas con el objetivo de cambiar los usos casi exclusivamente residenciales permitiendo muchos otros.</v>
      </c>
      <c r="D13" s="570" t="s">
        <v>1006</v>
      </c>
      <c r="E13" s="570" t="s">
        <v>1006</v>
      </c>
      <c r="F13" s="570" t="s">
        <v>1006</v>
      </c>
      <c r="G13" s="570" t="s">
        <v>1006</v>
      </c>
      <c r="H13" s="570" t="s">
        <v>1006</v>
      </c>
      <c r="I13" s="570" t="str">
        <f>IF(Idioma=Castellano,"bajo",IF(Idioma=Valencià,"baix"))</f>
        <v>bajo</v>
      </c>
    </row>
    <row r="14" spans="1:16381" ht="43.2">
      <c r="A14" s="205" t="s">
        <v>4</v>
      </c>
      <c r="C14" s="566" t="str">
        <f>IF(Idioma=Castellano,"Fomentar modelos de usos mixtos, evitando la creación de entornos mono-funcionales o áreas funcionales homogéneas con altas necesidades de movilidad, vinculando los tejidos urbanos con las redes de transporte colectivo y no motorizado.",IF(Idioma=Valencià,"Fomentar models d'usos mixtos, evitant la creació d'entorns bonic-funcionals o àrees funcionals homogènies amb altes necessitats de mobilitat, vinculant els teixits urbans amb les xarxes de transport col·lectiu i no motoritzat."))</f>
        <v>Fomentar modelos de usos mixtos, evitando la creación de entornos mono-funcionales o áreas funcionales homogéneas con altas necesidades de movilidad, vinculando los tejidos urbanos con las redes de transporte colectivo y no motorizado.</v>
      </c>
      <c r="D14" s="570" t="s">
        <v>1006</v>
      </c>
      <c r="E14" s="570" t="s">
        <v>1006</v>
      </c>
      <c r="F14" s="570"/>
      <c r="G14" s="570"/>
      <c r="H14" s="570" t="s">
        <v>1006</v>
      </c>
      <c r="I14" s="570" t="str">
        <f>IF(Idioma=Castellano,"alto",IF(Idioma=Valencià,"alt"))</f>
        <v>alto</v>
      </c>
    </row>
    <row r="15" spans="1:16381" ht="28.8">
      <c r="A15" s="205" t="s">
        <v>5</v>
      </c>
      <c r="C15" s="566" t="str">
        <f>IF(Idioma=Castellano,"Promover la creación de equipamientos públicos distribuidos de forma racional, con una elevada accesibilidad y atendiendo al tipo de equipamiento y su lugar dentro de la jerarquía de escalas urbanas.",IF(Idioma=Valencià,"Promoure la creació d'equipaments públics distribuïts de manera racional, amb una elevada accessibilitat i atés el tipus d'equipament i el seu lloc dins de la jerarquia d'escales urbanes."))</f>
        <v>Promover la creación de equipamientos públicos distribuidos de forma racional, con una elevada accesibilidad y atendiendo al tipo de equipamiento y su lugar dentro de la jerarquía de escalas urbanas.</v>
      </c>
      <c r="D15" s="570"/>
      <c r="E15" s="570" t="s">
        <v>1006</v>
      </c>
      <c r="F15" s="570"/>
      <c r="G15" s="570"/>
      <c r="H15" s="570" t="s">
        <v>1006</v>
      </c>
      <c r="I15" s="570" t="str">
        <f t="shared" ref="I15:I22" si="0">IF(Idioma=Castellano,"medio",IF(Idioma=Valencià,"mitjà"))</f>
        <v>medio</v>
      </c>
    </row>
    <row r="16" spans="1:16381" ht="43.2">
      <c r="A16" s="204" t="str">
        <f>IF(Idioma=Castellano,"3. Resultados",IF(Idioma=Valencià,"3. Resultats","3. Resultados"))</f>
        <v>3. Resultados</v>
      </c>
      <c r="C16" s="566" t="str">
        <f>IF(Idioma=Castellano,"Dejar en las áreas urbanizadas espacios libres de reserva, sin uso definido, a modo de espacios colchón para permitir adecuar las necesidades sociales a los equipamientos y construirlos en el momento en que surjan o se perciban determinadas necesidades.",IF(Idioma=Valencià,"Deixar en les àrees urbanitzades espais lliures de reserva, sense ús definit, a manera de espais matalàs per a permetre adequar les necessitats socials als equipaments i construir-los en el moment en què sorgisquen o es perceben determinades necessitats."))</f>
        <v>Dejar en las áreas urbanizadas espacios libres de reserva, sin uso definido, a modo de espacios colchón para permitir adecuar las necesidades sociales a los equipamientos y construirlos en el momento en que surjan o se perciban determinadas necesidades.</v>
      </c>
      <c r="D16" s="570" t="s">
        <v>1006</v>
      </c>
      <c r="E16" s="570" t="s">
        <v>1006</v>
      </c>
      <c r="F16" s="570"/>
      <c r="G16" s="570"/>
      <c r="H16" s="570" t="s">
        <v>1006</v>
      </c>
      <c r="I16" s="570" t="str">
        <f t="shared" si="0"/>
        <v>medio</v>
      </c>
    </row>
    <row r="17" spans="1:9" ht="28.8">
      <c r="A17" s="204" t="str">
        <f>IF(Idioma=Castellano,"4. Factores de emisión",IF(Idioma=Valencià,"4. Factors d'emissió","4. Factores de emisión"))</f>
        <v>4. Factores de emisión</v>
      </c>
      <c r="C17" s="566" t="str">
        <f>IF(Idioma=Castellano,"Plantear en los nuevos proyectos urbanísticos tipologías edificatorias o combinaciones tipológicas consecuentes con la compacidad.",IF(Idioma=Valencià,"Plantejar en els nous projectes urbanístics tipologies edificatòries o combinacions tipològiques conseqüents amb la compacidad. "))</f>
        <v>Plantear en los nuevos proyectos urbanísticos tipologías edificatorias o combinaciones tipológicas consecuentes con la compacidad.</v>
      </c>
      <c r="D17" s="570"/>
      <c r="E17" s="570" t="s">
        <v>1006</v>
      </c>
      <c r="F17" s="570"/>
      <c r="G17" s="570"/>
      <c r="H17" s="570" t="s">
        <v>1006</v>
      </c>
      <c r="I17" s="570" t="str">
        <f t="shared" si="0"/>
        <v>medio</v>
      </c>
    </row>
    <row r="18" spans="1:9" ht="43.2">
      <c r="A18" s="203" t="str">
        <f>IF(Idioma=Castellano,"Sección de Adaptación",IF(Idioma=Valencià,"Secció d'Adaptació","Sección de Adaptación"))</f>
        <v>Sección de Adaptación</v>
      </c>
      <c r="C18" s="566" t="str">
        <f>IF(Idioma=Castellano,"Evitar el crecimiento urbanístico en zonas alejadas del núcleo urbano consolidado, realizando una ordenación del suelo urbanizable que limite al máximo posible la dispersión de núcleos urbanos en el municipio.",IF(Idioma=Valencià,"Evitar el creixement urbanístic en zones allunyades del nucli urbà consolidat, realitzant una ordenació del sòl urbanitzable que limite al màxim possible la dispersió de nuclis urbans en el municipi."))</f>
        <v>Evitar el crecimiento urbanístico en zonas alejadas del núcleo urbano consolidado, realizando una ordenación del suelo urbanizable que limite al máximo posible la dispersión de núcleos urbanos en el municipio.</v>
      </c>
      <c r="D18" s="570"/>
      <c r="E18" s="570" t="s">
        <v>1006</v>
      </c>
      <c r="F18" s="570"/>
      <c r="G18" s="570"/>
      <c r="H18" s="570" t="s">
        <v>1006</v>
      </c>
      <c r="I18" s="570" t="str">
        <f t="shared" si="0"/>
        <v>medio</v>
      </c>
    </row>
    <row r="19" spans="1:9" ht="28.8">
      <c r="A19" s="204" t="str">
        <f>IF(Idioma=Castellano,"1. Alcance",IF(Idioma=Valencià,"1. Abast","1. Alcance"))</f>
        <v>1. Alcance</v>
      </c>
      <c r="C19" s="566" t="str">
        <f>IF(Idioma=Castellano,"Incorporar los barrios desconectados a la trama urbana de la ciudad, orientando con carácter prioritario los nuevos desarrollos urbanísticos hacia esas zonas del territorio.",IF(Idioma=Valencià,"Incorporar els barris desconnectats a la trama urbana de la ciutat, orientant amb caràcter prioritari els nous desenvolupaments urbanístics cap a aqueixes zones del territori."))</f>
        <v>Incorporar los barrios desconectados a la trama urbana de la ciudad, orientando con carácter prioritario los nuevos desarrollos urbanísticos hacia esas zonas del territorio.</v>
      </c>
      <c r="D19" s="570"/>
      <c r="E19" s="570" t="s">
        <v>1006</v>
      </c>
      <c r="F19" s="570"/>
      <c r="G19" s="570"/>
      <c r="H19" s="570"/>
      <c r="I19" s="570" t="str">
        <f t="shared" si="0"/>
        <v>medio</v>
      </c>
    </row>
    <row r="20" spans="1:9" ht="43.2">
      <c r="A20" s="204" t="s">
        <v>6</v>
      </c>
      <c r="C20" s="566" t="str">
        <f>IF(Idioma=Castellano,"Diseñar estructuras urbanas compatibles con sistemas centralizados de climatización, estableciendo requisitos para la instalación de infraestructuras de frio y calor compartidas a escala de barrio (district heating).",IF(Idioma=Valencià,"Dissenyar estructures urbanes compatibles amb sistemes centralitzats de climatització, establint requisits per a la instal·lació d'infraestructures de fred i calor compartides a escala de barri (district heating)."))</f>
        <v>Diseñar estructuras urbanas compatibles con sistemas centralizados de climatización, estableciendo requisitos para la instalación de infraestructuras de frio y calor compartidas a escala de barrio (district heating).</v>
      </c>
      <c r="D20" s="570" t="s">
        <v>1006</v>
      </c>
      <c r="E20" s="570"/>
      <c r="F20" s="570"/>
      <c r="G20" s="570"/>
      <c r="H20" s="570"/>
      <c r="I20" s="570" t="str">
        <f t="shared" si="0"/>
        <v>medio</v>
      </c>
    </row>
    <row r="21" spans="1:9" ht="14.4">
      <c r="A21" s="204" t="str">
        <f>IF(Idioma=Castellano,"3. Resultados",IF(Idioma=Valencià,"3. Resultats","3. Resultados"))</f>
        <v>3. Resultados</v>
      </c>
      <c r="C21" s="566" t="str">
        <f>IF(Idioma=Castellano,"Promover mediante el planeamiento la generación con fuentes renovables en espacios públicos.",IF(Idioma=Valencià,"Promoure mitjançant el planejament la generació amb fonts renovables en espais públics."))</f>
        <v>Promover mediante el planeamiento la generación con fuentes renovables en espacios públicos.</v>
      </c>
      <c r="D21" s="570" t="s">
        <v>1006</v>
      </c>
      <c r="E21" s="570"/>
      <c r="F21" s="570"/>
      <c r="G21" s="570"/>
      <c r="H21" s="570"/>
      <c r="I21" s="570" t="str">
        <f t="shared" si="0"/>
        <v>medio</v>
      </c>
    </row>
    <row r="22" spans="1:9" ht="14.4">
      <c r="A22" s="203" t="str">
        <f>IF(Idioma=Castellano,"Resultados generales",IF(Idioma=Valencià,"Resultats generals","Resultados generales"))</f>
        <v>Resultados generales</v>
      </c>
      <c r="C22" s="566" t="str">
        <f>IF(Idioma=Castellano,"Aumento de la eficiencia del alumbrado público.",IF(Idioma=Valencià,"Augment de l'eficiència de l'enllumenat públic."))</f>
        <v>Aumento de la eficiencia del alumbrado público.</v>
      </c>
      <c r="D22" s="570" t="s">
        <v>1006</v>
      </c>
      <c r="E22" s="570"/>
      <c r="F22" s="570"/>
      <c r="G22" s="570"/>
      <c r="H22" s="570"/>
      <c r="I22" s="570" t="str">
        <f t="shared" si="0"/>
        <v>medio</v>
      </c>
    </row>
    <row r="23" spans="1:9" ht="43.2">
      <c r="A23" s="203" t="str">
        <f>IF(Idioma=Castellano,"Medidas Propuestas",IF(Idioma=Valencià,"Mesures Proposades","Medidas Propuestas"))</f>
        <v>Medidas Propuestas</v>
      </c>
      <c r="C23" s="566" t="str">
        <f>IF(Idioma=Castellano,"Establecer mediante el planeamiento condiciones de edificación que contemplen soluciones específicas para la mejora del comportamiento térmico de la envolvente en la edificación nueva y rehabilitada.",IF(Idioma=Valencià,"Establir mitjançant el planejament condiciones d'edificació que contemplen solucions específiques per a la millora del comportament tèrmic de l'envolupant en l'edificació nova i rehabilitada."))</f>
        <v>Establecer mediante el planeamiento condiciones de edificación que contemplen soluciones específicas para la mejora del comportamiento térmico de la envolvente en la edificación nueva y rehabilitada.</v>
      </c>
      <c r="D23" s="570" t="s">
        <v>1006</v>
      </c>
      <c r="E23" s="570"/>
      <c r="F23" s="570"/>
      <c r="G23" s="570"/>
      <c r="H23" s="570"/>
      <c r="I23" s="570" t="str">
        <f>IF(Idioma=Castellano,"alto",IF(Idioma=Valencià,"alt"))</f>
        <v>alto</v>
      </c>
    </row>
    <row r="24" spans="1:9" ht="28.8">
      <c r="C24" s="566" t="str">
        <f>IF(Idioma=Castellano,"Desarrollar programas de gestión del parque inmobiliario existente: medidas de gestión de las viviendas vacías, medidas de adecuación funcional, medidas de rehabilitación energética, etc.",IF(Idioma=Valencià,"Desenvolupar programes de gestió del parc immobiliari existent: mesures de gestió dels habitatges buits, mesures d'adequació funcional, mesures de rehabilitació energètica, etc."))</f>
        <v>Desarrollar programas de gestión del parque inmobiliario existente: medidas de gestión de las viviendas vacías, medidas de adecuación funcional, medidas de rehabilitación energética, etc.</v>
      </c>
      <c r="D24" s="570" t="s">
        <v>1006</v>
      </c>
      <c r="E24" s="570" t="s">
        <v>1006</v>
      </c>
      <c r="F24" s="570"/>
      <c r="G24" s="570"/>
      <c r="H24" s="570" t="s">
        <v>1006</v>
      </c>
      <c r="I24" s="570" t="str">
        <f>IF(Idioma=Castellano,"alto",IF(Idioma=Valencià,"alt"))</f>
        <v>alto</v>
      </c>
    </row>
    <row r="25" spans="1:9" ht="43.2">
      <c r="C25" s="566" t="str">
        <f>IF(Idioma=Castellano,"Crear las infraestructuras y condiciones necesarias para un transporte sostenible en los nuevos desarrollos urbanos, limitando estrictamente el espacio dedicado al automóvil y fomentando el desplazamiento a pie y en bicicleta.",IF(Idioma=Valencià,"Crear les infraestructures i condicions necessàries per a un transport sostenible en els nous desenvolupaments urbans, limitant estrictament l'espai dedicat a l'automòbil i fomentant el desplaçament a peu i amb bicicleta."))</f>
        <v>Crear las infraestructuras y condiciones necesarias para un transporte sostenible en los nuevos desarrollos urbanos, limitando estrictamente el espacio dedicado al automóvil y fomentando el desplazamiento a pie y en bicicleta.</v>
      </c>
      <c r="D25" s="570"/>
      <c r="E25" s="570" t="s">
        <v>1006</v>
      </c>
      <c r="F25" s="570"/>
      <c r="G25" s="570"/>
      <c r="H25" s="570"/>
      <c r="I25" s="570" t="str">
        <f>IF(Idioma=Castellano,"alto",IF(Idioma=Valencià,"alt"))</f>
        <v>alto</v>
      </c>
    </row>
    <row r="26" spans="1:9" ht="28.8">
      <c r="C26" s="566" t="str">
        <f>IF(Idioma=Castellano,"Fomentar la intermodalidad mediante: la creación de estaciones intermodales o bien mediante la creación de aparcamientos disuasorios en puntos periféricos.",IF(Idioma=Valencià,"Fomentar la intermodalitat mitjançant: la creació d'estacions intermodals o bé mitjançant la creació d'aparcaments dissuasius en punts perifèrics."))</f>
        <v>Fomentar la intermodalidad mediante: la creación de estaciones intermodales o bien mediante la creación de aparcamientos disuasorios en puntos periféricos.</v>
      </c>
      <c r="D26" s="570"/>
      <c r="E26" s="570" t="s">
        <v>1006</v>
      </c>
      <c r="F26" s="570"/>
      <c r="G26" s="570"/>
      <c r="H26" s="570"/>
      <c r="I26" s="570" t="str">
        <f>IF(Idioma=Castellano,"alto",IF(Idioma=Valencià,"alt"))</f>
        <v>alto</v>
      </c>
    </row>
    <row r="27" spans="1:9" ht="28.8">
      <c r="C27" s="566" t="str">
        <f>IF(Idioma=Castellano,"Construir redes de abastecimiento y saneamiento más eficientes y mejorar las redes existentes con el fin de reducir al mínimo las pérdidas y evitar los costes energéticos derivados del sobreconsumo.",IF(Idioma=Valencià,"Construir xarxes de proveïment i sanejament més eficients i millorar les xarxes existents amb la finalitat de reduir al mínim les pèrdues i evitar els costos energètics derivats del consum."))</f>
        <v>Construir redes de abastecimiento y saneamiento más eficientes y mejorar las redes existentes con el fin de reducir al mínimo las pérdidas y evitar los costes energéticos derivados del sobreconsumo.</v>
      </c>
      <c r="D27" s="570" t="s">
        <v>1006</v>
      </c>
      <c r="E27" s="570"/>
      <c r="F27" s="570" t="s">
        <v>1006</v>
      </c>
      <c r="G27" s="570"/>
      <c r="H27" s="570"/>
      <c r="I27" s="570" t="str">
        <f>IF(Idioma=Castellano,"medio",IF(Idioma=Valencià,"mitjà"))</f>
        <v>medio</v>
      </c>
    </row>
    <row r="28" spans="1:9" ht="43.2">
      <c r="C28" s="566" t="str">
        <f>IF(Idioma=Castellano,"Vincular el planeamiento urbano al ciclo del agua, procurando el cierre local del mismo (depuración in situ) para optimizar el uso de los recursos hídricos y minimizar el gasto energético derivado del sobreconsumo.",IF(Idioma=Valencià,"Vincular el planejament urbà al cicle de l'aigua, procurant el tancament local del mateix (depuració in situ) per a optimitzar l'ús dels recursos hídrics i minimitzar la despesa energètica derivada del consum."))</f>
        <v>Vincular el planeamiento urbano al ciclo del agua, procurando el cierre local del mismo (depuración in situ) para optimizar el uso de los recursos hídricos y minimizar el gasto energético derivado del sobreconsumo.</v>
      </c>
      <c r="D28" s="570" t="s">
        <v>1006</v>
      </c>
      <c r="E28" s="570"/>
      <c r="F28" s="570" t="s">
        <v>1006</v>
      </c>
      <c r="G28" s="570"/>
      <c r="H28" s="570"/>
      <c r="I28" s="570" t="str">
        <f>IF(Idioma=Castellano,"medio",IF(Idioma=Valencià,"mitjà"))</f>
        <v>medio</v>
      </c>
    </row>
    <row r="29" spans="1:9" ht="28.8">
      <c r="C29" s="566" t="str">
        <f>IF(Idioma=Castellano,"Recuperar y/o usar los cauces de escorrentía natural para disminuir la artificialización del suelo (mitigación) .",IF(Idioma=Valencià,"Recuperar i/o usar els llits d'escolament natural per a disminuir la *artificialización del sòl (mitigació) ."))</f>
        <v>Recuperar y/o usar los cauces de escorrentía natural para disminuir la artificialización del suelo (mitigación) .</v>
      </c>
      <c r="D29" s="570"/>
      <c r="E29" s="570"/>
      <c r="F29" s="570" t="s">
        <v>1006</v>
      </c>
      <c r="G29" s="570"/>
      <c r="H29" s="570" t="s">
        <v>1006</v>
      </c>
      <c r="I29" s="570" t="str">
        <f>IF(Idioma=Castellano,"bajo",IF(Idioma=Valencià,"baix"))</f>
        <v>bajo</v>
      </c>
    </row>
    <row r="30" spans="1:9" ht="28.8">
      <c r="C30" s="566" t="str">
        <f>IF(Idioma=Castellano,"Reestudiar la ubicación, gestión y manejo de los vertederos con criterios de racionalidad urbanística y ecológica y en función de las nuevas condiciones del régimen hidrológico, vientos y temperaturas.",IF(Idioma=Valencià,"Reestudiar la ubicació, gestió i maneig dels abocadors amb criteris de racionalitat urbanística i ecològica i en funció de les noves condicions del règim hidrològic, vents i temperatures."))</f>
        <v>Reestudiar la ubicación, gestión y manejo de los vertederos con criterios de racionalidad urbanística y ecológica y en función de las nuevas condiciones del régimen hidrológico, vientos y temperaturas.</v>
      </c>
      <c r="D30" s="570"/>
      <c r="E30" s="570"/>
      <c r="F30" s="570"/>
      <c r="G30" s="570" t="s">
        <v>1006</v>
      </c>
      <c r="H30" s="570"/>
      <c r="I30" s="570" t="str">
        <f>IF(Idioma=Castellano,"alto",IF(Idioma=Valencià,"alt"))</f>
        <v>alto</v>
      </c>
    </row>
    <row r="31" spans="1:9" ht="43.2">
      <c r="C31" s="566" t="str">
        <f>IF(Idioma=Castellano,"Promover el compostaje de residuos orgánicos y los provenientes de la poda de parques y jardines de los pueblos y las ciudades para reducir el uso de fertilizantes químicos o derivados de combustibles fósiles en el ajardinamiento.",IF(Idioma=Valencià,"Promoure el compostatge de residus orgànics i els provinents de la poda de parcs i jardins dels pobles i les ciutats per a reduir l'ús de fertilitzants químics o derivats de combustibles fòssils en l'enjardinament."))</f>
        <v>Promover el compostaje de residuos orgánicos y los provenientes de la poda de parques y jardines de los pueblos y las ciudades para reducir el uso de fertilizantes químicos o derivados de combustibles fósiles en el ajardinamiento.</v>
      </c>
      <c r="D31" s="570"/>
      <c r="E31" s="570"/>
      <c r="F31" s="570"/>
      <c r="G31" s="570" t="s">
        <v>1006</v>
      </c>
      <c r="H31" s="570"/>
      <c r="I31" s="570" t="str">
        <f>IF(Idioma=Castellano,"medio",IF(Idioma=Valencià,"mitjà"))</f>
        <v>medio</v>
      </c>
    </row>
    <row r="32" spans="1:9" ht="28.8">
      <c r="C32" s="566" t="str">
        <f>IF(Idioma=Castellano,"Establecer medidas operativas, a través de las ordenanzas municipales, para fomentar la reutilización y la gestión sostenible de los residuos.",IF(Idioma=Valencià,"Establir mesures operatives, a través de les ordenances municipals, per a fomentar la reutilització i la gestió sostenible dels residus."))</f>
        <v>Establecer medidas operativas, a través de las ordenanzas municipales, para fomentar la reutilización y la gestión sostenible de los residuos.</v>
      </c>
      <c r="D32" s="570"/>
      <c r="E32" s="570"/>
      <c r="F32" s="570"/>
      <c r="G32" s="570" t="s">
        <v>1006</v>
      </c>
      <c r="H32" s="570"/>
      <c r="I32" s="570" t="str">
        <f>IF(Idioma=Castellano,"bajo",IF(Idioma=Valencià,"baix"))</f>
        <v>bajo</v>
      </c>
    </row>
    <row r="33" spans="3:12" ht="28.8">
      <c r="C33" s="566" t="str">
        <f>IF(Idioma=Castellano,"Racionalizar la recogida de basuras domiciliaria tanto en tiempos como en recorridos, evitando reproducir los mismos modelos en las periferias fragmentadas que en la ciudad compacta.",IF(Idioma=Valencià,"Racionalitzar la recollida de fems domiciliària tant en temps com en recorreguts, evitant reproduir els mateixos models en les perifèries fragmentades que a la ciutat compacta."))</f>
        <v>Racionalizar la recogida de basuras domiciliaria tanto en tiempos como en recorridos, evitando reproducir los mismos modelos en las periferias fragmentadas que en la ciudad compacta.</v>
      </c>
      <c r="D33" s="570"/>
      <c r="E33" s="570" t="s">
        <v>1006</v>
      </c>
      <c r="F33" s="570"/>
      <c r="G33" s="570"/>
      <c r="H33" s="570"/>
      <c r="I33" s="570" t="str">
        <f>IF(Idioma=Castellano,"medio",IF(Idioma=Valencià,"mitjà"))</f>
        <v>medio</v>
      </c>
    </row>
    <row r="34" spans="3:12" ht="28.8">
      <c r="C34" s="566" t="str">
        <f>IF(Idioma=Castellano,"Aumentar la biodiversidad y la capacidad de sumideros de carbono mediante el establecimiento de corredores ecológicos.",IF(Idioma=Valencià,"Aumentar la biodiversidad y la capacidad de sumideros de carbono mediante el establecimiento de corredores ecológicos."))</f>
        <v>Aumentar la biodiversidad y la capacidad de sumideros de carbono mediante el establecimiento de corredores ecológicos.</v>
      </c>
      <c r="D34" s="570" t="s">
        <v>1006</v>
      </c>
      <c r="E34" s="570"/>
      <c r="F34" s="570"/>
      <c r="G34" s="570"/>
      <c r="H34" s="570" t="s">
        <v>1006</v>
      </c>
      <c r="I34" s="570" t="str">
        <f>IF(Idioma=Castellano,"medio",IF(Idioma=Valencià,"mitjà"))</f>
        <v>medio</v>
      </c>
    </row>
    <row r="35" spans="3:12" ht="28.8">
      <c r="C35" s="566" t="str">
        <f>IF(Idioma=Castellano,"Realización de campañas de reforestación de zonas degradadas para mitigar los efectos del cambio climático.",IF(Idioma=Valencià,"Realització de campanyes de reforestació de zones degradades per a mitigar els efectes del canvi climàtic."))</f>
        <v>Realización de campañas de reforestación de zonas degradadas para mitigar los efectos del cambio climático.</v>
      </c>
      <c r="D35" s="570"/>
      <c r="E35" s="570"/>
      <c r="F35" s="570"/>
      <c r="G35" s="570"/>
      <c r="H35" s="570" t="s">
        <v>1006</v>
      </c>
      <c r="I35" s="570" t="str">
        <f>IF(Idioma=Castellano,"medio",IF(Idioma=Valencià,"mitjà"))</f>
        <v>medio</v>
      </c>
    </row>
    <row r="36" spans="3:12" ht="28.8">
      <c r="C36" s="566" t="str">
        <f>IF(Idioma=Castellano,"Incrementar las zonas verdes existentes en el municipio y aumentar la densidad de arbolado en las vías públicas.",IF(Idioma=Valencià,"Incrementar les zones verdes existents en el municipi i augmentar la densitat d'arbratge en les vies públiques."))</f>
        <v>Incrementar las zonas verdes existentes en el municipio y aumentar la densidad de arbolado en las vías públicas.</v>
      </c>
      <c r="D36" s="570"/>
      <c r="E36" s="570"/>
      <c r="F36" s="570"/>
      <c r="G36" s="570"/>
      <c r="H36" s="570" t="s">
        <v>1006</v>
      </c>
      <c r="I36" s="570" t="str">
        <f>IF(Idioma=Castellano,"medio",IF(Idioma=Valencià,"mitjà"))</f>
        <v>medio</v>
      </c>
    </row>
    <row r="37" spans="3:12" ht="51" customHeight="1" thickBot="1">
      <c r="C37" s="568" t="str">
        <f>IF(Idioma=Castellano,"Emplear, siempre que sea posible, las especies locales adaptadas al clima del lugar y que, además, sean resistentes al agresivo entorno urbano, y de alta capacidad de retención de CO2.",IF(Idioma=Valencià,"Emprar, sempre que siga possible, les espècies locals adaptades al clima del lloc i que, a més, siguen resistents a l'agressiu entorn urbà, i d'alta capacitat de retenció de CO₂."))</f>
        <v>Emplear, siempre que sea posible, las especies locales adaptadas al clima del lugar y que, además, sean resistentes al agresivo entorno urbano, y de alta capacidad de retención de CO2.</v>
      </c>
      <c r="D37" s="571"/>
      <c r="E37" s="571"/>
      <c r="F37" s="571"/>
      <c r="G37" s="571"/>
      <c r="H37" s="571" t="s">
        <v>1006</v>
      </c>
      <c r="I37" s="570" t="str">
        <f>IF(Idioma=Castellano,"medio",IF(Idioma=Valencià,"mitjà"))</f>
        <v>medio</v>
      </c>
    </row>
    <row r="38" spans="3:12">
      <c r="C38" s="155"/>
    </row>
    <row r="39" spans="3:12">
      <c r="C39" s="155"/>
    </row>
    <row r="40" spans="3:12">
      <c r="C40" s="155"/>
    </row>
    <row r="41" spans="3:12" ht="16.2" thickBot="1"/>
    <row r="42" spans="3:12" ht="77.25" customHeight="1" thickBot="1">
      <c r="C42" s="561" t="str">
        <f>IF(Idioma=Castellano,"Medidas de Adaptación",IF(Idioma=Valencià,"Mesures d'adaptació","Medidas de Adaptación"))</f>
        <v>Medidas de Adaptación</v>
      </c>
      <c r="D42" s="561" t="str">
        <f>IF(Idioma=Castellano,"Inundaciones fluviales",IF(Idioma=Valencià,"Inundacions fluvials","Inundaciones fluviales"))</f>
        <v>Inundaciones fluviales</v>
      </c>
      <c r="E42" s="561" t="str">
        <f>IF(Idioma=Castellano,"Inundaciones costeras",IF(Idioma=Valencià,"Inundacions costaneres","Inundaciones costeras"))</f>
        <v>Inundaciones costeras</v>
      </c>
      <c r="F42" s="561" t="str">
        <f>IF(Idioma=Castellano,"Deslizamientos",IF(Idioma=Valencià,"Lliscaments","Deslizamientos"))</f>
        <v>Deslizamientos</v>
      </c>
      <c r="G42" s="561" t="str">
        <f>IF(Idioma=Castellano,"Olas de Calor",IF(Idioma=Valencià,"Onades de calor","Olas de Calor"))</f>
        <v>Olas de Calor</v>
      </c>
      <c r="H42" s="561" t="str">
        <f>IF(Idioma=Castellano,"Sequías y estés hídrico",IF(Idioma=Valencià,"Sequeres i estigues hídric","Sequías y estés hídrico"))</f>
        <v>Sequías y estés hídrico</v>
      </c>
      <c r="I42" s="561" t="s">
        <v>855</v>
      </c>
      <c r="J42" s="561" t="s">
        <v>856</v>
      </c>
    </row>
    <row r="43" spans="3:12" ht="83.25" customHeight="1">
      <c r="C43" s="565" t="str">
        <f>IF(Idioma=Castellano,"01. Estudiar el efecto del oleaje y la subida del nivel del mar en las corrientes y en las playas del municipio",IF(Idioma=Valencià,"01. Estudiar l'efecte de l'onatge i la pujada del nivell de la mar en els corrents i a les platges del municipi","01. Estudiar el efecto del oleaje y la subida del nivel del mar en las corrientes y en las playas del municipio"))</f>
        <v>01. Estudiar el efecto del oleaje y la subida del nivel del mar en las corrientes y en las playas del municipio</v>
      </c>
      <c r="D43" s="562" t="s">
        <v>835</v>
      </c>
      <c r="E43" s="562" t="s">
        <v>857</v>
      </c>
      <c r="F43" s="562" t="s">
        <v>835</v>
      </c>
      <c r="G43" s="562" t="s">
        <v>835</v>
      </c>
      <c r="H43" s="562" t="s">
        <v>835</v>
      </c>
      <c r="I43" s="569" t="str">
        <f>IF(Idioma=Castellano,"Medio Natural",IF(Idioma=Valencià,"Medi natural","Medio Natural"))</f>
        <v>Medio Natural</v>
      </c>
      <c r="J43" s="569" t="str">
        <f>IF(Idioma=Castellano,"Generación de conocimiento y apoyo a toma de decisiones",IF(Idioma=Valencià," Generació de coneixement i suport a presa de decisions","Generación de conocimiento y apoyo a toma de decisiones"))</f>
        <v>Generación de conocimiento y apoyo a toma de decisiones</v>
      </c>
    </row>
    <row r="44" spans="3:12">
      <c r="C44" s="566" t="str">
        <f>IF(Idioma=Castellano,"02. Cambio de ubicación de centros con afluencia",IF(Idioma=Valencià,"02. Canvi d'ubicació de centres amb afluència","02. Cambio de ubicación de centros con afluencia"))</f>
        <v>02. Cambio de ubicación de centros con afluencia</v>
      </c>
      <c r="D44" s="563" t="s">
        <v>857</v>
      </c>
      <c r="E44" s="563" t="s">
        <v>857</v>
      </c>
      <c r="F44" s="563" t="s">
        <v>835</v>
      </c>
      <c r="G44" s="563" t="s">
        <v>835</v>
      </c>
      <c r="H44" s="563" t="s">
        <v>835</v>
      </c>
      <c r="I44" s="570" t="str">
        <f>IF(Idioma=Castellano,"Medio urbano",IF(Idioma=Valencià,"Mig Urbà i Infraestructures","Medio urbano"))</f>
        <v>Medio urbano</v>
      </c>
      <c r="J44" s="570" t="str">
        <f>IF(Idioma=Castellano,"  Preventivas",IF(Idioma=Valencià,"  Preventives","  Preventivas"))</f>
        <v>  Preventivas</v>
      </c>
    </row>
    <row r="45" spans="3:12" ht="43.2">
      <c r="C45" s="566" t="str">
        <f>IF(Idioma=Castellano,"03.Frenar el avance de la línea costera mediante intervenciones de diferente naturaleza (restauración de dunas, regeneración de playas, regeneración de marismas y humedales, etc.)",IF(Idioma=Valencià,"03.Frenar l'avanç de la línia costanera mitjançant intervencions de diferent naturalesa (restauració de dunes, regeneració de platges, regeneració de marenys i aiguamolls, etc.)","03.Frenar el avance de la línea costera mediante intervenciones de diferente naturaleza (restauración de dunas, regeneración de playas, regeneración de marismas y humedales, etc.)"))</f>
        <v>03.Frenar el avance de la línea costera mediante intervenciones de diferente naturaleza (restauración de dunas, regeneración de playas, regeneración de marismas y humedales, etc.)</v>
      </c>
      <c r="D45" s="563" t="s">
        <v>835</v>
      </c>
      <c r="E45" s="563" t="s">
        <v>857</v>
      </c>
      <c r="F45" s="563" t="s">
        <v>835</v>
      </c>
      <c r="G45" s="563" t="s">
        <v>835</v>
      </c>
      <c r="H45" s="563" t="s">
        <v>835</v>
      </c>
      <c r="I45" s="570" t="str">
        <f>IF(Idioma=Castellano,"Medio Natural",IF(Idioma=Valencià,"Medi natural","Medio Natural"))</f>
        <v>Medio Natural</v>
      </c>
      <c r="J45" s="570" t="str">
        <f>IF(Idioma=Castellano,"  Tecnológicas y Soluciones basadas en la naturaleza ",IF(Idioma=Valencià,"Tecnològiques i Solucions basades en la naturalesa ","  Tecnológicas y Soluciones basadas en la naturaleza "))</f>
        <v xml:space="preserve">  Tecnológicas y Soluciones basadas en la naturaleza </v>
      </c>
      <c r="L45" s="304"/>
    </row>
    <row r="46" spans="3:12" ht="28.8">
      <c r="C46" s="566" t="str">
        <f>IF(Idioma=Castellano,"04. . Construir diques que tengan como objetivo reducir el riesgo de los acontecimientos asociados a la subida del nivel del mar",IF(Idioma=Valencià,"04. . Construir dics que tinguen com a objectiu reduir el risc dels esdeveniments associats a la pujada del nivell de la mar","04. . Construir diques que tengan como objetivo reducir el riesgo de los acontecimientos asociados a la subida del nivel del mar"))</f>
        <v>04. . Construir diques que tengan como objetivo reducir el riesgo de los acontecimientos asociados a la subida del nivel del mar</v>
      </c>
      <c r="D46" s="563" t="s">
        <v>835</v>
      </c>
      <c r="E46" s="563" t="s">
        <v>857</v>
      </c>
      <c r="F46" s="563" t="s">
        <v>835</v>
      </c>
      <c r="G46" s="563" t="s">
        <v>835</v>
      </c>
      <c r="H46" s="563" t="s">
        <v>835</v>
      </c>
      <c r="I46" s="570" t="str">
        <f>IF(Idioma=Castellano,"Medio urbano",IF(Idioma=Valencià,"Mig Urbà i Infraestructures","Medio urbano"))</f>
        <v>Medio urbano</v>
      </c>
      <c r="J46" s="570" t="str">
        <f>IF(Idioma=Castellano,"Estructurales",IF(Idioma=Valencià," Estructurals"," Estructurales"))</f>
        <v>Estructurales</v>
      </c>
      <c r="L46" s="304"/>
    </row>
    <row r="47" spans="3:12" ht="43.2">
      <c r="C47" s="566" t="str">
        <f>IF(Idioma=Castellano,"05. Considerar el uso de especies alternativas para árboles y arbustos en parques y zonas verdes, seleccionando aquellas variedades con mayor tolerancia a la sequían",IF(Idioma=Valencià,"05. Considerar l'ús d'espècies alternatives per a arbres i arbustos en parcs i zones verdes, seleccionant aquelles varietats amb major tolerància a la sequera","05. Considerar el uso de especies alternativas para árboles y arbustos en parques y zonas verdes, seleccionando aquellas variedades con mayor tolerancia a la sequía"))</f>
        <v>05. Considerar el uso de especies alternativas para árboles y arbustos en parques y zonas verdes, seleccionando aquellas variedades con mayor tolerancia a la sequían</v>
      </c>
      <c r="D47" s="563" t="s">
        <v>835</v>
      </c>
      <c r="E47" s="563" t="s">
        <v>835</v>
      </c>
      <c r="F47" s="563" t="s">
        <v>835</v>
      </c>
      <c r="G47" s="563" t="s">
        <v>857</v>
      </c>
      <c r="H47" s="563" t="s">
        <v>857</v>
      </c>
      <c r="I47" s="570" t="str">
        <f>IF(Idioma=Castellano,"Medio Natural",IF(Idioma=Valencià,"Medi natural","Medio Natural"))</f>
        <v>Medio Natural</v>
      </c>
      <c r="J47" s="570" t="str">
        <f>IF(Idioma=Castellano,"  Tecnológicas y Soluciones basadas en la naturaleza ",IF(Idioma=Valencià,"Tecnològiques i Solucions basades en la naturalesa ","  Tecnológicas y Soluciones basadas en la naturaleza "))</f>
        <v xml:space="preserve">  Tecnológicas y Soluciones basadas en la naturaleza </v>
      </c>
      <c r="L47" s="304"/>
    </row>
    <row r="48" spans="3:12" ht="57.6">
      <c r="C48" s="566" t="str">
        <f>IF(Idioma=Castellano,"06. Facilitar la adaptación del sector primario a las nuevas condiciones climáticas (a combatir los efectos negativos del cambio climático y a aprovechar las oportunidades que del mismo se deriven)",IF(Idioma=Valencià,"06. Facilitar l'adaptació del sector primari a les noves condicions climàtiques (a combatre els efectes negatius del canvi climàtic i a aprofitar les oportunitats que del mateix es deriven)","06. Facilitar la adaptación del sector primario a las nuevas condiciones climáticas (a combatir los efectos negativos del cambio climático y a aprovechar las oportunidades que del mismo se deriven)"))</f>
        <v>06. Facilitar la adaptación del sector primario a las nuevas condiciones climáticas (a combatir los efectos negativos del cambio climático y a aprovechar las oportunidades que del mismo se deriven)</v>
      </c>
      <c r="D48" s="563" t="s">
        <v>835</v>
      </c>
      <c r="E48" s="563" t="s">
        <v>835</v>
      </c>
      <c r="F48" s="563" t="s">
        <v>835</v>
      </c>
      <c r="G48" s="563" t="s">
        <v>835</v>
      </c>
      <c r="H48" s="563" t="s">
        <v>857</v>
      </c>
      <c r="I48" s="570" t="s">
        <v>860</v>
      </c>
      <c r="J48" s="570" t="str">
        <f>IF(Idioma=Castellano,"Generación de conocimiento y apoyo a toma de decisiones",IF(Idioma=Valencià," Generació de coneixement i suport a presa de decisions","Generación de conocimiento y apoyo a toma de decisiones"))</f>
        <v>Generación de conocimiento y apoyo a toma de decisiones</v>
      </c>
      <c r="L48" s="304"/>
    </row>
    <row r="49" spans="3:12" ht="91.5" customHeight="1">
      <c r="C49" s="567" t="str">
        <f>IF(Idioma=Castellano,"07. Evitar mediante la regulación de los usos dotacionales en el proceso de calificación del suelo, la ubicación de instalaciones críticas ( en zonas de riesgo, especialmente de inundación y deslizamientos",IF(Idioma=Valencià,"07. Evitar mitjançant la regulació dels usos dotacionals en el procés de qualificació del sòl, la ubicació d'instalacions crítiques en zones de risc, especialment d'inundació i lliscaments","07. Evitar mediante la regulación de los usos dotacionales en el proceso de calificación del suelo, la ubicación de instalaciones críticas en zonas de riesgo, especialmente de inundación y deslizamientos"))</f>
        <v>07. Evitar mediante la regulación de los usos dotacionales en el proceso de calificación del suelo, la ubicación de instalaciones críticas ( en zonas de riesgo, especialmente de inundación y deslizamientos</v>
      </c>
      <c r="D49" s="563" t="s">
        <v>857</v>
      </c>
      <c r="E49" s="563" t="s">
        <v>857</v>
      </c>
      <c r="F49" s="563" t="s">
        <v>857</v>
      </c>
      <c r="G49" s="563" t="s">
        <v>835</v>
      </c>
      <c r="H49" s="563" t="s">
        <v>835</v>
      </c>
      <c r="I49" s="570" t="str">
        <f>IF(Idioma=Castellano,"Medio urbano",IF(Idioma=Valencià,"Mig Urbà i Infraestructures","Medio urbano"))</f>
        <v>Medio urbano</v>
      </c>
      <c r="J49" s="570" t="str">
        <f>IF(Idioma=Castellano,"  Preventivas",IF(Idioma=Valencià,"  Preventives","  Preventivas"))</f>
        <v>  Preventivas</v>
      </c>
      <c r="L49" s="304"/>
    </row>
    <row r="50" spans="3:12" ht="72">
      <c r="C50" s="566" t="str">
        <f>IF(Idioma=Castellano,"08.Restringir la construcción de nuevas edificaciones en zonas anegables (incluso en aquellas que actualmente no corren alto riesgo de inundación)",IF(Idioma=Valencià,"8.Restringir la construcció de noves edificacions en zones anegables (fins i tot en aquelles que actualment no corren alt risc d'inundació)","08.Restringir la construcción de nuevas edificaciones en zonas anegables (incluso en aquellas que actualmente no corren alto riesgo de inundación)"))</f>
        <v>08.Restringir la construcción de nuevas edificaciones en zonas anegables (incluso en aquellas que actualmente no corren alto riesgo de inundación)</v>
      </c>
      <c r="D50" s="563" t="s">
        <v>857</v>
      </c>
      <c r="E50" s="563" t="s">
        <v>857</v>
      </c>
      <c r="F50" s="563" t="s">
        <v>835</v>
      </c>
      <c r="G50" s="563" t="s">
        <v>835</v>
      </c>
      <c r="H50" s="563" t="s">
        <v>835</v>
      </c>
      <c r="I50" s="570" t="str">
        <f>IF(Idioma=Castellano,"Medio urbano",IF(Idioma=Valencià,"Mig Urbà i Infraestructures","Medio urbano"))</f>
        <v>Medio urbano</v>
      </c>
      <c r="J50" s="570" t="s">
        <v>1008</v>
      </c>
      <c r="L50" s="304"/>
    </row>
    <row r="51" spans="3:12">
      <c r="C51" s="566" t="str">
        <f>IF(Idioma=Castellano,"09.Evitar la creación de aparcamientos subterráneos en zonas afectadas por riesgo de inundación",IF(Idioma=Valencià,"09.Evitar la creació d'aparcaments subterranis en zones afectades per risc d'inundació","09.Evitar la creación de aparcamientos subterráneos en zonas afectadas por riesgo de inundación"))</f>
        <v>09.Evitar la creación de aparcamientos subterráneos en zonas afectadas por riesgo de inundación</v>
      </c>
      <c r="D51" s="563" t="s">
        <v>857</v>
      </c>
      <c r="E51" s="563" t="s">
        <v>857</v>
      </c>
      <c r="F51" s="563" t="s">
        <v>835</v>
      </c>
      <c r="G51" s="563" t="s">
        <v>835</v>
      </c>
      <c r="H51" s="563" t="s">
        <v>835</v>
      </c>
      <c r="I51" s="570" t="str">
        <f>IF(Idioma=Castellano,"Medio urbano",IF(Idioma=Valencià,"Mig Urbà i Infraestructures","Medio urbano"))</f>
        <v>Medio urbano</v>
      </c>
      <c r="J51" s="570" t="str">
        <f>IF(Idioma=Castellano,"  Preventivas",IF(Idioma=Valencià,"  Preventives","  Preventivas"))</f>
        <v>  Preventivas</v>
      </c>
      <c r="L51" s="304"/>
    </row>
    <row r="52" spans="3:12" ht="65.25" customHeight="1">
      <c r="C52" s="567" t="str">
        <f>IF(Idioma=Castellano,"10. Implementar Sistemas Urbanos de Drenaje Sostenible (SUD)",IF(Idioma=Valencià,"10. Implementar Sistemes Urbans de Drenatge Sostenible","10. Implementar Sistemas Urbanos de Drenaje Sostenible (SUD)"))</f>
        <v>10. Implementar Sistemas Urbanos de Drenaje Sostenible (SUD)</v>
      </c>
      <c r="D52" s="563" t="s">
        <v>835</v>
      </c>
      <c r="E52" s="563" t="s">
        <v>857</v>
      </c>
      <c r="F52" s="563" t="s">
        <v>835</v>
      </c>
      <c r="G52" s="563" t="s">
        <v>835</v>
      </c>
      <c r="H52" s="563" t="s">
        <v>835</v>
      </c>
      <c r="I52" s="570" t="s">
        <v>858</v>
      </c>
      <c r="J52" s="570" t="str">
        <f>IF(Idioma=Castellano,"Estructurales",IF(Idioma=Valencià," Estructurals"," Estructurales"))</f>
        <v>Estructurales</v>
      </c>
      <c r="L52" s="304"/>
    </row>
    <row r="53" spans="3:12" ht="43.2">
      <c r="C53" s="566" t="str">
        <f>IF(Idioma=Castellano,"11. Crear una red de conectividad ecológica local para mantener la biodiversidad en el ecosistema urbano ",IF(Idioma=Valencià,"11. Crear una xarxa de connectivitat ecològica local per a mantindre la biodiversitat en l'ecosistema urbà ","11. Crear una red de conectividad ecológica local para mantener la biodiversidad en el ecosistema urbano "))</f>
        <v xml:space="preserve">11. Crear una red de conectividad ecológica local para mantener la biodiversidad en el ecosistema urbano </v>
      </c>
      <c r="D53" s="563" t="s">
        <v>857</v>
      </c>
      <c r="E53" s="563" t="s">
        <v>857</v>
      </c>
      <c r="F53" s="563" t="s">
        <v>857</v>
      </c>
      <c r="G53" s="563" t="s">
        <v>857</v>
      </c>
      <c r="H53" s="563" t="s">
        <v>857</v>
      </c>
      <c r="I53" s="570" t="str">
        <f>IF(Idioma=Castellano,"Medio urbano",IF(Idioma=Valencià,"Mig Urbà i Infraestructures","Medio urbano"))</f>
        <v>Medio urbano</v>
      </c>
      <c r="J53" s="570" t="str">
        <f>IF(Idioma=Castellano,"  Tecnológicas y Soluciones basadas en la naturaleza ",IF(Idioma=Valencià,"Tecnològiques i Solucions basades en la naturalesa ","  Tecnológicas y Soluciones basadas en la naturaleza "))</f>
        <v xml:space="preserve">  Tecnológicas y Soluciones basadas en la naturaleza </v>
      </c>
      <c r="L53" s="304"/>
    </row>
    <row r="54" spans="3:12" ht="43.2">
      <c r="C54" s="566" t="str">
        <f>IF(Idioma=Castellano,"12. Incrementar la superficie verde y permeable de plazas, espacios y edificios públicos del municipio",IF(Idioma=Valencià,"12. Incrementar la superfície verda i permeable de places, espais i edificis públics del municipi","12. Incrementar la superficie verde y permeable de plazas, espacios y edificios públicos del municipio"))</f>
        <v>12. Incrementar la superficie verde y permeable de plazas, espacios y edificios públicos del municipio</v>
      </c>
      <c r="D54" s="563" t="s">
        <v>857</v>
      </c>
      <c r="E54" s="563" t="s">
        <v>835</v>
      </c>
      <c r="F54" s="563" t="s">
        <v>835</v>
      </c>
      <c r="G54" s="563" t="s">
        <v>857</v>
      </c>
      <c r="H54" s="563" t="s">
        <v>835</v>
      </c>
      <c r="I54" s="570" t="str">
        <f>IF(Idioma=Castellano,"Medio urbano",IF(Idioma=Valencià,"Mig Urbà i Infraestructures","Medio urbano"))</f>
        <v>Medio urbano</v>
      </c>
      <c r="J54" s="570" t="str">
        <f>IF(Idioma=Castellano,"  Tecnológicas y Soluciones basadas en la naturaleza ",IF(Idioma=Valencià,"Tecnològiques i Solucions basades en la naturalesa ","  Tecnológicas y Soluciones basadas en la naturaleza "))</f>
        <v xml:space="preserve">  Tecnológicas y Soluciones basadas en la naturaleza </v>
      </c>
      <c r="L54" s="304"/>
    </row>
    <row r="55" spans="3:12" ht="43.2">
      <c r="C55" s="566" t="str">
        <f>IF(Idioma=Castellano,"13. Fomentar el conocimiento y dar a conocer a la ciudadanía los posibles efectos del cambio climático sobre el municipio",IF(Idioma=Valencià,"13. Fomentar el coneixement i donar a conéixer a la ciutadania els possibles efectes del canvi climàtic sobre el municipi","13. Fomentar el conocimiento y dar a conocer a la ciudadanía los posibles efectos del cambio climático sobre el municipio"))</f>
        <v>13. Fomentar el conocimiento y dar a conocer a la ciudadanía los posibles efectos del cambio climático sobre el municipio</v>
      </c>
      <c r="D55" s="563" t="s">
        <v>857</v>
      </c>
      <c r="E55" s="563" t="s">
        <v>857</v>
      </c>
      <c r="F55" s="563" t="s">
        <v>857</v>
      </c>
      <c r="G55" s="563" t="s">
        <v>857</v>
      </c>
      <c r="H55" s="563" t="s">
        <v>857</v>
      </c>
      <c r="I55" s="570" t="str">
        <f>IF(Idioma=Castellano,"Salud y Protección civil",IF(Idioma=Valencià,"Salut i Protecció civil","Salud y Protección civil"))</f>
        <v>Salud y Protección civil</v>
      </c>
      <c r="J55" s="570" t="str">
        <f>IF(Idioma=Castellano,"    Medidas de sensibilización y formación",IF(Idioma=Valencià,"    Mesures de sensibilització i formació","    Medidas de sensibilización y formación"))</f>
        <v>    Medidas de sensibilización y formación</v>
      </c>
      <c r="L55" s="304"/>
    </row>
    <row r="56" spans="3:12" ht="43.2">
      <c r="C56" s="566" t="str">
        <f>IF(Idioma=Castellano," 14. Equipar los hogares de personas más vulnerables con medidas que ayuden a mejorar el confort y el control térmico dentro de los hogares en episodios de altas temperaturas: termómetros, ventiladores, toldos, etc.)",IF(Idioma=Valencià," 14. Equipar les llars de persones més vulnerables amb mesures que ajuden a millorar el confort i el control tèrmic dins de les llars en episodis d'altes temperatures: termòmetres, ventiladors, tendals, etc.)"," 14. Equipar los hogares de personas más vulnerables con medidas que ayuden a mejorar el confort y el control térmico dentro de los hogares en episodios de altas temperaturas: termómetros, ventiladores, toldos, etc.)"))</f>
        <v xml:space="preserve"> 14. Equipar los hogares de personas más vulnerables con medidas que ayuden a mejorar el confort y el control térmico dentro de los hogares en episodios de altas temperaturas: termómetros, ventiladores, toldos, etc.)</v>
      </c>
      <c r="D56" s="563" t="s">
        <v>835</v>
      </c>
      <c r="E56" s="563" t="s">
        <v>835</v>
      </c>
      <c r="F56" s="563" t="s">
        <v>835</v>
      </c>
      <c r="G56" s="563" t="s">
        <v>857</v>
      </c>
      <c r="H56" s="563" t="s">
        <v>835</v>
      </c>
      <c r="I56" s="570" t="s">
        <v>859</v>
      </c>
      <c r="J56" s="570" t="str">
        <f>IF(Idioma=Castellano,"  Preventivas",IF(Idioma=Valencià,"  Preventives","  Preventivas"))</f>
        <v>  Preventivas</v>
      </c>
      <c r="L56" s="304"/>
    </row>
    <row r="57" spans="3:12" ht="43.2">
      <c r="C57" s="566" t="str">
        <f>IF(Idioma=Castellano,"15. Renaturalizar el cauce de los ríos en zonas expuestas y vulnerables a inundación fluvial ",IF(Idioma=Valencià,"15. Renaturalitzar el llit dels rius en zones exposades i vulnerables a inundació fluvial ","15. Renaturalizar el cauce de los ríos en zonas expuestas y vulnerables a inundación fluvial "))</f>
        <v xml:space="preserve">15. Renaturalizar el cauce de los ríos en zonas expuestas y vulnerables a inundación fluvial </v>
      </c>
      <c r="D57" s="563" t="s">
        <v>835</v>
      </c>
      <c r="E57" s="563" t="s">
        <v>857</v>
      </c>
      <c r="F57" s="563" t="s">
        <v>835</v>
      </c>
      <c r="G57" s="563" t="s">
        <v>835</v>
      </c>
      <c r="H57" s="563" t="s">
        <v>835</v>
      </c>
      <c r="I57" s="570" t="str">
        <f>IF(Idioma=Castellano,"Medio Natural",IF(Idioma=Valencià,"Medi natural","Medio Natural"))</f>
        <v>Medio Natural</v>
      </c>
      <c r="J57" s="570" t="str">
        <f>IF(Idioma=Castellano,"  Tecnológicas y Soluciones basadas en la naturaleza ",IF(Idioma=Valencià,"Tecnològiques i Solucions basades en la naturalesa ","  Tecnológicas y Soluciones basadas en la naturaleza "))</f>
        <v xml:space="preserve">  Tecnológicas y Soluciones basadas en la naturaleza </v>
      </c>
      <c r="L57" s="304"/>
    </row>
    <row r="58" spans="3:12" ht="28.8">
      <c r="C58" s="566" t="str">
        <f>IF(Idioma=Castellano,"16. Dedicar las zonas de mayor riesgo de inundación a usos menos sensibles como parques y zonas deportivas",IF(Idioma=Valencià,"16. Dedicar les zones de major risc d'inundació a usos menys sensibles com a parcs i zones esportives","16. Dedicar las zonas de mayor riesgo de inundación a usos menos sensibles como parques y zonas deportivas"))</f>
        <v>16. Dedicar las zonas de mayor riesgo de inundación a usos menos sensibles como parques y zonas deportivas</v>
      </c>
      <c r="D58" s="563" t="s">
        <v>857</v>
      </c>
      <c r="E58" s="563" t="s">
        <v>857</v>
      </c>
      <c r="F58" s="563" t="s">
        <v>835</v>
      </c>
      <c r="G58" s="563" t="s">
        <v>857</v>
      </c>
      <c r="H58" s="563" t="s">
        <v>835</v>
      </c>
      <c r="I58" s="570" t="str">
        <f>IF(Idioma=Castellano,"Medio urbano",IF(Idioma=Valencià,"Mig Urbà i Infraestructures","Medio urbano"))</f>
        <v>Medio urbano</v>
      </c>
      <c r="J58" s="570" t="str">
        <f>IF(Idioma=Castellano,"  Preventivas",IF(Idioma=Valencià,"  Preventives","  Preventivas"))</f>
        <v>  Preventivas</v>
      </c>
      <c r="L58" s="304"/>
    </row>
    <row r="59" spans="3:12" ht="43.2">
      <c r="C59" s="566" t="str">
        <f>IF(Idioma=Castellano,"17. Elaborar un listado de residencias de personas mayores, centros de educación infantil y otros centros en los que sea previsible la presencia de personas vulnerables a episodios de altas temperaturas",IF(Idioma=Valencià,"17. Elaborar un llistat de residències de persones majors, centres d'educació infantil i altres centres en els quals siga previsible la presència de persones vulnerables a episodis d'altes temperatures","17. Elaborar un listado de residencias de personas mayores, centros de educación infantil y otros centros en los que sea previsible la presencia de personas vulnerables a episodios de altas temperaturas"))</f>
        <v>17. Elaborar un listado de residencias de personas mayores, centros de educación infantil y otros centros en los que sea previsible la presencia de personas vulnerables a episodios de altas temperaturas</v>
      </c>
      <c r="D59" s="563" t="s">
        <v>835</v>
      </c>
      <c r="E59" s="563" t="s">
        <v>835</v>
      </c>
      <c r="F59" s="563" t="s">
        <v>835</v>
      </c>
      <c r="G59" s="563" t="s">
        <v>857</v>
      </c>
      <c r="H59" s="563" t="s">
        <v>835</v>
      </c>
      <c r="I59" s="570" t="s">
        <v>861</v>
      </c>
      <c r="J59" s="570" t="str">
        <f>IF(Idioma=Castellano,"    Medidas de sensibilización y formación",IF(Idioma=Valencià,"    Mesures de sensibilització i formació","    Medidas de sensibilización y formación"))</f>
        <v>    Medidas de sensibilización y formación</v>
      </c>
      <c r="L59" s="304"/>
    </row>
    <row r="60" spans="3:12" ht="28.8">
      <c r="C60" s="566" t="str">
        <f>IF(Idioma=Castellano,"18. Actualizar periódicamente los planes de emergencia de protección civil incorporando los riesgos climáticos previstos",IF(Idioma=Valencià,"18. Actualitzar periòdicament els plans d'emergència de protecció civil incorporant els riscos climàtics previstos","18. Actualizar periódicamente los planes de emergencia de protección civil incorporando los riesgos climáticos previstos"))</f>
        <v>18. Actualizar periódicamente los planes de emergencia de protección civil incorporando los riesgos climáticos previstos</v>
      </c>
      <c r="D60" s="563" t="s">
        <v>857</v>
      </c>
      <c r="E60" s="563" t="s">
        <v>857</v>
      </c>
      <c r="F60" s="563" t="s">
        <v>857</v>
      </c>
      <c r="G60" s="563" t="s">
        <v>857</v>
      </c>
      <c r="H60" s="563" t="s">
        <v>857</v>
      </c>
      <c r="I60" s="570" t="str">
        <f>IF(Idioma=Castellano,"Salud y Protección civil",IF(Idioma=Valencià,"Salut i Protecció civil","Salud y Protección civil"))</f>
        <v>Salud y Protección civil</v>
      </c>
      <c r="J60" s="570" t="str">
        <f>IF(Idioma=Castellano,"  Preventivas",IF(Idioma=Valencià,"  Preventives","  Preventivas"))</f>
        <v>  Preventivas</v>
      </c>
      <c r="L60" s="304"/>
    </row>
    <row r="61" spans="3:12" ht="28.8">
      <c r="C61" s="566" t="str">
        <f>IF(Idioma=Castellano,"19. Elaboración de protocolos de actuación de forma participada junto con vecinos/as que habitualmente puedan verse afectados/as por impactos concretos",IF(Idioma=Valencià,"19. Elaboració de protocols d'actuació de forma participada juntament amb veïns/as que habitualment puguen veure's afectats/as per impactes concrets","19. Elaboración de protocolos de actuación de forma participada junto con vecinos/as que habitualmente puedan verse afectados/as por impactos concretos"))</f>
        <v>19. Elaboración de protocolos de actuación de forma participada junto con vecinos/as que habitualmente puedan verse afectados/as por impactos concretos</v>
      </c>
      <c r="D61" s="563" t="s">
        <v>857</v>
      </c>
      <c r="E61" s="563" t="s">
        <v>857</v>
      </c>
      <c r="F61" s="563" t="s">
        <v>835</v>
      </c>
      <c r="G61" s="563" t="s">
        <v>857</v>
      </c>
      <c r="H61" s="563" t="s">
        <v>835</v>
      </c>
      <c r="I61" s="570" t="str">
        <f>IF(Idioma=Castellano,"Actividad",IF(Idioma=Valencià,"Activitat","Actividad"))</f>
        <v>Actividad</v>
      </c>
      <c r="J61" s="570" t="str">
        <f>IF(Idioma=Castellano,"  Preventivas",IF(Idioma=Valencià,"  Preventives","  Preventivas"))</f>
        <v>  Preventivas</v>
      </c>
      <c r="L61" s="304"/>
    </row>
    <row r="62" spans="3:12">
      <c r="C62" s="566" t="str">
        <f>IF(Idioma=Castellano,"20. Evitar la creación de aparcamientos subterráneos en zonas afectadas por riesgo de inundación",IF(Idioma=Valencià,"20. Evitar la creació d'aparcaments subterranis en zones afectades per risc d'inundació","20. Evitar la creación de aparcamientos subterráneos en zonas afectadas por riesgo de inundación"))</f>
        <v>20. Evitar la creación de aparcamientos subterráneos en zonas afectadas por riesgo de inundación</v>
      </c>
      <c r="D62" s="563" t="s">
        <v>857</v>
      </c>
      <c r="E62" s="563" t="s">
        <v>857</v>
      </c>
      <c r="F62" s="563" t="s">
        <v>835</v>
      </c>
      <c r="G62" s="563" t="s">
        <v>835</v>
      </c>
      <c r="H62" s="563" t="s">
        <v>835</v>
      </c>
      <c r="I62" s="570" t="str">
        <f>IF(Idioma=Castellano,"Medio urbano",IF(Idioma=Valencià,"Mig Urbà i Infraestructures","Medio urbano"))</f>
        <v>Medio urbano</v>
      </c>
      <c r="J62" s="570" t="str">
        <f>IF(Idioma=Castellano,"  Preventivas",IF(Idioma=Valencià,"  Preventives","  Preventivas"))</f>
        <v>  Preventivas</v>
      </c>
      <c r="L62" s="304"/>
    </row>
    <row r="63" spans="3:12" ht="28.8">
      <c r="C63" s="566" t="str">
        <f>IF(Idioma=Castellano,"21. Adaptar las redes de saneamiento a la posibilidad de sufrir avenidas e inundaciones, especialmente en los lugares donde los ríos descargan en el mar",IF(Idioma=Valencià,"21. Adaptar les xarxes de sanejament a la possibilitat de patir avingudes i inundacions, especialment en els llocs on els rius descarreguen en la mar","21. Adaptar las redes de saneamiento a la posibilidad de sufrir avenidas e inundaciones, especialmente en los lugares donde los ríos descargan en el mar"))</f>
        <v>21. Adaptar las redes de saneamiento a la posibilidad de sufrir avenidas e inundaciones, especialmente en los lugares donde los ríos descargan en el mar</v>
      </c>
      <c r="D63" s="563" t="s">
        <v>857</v>
      </c>
      <c r="E63" s="563" t="s">
        <v>857</v>
      </c>
      <c r="F63" s="563" t="s">
        <v>835</v>
      </c>
      <c r="G63" s="563" t="s">
        <v>835</v>
      </c>
      <c r="H63" s="563" t="s">
        <v>835</v>
      </c>
      <c r="I63" s="570" t="str">
        <f>IF(Idioma=Castellano,"Medio urbano",IF(Idioma=Valencià,"Mig Urbà i Infraestructures","Medio urbano"))</f>
        <v>Medio urbano</v>
      </c>
      <c r="J63" s="570" t="str">
        <f>IF(Idioma=Castellano,"Estructurales",IF(Idioma=Valencià," Estructurals"," Estructurales"))</f>
        <v>Estructurales</v>
      </c>
      <c r="L63" s="304"/>
    </row>
    <row r="64" spans="3:12" ht="28.8">
      <c r="C64" s="566" t="str">
        <f>IF(Idioma=Castellano,"22. Construir tanques de tormenta con el fin de incrementar la capacidad de evacuación de las lluvias reduciendo así los riesgos de inundación",IF(Idioma=Valencià,"22. Construir tancs de tempesta amb la finalitat d'incrementar la capacitat d'evacuació de les pluges reduint així els riscos d'inundació","22. Construir tanques de tormenta con el fin de incrementar la capacidad de evacuación de las lluvias reduciendo así los riesgos de inundación"))</f>
        <v>22. Construir tanques de tormenta con el fin de incrementar la capacidad de evacuación de las lluvias reduciendo así los riesgos de inundación</v>
      </c>
      <c r="D64" s="563" t="s">
        <v>857</v>
      </c>
      <c r="E64" s="563" t="s">
        <v>835</v>
      </c>
      <c r="F64" s="563" t="s">
        <v>835</v>
      </c>
      <c r="G64" s="563" t="s">
        <v>835</v>
      </c>
      <c r="H64" s="563" t="s">
        <v>835</v>
      </c>
      <c r="I64" s="570" t="str">
        <f>IF(Idioma=Castellano,"Medio urbano",IF(Idioma=Valencià,"Mig Urbà i Infraestructures","Medio urbano"))</f>
        <v>Medio urbano</v>
      </c>
      <c r="J64" s="570" t="str">
        <f>IF(Idioma=Castellano,"Estructurales",IF(Idioma=Valencià," Estructurals"," Estructurales"))</f>
        <v>Estructurales</v>
      </c>
      <c r="L64" s="304"/>
    </row>
    <row r="65" spans="3:12" ht="43.8" thickBot="1">
      <c r="C65" s="568" t="str">
        <f>IF(Idioma=Castellano,"23. Vigilar el litoral para hacer aportaciones de sólidos desde ríos y otras zonas de la costa con objeto de estabilizarlo. Esta medida se ha de desarrollar en coordinación con otros municipios y administraciones públicas",IF(Idioma=Valencià,"23. Vigilar el litoral per a fer aportacions de sòlids des de rius i altres zones de la costa a fi d'estabilitzar-lo. Aquesta mesura s'ha de desenvolupar en coordinació amb altres municipis i administracions públiques","23. Vigilar el litoral para hacer aportaciones de sólidos desde ríos y otras zonas de la costa con objeto de estabilizarlo. Esta medida se ha de desarrollar en coordinación con otros municipios y administraciones públicas"))</f>
        <v>23. Vigilar el litoral para hacer aportaciones de sólidos desde ríos y otras zonas de la costa con objeto de estabilizarlo. Esta medida se ha de desarrollar en coordinación con otros municipios y administraciones públicas</v>
      </c>
      <c r="D65" s="564"/>
      <c r="E65" s="564" t="s">
        <v>857</v>
      </c>
      <c r="F65" s="564" t="s">
        <v>835</v>
      </c>
      <c r="G65" s="564" t="s">
        <v>835</v>
      </c>
      <c r="H65" s="564" t="s">
        <v>835</v>
      </c>
      <c r="I65" s="571" t="str">
        <f>IF(Idioma=Castellano,"Medio Natural",IF(Idioma=Valencià,"Medi natural","Medio Natural"))</f>
        <v>Medio Natural</v>
      </c>
      <c r="J65" s="571" t="str">
        <f>IF(Idioma=Castellano,"  Preventivas",IF(Idioma=Valencià,"  Preventives","  Preventivas"))</f>
        <v>  Preventivas</v>
      </c>
      <c r="L65" s="304"/>
    </row>
    <row r="66" spans="3:12">
      <c r="C66" s="24"/>
    </row>
    <row r="67" spans="3:12">
      <c r="C67" s="24"/>
    </row>
    <row r="68" spans="3:12">
      <c r="C68" s="24"/>
    </row>
    <row r="69" spans="3:12">
      <c r="C69" s="24"/>
    </row>
    <row r="70" spans="3:12">
      <c r="C70" s="24"/>
    </row>
    <row r="71" spans="3:12">
      <c r="C71" s="24"/>
    </row>
    <row r="72" spans="3:12">
      <c r="C72" s="24"/>
    </row>
    <row r="73" spans="3:12">
      <c r="C73" s="24"/>
    </row>
    <row r="74" spans="3:12">
      <c r="C74" s="24"/>
    </row>
    <row r="75" spans="3:12">
      <c r="C75" s="24"/>
    </row>
    <row r="76" spans="3:12">
      <c r="C76" s="24"/>
    </row>
    <row r="78" spans="3:12">
      <c r="C78" s="24"/>
    </row>
    <row r="79" spans="3:12">
      <c r="C79" s="24"/>
    </row>
  </sheetData>
  <sheetProtection algorithmName="SHA-512" hashValue="FoYEpAEh0Nh1x66rkTekbL/lHeqNaylHTK2TaV6SkmiR+oXFFc2RaEHlMatQX2UkZXya0FvCQlOJ687Nd8eBQQ==" saltValue="uHuO6fnSCR6HMUwdZCgJkQ==" spinCount="100000" sheet="1" objects="1" scenarios="1"/>
  <hyperlinks>
    <hyperlink ref="A7" location="Instrucciones_Valencia!A1" display="Instrucciones_Valencia!A1" xr:uid="{C0A75BEB-6524-49A7-94C7-762274E2F9B6}"/>
    <hyperlink ref="A9" location="M_Datos_Valencia!A1" display="M_Datos_Valencia!A1" xr:uid="{56B11383-46EC-4831-8287-F7094DC090FD}"/>
    <hyperlink ref="A11" location="V_A0!A1" display="2.1. Alternativa 0 (A0)" xr:uid="{28410A7F-414E-4C4F-A1CA-B2B69666F077}"/>
    <hyperlink ref="A12" location="V_A1!A1" display="2.2. Alternativa 1 (A1)" xr:uid="{F4B70A0A-4E6F-4126-81CF-C89C86570503}"/>
    <hyperlink ref="A13" location="V_A2!A1" display="2.3. Alternativa 2 (A2)" xr:uid="{6CC2E233-738C-4407-960F-F22CADC2A417}"/>
    <hyperlink ref="A14" location="V_A3!A1" display="2.4. Alternativa 3 (A3)" xr:uid="{60BE2B17-B065-4385-BFA7-7C65FB0CC372}"/>
    <hyperlink ref="A15" location="V_A4!A1" display="2.5. Alternativa 4 (A4)" xr:uid="{0FD8CB9F-573D-4595-B4E1-043B7F3CD4F9}"/>
    <hyperlink ref="A16" location="B_Resultados!A1" display="B_Resultados!A1" xr:uid="{EE5A7431-A85B-4524-8547-D489C5DACA16}"/>
    <hyperlink ref="A17" location="V_Factores!A1" display="V_Factores!A1" xr:uid="{E37D2C5C-D0F0-457B-A589-029CD605181C}"/>
    <hyperlink ref="A19" location="B_Alcance!A1" display="B_Alcance!A1" xr:uid="{6EC75845-5B05-499C-865F-AF1AD68DE4DD}"/>
    <hyperlink ref="A20" location="B_Checklist!A1" display="2. Checklist" xr:uid="{5599C24D-C1F5-493B-A058-059A3AC93745}"/>
    <hyperlink ref="A21" location="B_Resultados!A1" display="B_Resultados!A1" xr:uid="{A54172FC-0889-4907-BFC7-77677779C594}"/>
    <hyperlink ref="A22" location="Resultados_generales!A1" display="Resultados_generales!A1" xr:uid="{9DC4E2E8-22DD-4D42-BBF2-375E1BA080DD}"/>
    <hyperlink ref="A23" location="Medidas_Propuestas!A1" display="Medidas_Propuestas!A1" xr:uid="{566F31B6-841A-4B9B-BC8A-8916C88724F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047A-A059-436F-A864-22E55E08F164}">
  <sheetPr>
    <tabColor theme="5" tint="0.79998168889431442"/>
  </sheetPr>
  <dimension ref="A1:AO127"/>
  <sheetViews>
    <sheetView workbookViewId="0">
      <selection activeCell="E13" sqref="E13"/>
    </sheetView>
  </sheetViews>
  <sheetFormatPr baseColWidth="10" defaultColWidth="11.44140625" defaultRowHeight="15.6"/>
  <cols>
    <col min="1" max="1" width="29.5546875" style="145" customWidth="1"/>
    <col min="3" max="3" width="24.33203125" customWidth="1"/>
    <col min="4" max="4" width="19.6640625" customWidth="1"/>
    <col min="5" max="5" width="31.5546875" customWidth="1"/>
    <col min="6" max="6" width="21.33203125" customWidth="1"/>
    <col min="7" max="7" width="17.6640625" customWidth="1"/>
    <col min="8" max="8" width="18.6640625" customWidth="1"/>
    <col min="9" max="9" width="18.44140625" customWidth="1"/>
    <col min="10" max="10" width="24.33203125" customWidth="1"/>
    <col min="11" max="11" width="28.33203125" customWidth="1"/>
    <col min="15" max="15" width="14.6640625" customWidth="1"/>
    <col min="17" max="17" width="18.33203125" customWidth="1"/>
    <col min="18" max="18" width="15.33203125" customWidth="1"/>
    <col min="19" max="19" width="16.6640625" bestFit="1" customWidth="1"/>
    <col min="20" max="20" width="20.33203125" customWidth="1"/>
  </cols>
  <sheetData>
    <row r="1" spans="1:41" s="135" customFormat="1" ht="30" customHeight="1">
      <c r="A1" s="1"/>
      <c r="B1" s="137"/>
    </row>
    <row r="2" spans="1:41" s="135" customFormat="1" ht="30" customHeight="1">
      <c r="A2" s="1"/>
      <c r="B2" s="137"/>
      <c r="C2" s="136" t="str">
        <f>IF(Idioma=Castellano,"2. Cálculo de Alternativas",IF(Idioma=Valencià,"2. Càlcul d'alternatives ","2. Cálculo de Alternativas"))</f>
        <v>2. Cálculo de Alternativas</v>
      </c>
    </row>
    <row r="3" spans="1:41" s="135" customFormat="1" ht="30" customHeight="1">
      <c r="A3" s="1"/>
      <c r="B3" s="137"/>
    </row>
    <row r="4" spans="1:41" s="245" customFormat="1" ht="15" customHeight="1">
      <c r="A4" s="143"/>
      <c r="B4" s="655" t="s">
        <v>621</v>
      </c>
      <c r="C4" s="655"/>
      <c r="D4" s="655"/>
      <c r="E4" s="655"/>
      <c r="F4" s="655"/>
      <c r="G4" s="655"/>
      <c r="H4" s="244"/>
    </row>
    <row r="5" spans="1:41" s="245" customFormat="1" ht="15" customHeight="1">
      <c r="A5" s="143"/>
      <c r="B5" s="655"/>
      <c r="C5" s="655"/>
      <c r="D5" s="655"/>
      <c r="E5" s="655"/>
      <c r="F5" s="655"/>
      <c r="G5" s="655"/>
      <c r="H5" s="244"/>
    </row>
    <row r="6" spans="1:41" s="135" customFormat="1">
      <c r="A6" s="335" t="str">
        <f>IF(Idioma=Castellano,"Índice",IF(Idioma=Valencià,"Índex","Índice"))</f>
        <v>Índice</v>
      </c>
      <c r="B6" s="240" t="str">
        <f>IF(Idioma=Castellano,"A. Consumo energético",IF(Idioma=Valencià,"A. Consum energètic","A. Consumo energético"))</f>
        <v>A. Consumo energético</v>
      </c>
      <c r="O6" s="241"/>
      <c r="Q6" s="241"/>
      <c r="Z6" s="241"/>
    </row>
    <row r="7" spans="1:41" ht="14.4">
      <c r="A7" s="202" t="str">
        <f>IF(Idioma=Castellano,"Instrucciones",IF(Idioma=Valencià,"Instruccions","Instrucciones"))</f>
        <v>Instrucciones</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8">
      <c r="A8" s="203" t="str">
        <f>IF(Idioma=Castellano,"Sección de Mitigación",IF(Idioma=Valencià,"Secció de Mitigació", "Sección de Mitigación"))</f>
        <v>Sección de Mitigación</v>
      </c>
      <c r="B8" s="1"/>
      <c r="C8" s="1"/>
      <c r="D8" s="1"/>
      <c r="E8" s="195"/>
      <c r="F8" s="1"/>
      <c r="G8" s="1"/>
      <c r="H8" s="1"/>
      <c r="I8" s="1"/>
      <c r="J8" s="1"/>
      <c r="K8" s="1"/>
      <c r="L8" s="1"/>
      <c r="M8" s="1"/>
      <c r="N8" s="1"/>
      <c r="O8" s="246" t="str">
        <f>IF(Idioma=Castellano,"A. Resultados demanda energética",IF(Idioma=Valencià,"A. Resultats demanda energètica","A. Resultados demanda energética"))</f>
        <v>A. Resultados demanda energética</v>
      </c>
      <c r="P8" s="1"/>
      <c r="Q8" s="1"/>
      <c r="R8" s="1"/>
      <c r="S8" s="1"/>
      <c r="T8" s="1"/>
      <c r="U8" s="1"/>
      <c r="V8" s="1"/>
      <c r="W8" s="1"/>
      <c r="X8" s="1"/>
      <c r="Y8" s="1"/>
      <c r="Z8" s="246" t="str">
        <f>IF(Idioma=Castellano,"A. Resultados emisiones",IF(Idioma=Valencià,"A. Resultats emissions"))</f>
        <v>A. Resultados emisiones</v>
      </c>
      <c r="AA8" s="1"/>
      <c r="AB8" s="1"/>
      <c r="AC8" s="1"/>
      <c r="AD8" s="1"/>
      <c r="AE8" s="1"/>
      <c r="AF8" s="1"/>
      <c r="AG8" s="1"/>
      <c r="AH8" s="1"/>
      <c r="AI8" s="1"/>
      <c r="AJ8" s="1"/>
      <c r="AK8" s="1"/>
      <c r="AL8" s="1"/>
      <c r="AM8" s="1"/>
      <c r="AN8" s="1"/>
      <c r="AO8" s="1"/>
    </row>
    <row r="9" spans="1:41" ht="14.4">
      <c r="A9" s="204" t="str">
        <f>IF(Idioma=Castellano,"1. Datos de entrada",IF(Idioma=Valencià,"1.Dades d'entrada","1. Datos de entrada"))</f>
        <v>1. Datos de entrada</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18">
      <c r="A10" s="204" t="str">
        <f>IF(Idioma=Castellano,"2. Cálculo de Alternativas:",IF(Idioma=Valencià,"2. Càlcul d'alternatives :","2. Cálculo de Alternativas:"))</f>
        <v>2. Cálculo de Alternativas:</v>
      </c>
      <c r="B10" s="1"/>
      <c r="C10" s="246" t="str">
        <f>IF(Idioma=Castellano,"A.1. Uso de la vivienda",IF(Idioma=Valencià,"A.1. Ús de l'habitatge","A.1. Uso de la vivienda"))</f>
        <v>A.1. Uso de la vivienda</v>
      </c>
      <c r="D10" s="1"/>
      <c r="E10" s="1"/>
      <c r="F10" s="1"/>
      <c r="G10" s="1"/>
      <c r="H10" s="1"/>
      <c r="I10" s="1"/>
      <c r="J10" s="1"/>
      <c r="K10" s="1"/>
      <c r="L10" s="1"/>
      <c r="M10" s="1"/>
      <c r="N10" s="1"/>
      <c r="O10" s="1"/>
      <c r="P10" s="1"/>
      <c r="Q10" s="1"/>
      <c r="R10" s="1"/>
      <c r="S10" s="1"/>
      <c r="T10" s="1"/>
      <c r="U10" s="1"/>
      <c r="V10" s="1"/>
      <c r="W10" s="1"/>
      <c r="X10" s="1"/>
      <c r="Y10" s="1"/>
      <c r="Z10" s="542" t="str">
        <f>IF(Idioma=Castellano,"Emisiones asociada a usos de vivienda",IF(Idioma=Valencià,"Emissions associades a ús d'habitatge"))</f>
        <v>Emisiones asociada a usos de vivienda</v>
      </c>
      <c r="AA10" s="1"/>
      <c r="AB10" s="1"/>
      <c r="AC10" s="1"/>
      <c r="AD10" s="1"/>
      <c r="AE10" s="1"/>
      <c r="AF10" s="542" t="str">
        <f>IF(Idioma=Castellano,"Emisiones energética asociadas a los tipos de viviendas",IF(Idioma=Valencià,"Emissions energètica associades als tipus d'habitatges"))</f>
        <v>Emisiones energética asociadas a los tipos de viviendas</v>
      </c>
      <c r="AG10" s="1"/>
      <c r="AH10" s="1"/>
      <c r="AI10" s="1"/>
      <c r="AJ10" s="1"/>
      <c r="AK10" s="1"/>
      <c r="AL10" s="1"/>
      <c r="AM10" s="1"/>
      <c r="AN10" s="1"/>
      <c r="AO10" s="1"/>
    </row>
    <row r="11" spans="1:41" ht="18">
      <c r="A11" s="205" t="s">
        <v>1</v>
      </c>
      <c r="B11" s="1"/>
      <c r="C11" s="47"/>
      <c r="D11" s="652" t="str">
        <f>IF(Idioma=Castellano,"Vivienda Unifamiliar",IF(Idioma=Valencià,"Habitatge Unifamiliar","Vivienda Unifamiliar"))</f>
        <v>Vivienda Unifamiliar</v>
      </c>
      <c r="E11" s="654"/>
      <c r="F11" s="653"/>
      <c r="G11" s="652" t="str">
        <f>IF(Idioma=Castellano,"Vivienda Plurifamiliar",IF(Idioma=Valencià,"Habitatge Plurifamiliar","Vivienda Plurifamiliar"))</f>
        <v>Vivienda Plurifamiliar</v>
      </c>
      <c r="H11" s="654"/>
      <c r="I11" s="653"/>
      <c r="J11" s="158"/>
      <c r="K11" s="48"/>
      <c r="L11" s="1"/>
      <c r="M11" s="1"/>
      <c r="N11" s="542" t="str">
        <f>IF(Idioma=Castellano,"Demanda asociada a usos de vivienda",IF(Idioma=Valencià,"Demanda associades a ús d'habitatge"))</f>
        <v>Demanda asociada a usos de vivienda</v>
      </c>
      <c r="O11" s="1"/>
      <c r="P11" s="1"/>
      <c r="Q11" s="1"/>
      <c r="R11" s="1"/>
      <c r="S11" s="542" t="str">
        <f>IF(Idioma=Castellano,"Demanda energética asociadas a los tipos de viviendas",IF(Idioma=Valencià,"Demanda energètica associades als tipus d'habitatges"))</f>
        <v>Demanda energética asociadas a los tipos de viviendas</v>
      </c>
      <c r="U11" s="1"/>
      <c r="V11" s="1"/>
      <c r="W11" s="1"/>
      <c r="X11" s="1"/>
      <c r="Y11" s="46"/>
      <c r="Z11" s="1"/>
      <c r="AA11" s="1"/>
      <c r="AB11" s="1"/>
      <c r="AC11" s="1"/>
      <c r="AD11" s="1"/>
      <c r="AE11" s="1"/>
      <c r="AF11" s="1"/>
      <c r="AG11" s="1"/>
      <c r="AH11" s="1"/>
      <c r="AI11" s="1"/>
      <c r="AJ11" s="1"/>
      <c r="AK11" s="1"/>
      <c r="AL11" s="1"/>
      <c r="AM11" s="1"/>
      <c r="AN11" s="1"/>
      <c r="AO11" s="1"/>
    </row>
    <row r="12" spans="1:41" ht="14.4">
      <c r="A12" s="205" t="s">
        <v>2</v>
      </c>
      <c r="B12" s="1"/>
      <c r="C12" s="289" t="s">
        <v>622</v>
      </c>
      <c r="D12" s="309" t="str">
        <f>IF(Idioma=Castellano,"Superficie (m2)",IF(Idioma=Valencià,"Superfície (m2)","Superficie (m2)"))</f>
        <v>Superficie (m2)</v>
      </c>
      <c r="E12" s="309" t="s">
        <v>948</v>
      </c>
      <c r="F12" s="526" t="str">
        <f>IF(Idioma=Castellano,"Emisiones (t CO2e)",IF(Idioma=Valencià,"Emissions (t CO2e) ","Emisiones (t CO2e)"))</f>
        <v>Emisiones (t CO2e)</v>
      </c>
      <c r="G12" s="541" t="str">
        <f>IF(Idioma=Castellano,"Superficie (m2)",IF(Idioma=Valencià,"Superfície (m2)","Superficie (m2)"))</f>
        <v>Superficie (m2)</v>
      </c>
      <c r="H12" s="541" t="s">
        <v>948</v>
      </c>
      <c r="I12" s="526" t="str">
        <f>IF(Idioma=Castellano,"Emisiones (t CO2e)",IF(Idioma=Valencià,"Emissions (t CO2e) ","Emisiones (t CO2e)"))</f>
        <v>Emisiones (t CO2e)</v>
      </c>
      <c r="J12" s="309" t="str">
        <f>IF(Idioma=Castellano,"Total Demanda (MWh/año)",IF(Idioma=Valencià,"Total Demanda (MWh/any)","Total Demanda (MWh/año)"))</f>
        <v>Total Demanda (MWh/año)</v>
      </c>
      <c r="K12" s="526" t="str">
        <f>IF(Idioma=Castellano,"Total de emisiones (t CO2e/año)",IF(Idioma=Valencià,"Total d'emissions (t CO2e/any) ","Total de emisiones (t CO2e/año)"))</f>
        <v>Total de emisiones (t CO2e/año)</v>
      </c>
      <c r="L12" s="1"/>
      <c r="M12" s="1"/>
      <c r="N12" s="7"/>
      <c r="O12" s="7"/>
      <c r="P12" s="7"/>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ht="14.4">
      <c r="A13" s="205" t="s">
        <v>3</v>
      </c>
      <c r="B13" s="1"/>
      <c r="C13" s="289" t="str">
        <f>IF(Idioma=Castellano,"Existente",IF(Idioma=Valencià,"Existent","Existente"))</f>
        <v>Existente</v>
      </c>
      <c r="D13" s="551">
        <f>SUMIF(M_Datos!$I$24:$I$26,M_Lista!G3,M_Datos!$G$24:$G$26)</f>
        <v>0</v>
      </c>
      <c r="E13" s="312" t="e">
        <f>D13*VLOOKUP($D$11&amp;M_Datos!$E$12&amp;M_A0!C13,M_Factores!$F$10:$H$207,2,FALSE)/(10^3)</f>
        <v>#N/A</v>
      </c>
      <c r="F13" s="313" t="e">
        <f>D13*VLOOKUP($D$11&amp;M_Datos!$E$12&amp;M_A0!C13,M_Factores!$F$10:$H$207,3,FALSE)/1000</f>
        <v>#N/A</v>
      </c>
      <c r="G13" s="551">
        <f>SUMIF(M_Datos!$I$27:$I$29,M_Lista!G3,M_Datos!$G$27:$G$29)</f>
        <v>0</v>
      </c>
      <c r="H13" s="312" t="e">
        <f>G13*VLOOKUP($G$11&amp;M_Datos!$E$12&amp;M_A0!C13,M_Factores!$F$10:$H$207,2,FALSE)/(10^3)</f>
        <v>#N/A</v>
      </c>
      <c r="I13" s="313" t="e">
        <f>G13*VLOOKUP($G$11&amp;M_Datos!$E$12&amp;M_A0!C13,M_Factores!$F$10:$H$207,3,FALSE)/1000</f>
        <v>#N/A</v>
      </c>
      <c r="J13" s="314" t="e">
        <f>E13+H13</f>
        <v>#N/A</v>
      </c>
      <c r="K13" s="313" t="e">
        <f t="shared" ref="K13:K21" si="0">F13+I13</f>
        <v>#N/A</v>
      </c>
      <c r="L13" s="1"/>
      <c r="M13" s="1"/>
      <c r="N13" s="7"/>
      <c r="O13" s="7"/>
      <c r="P13" s="7"/>
      <c r="Q13" s="1"/>
      <c r="R13" s="1"/>
      <c r="S13" s="1"/>
      <c r="T13" s="1"/>
      <c r="U13" s="1"/>
      <c r="V13" s="1"/>
      <c r="W13" s="1"/>
      <c r="X13" s="1"/>
      <c r="Y13" s="46"/>
      <c r="Z13" s="1"/>
      <c r="AA13" s="1"/>
      <c r="AB13" s="1"/>
      <c r="AC13" s="1"/>
      <c r="AD13" s="1"/>
      <c r="AE13" s="1"/>
      <c r="AF13" s="1"/>
      <c r="AG13" s="1"/>
      <c r="AH13" s="1"/>
      <c r="AI13" s="1"/>
      <c r="AJ13" s="1"/>
      <c r="AK13" s="1"/>
      <c r="AL13" s="1"/>
      <c r="AM13" s="1"/>
      <c r="AN13" s="1"/>
      <c r="AO13" s="1"/>
    </row>
    <row r="14" spans="1:41" ht="14.4">
      <c r="A14" s="205" t="s">
        <v>4</v>
      </c>
      <c r="B14" s="1"/>
      <c r="C14" s="289" t="s">
        <v>625</v>
      </c>
      <c r="D14" s="551">
        <f>SUMIF(M_Datos!$I$24:$I$26,M_Lista!G4,M_Datos!$G$24:$G$26)</f>
        <v>0</v>
      </c>
      <c r="E14" s="312" t="e">
        <f>D14*VLOOKUP($D$11&amp;M_Datos!$E$12&amp;M_A0!C14,M_Factores!$F$10:$H$207,2,FALSE)/(10^3)</f>
        <v>#N/A</v>
      </c>
      <c r="F14" s="313" t="e">
        <f>D14*VLOOKUP($D$11&amp;M_Datos!$E$12&amp;M_A0!C14,M_Factores!$F$10:$H$207,3,FALSE)/1000</f>
        <v>#N/A</v>
      </c>
      <c r="G14" s="551">
        <f>SUMIF(M_Datos!$I$27:$I$29,M_Lista!G4,M_Datos!$G$27:$G$29)</f>
        <v>0</v>
      </c>
      <c r="H14" s="312" t="e">
        <f>G14*VLOOKUP($G$11&amp;M_Datos!$E$12&amp;M_A0!C14,M_Factores!$F$10:$H$207,2,FALSE)/(10^3)</f>
        <v>#N/A</v>
      </c>
      <c r="I14" s="313" t="e">
        <f>G14*VLOOKUP($G$11&amp;M_Datos!$E$12&amp;M_A0!C14,M_Factores!$F$10:$H$207,3,FALSE)/1000</f>
        <v>#N/A</v>
      </c>
      <c r="J14" s="314" t="e">
        <f t="shared" ref="J14:J21" si="1">E14+H14</f>
        <v>#N/A</v>
      </c>
      <c r="K14" s="313" t="e">
        <f t="shared" si="0"/>
        <v>#N/A</v>
      </c>
      <c r="L14" s="1"/>
      <c r="M14" s="1"/>
      <c r="N14" s="49" t="e">
        <f>F22</f>
        <v>#N/A</v>
      </c>
      <c r="O14" s="49" t="e">
        <f>I22</f>
        <v>#N/A</v>
      </c>
      <c r="P14" s="7"/>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ht="14.4">
      <c r="A15" s="205" t="s">
        <v>5</v>
      </c>
      <c r="B15" s="1"/>
      <c r="C15" s="289" t="s">
        <v>626</v>
      </c>
      <c r="D15" s="551">
        <f>SUMIF(M_Datos!$I$24:$I$26,M_Lista!G5,M_Datos!$G$24:$G$26)</f>
        <v>0</v>
      </c>
      <c r="E15" s="312" t="e">
        <f>D15*VLOOKUP($D$11&amp;M_Datos!$E$12&amp;M_A0!C15,M_Factores!$F$10:$H$207,2,FALSE)/(10^3)</f>
        <v>#N/A</v>
      </c>
      <c r="F15" s="313" t="e">
        <f>D15*VLOOKUP($D$11&amp;M_Datos!$E$12&amp;M_A0!C15,M_Factores!$F$10:$H$207,3,FALSE)/1000</f>
        <v>#N/A</v>
      </c>
      <c r="G15" s="551">
        <f>SUMIF(M_Datos!$I$27:$I$29,M_Lista!G5,M_Datos!$G$27:$G$29)</f>
        <v>0</v>
      </c>
      <c r="H15" s="312" t="e">
        <f>G15*VLOOKUP($G$11&amp;M_Datos!$E$12&amp;M_A0!C15,M_Factores!$F$10:$H$207,2,FALSE)/(10^3)</f>
        <v>#N/A</v>
      </c>
      <c r="I15" s="313" t="e">
        <f>G15*VLOOKUP($G$11&amp;M_Datos!$E$12&amp;M_A0!C15,M_Factores!$F$10:$H$207,3,FALSE)/1000</f>
        <v>#N/A</v>
      </c>
      <c r="J15" s="314" t="e">
        <f t="shared" si="1"/>
        <v>#N/A</v>
      </c>
      <c r="K15" s="313" t="e">
        <f t="shared" si="0"/>
        <v>#N/A</v>
      </c>
      <c r="L15" s="1"/>
      <c r="M15" s="1"/>
      <c r="N15" s="7"/>
      <c r="O15" s="7"/>
      <c r="P15" s="7"/>
      <c r="Q15" s="1"/>
      <c r="R15" s="1"/>
      <c r="S15" s="1"/>
      <c r="T15" s="1"/>
      <c r="U15" s="1"/>
      <c r="V15" s="1"/>
      <c r="W15" s="1"/>
      <c r="X15" s="1"/>
      <c r="Y15" s="46"/>
      <c r="Z15" s="1"/>
      <c r="AA15" s="1"/>
      <c r="AB15" s="1"/>
      <c r="AC15" s="1"/>
      <c r="AD15" s="1"/>
      <c r="AE15" s="1"/>
      <c r="AF15" s="1"/>
      <c r="AG15" s="1"/>
      <c r="AH15" s="1"/>
      <c r="AI15" s="1"/>
      <c r="AJ15" s="1"/>
      <c r="AK15" s="1"/>
      <c r="AL15" s="1"/>
      <c r="AM15" s="1"/>
      <c r="AN15" s="1"/>
      <c r="AO15" s="1"/>
    </row>
    <row r="16" spans="1:41" ht="14.4">
      <c r="A16" s="204" t="str">
        <f>IF(Idioma=Castellano,"3. Resultados",IF(Idioma=Valencià,"3. Resultats","3. Resultados"))</f>
        <v>3. Resultados</v>
      </c>
      <c r="B16" s="1"/>
      <c r="C16" s="289" t="s">
        <v>627</v>
      </c>
      <c r="D16" s="551">
        <f>SUMIF(M_Datos!$I$24:$I$26,M_Lista!G6,M_Datos!$G$24:$G$26)</f>
        <v>0</v>
      </c>
      <c r="E16" s="312" t="e">
        <f>D16*VLOOKUP($D$11&amp;M_Datos!$E$12&amp;M_A0!C16,M_Factores!$F$10:$H$207,2,FALSE)/(10^3)</f>
        <v>#N/A</v>
      </c>
      <c r="F16" s="313" t="e">
        <f>D16*VLOOKUP($D$11&amp;M_Datos!$E$12&amp;M_A0!C16,M_Factores!$F$10:$H$207,3,FALSE)/1000</f>
        <v>#N/A</v>
      </c>
      <c r="G16" s="551">
        <f>SUMIF(M_Datos!$I$27:$I$29,M_Lista!G6,M_Datos!$G$27:$G$29)</f>
        <v>0</v>
      </c>
      <c r="H16" s="312" t="e">
        <f>G16*VLOOKUP($G$11&amp;M_Datos!$E$12&amp;M_A0!C16,M_Factores!$F$10:$H$207,2,FALSE)/(10^3)</f>
        <v>#N/A</v>
      </c>
      <c r="I16" s="313" t="e">
        <f>G16*VLOOKUP($G$11&amp;M_Datos!$E$12&amp;M_A0!C16,M_Factores!$F$10:$H$207,3,FALSE)/1000</f>
        <v>#N/A</v>
      </c>
      <c r="J16" s="314" t="e">
        <f t="shared" si="1"/>
        <v>#N/A</v>
      </c>
      <c r="K16" s="313" t="e">
        <f t="shared" si="0"/>
        <v>#N/A</v>
      </c>
      <c r="L16" s="1"/>
      <c r="M16" s="1"/>
      <c r="N16" s="7"/>
      <c r="O16" s="7"/>
      <c r="P16" s="7"/>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4.4">
      <c r="A17" s="204" t="str">
        <f>IF(Idioma=Castellano,"4. Factores de emisión",IF(Idioma=Valencià,"4. Factors d'emissió","4. Factores de emisión"))</f>
        <v>4. Factores de emisión</v>
      </c>
      <c r="B17" s="1"/>
      <c r="C17" s="289" t="s">
        <v>628</v>
      </c>
      <c r="D17" s="551">
        <f>SUMIF(M_Datos!$I$24:$I$26,M_Lista!G7,M_Datos!$G$24:$G$26)</f>
        <v>0</v>
      </c>
      <c r="E17" s="312" t="e">
        <f>D17*VLOOKUP($D$11&amp;M_Datos!$E$12&amp;M_A0!C17,M_Factores!$F$10:$H$207,2,FALSE)/(10^3)</f>
        <v>#N/A</v>
      </c>
      <c r="F17" s="313" t="e">
        <f>D17*VLOOKUP($D$11&amp;M_Datos!$E$12&amp;M_A0!C17,M_Factores!$F$10:$H$207,3,FALSE)/1000</f>
        <v>#N/A</v>
      </c>
      <c r="G17" s="551">
        <f>SUMIF(M_Datos!$I$27:$I$29,M_Lista!G7,M_Datos!$G$27:$G$29)</f>
        <v>0</v>
      </c>
      <c r="H17" s="312" t="e">
        <f>G17*VLOOKUP($G$11&amp;M_Datos!$E$12&amp;M_A0!C17,M_Factores!$F$10:$H$207,2,FALSE)/(10^3)</f>
        <v>#N/A</v>
      </c>
      <c r="I17" s="313" t="e">
        <f>G17*VLOOKUP($G$11&amp;M_Datos!$E$12&amp;M_A0!C17,M_Factores!$F$10:$H$207,3,FALSE)/1000</f>
        <v>#N/A</v>
      </c>
      <c r="J17" s="314" t="e">
        <f t="shared" si="1"/>
        <v>#N/A</v>
      </c>
      <c r="K17" s="313" t="e">
        <f t="shared" si="0"/>
        <v>#N/A</v>
      </c>
      <c r="L17" s="1"/>
      <c r="M17" s="1"/>
      <c r="N17" s="7"/>
      <c r="O17" s="7"/>
      <c r="P17" s="7"/>
      <c r="Q17" s="1"/>
      <c r="R17" s="1"/>
      <c r="S17" s="1"/>
      <c r="T17" s="1"/>
      <c r="U17" s="1"/>
      <c r="V17" s="1"/>
      <c r="W17" s="1"/>
      <c r="X17" s="1"/>
      <c r="Y17" s="46"/>
      <c r="Z17" s="1"/>
      <c r="AA17" s="1"/>
      <c r="AB17" s="1"/>
      <c r="AC17" s="1"/>
      <c r="AD17" s="1"/>
      <c r="AE17" s="1"/>
      <c r="AF17" s="3"/>
      <c r="AG17" s="3"/>
      <c r="AH17" s="3"/>
      <c r="AI17" s="3"/>
      <c r="AJ17" s="3"/>
      <c r="AK17" s="3"/>
      <c r="AL17" s="3"/>
      <c r="AM17" s="3"/>
      <c r="AN17" s="3"/>
      <c r="AO17" s="3"/>
    </row>
    <row r="18" spans="1:41" ht="14.4">
      <c r="A18" s="203" t="str">
        <f>IF(Idioma=Castellano,"Sección de Adaptación",IF(Idioma=Valencià,"Secció d'Adaptació","Sección de Adaptación"))</f>
        <v>Sección de Adaptación</v>
      </c>
      <c r="B18" s="3"/>
      <c r="C18" s="289" t="s">
        <v>629</v>
      </c>
      <c r="D18" s="551">
        <f>SUMIF(M_Datos!$I$24:$I$26,M_Lista!G8,M_Datos!$G$24:$G$26)</f>
        <v>0</v>
      </c>
      <c r="E18" s="312" t="e">
        <f>D18*VLOOKUP($D$11&amp;M_Datos!$E$12&amp;M_A0!C18,M_Factores!$F$10:$H$207,2,FALSE)/(10^3)</f>
        <v>#N/A</v>
      </c>
      <c r="F18" s="313" t="e">
        <f>D18*VLOOKUP($D$11&amp;M_Datos!$E$12&amp;M_A0!C18,M_Factores!$F$10:$H$207,3,FALSE)/1000</f>
        <v>#N/A</v>
      </c>
      <c r="G18" s="551">
        <f>SUMIF(M_Datos!$I$27:$I$29,M_Lista!G8,M_Datos!$G$27:$G$29)</f>
        <v>0</v>
      </c>
      <c r="H18" s="312" t="e">
        <f>G18*VLOOKUP($G$11&amp;M_Datos!$E$12&amp;M_A0!C18,M_Factores!$F$10:$H$207,2,FALSE)/(10^3)</f>
        <v>#N/A</v>
      </c>
      <c r="I18" s="313" t="e">
        <f>G18*VLOOKUP($G$11&amp;M_Datos!$E$12&amp;M_A0!C18,M_Factores!$F$10:$H$207,3,FALSE)/1000</f>
        <v>#N/A</v>
      </c>
      <c r="J18" s="314" t="e">
        <f t="shared" si="1"/>
        <v>#N/A</v>
      </c>
      <c r="K18" s="313" t="e">
        <f t="shared" si="0"/>
        <v>#N/A</v>
      </c>
      <c r="L18" s="1"/>
      <c r="M18" s="1"/>
      <c r="N18" s="7"/>
      <c r="O18" s="7"/>
      <c r="P18" s="7"/>
      <c r="Q18" s="1"/>
      <c r="R18" s="1"/>
      <c r="S18" s="1"/>
      <c r="T18" s="1"/>
      <c r="U18" s="1"/>
      <c r="V18" s="1"/>
      <c r="W18" s="1"/>
      <c r="X18" s="1"/>
      <c r="Y18" s="1"/>
      <c r="Z18" s="1"/>
      <c r="AA18" s="1"/>
      <c r="AB18" s="1"/>
      <c r="AC18" s="1"/>
      <c r="AD18" s="1"/>
      <c r="AE18" s="1"/>
      <c r="AF18" s="3"/>
      <c r="AG18" s="3"/>
      <c r="AH18" s="3"/>
      <c r="AI18" s="3"/>
      <c r="AJ18" s="3"/>
      <c r="AK18" s="3"/>
      <c r="AL18" s="3"/>
      <c r="AM18" s="3"/>
      <c r="AN18" s="3"/>
      <c r="AO18" s="3"/>
    </row>
    <row r="19" spans="1:41" ht="14.4">
      <c r="A19" s="204" t="str">
        <f>IF(Idioma=Castellano,"1. Alcance",IF(Idioma=Valencià,"1. Abast","1. Alcance"))</f>
        <v>1. Alcance</v>
      </c>
      <c r="B19" s="3"/>
      <c r="C19" s="289" t="s">
        <v>630</v>
      </c>
      <c r="D19" s="551">
        <f>SUMIF(M_Datos!$I$24:$I$26,M_Lista!G9,M_Datos!$G$24:$G$26)</f>
        <v>0</v>
      </c>
      <c r="E19" s="312" t="e">
        <f>D19*VLOOKUP($D$11&amp;M_Datos!$E$12&amp;M_A0!C19,M_Factores!$F$10:$H$207,2,FALSE)/(10^3)</f>
        <v>#N/A</v>
      </c>
      <c r="F19" s="313" t="e">
        <f>D19*VLOOKUP($D$11&amp;M_Datos!$E$12&amp;M_A0!C19,M_Factores!$F$10:$H$207,3,FALSE)/1000</f>
        <v>#N/A</v>
      </c>
      <c r="G19" s="551">
        <f>SUMIF(M_Datos!$I$27:$I$29,M_Lista!G9,M_Datos!$G$27:$G$29)</f>
        <v>0</v>
      </c>
      <c r="H19" s="312" t="e">
        <f>G19*VLOOKUP($G$11&amp;M_Datos!$E$12&amp;M_A0!C19,M_Factores!$F$10:$H$207,2,FALSE)/(10^3)</f>
        <v>#N/A</v>
      </c>
      <c r="I19" s="313" t="e">
        <f>G19*VLOOKUP($G$11&amp;M_Datos!$E$12&amp;M_A0!C19,M_Factores!$F$10:$H$207,3,FALSE)/1000</f>
        <v>#N/A</v>
      </c>
      <c r="J19" s="314" t="e">
        <f t="shared" si="1"/>
        <v>#N/A</v>
      </c>
      <c r="K19" s="313" t="e">
        <f t="shared" si="0"/>
        <v>#N/A</v>
      </c>
      <c r="L19" s="1"/>
      <c r="M19" s="1"/>
      <c r="N19" s="7"/>
      <c r="O19" s="7"/>
      <c r="P19" s="7"/>
      <c r="Q19" s="1"/>
      <c r="R19" s="1"/>
      <c r="S19" s="1"/>
      <c r="T19" s="1"/>
      <c r="U19" s="1"/>
      <c r="V19" s="1"/>
      <c r="W19" s="1"/>
      <c r="X19" s="1"/>
      <c r="Y19" s="46"/>
      <c r="Z19" s="1"/>
      <c r="AA19" s="1"/>
      <c r="AB19" s="1"/>
      <c r="AC19" s="1"/>
      <c r="AD19" s="1"/>
      <c r="AE19" s="1"/>
      <c r="AF19" s="1"/>
      <c r="AG19" s="1"/>
      <c r="AH19" s="1"/>
      <c r="AI19" s="1"/>
      <c r="AJ19" s="1"/>
      <c r="AK19" s="1"/>
      <c r="AL19" s="1"/>
      <c r="AM19" s="1"/>
      <c r="AN19" s="1"/>
      <c r="AO19" s="1"/>
    </row>
    <row r="20" spans="1:41" ht="14.4">
      <c r="A20" s="204" t="s">
        <v>6</v>
      </c>
      <c r="B20" s="1"/>
      <c r="C20" s="289" t="str">
        <f>IF(Idioma=Castellano,"Consumo nulo",IF(Idioma=Valencià,"Consum nul","Consumo nulo"))</f>
        <v>Consumo nulo</v>
      </c>
      <c r="D20" s="551">
        <f>SUMIF(M_Datos!$I$24:$I$26,M_Lista!G10,M_Datos!$G$24:$G$26)</f>
        <v>0</v>
      </c>
      <c r="E20" s="312" t="e">
        <f>D20*VLOOKUP($D$11&amp;M_Datos!$E$12&amp;M_A0!C20,M_Factores!$F$10:$H$207,2,FALSE)/(10^3)</f>
        <v>#N/A</v>
      </c>
      <c r="F20" s="313" t="e">
        <f>D20*VLOOKUP($D$11&amp;M_Datos!$E$12&amp;M_A0!C20,M_Factores!$F$10:$H$207,3,FALSE)/1000</f>
        <v>#N/A</v>
      </c>
      <c r="G20" s="551">
        <f>SUMIF(M_Datos!$I$27:$I$29,M_Lista!G10,M_Datos!$G$27:$G$29)</f>
        <v>0</v>
      </c>
      <c r="H20" s="312" t="e">
        <f>G20*VLOOKUP($G$11&amp;M_Datos!$E$12&amp;M_A0!C20,M_Factores!$F$10:$H$207,2,FALSE)/(10^3)</f>
        <v>#N/A</v>
      </c>
      <c r="I20" s="313" t="e">
        <f>G20*VLOOKUP($G$11&amp;M_Datos!$E$12&amp;M_A0!C20,M_Factores!$F$10:$H$207,3,FALSE)/1000</f>
        <v>#N/A</v>
      </c>
      <c r="J20" s="314" t="e">
        <f t="shared" si="1"/>
        <v>#N/A</v>
      </c>
      <c r="K20" s="313" t="e">
        <f t="shared" si="0"/>
        <v>#N/A</v>
      </c>
      <c r="L20" s="1"/>
      <c r="M20" s="1"/>
      <c r="N20" s="7"/>
      <c r="O20" s="7"/>
      <c r="P20" s="7"/>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41" ht="14.4">
      <c r="A21" s="204" t="str">
        <f>IF(Idioma=Castellano,"3. Resultados",IF(Idioma=Valencià,"3. Resultats","3. Resultados"))</f>
        <v>3. Resultados</v>
      </c>
      <c r="B21" s="1"/>
      <c r="C21" s="289" t="str">
        <f>IF(Idioma=Castellano,"Sin definir",IF(Idioma=Valencià,"Sense definir","Sin definir"))</f>
        <v>Sin definir</v>
      </c>
      <c r="D21" s="551">
        <f>SUMIF(M_Datos!$I$24:$I$26,M_Lista!G11,M_Datos!$G$24:$G$26)</f>
        <v>0</v>
      </c>
      <c r="E21" s="312" t="e">
        <f>D21*VLOOKUP($D$11&amp;M_Datos!$E$12&amp;M_A0!C21,M_Factores!$F$10:$H$207,2,FALSE)/(10^3)</f>
        <v>#N/A</v>
      </c>
      <c r="F21" s="313" t="e">
        <f>D21*VLOOKUP($D$11&amp;M_Datos!$E$12&amp;M_A0!C21,M_Factores!$F$10:$H$207,3,FALSE)/1000</f>
        <v>#N/A</v>
      </c>
      <c r="G21" s="551">
        <f>SUMIF(M_Datos!$I$27:$I$29,M_Lista!G11,M_Datos!$G$27:$G$29)</f>
        <v>0</v>
      </c>
      <c r="H21" s="312" t="e">
        <f>G21*VLOOKUP($G$11&amp;M_Datos!$E$12&amp;M_A0!C21,M_Factores!$F$10:$H$207,2,FALSE)/(10^3)</f>
        <v>#N/A</v>
      </c>
      <c r="I21" s="313" t="e">
        <f>G21*VLOOKUP($G$11&amp;M_Datos!$E$12&amp;M_A0!C21,M_Factores!$F$10:$H$207,3,FALSE)/1000</f>
        <v>#N/A</v>
      </c>
      <c r="J21" s="314" t="e">
        <f t="shared" si="1"/>
        <v>#N/A</v>
      </c>
      <c r="K21" s="313" t="e">
        <f t="shared" si="0"/>
        <v>#N/A</v>
      </c>
      <c r="L21" s="1"/>
      <c r="M21" s="1"/>
      <c r="N21" s="1"/>
      <c r="O21" s="1"/>
      <c r="P21" s="1"/>
      <c r="Q21" s="1"/>
      <c r="R21" s="1"/>
      <c r="S21" s="1"/>
      <c r="T21" s="1"/>
      <c r="U21" s="1"/>
      <c r="V21" s="1"/>
      <c r="W21" s="1"/>
      <c r="X21" s="1"/>
      <c r="Y21" s="46"/>
      <c r="Z21" s="1"/>
      <c r="AA21" s="1"/>
      <c r="AB21" s="1"/>
      <c r="AC21" s="1"/>
      <c r="AD21" s="1"/>
      <c r="AE21" s="1"/>
      <c r="AF21" s="1"/>
      <c r="AG21" s="1"/>
      <c r="AH21" s="1"/>
      <c r="AI21" s="1"/>
      <c r="AJ21" s="1"/>
      <c r="AK21" s="1"/>
      <c r="AL21" s="1"/>
      <c r="AM21" s="1"/>
      <c r="AN21" s="1"/>
      <c r="AO21" s="1"/>
    </row>
    <row r="22" spans="1:41" ht="14.4">
      <c r="A22" s="203" t="str">
        <f>IF(Idioma=Castellano,"Resultados generales",IF(Idioma=Valencià,"Resultats generals","Resultados generales"))</f>
        <v>Resultados generales</v>
      </c>
      <c r="B22" s="1"/>
      <c r="C22" s="315" t="s">
        <v>631</v>
      </c>
      <c r="D22" s="552">
        <f t="shared" ref="D22:I22" si="2">SUM(D13:D21)</f>
        <v>0</v>
      </c>
      <c r="E22" s="314" t="e">
        <f t="shared" si="2"/>
        <v>#N/A</v>
      </c>
      <c r="F22" s="317" t="e">
        <f t="shared" si="2"/>
        <v>#N/A</v>
      </c>
      <c r="G22" s="552">
        <f t="shared" si="2"/>
        <v>0</v>
      </c>
      <c r="H22" s="314" t="e">
        <f t="shared" si="2"/>
        <v>#N/A</v>
      </c>
      <c r="I22" s="317" t="e">
        <f t="shared" si="2"/>
        <v>#N/A</v>
      </c>
      <c r="J22" s="314" t="e">
        <f>E22+H22</f>
        <v>#N/A</v>
      </c>
      <c r="K22" s="506" t="e">
        <f>F22+I22</f>
        <v>#N/A</v>
      </c>
      <c r="L22" s="39"/>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1" ht="22.95" customHeight="1">
      <c r="A23" s="203" t="str">
        <f>IF(Idioma=Castellano,"Medidas Propuestas",IF(Idioma=Valencià,"Mesures Proposades","Medidas Propuestas"))</f>
        <v>Medidas Propuestas</v>
      </c>
      <c r="B23" s="1"/>
      <c r="C23" s="1"/>
      <c r="D23" s="1"/>
      <c r="E23" s="1"/>
      <c r="F23" s="1"/>
      <c r="G23" s="1"/>
      <c r="H23" s="1"/>
      <c r="I23" s="1"/>
      <c r="J23" s="1"/>
      <c r="K23" s="1"/>
      <c r="L23" s="1"/>
      <c r="M23" s="1"/>
      <c r="N23" s="1"/>
      <c r="O23" s="1"/>
      <c r="P23" s="1"/>
      <c r="Q23" s="1"/>
      <c r="R23" s="1"/>
      <c r="S23" s="1"/>
      <c r="T23" s="1"/>
      <c r="U23" s="1"/>
      <c r="V23" s="1"/>
      <c r="W23" s="1"/>
      <c r="X23" s="1"/>
      <c r="Y23" s="46"/>
      <c r="Z23" s="1"/>
      <c r="AA23" s="1"/>
      <c r="AB23" s="1"/>
      <c r="AC23" s="1"/>
      <c r="AD23" s="1"/>
      <c r="AE23" s="1"/>
      <c r="AF23" s="1"/>
      <c r="AG23" s="1"/>
      <c r="AH23" s="1"/>
      <c r="AI23" s="1"/>
      <c r="AJ23" s="1"/>
      <c r="AK23" s="1"/>
      <c r="AL23" s="1"/>
      <c r="AM23" s="1"/>
      <c r="AN23" s="1"/>
      <c r="AO23" s="1"/>
    </row>
    <row r="24" spans="1:41">
      <c r="B24" s="1"/>
      <c r="C24" s="246" t="str">
        <f>IF(Idioma=Castellano,"A.2. Actividades económicas",IF(Idioma=Valencià,"A.2. Activitats econòmiques","A.2. Actividades económicas"))</f>
        <v>A.2. Actividades económicas</v>
      </c>
      <c r="D24" s="1"/>
      <c r="E24" s="1"/>
      <c r="F24" s="1"/>
      <c r="G24" s="1"/>
      <c r="H24" s="1"/>
      <c r="I24" s="1"/>
      <c r="J24" s="1"/>
      <c r="K24" s="1"/>
      <c r="L24" s="1"/>
      <c r="M24" s="1"/>
      <c r="N24" s="1"/>
      <c r="O24" s="39"/>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3.95" customHeight="1">
      <c r="A25" s="157"/>
      <c r="B25" s="1"/>
      <c r="C25" s="46"/>
      <c r="D25" s="1"/>
      <c r="E25" s="1"/>
      <c r="F25" s="1"/>
      <c r="G25" s="1"/>
      <c r="H25" s="1"/>
      <c r="I25" s="1"/>
      <c r="J25" s="1"/>
      <c r="K25" s="1"/>
      <c r="L25" s="1"/>
      <c r="M25" s="1"/>
      <c r="N25" s="1"/>
      <c r="O25" s="39"/>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0.199999999999999" customHeight="1">
      <c r="B26" s="1"/>
      <c r="C26" s="1"/>
      <c r="D26" s="1"/>
      <c r="E26" s="1"/>
      <c r="F26" s="1"/>
      <c r="G26" s="1"/>
      <c r="H26" s="1"/>
      <c r="I26" s="1"/>
      <c r="J26" s="1"/>
      <c r="K26" s="39"/>
      <c r="L26" s="1"/>
      <c r="M26" s="4"/>
      <c r="N26" s="1"/>
      <c r="O26" s="39"/>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c r="B27" s="1"/>
      <c r="C27" s="1"/>
      <c r="D27" s="652" t="s">
        <v>632</v>
      </c>
      <c r="E27" s="654"/>
      <c r="F27" s="653"/>
      <c r="G27" s="1"/>
      <c r="H27" s="1"/>
      <c r="I27" s="1"/>
      <c r="J27" s="1"/>
      <c r="K27" s="39"/>
      <c r="L27" s="1"/>
      <c r="M27" s="4"/>
      <c r="N27" s="1"/>
      <c r="O27" s="39"/>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c r="B28" s="1"/>
      <c r="C28" s="230" t="str">
        <f>IF(Idioma=Castellano,"Tipo",IF(Idioma=Valencià,"Tipus"))</f>
        <v>Tipo</v>
      </c>
      <c r="D28" s="309" t="s">
        <v>623</v>
      </c>
      <c r="E28" s="503" t="s">
        <v>948</v>
      </c>
      <c r="F28" s="309" t="str">
        <f>IF(Idioma=Castellano,"Emisiones (t CO2e)",IF(Idioma=Valencià,"Emissions (t CO2e) ","Emisiones (t CO2e)"))</f>
        <v>Emisiones (t CO2e)</v>
      </c>
      <c r="G28" s="1"/>
      <c r="H28" s="1"/>
      <c r="I28" s="1"/>
      <c r="J28" s="1"/>
      <c r="K28" s="39"/>
      <c r="L28" s="1"/>
      <c r="M28" s="4"/>
      <c r="N28" s="1"/>
      <c r="O28" s="39"/>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c r="B29" s="1"/>
      <c r="C29" s="230" t="str">
        <f>M_Datos!L78</f>
        <v>Sin especificar</v>
      </c>
      <c r="D29" s="551">
        <f>M_Cálculos!E118</f>
        <v>0</v>
      </c>
      <c r="E29" s="312">
        <f>M_Cálculos!F118</f>
        <v>0</v>
      </c>
      <c r="F29" s="313">
        <f>M_Cálculos!G118</f>
        <v>0</v>
      </c>
      <c r="G29" s="1"/>
      <c r="H29" s="1"/>
      <c r="I29" s="1"/>
      <c r="J29" s="1"/>
      <c r="K29" s="39"/>
      <c r="L29" s="1"/>
      <c r="M29" s="4"/>
      <c r="N29" s="1"/>
      <c r="O29" s="39"/>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c r="B30" s="1"/>
      <c r="C30" s="230" t="str">
        <f>M_Datos!L81</f>
        <v>Cerámica</v>
      </c>
      <c r="D30" s="551">
        <f>M_Cálculos!E119</f>
        <v>0</v>
      </c>
      <c r="E30" s="312">
        <f>M_Cálculos!F119</f>
        <v>0</v>
      </c>
      <c r="F30" s="313">
        <f>M_Cálculos!G119</f>
        <v>0</v>
      </c>
      <c r="G30" s="1"/>
      <c r="H30" s="1"/>
      <c r="I30" s="1"/>
      <c r="J30" s="1"/>
      <c r="K30" s="39"/>
      <c r="L30" s="1"/>
      <c r="M30" s="4"/>
      <c r="N30" s="1"/>
      <c r="O30" s="39"/>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8">
      <c r="B31" s="1"/>
      <c r="C31" s="230" t="str">
        <f>M_Datos!L84</f>
        <v>Agroalimentaria</v>
      </c>
      <c r="D31" s="551">
        <f>M_Cálculos!E120</f>
        <v>0</v>
      </c>
      <c r="E31" s="312">
        <f>M_Cálculos!F120</f>
        <v>0</v>
      </c>
      <c r="F31" s="313">
        <f>M_Cálculos!G120</f>
        <v>0</v>
      </c>
      <c r="G31" s="1"/>
      <c r="H31" s="1"/>
      <c r="I31" s="1"/>
      <c r="J31" s="1"/>
      <c r="K31" s="39"/>
      <c r="L31" s="1"/>
      <c r="M31" s="4"/>
      <c r="N31" s="542" t="str">
        <f>IF(Idioma=Castellano,"Demanda asociada  actividades económicas",IF(Idioma=Valencià,"Demanda associada activitats econòmiques"))</f>
        <v>Demanda asociada  actividades económicas</v>
      </c>
      <c r="P31" s="1"/>
      <c r="Q31" s="1"/>
      <c r="R31" s="1"/>
      <c r="S31" s="1"/>
      <c r="T31" s="542" t="str">
        <f>IF(Idioma=Castellano,"Demanda asociada a  terciario",IF(Idioma=Valencià,"Demanda associada  a terciari"))</f>
        <v>Demanda asociada a  terciario</v>
      </c>
      <c r="U31" s="1"/>
      <c r="V31" s="1"/>
      <c r="W31" s="1"/>
      <c r="X31" s="1"/>
      <c r="Y31" s="1"/>
      <c r="Z31" s="542" t="str">
        <f>IF(Idioma=Castellano,"Emisiones asociadas  actividades económicas",IF(Idioma=Valencià,"Emissions associades activitats econòmiques"))</f>
        <v>Emisiones asociadas  actividades económicas</v>
      </c>
      <c r="AA31" s="1"/>
      <c r="AB31" s="1"/>
      <c r="AC31" s="1"/>
      <c r="AD31" s="1"/>
      <c r="AE31" s="1"/>
      <c r="AF31" s="1"/>
      <c r="AG31" s="542" t="str">
        <f>IF(Idioma=Castellano,"Emisiones asociadas a  terciario",IF(Idioma=Valencià,"Emissions associades  a terciari"))</f>
        <v>Emisiones asociadas a  terciario</v>
      </c>
      <c r="AH31" s="1"/>
      <c r="AI31" s="1"/>
      <c r="AJ31" s="1"/>
      <c r="AK31" s="1"/>
      <c r="AL31" s="1"/>
      <c r="AM31" s="1"/>
      <c r="AN31" s="1"/>
      <c r="AO31" s="1"/>
    </row>
    <row r="32" spans="1:41">
      <c r="B32" s="1"/>
      <c r="C32" s="230" t="str">
        <f>M_Datos!L87</f>
        <v>Logística</v>
      </c>
      <c r="D32" s="551">
        <f>M_Cálculos!E121</f>
        <v>0</v>
      </c>
      <c r="E32" s="312">
        <f>M_Cálculos!F121</f>
        <v>0</v>
      </c>
      <c r="F32" s="313">
        <f>M_Cálculos!G121</f>
        <v>0</v>
      </c>
      <c r="G32" s="1"/>
      <c r="H32" s="1"/>
      <c r="I32" s="1"/>
      <c r="J32" s="1"/>
      <c r="K32" s="39"/>
      <c r="L32" s="1"/>
      <c r="M32" s="4"/>
      <c r="N32" s="1"/>
      <c r="O32" s="39"/>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2:41">
      <c r="B33" s="1"/>
      <c r="C33" s="230" t="str">
        <f>M_Datos!L90</f>
        <v>Textil</v>
      </c>
      <c r="D33" s="551">
        <f>M_Cálculos!E122</f>
        <v>0</v>
      </c>
      <c r="E33" s="312">
        <f>M_Cálculos!F122</f>
        <v>0</v>
      </c>
      <c r="F33" s="313">
        <f>M_Cálculos!G122</f>
        <v>0</v>
      </c>
      <c r="G33" s="1"/>
      <c r="H33" s="1"/>
      <c r="I33" s="1"/>
      <c r="J33" s="1"/>
      <c r="K33" s="39"/>
      <c r="L33" s="1"/>
      <c r="M33" s="4"/>
      <c r="N33" s="1"/>
      <c r="O33" s="39"/>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2:41">
      <c r="B34" s="1"/>
      <c r="C34" s="315" t="s">
        <v>631</v>
      </c>
      <c r="D34" s="552">
        <f>SUM(D29:D33)</f>
        <v>0</v>
      </c>
      <c r="E34" s="314">
        <f t="shared" ref="E34:F34" si="3">SUM(E29:E33)</f>
        <v>0</v>
      </c>
      <c r="F34" s="317">
        <f t="shared" si="3"/>
        <v>0</v>
      </c>
      <c r="G34" s="1"/>
      <c r="H34" s="1"/>
      <c r="I34" s="1"/>
      <c r="J34" s="1"/>
      <c r="K34" s="39"/>
      <c r="L34" s="1"/>
      <c r="M34" s="4"/>
      <c r="N34" s="1"/>
      <c r="O34" s="39"/>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2:41">
      <c r="B35" s="1"/>
      <c r="C35" s="1"/>
      <c r="D35" s="1"/>
      <c r="E35" s="1"/>
      <c r="F35" s="1"/>
      <c r="G35" s="1"/>
      <c r="H35" s="1"/>
      <c r="I35" s="1"/>
      <c r="J35" s="1"/>
      <c r="K35" s="39"/>
      <c r="L35" s="1"/>
      <c r="M35" s="4"/>
      <c r="N35" s="1"/>
      <c r="O35" s="39"/>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2:41">
      <c r="B36" s="1"/>
      <c r="C36" s="47"/>
      <c r="D36" s="652" t="str">
        <f>IF(Idioma=Castellano,"Terciario",IF(Idioma=Valencià,"Terciari","Terciario"))</f>
        <v>Terciario</v>
      </c>
      <c r="E36" s="654"/>
      <c r="F36" s="653"/>
      <c r="G36" s="183"/>
      <c r="H36" s="184"/>
      <c r="I36" s="159"/>
      <c r="J36" s="159"/>
      <c r="K36" s="39"/>
      <c r="L36" s="1"/>
      <c r="M36" s="4"/>
      <c r="N36" s="1"/>
      <c r="O36" s="39"/>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2:41">
      <c r="B37" s="1"/>
      <c r="C37" s="230" t="str">
        <f>IF(Idioma=Castellano,"Tipo",IF(Idioma=Valencià,"Tipus"))</f>
        <v>Tipo</v>
      </c>
      <c r="D37" s="309" t="s">
        <v>623</v>
      </c>
      <c r="E37" s="309" t="s">
        <v>948</v>
      </c>
      <c r="F37" s="309" t="str">
        <f>IF(Idioma=Castellano,"Emisiones (t CO2e)",IF(Idioma=Valencià,"Emissions (t CO2e) ","Emisiones (t CO2e)"))</f>
        <v>Emisiones (t CO2e)</v>
      </c>
      <c r="G37" s="183"/>
      <c r="H37" s="184"/>
      <c r="I37" s="159"/>
      <c r="J37" s="159"/>
      <c r="K37" s="39"/>
      <c r="L37" s="1"/>
      <c r="M37" s="4"/>
      <c r="N37" s="1"/>
      <c r="O37" s="39"/>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2:41">
      <c r="B38" s="1"/>
      <c r="C38" s="289" t="str">
        <f>M_Datos!L56</f>
        <v>Sin especificar</v>
      </c>
      <c r="D38" s="551">
        <f>M_Cálculos!E21</f>
        <v>0</v>
      </c>
      <c r="E38" s="312">
        <f>M_Cálculos!F21</f>
        <v>0</v>
      </c>
      <c r="F38" s="313">
        <f>M_Cálculos!G21</f>
        <v>0</v>
      </c>
      <c r="G38" s="183"/>
      <c r="H38" s="184"/>
      <c r="I38" s="159"/>
      <c r="J38" s="159"/>
      <c r="K38" s="39"/>
      <c r="L38" s="1"/>
      <c r="M38" s="4"/>
      <c r="N38" s="1"/>
      <c r="O38" s="39"/>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2:41">
      <c r="B39" s="1"/>
      <c r="C39" s="289" t="str">
        <f>M_Datos!L59</f>
        <v>Oficinas</v>
      </c>
      <c r="D39" s="551">
        <f>M_Cálculos!E31</f>
        <v>0</v>
      </c>
      <c r="E39" s="312">
        <f>M_Cálculos!F31</f>
        <v>0</v>
      </c>
      <c r="F39" s="313">
        <f>M_Cálculos!G31</f>
        <v>0</v>
      </c>
      <c r="G39" s="183"/>
      <c r="H39" s="184"/>
      <c r="I39" s="159"/>
      <c r="J39" s="159"/>
      <c r="K39" s="39"/>
      <c r="L39" s="1"/>
      <c r="M39" s="4"/>
      <c r="N39" s="1"/>
      <c r="O39" s="39"/>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2:41">
      <c r="B40" s="1"/>
      <c r="C40" s="289" t="str">
        <f>M_Datos!L62</f>
        <v>Comercio</v>
      </c>
      <c r="D40" s="551">
        <f>M_Cálculos!E41</f>
        <v>0</v>
      </c>
      <c r="E40" s="312">
        <f>M_Cálculos!F41</f>
        <v>0</v>
      </c>
      <c r="F40" s="313">
        <f>M_Cálculos!G41</f>
        <v>0</v>
      </c>
      <c r="G40" s="183"/>
      <c r="H40" s="184"/>
      <c r="I40" s="159"/>
      <c r="J40" s="159"/>
      <c r="K40" s="39"/>
      <c r="L40" s="1"/>
      <c r="M40" s="4"/>
      <c r="N40" s="1"/>
      <c r="O40" s="39"/>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2:41">
      <c r="B41" s="1"/>
      <c r="C41" s="289" t="str">
        <f>M_Datos!L65</f>
        <v>Hotel</v>
      </c>
      <c r="D41" s="551">
        <f>M_Cálculos!E51</f>
        <v>0</v>
      </c>
      <c r="E41" s="312">
        <f>M_Cálculos!F51</f>
        <v>0</v>
      </c>
      <c r="F41" s="313">
        <f>M_Cálculos!G51</f>
        <v>0</v>
      </c>
      <c r="G41" s="183"/>
      <c r="H41" s="184"/>
      <c r="I41" s="159"/>
      <c r="J41" s="159"/>
      <c r="K41" s="39"/>
      <c r="L41" s="1"/>
      <c r="M41" s="4"/>
      <c r="N41" s="1"/>
      <c r="O41" s="39"/>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2:41">
      <c r="B42" s="1"/>
      <c r="C42" s="289" t="str">
        <f>M_Datos!L68</f>
        <v>Restauración</v>
      </c>
      <c r="D42" s="551">
        <f>M_Cálculos!E61</f>
        <v>0</v>
      </c>
      <c r="E42" s="312">
        <f>M_Cálculos!F61</f>
        <v>0</v>
      </c>
      <c r="F42" s="313">
        <f>M_Cálculos!G61</f>
        <v>0</v>
      </c>
      <c r="G42" s="183"/>
      <c r="H42" s="184"/>
      <c r="I42" s="159"/>
      <c r="J42" s="159"/>
      <c r="K42" s="39"/>
      <c r="L42" s="1"/>
      <c r="M42" s="4"/>
      <c r="N42" s="1"/>
      <c r="O42" s="39"/>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2:41">
      <c r="B43" s="1"/>
      <c r="C43" s="315" t="s">
        <v>631</v>
      </c>
      <c r="D43" s="552">
        <f>SUM(D38:D42)</f>
        <v>0</v>
      </c>
      <c r="E43" s="314">
        <f>SUM(E38:E42)</f>
        <v>0</v>
      </c>
      <c r="F43" s="317">
        <f>SUM(F38:F42)</f>
        <v>0</v>
      </c>
      <c r="G43" s="183"/>
      <c r="H43" s="184"/>
      <c r="I43" s="159"/>
      <c r="J43" s="159"/>
      <c r="K43" s="39"/>
      <c r="L43" s="1"/>
      <c r="M43" s="4"/>
      <c r="N43" s="1"/>
      <c r="O43" s="39"/>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2:41" ht="21.6" customHeight="1">
      <c r="B44" s="1"/>
      <c r="C44" s="1"/>
      <c r="D44" s="1"/>
      <c r="E44" s="1"/>
      <c r="F44" s="1"/>
      <c r="G44" s="183"/>
      <c r="H44" s="184"/>
      <c r="I44" s="159"/>
      <c r="J44" s="159"/>
      <c r="K44" s="39"/>
      <c r="L44" s="1"/>
      <c r="M44" s="4"/>
      <c r="N44" s="1"/>
      <c r="O44" s="39"/>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2:41">
      <c r="B45" s="1"/>
      <c r="C45" s="1"/>
      <c r="D45" s="1"/>
      <c r="E45" s="1"/>
      <c r="F45" s="1"/>
      <c r="G45" s="1"/>
      <c r="H45" s="1"/>
      <c r="I45" s="1"/>
      <c r="J45" s="1"/>
      <c r="K45" s="1"/>
      <c r="L45" s="1"/>
      <c r="M45" s="1"/>
      <c r="N45" s="1"/>
      <c r="O45" s="39"/>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2:41">
      <c r="B46" s="1"/>
      <c r="C46" s="246" t="str">
        <f>IF(Idioma=Castellano,"A.3.Equipamientos",IF(Idioma=Valencià,"A.3.Equipaments ","A.3.Equipamientos"))</f>
        <v>A.3.Equipamientos</v>
      </c>
      <c r="D46" s="1"/>
      <c r="E46" s="1"/>
      <c r="F46" s="1"/>
      <c r="G46" s="1"/>
      <c r="H46" s="1"/>
      <c r="I46" s="1"/>
      <c r="J46" s="1"/>
      <c r="K46" s="1"/>
      <c r="L46" s="1"/>
      <c r="M46" s="4"/>
      <c r="N46" s="1"/>
      <c r="O46" s="39"/>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2:41" ht="18">
      <c r="B47" s="1"/>
      <c r="C47" s="46"/>
      <c r="D47" s="1"/>
      <c r="E47" s="1"/>
      <c r="F47" s="1"/>
      <c r="G47" s="1"/>
      <c r="H47" s="1"/>
      <c r="I47" s="1"/>
      <c r="J47" s="1"/>
      <c r="K47" s="1"/>
      <c r="L47" s="1"/>
      <c r="M47" s="4"/>
      <c r="N47" s="1"/>
      <c r="O47" s="39"/>
      <c r="P47" s="1"/>
      <c r="Q47" s="1"/>
      <c r="R47" s="1"/>
      <c r="S47" s="1"/>
      <c r="U47" s="542" t="str">
        <f>IF(Idioma=Castellano,"Demanda asociada  a industria",IF(Idioma=Valencià,"Demanda associada  a industria"))</f>
        <v>Demanda asociada  a industria</v>
      </c>
      <c r="V47" s="1"/>
      <c r="W47" s="1"/>
      <c r="X47" s="1"/>
      <c r="Y47" s="1"/>
      <c r="Z47" s="1"/>
      <c r="AA47" s="1"/>
      <c r="AB47" s="1"/>
      <c r="AC47" s="1"/>
      <c r="AD47" s="1"/>
      <c r="AE47" s="1"/>
      <c r="AF47" s="1"/>
      <c r="AG47" s="1"/>
      <c r="AH47" s="1"/>
      <c r="AI47" s="1"/>
      <c r="AJ47" s="1"/>
      <c r="AK47" s="1"/>
      <c r="AL47" s="1"/>
      <c r="AM47" s="1"/>
      <c r="AN47" s="1"/>
      <c r="AO47" s="1"/>
    </row>
    <row r="48" spans="2:41" ht="18">
      <c r="B48" s="355"/>
      <c r="C48" s="519"/>
      <c r="D48" s="656"/>
      <c r="E48" s="656"/>
      <c r="F48" s="656"/>
      <c r="G48" s="520"/>
      <c r="H48" s="1"/>
      <c r="I48" s="1"/>
      <c r="J48" s="1"/>
      <c r="K48" s="1"/>
      <c r="L48" s="1"/>
      <c r="M48" s="4"/>
      <c r="N48" s="1"/>
      <c r="O48" s="542" t="str">
        <f>IF(Idioma=Castellano,"Demanda asociada  a equipamientos",IF(Idioma=Valencià,"Demanda associada  a equipaments"))</f>
        <v>Demanda asociada  a equipamientos</v>
      </c>
      <c r="P48" s="1"/>
      <c r="Q48" s="1"/>
      <c r="R48" s="1"/>
      <c r="S48" s="1"/>
      <c r="T48" s="1"/>
      <c r="U48" s="1"/>
      <c r="V48" s="1"/>
      <c r="W48" s="1"/>
      <c r="X48" s="1"/>
      <c r="Y48" s="1"/>
      <c r="Z48" s="1"/>
      <c r="AA48" s="1"/>
      <c r="AB48" s="542" t="str">
        <f>IF(Idioma=Castellano,"Emisiones asociadas  a equipamientos",IF(Idioma=Valencià,"Emissions associades a equipaments"))</f>
        <v>Emisiones asociadas  a equipamientos</v>
      </c>
      <c r="AC48" s="1"/>
      <c r="AD48" s="1"/>
      <c r="AE48" s="1"/>
      <c r="AF48" s="1"/>
      <c r="AG48" s="1"/>
      <c r="AH48" s="1"/>
      <c r="AI48" s="542" t="str">
        <f>IF(Idioma=Castellano,"Emisiones asociadas  a industria",IF(Idioma=Valencià,"Emissions associades  a industria"))</f>
        <v>Emisiones asociadas  a industria</v>
      </c>
      <c r="AJ48" s="1"/>
      <c r="AK48" s="1"/>
      <c r="AL48" s="1"/>
      <c r="AM48" s="1"/>
      <c r="AN48" s="1"/>
      <c r="AO48" s="1"/>
    </row>
    <row r="49" spans="2:41">
      <c r="B49" s="355"/>
      <c r="C49" s="81"/>
      <c r="D49" s="85"/>
      <c r="E49" s="85"/>
      <c r="F49" s="85"/>
      <c r="G49" s="39"/>
      <c r="H49" s="1"/>
      <c r="I49" s="1"/>
      <c r="J49" s="1"/>
      <c r="K49" s="1"/>
      <c r="L49" s="1"/>
      <c r="M49" s="4"/>
      <c r="N49" s="1"/>
      <c r="O49" s="39"/>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2:41">
      <c r="B50" s="355"/>
      <c r="C50" s="47"/>
      <c r="D50" s="652" t="str">
        <f>IF(Idioma=Castellano,"Equipamientos - Resumen",IF(Idioma=Valencià,"Equipaments - Resum","Equipamientos - Resumen"))</f>
        <v>Equipamientos - Resumen</v>
      </c>
      <c r="E50" s="654"/>
      <c r="F50" s="653"/>
      <c r="G50" s="39"/>
      <c r="H50" s="1"/>
      <c r="I50" s="1"/>
      <c r="J50" s="1"/>
      <c r="K50" s="1"/>
      <c r="L50" s="1"/>
      <c r="M50" s="4"/>
      <c r="N50" s="1"/>
      <c r="O50" s="39"/>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2:41">
      <c r="B51" s="355"/>
      <c r="C51" s="230" t="str">
        <f>IF(Idioma=Castellano,"Tipo",IF(Idioma=Valencià,"Tipus"))</f>
        <v>Tipo</v>
      </c>
      <c r="D51" s="309" t="s">
        <v>623</v>
      </c>
      <c r="E51" s="309" t="s">
        <v>948</v>
      </c>
      <c r="F51" s="309" t="str">
        <f>IF(Idioma=Castellano,"Emisiones (t CO2e)",IF(Idioma=Valencià,"Emissions (t CO2e) ","Emisiones (t CO2e)"))</f>
        <v>Emisiones (t CO2e)</v>
      </c>
      <c r="G51" s="39"/>
      <c r="H51" s="1"/>
      <c r="I51" s="1"/>
      <c r="J51" s="1"/>
      <c r="K51" s="1"/>
      <c r="L51" s="1"/>
      <c r="M51" s="4"/>
      <c r="N51" s="1"/>
      <c r="O51" s="39"/>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2:41">
      <c r="B52" s="355"/>
      <c r="C52" s="289" t="str">
        <f>M_Datos!L38</f>
        <v>Equipamientos - Sin especificar</v>
      </c>
      <c r="D52" s="551">
        <f>M_Cálculos!E78</f>
        <v>0</v>
      </c>
      <c r="E52" s="312" t="e">
        <f>M_Cálculos!F78</f>
        <v>#N/A</v>
      </c>
      <c r="F52" s="313" t="e">
        <f>M_Cálculos!G78</f>
        <v>#N/A</v>
      </c>
      <c r="G52" s="39"/>
      <c r="H52" s="1"/>
      <c r="I52" s="1"/>
      <c r="J52" s="1"/>
      <c r="K52" s="1"/>
      <c r="L52" s="1"/>
      <c r="M52" s="4"/>
      <c r="N52" s="1"/>
      <c r="O52" s="39"/>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2:41">
      <c r="B53" s="355"/>
      <c r="C53" s="289" t="str">
        <f>M_Datos!L41</f>
        <v>Sanitario</v>
      </c>
      <c r="D53" s="551">
        <f>M_Cálculos!E88</f>
        <v>0</v>
      </c>
      <c r="E53" s="312" t="e">
        <f>M_Cálculos!F88</f>
        <v>#N/A</v>
      </c>
      <c r="F53" s="313" t="e">
        <f>M_Cálculos!G88</f>
        <v>#N/A</v>
      </c>
      <c r="G53" s="39"/>
      <c r="H53" s="1"/>
      <c r="I53" s="1"/>
      <c r="J53" s="1"/>
      <c r="K53" s="1"/>
      <c r="L53" s="1"/>
      <c r="M53" s="4"/>
      <c r="N53" s="1"/>
      <c r="O53" s="39"/>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2:41">
      <c r="B54" s="355"/>
      <c r="C54" s="289" t="str">
        <f>M_Datos!L44</f>
        <v>Educativo</v>
      </c>
      <c r="D54" s="551">
        <f>M_Cálculos!E98</f>
        <v>0</v>
      </c>
      <c r="E54" s="312" t="e">
        <f>M_Cálculos!F98</f>
        <v>#N/A</v>
      </c>
      <c r="F54" s="313" t="e">
        <f>M_Cálculos!G98</f>
        <v>#N/A</v>
      </c>
      <c r="G54" s="39"/>
      <c r="H54" s="1"/>
      <c r="I54" s="1"/>
      <c r="J54" s="1"/>
      <c r="K54" s="1"/>
      <c r="L54" s="1"/>
      <c r="M54" s="4"/>
      <c r="N54" s="1"/>
      <c r="O54" s="39"/>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2:41">
      <c r="B55" s="355"/>
      <c r="C55" s="289" t="str">
        <f>M_Datos!L47</f>
        <v>Deportivo</v>
      </c>
      <c r="D55" s="551">
        <f>M_Cálculos!E108</f>
        <v>0</v>
      </c>
      <c r="E55" s="312" t="e">
        <f>M_Cálculos!F108</f>
        <v>#N/A</v>
      </c>
      <c r="F55" s="313" t="e">
        <f>M_Cálculos!G108</f>
        <v>#N/A</v>
      </c>
      <c r="G55" s="39"/>
      <c r="H55" s="1"/>
      <c r="I55" s="1"/>
      <c r="J55" s="1"/>
      <c r="K55" s="1"/>
      <c r="L55" s="1"/>
      <c r="M55" s="4"/>
      <c r="N55" s="1"/>
      <c r="O55" s="39"/>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2:41">
      <c r="B56" s="355"/>
      <c r="C56" s="315" t="s">
        <v>631</v>
      </c>
      <c r="D56" s="552">
        <f>SUM(D52:D55)</f>
        <v>0</v>
      </c>
      <c r="E56" s="314" t="e">
        <f>SUM(E52:E55)</f>
        <v>#N/A</v>
      </c>
      <c r="F56" s="317" t="e">
        <f>SUM(F52:F55)</f>
        <v>#N/A</v>
      </c>
      <c r="G56" s="39"/>
      <c r="H56" s="1"/>
      <c r="I56" s="1"/>
      <c r="J56" s="1"/>
      <c r="K56" s="1"/>
      <c r="L56" s="1"/>
      <c r="M56" s="4"/>
      <c r="N56" s="1"/>
      <c r="O56" s="39"/>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2:41">
      <c r="B57" s="355"/>
      <c r="C57" s="81"/>
      <c r="D57" s="85"/>
      <c r="E57" s="85"/>
      <c r="F57" s="85"/>
      <c r="G57" s="39"/>
      <c r="H57" s="1"/>
      <c r="I57" s="1"/>
      <c r="J57" s="1"/>
      <c r="K57" s="1"/>
      <c r="L57" s="1"/>
      <c r="M57" s="4"/>
      <c r="N57" s="1"/>
      <c r="O57" s="39"/>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2:41">
      <c r="B58" s="355"/>
      <c r="C58" s="246" t="s">
        <v>636</v>
      </c>
      <c r="D58" s="85"/>
      <c r="E58" s="85"/>
      <c r="F58" s="85"/>
      <c r="G58" s="39"/>
      <c r="H58" s="1"/>
      <c r="I58" s="1"/>
      <c r="J58" s="1"/>
      <c r="K58" s="1"/>
      <c r="L58" s="1"/>
      <c r="M58" s="4"/>
      <c r="N58" s="1"/>
      <c r="O58" s="39"/>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2:41">
      <c r="B59" s="355"/>
      <c r="C59" s="81"/>
      <c r="D59" s="85"/>
      <c r="E59" s="85" t="str">
        <f>IF(Idioma=Castellano,"Total Demanda (MW/año)",IF(Idioma=Valencià,"Total Demanda (kW/any)","Total Demanda (MW/año)"))</f>
        <v>Total Demanda (MW/año)</v>
      </c>
      <c r="F59" s="85" t="str">
        <f>IF(Idioma=Castellano,"Total de emisiones (t CO2e/año)",IF(Idioma=Valencià,"Total d'emissions (t CO2e/any) ","Total de emisiones (t CO2e/año)"))</f>
        <v>Total de emisiones (t CO2e/año)</v>
      </c>
      <c r="G59" s="39"/>
      <c r="H59" s="39"/>
      <c r="I59" s="39"/>
      <c r="J59" s="39"/>
      <c r="K59" s="1"/>
      <c r="L59" s="1"/>
      <c r="M59" s="4"/>
      <c r="N59" s="1"/>
      <c r="O59" s="39"/>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2:41">
      <c r="B60" s="355"/>
      <c r="C60" s="81"/>
      <c r="D60" s="39" t="s">
        <v>602</v>
      </c>
      <c r="E60" s="527" t="e">
        <f>J22+E34+E43+E56</f>
        <v>#N/A</v>
      </c>
      <c r="F60" s="527" t="e">
        <f>K22+F34+F43+F56</f>
        <v>#N/A</v>
      </c>
      <c r="G60" s="39"/>
      <c r="H60" s="39"/>
      <c r="I60" s="39"/>
      <c r="J60" s="39"/>
      <c r="K60" s="1"/>
      <c r="L60" s="1"/>
      <c r="M60" s="4"/>
      <c r="N60" s="1"/>
      <c r="O60" s="39"/>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2:41">
      <c r="B61" s="355"/>
      <c r="C61" s="521"/>
      <c r="D61" s="355"/>
      <c r="E61" s="355"/>
      <c r="F61" s="355"/>
      <c r="G61" s="355"/>
      <c r="H61" s="39"/>
      <c r="I61" s="1"/>
      <c r="J61" s="1"/>
      <c r="K61" s="1"/>
      <c r="L61" s="1"/>
      <c r="M61" s="4"/>
      <c r="N61" s="1"/>
      <c r="O61" s="39"/>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2:41">
      <c r="B62" s="1"/>
      <c r="C62" s="1"/>
      <c r="D62" s="1"/>
      <c r="E62" s="1"/>
      <c r="F62" s="1"/>
      <c r="G62" s="1"/>
      <c r="H62" s="39"/>
      <c r="I62" s="39"/>
      <c r="J62" s="1"/>
      <c r="K62" s="1"/>
      <c r="L62" s="1"/>
      <c r="M62" s="4"/>
      <c r="N62" s="1"/>
      <c r="O62" s="39"/>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2:41">
      <c r="B63" s="1"/>
      <c r="C63" s="1"/>
      <c r="D63" s="1"/>
      <c r="E63" s="1"/>
      <c r="F63" s="1"/>
      <c r="G63" s="1"/>
      <c r="H63" s="39"/>
      <c r="I63" s="39"/>
      <c r="J63" s="1"/>
      <c r="K63" s="1"/>
      <c r="L63" s="1"/>
      <c r="M63" s="4"/>
      <c r="N63" s="1"/>
      <c r="O63" s="39"/>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2:41">
      <c r="B64" s="1"/>
      <c r="C64" s="1"/>
      <c r="D64" s="1"/>
      <c r="E64" s="1"/>
      <c r="F64" s="1"/>
      <c r="G64" s="1"/>
      <c r="H64" s="39"/>
      <c r="I64" s="39"/>
      <c r="J64" s="1"/>
      <c r="K64" s="1"/>
      <c r="L64" s="1"/>
      <c r="M64" s="4"/>
      <c r="N64" s="1"/>
      <c r="O64" s="39"/>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c r="B65" s="1"/>
      <c r="C65" s="81"/>
      <c r="D65" s="85"/>
      <c r="E65" s="85"/>
      <c r="F65" s="85"/>
      <c r="G65" s="39"/>
      <c r="H65" s="39"/>
      <c r="I65" s="39"/>
      <c r="J65" s="39"/>
      <c r="K65" s="1"/>
      <c r="L65" s="1"/>
      <c r="M65" s="4"/>
      <c r="N65" s="1"/>
      <c r="O65" s="39"/>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s="135" customFormat="1">
      <c r="A66" s="145"/>
      <c r="B66" s="240" t="str">
        <f>IF(Idioma=Castellano,"B. Transporte y movilidad",IF(Idioma=Valencià,"B. Transport i mobilitat","B. Transporte y movilidad"))</f>
        <v>B. Transporte y movilidad</v>
      </c>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row>
    <row r="67" spans="1:41">
      <c r="B67" s="1"/>
      <c r="C67" s="1"/>
      <c r="D67" s="50"/>
      <c r="E67" s="50"/>
      <c r="F67" s="51"/>
      <c r="G67" s="51"/>
      <c r="H67" s="51"/>
      <c r="I67" s="50"/>
      <c r="J67" s="50"/>
      <c r="K67" s="50"/>
      <c r="L67" s="50"/>
      <c r="M67" s="50"/>
      <c r="N67" s="50"/>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c r="B68" s="1"/>
      <c r="C68" s="11"/>
      <c r="D68" s="52" t="str">
        <f>IF(Idioma=Castellano,"Nº de viajes",IF(Idioma=Valencià,"Núm de viatges","Nº de viajes"))</f>
        <v>Nº de viajes</v>
      </c>
      <c r="E68" s="52"/>
      <c r="F68" s="51"/>
      <c r="G68" s="51"/>
      <c r="H68" s="51"/>
      <c r="I68" s="11"/>
      <c r="J68" s="11"/>
      <c r="K68" s="11"/>
      <c r="L68" s="11"/>
      <c r="M68" s="53"/>
      <c r="N68" s="50"/>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8">
      <c r="B69" s="11"/>
      <c r="C69" s="13" t="str">
        <f>IF(Idioma=Castellano,"Uso residencial",IF(Idioma=Valencià,"Ús residencial ","Uso residencial"))</f>
        <v>Uso residencial</v>
      </c>
      <c r="D69" s="553">
        <f>M_Factores!D219*(M_Datos!M26/100)*365</f>
        <v>0</v>
      </c>
      <c r="E69" s="156"/>
      <c r="F69" s="11"/>
      <c r="G69" s="11"/>
      <c r="H69" s="11"/>
      <c r="I69" s="11"/>
      <c r="J69" s="11"/>
      <c r="K69" s="11"/>
      <c r="L69" s="11"/>
      <c r="M69" s="11"/>
      <c r="N69" s="50"/>
      <c r="O69" s="11"/>
      <c r="P69" s="11"/>
      <c r="R69" s="542" t="str">
        <f>IF(Idioma=Castellano,"Emisiones asociadas a movilidad por modo de transporte",IF(Idioma=Valencià,"Emissions associades a mobilitat per manera de transport"))</f>
        <v>Emisiones asociadas a movilidad por modo de transporte</v>
      </c>
      <c r="S69" s="546"/>
      <c r="T69" s="11"/>
      <c r="U69" s="11"/>
      <c r="V69" s="11"/>
      <c r="W69" s="11"/>
      <c r="X69" s="11"/>
      <c r="Y69" s="542" t="str">
        <f>IF(Idioma=Castellano,"Emisiones asociadas a movilidad por sector",IF(Idioma=Valencià,"Emissions associades a mobilitat per sector"))</f>
        <v>Emisiones asociadas a movilidad por sector</v>
      </c>
      <c r="Z69" s="11"/>
      <c r="AA69" s="11"/>
      <c r="AB69" s="11"/>
      <c r="AC69" s="11"/>
      <c r="AD69" s="11"/>
      <c r="AE69" s="11"/>
      <c r="AF69" s="11"/>
      <c r="AG69" s="11"/>
      <c r="AH69" s="11"/>
      <c r="AI69" s="11"/>
      <c r="AJ69" s="11"/>
      <c r="AK69" s="11"/>
      <c r="AL69" s="11"/>
      <c r="AM69" s="11"/>
      <c r="AN69" s="11"/>
      <c r="AO69" s="11"/>
    </row>
    <row r="70" spans="1:41">
      <c r="B70" s="11"/>
      <c r="C70" s="13" t="str">
        <f>IF(Idioma=Castellano,"Uso comercial/terciario",IF(Idioma=Valencià,"Ús comercial/terciari","Uso comercial/terciario"))</f>
        <v>Uso comercial/terciario</v>
      </c>
      <c r="D70" s="553">
        <f>M_Factores!D220*(IF(M_Datos!J17="Sí",SUM(M_Datos!N59:N70),M_Datos!M27)/100)*365</f>
        <v>0</v>
      </c>
      <c r="E70" s="156"/>
      <c r="F70" s="11"/>
      <c r="G70" s="11"/>
      <c r="H70" s="11"/>
      <c r="I70" s="11"/>
      <c r="J70" s="11"/>
      <c r="K70" s="11"/>
      <c r="L70" s="11"/>
      <c r="M70" s="11"/>
      <c r="N70" s="50"/>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row>
    <row r="71" spans="1:41">
      <c r="B71" s="11"/>
      <c r="C71" s="13" t="str">
        <f>IF(Idioma=Castellano,"Uso de oficinas",IF(Idioma=Valencià,"Ús d'oficines","Uso de oficinas"))</f>
        <v>Uso de oficinas</v>
      </c>
      <c r="D71" s="553">
        <f>M_Factores!D221*(M_A0!D39/100)*365</f>
        <v>0</v>
      </c>
      <c r="E71" s="156"/>
      <c r="F71" s="11"/>
      <c r="G71" s="11"/>
      <c r="H71" s="11"/>
      <c r="I71" s="11"/>
      <c r="J71" s="11"/>
      <c r="K71" s="11"/>
      <c r="L71" s="11"/>
      <c r="M71" s="11"/>
      <c r="N71" s="50"/>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c r="B72" s="11"/>
      <c r="C72" s="13" t="str">
        <f>IF(Idioma=Castellano,"Uso industrial",IF(Idioma=Valencià,"Ús industrial","Uso industrial"))</f>
        <v>Uso industrial</v>
      </c>
      <c r="D72" s="553">
        <f>M_Factores!D222*(M_Datos!M28/100)*365</f>
        <v>0</v>
      </c>
      <c r="E72" s="156"/>
      <c r="F72" s="11"/>
      <c r="G72" s="11"/>
      <c r="H72" s="11"/>
      <c r="I72" s="11"/>
      <c r="J72" s="11"/>
      <c r="K72" s="11"/>
      <c r="L72" s="11"/>
      <c r="M72" s="11"/>
      <c r="N72" s="50"/>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row>
    <row r="73" spans="1:41">
      <c r="B73" s="11"/>
      <c r="C73" s="13" t="str">
        <f>IF(Idioma=Castellano,"Equipamientos",IF(Idioma=Valencià,"Equipaments ","Equipamientos"))</f>
        <v>Equipamientos</v>
      </c>
      <c r="D73" s="553">
        <f>M_Factores!D223*(M_Datos!M29/100)*365</f>
        <v>0</v>
      </c>
      <c r="E73" s="156"/>
      <c r="F73" s="11"/>
      <c r="G73" s="11"/>
      <c r="H73" s="11"/>
      <c r="I73" s="11"/>
      <c r="J73" s="11"/>
      <c r="K73" s="11"/>
      <c r="L73" s="11"/>
      <c r="M73" s="11"/>
      <c r="N73" s="50"/>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row>
    <row r="74" spans="1:41">
      <c r="B74" s="11"/>
      <c r="C74" s="13" t="str">
        <f>IF(Idioma=Castellano,"Zonas verdes",IF(Idioma=Valencià,"Zones verdes ","Zonas verdes"))</f>
        <v>Zonas verdes</v>
      </c>
      <c r="D74" s="553">
        <f>M_Factores!D224*(M_Datos!M30/100)*365</f>
        <v>0</v>
      </c>
      <c r="E74" s="156"/>
      <c r="F74" s="11"/>
      <c r="G74" s="11"/>
      <c r="H74" s="11"/>
      <c r="I74" s="11"/>
      <c r="J74" s="11"/>
      <c r="K74" s="11"/>
      <c r="L74" s="11"/>
      <c r="M74" s="11"/>
      <c r="N74" s="50"/>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c r="B75" s="11"/>
      <c r="C75" s="13" t="str">
        <f>IF(Idioma=Castellano,"Franja costera",IF(Idioma=Valencià,"Franja costanera ","Franja costera"))</f>
        <v>Franja costera</v>
      </c>
      <c r="D75" s="553">
        <f>M_Factores!D225*(M_Datos!M31/100)*365</f>
        <v>0</v>
      </c>
      <c r="E75" s="156"/>
      <c r="F75" s="11"/>
      <c r="G75" s="11"/>
      <c r="H75" s="11"/>
      <c r="I75" s="11"/>
      <c r="J75" s="11"/>
      <c r="K75" s="11"/>
      <c r="L75" s="11"/>
      <c r="M75" s="11"/>
      <c r="N75" s="50"/>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c r="B76" s="11"/>
      <c r="C76" s="11"/>
      <c r="D76" s="11"/>
      <c r="E76" s="11"/>
      <c r="F76" s="11"/>
      <c r="G76" s="11"/>
      <c r="H76" s="11"/>
      <c r="I76" s="11"/>
      <c r="J76" s="11"/>
      <c r="K76" s="11"/>
      <c r="L76" s="11"/>
      <c r="M76" s="11"/>
      <c r="N76" s="50"/>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ht="27.6">
      <c r="B77" s="11"/>
      <c r="C77" s="54" t="str">
        <f>IF(Idioma=Castellano,"Km recorridos por modo transporte",IF(Idioma=Valencià,"Km recorreguts per manera transporte"))</f>
        <v>Km recorridos por modo transporte</v>
      </c>
      <c r="D77" s="55" t="str">
        <f>IF(Idioma=Castellano,"Uso residencial",IF(Idioma=Valencià,"Ús residencial ","Uso residencial"))</f>
        <v>Uso residencial</v>
      </c>
      <c r="E77" s="55" t="str">
        <f>IF(Idioma=Castellano,"Uso comercial/terciario",IF(Idioma=Valencià,"Ús comercial/terciari","Uso comercial/terciario"))</f>
        <v>Uso comercial/terciario</v>
      </c>
      <c r="F77" s="55" t="str">
        <f>IF(Idioma=Castellano,"Uso de oficinas",IF(Idioma=Valencià,"Ús d'oficines","Uso de oficinas"))</f>
        <v>Uso de oficinas</v>
      </c>
      <c r="G77" s="55" t="str">
        <f>IF(Idioma=Castellano,"Uso industrial",IF(Idioma=Valencià,"Ús industrial","Uso industrial"))</f>
        <v>Uso industrial</v>
      </c>
      <c r="H77" s="55" t="str">
        <f>IF(Idioma=Castellano,"Equipamientos",IF(Idioma=Valencià,"Equipaments ","Equipamientos"))</f>
        <v>Equipamientos</v>
      </c>
      <c r="I77" s="55" t="str">
        <f>IF(Idioma=Castellano,"Zonas verdes",IF(Idioma=Valencià,"Zones verdes ","Zonas verdes"))</f>
        <v>Zonas verdes</v>
      </c>
      <c r="J77" s="55" t="str">
        <f>IF(Idioma=Castellano,"Franja costera",IF(Idioma=Valencià,"Franja costanera ","Franja costera"))</f>
        <v>Franja costera</v>
      </c>
      <c r="K77" s="55" t="s">
        <v>638</v>
      </c>
      <c r="L77" s="18" t="str">
        <f>IF(Idioma=Castellano,"t CO2/año",IF(Idioma=Valencià,"t CO2/any ","t CO2/año"))</f>
        <v>t CO2/año</v>
      </c>
      <c r="M77" s="18" t="str">
        <f>IF(Idioma=Castellano,"t CH4/año",IF(Idioma=Valencià,"t CH4/any ","t CH4/año"))</f>
        <v>t CH4/año</v>
      </c>
      <c r="N77" s="18" t="str">
        <f>IF(Idioma=Castellano,"t N2O/año",IF(Idioma=Valencià,"t N2O/any ","t N2O/año"))</f>
        <v>t N2O/año</v>
      </c>
      <c r="O77" s="18" t="str">
        <f>IF(Idioma=Castellano,"t CO2e/año",IF(Idioma=Valencià,"t CO2e/any ","t CO2e/año"))</f>
        <v>t CO2e/año</v>
      </c>
      <c r="P77" s="1"/>
      <c r="Q77" s="50"/>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c r="B78" s="11"/>
      <c r="C78" s="289" t="str">
        <f>IF(Idioma=Castellano,"Andando",IF(Idioma=Valencià,"Caminant","Andando"))</f>
        <v>Andando</v>
      </c>
      <c r="D78" s="554">
        <f>IF(M_Datos!$F$111=1, 2*$D$69*M_Datos!$F105*M_Datos!$I$101/1000,2*$D$69*'M_Cálculos propios'!$F118*M_Datos!$I$101/1000)</f>
        <v>0</v>
      </c>
      <c r="E78" s="554">
        <f>IF(M_Datos!$F$111=1, 2*$D$70*M_Datos!$F105*M_Datos!$I$101/1000,2*$D$70*'M_Cálculos propios'!$F118*M_Datos!$I$101/1000)</f>
        <v>0</v>
      </c>
      <c r="F78" s="554">
        <f>IF(M_Datos!$F$111=1, 2*$D$71*M_Datos!$F105*M_Datos!$I$101/1000,2*$D$71*'M_Cálculos propios'!$F118*M_Datos!$I$101/1000)</f>
        <v>0</v>
      </c>
      <c r="G78" s="554">
        <f>IF(M_Datos!$F$111=1, 2*$D$72*M_Datos!$F105*M_Datos!$I$101/1000,2*$D$72*'M_Cálculos propios'!$F118*M_Datos!$I$101/1000)</f>
        <v>0</v>
      </c>
      <c r="H78" s="554">
        <f>IF(M_Datos!$F$111=1, 2*$D$73*M_Datos!$F105*M_Datos!$I$101/1000,2*$D$73*'M_Cálculos propios'!$F118*M_Datos!$I$101/1000)</f>
        <v>0</v>
      </c>
      <c r="I78" s="554">
        <f>IF(M_Datos!$F$111=1, 2*$D$74*M_Datos!$F105*M_Datos!$I$101/1000,2*$D$74*'M_Cálculos propios'!$F118*M_Datos!$I$101/1000)</f>
        <v>0</v>
      </c>
      <c r="J78" s="554">
        <f>IF(M_Datos!$F$111=1, 2*$D$75*M_Datos!$F105*M_Datos!$I$101/1000,2*$D$75*'M_Cálculos propios'!$F118*M_Datos!$I$101/1000)</f>
        <v>0</v>
      </c>
      <c r="K78" s="554">
        <f>SUM(D78:J78)</f>
        <v>0</v>
      </c>
      <c r="L78" s="319">
        <f>$K78*M_Factores!E229/1000</f>
        <v>0</v>
      </c>
      <c r="M78" s="319">
        <f>$K78*M_Factores!G229/1000</f>
        <v>0</v>
      </c>
      <c r="N78" s="319">
        <f>$K78*M_Factores!H229/1000</f>
        <v>0</v>
      </c>
      <c r="O78" s="319">
        <f>K78*M_Factores!D229/1000</f>
        <v>0</v>
      </c>
      <c r="P78" s="1"/>
      <c r="Q78" s="50"/>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c r="B79" s="11"/>
      <c r="C79" s="289" t="s">
        <v>610</v>
      </c>
      <c r="D79" s="554">
        <f>IF(M_Datos!$F$111=1, 2*$D$69*M_Datos!$F106*M_Datos!$I$101/1000,2*$D$69*'M_Cálculos propios'!$F119*M_Datos!$I$101/1000)</f>
        <v>0</v>
      </c>
      <c r="E79" s="554">
        <f>IF(M_Datos!$F$111=1, 2*$D$70*M_Datos!$F106*M_Datos!$I$101/1000,2*$D$70*'M_Cálculos propios'!$F119*M_Datos!$I$101/1000)</f>
        <v>0</v>
      </c>
      <c r="F79" s="554">
        <f>IF(M_Datos!$F$111=1, 2*$D$71*M_Datos!$F106*M_Datos!$I$101/1000,2*$D$71*'M_Cálculos propios'!$F119*M_Datos!$I$101/1000)</f>
        <v>0</v>
      </c>
      <c r="G79" s="554">
        <f>IF(M_Datos!$F$111=1, 2*$D$72*M_Datos!$F106*M_Datos!$I$101/1000,2*$D$72*'M_Cálculos propios'!$F119*M_Datos!$I$101/1000)</f>
        <v>0</v>
      </c>
      <c r="H79" s="554">
        <f>IF(M_Datos!$F$111=1, 2*$D$73*M_Datos!$F106*M_Datos!$I$101/1000,2*$D$73*'M_Cálculos propios'!$F119*M_Datos!$I$101/1000)</f>
        <v>0</v>
      </c>
      <c r="I79" s="554">
        <f>IF(M_Datos!$F$111=1, 2*$D$74*M_Datos!$F106*M_Datos!$I$101/1000,2*$D$74*'M_Cálculos propios'!$F119*M_Datos!$I$101/1000)</f>
        <v>0</v>
      </c>
      <c r="J79" s="554">
        <f>IF(M_Datos!$F$111=1, 2*$D$75*M_Datos!$F106*M_Datos!$I$101/1000,2*$D$75*'M_Cálculos propios'!$F119*M_Datos!$I$101/1000)</f>
        <v>0</v>
      </c>
      <c r="K79" s="554">
        <f t="shared" ref="K79:K83" si="4">SUM(D79:J79)</f>
        <v>0</v>
      </c>
      <c r="L79" s="319">
        <f>$K79*M_Factores!E230/1000</f>
        <v>0</v>
      </c>
      <c r="M79" s="319">
        <f>$K79*M_Factores!G230/1000</f>
        <v>0</v>
      </c>
      <c r="N79" s="319">
        <f>$K79*M_Factores!H230/1000</f>
        <v>0</v>
      </c>
      <c r="O79" s="319">
        <f>K79*M_Factores!D230/1000</f>
        <v>0</v>
      </c>
      <c r="P79" s="1"/>
      <c r="Q79" s="50"/>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c r="B80" s="11"/>
      <c r="C80" s="289" t="str">
        <f>IF(Idioma=Castellano,"Automóvil/Vehículo privado",IF(Idioma=Valencià,"Automòbil/Vehicle privat","Automóvil/Vehículo privado"))</f>
        <v>Automóvil/Vehículo privado</v>
      </c>
      <c r="D80" s="554">
        <f>IF(M_Datos!$F$111=1, 2*$D$69*M_Datos!$F107*M_Datos!$I$101/1000,2*$D$69*'M_Cálculos propios'!$F120*M_Datos!$I$101/1000)</f>
        <v>0</v>
      </c>
      <c r="E80" s="554">
        <f>IF(M_Datos!$F$111=1, 2*$D$70*M_Datos!$F107*M_Datos!$I$101/1000,2*$D$70*'M_Cálculos propios'!$F120*M_Datos!$I$101/1000)</f>
        <v>0</v>
      </c>
      <c r="F80" s="554">
        <f>IF(M_Datos!$F$111=1, 2*$D$71*M_Datos!$F107*M_Datos!$I$101/1000,2*$D$71*'M_Cálculos propios'!$F120*M_Datos!$I$101/1000)</f>
        <v>0</v>
      </c>
      <c r="G80" s="554">
        <f>IF(M_Datos!$F$111=1, 2*$D$72*M_Datos!$F107*M_Datos!$I$101/1000,2*$D$72*'M_Cálculos propios'!$F120*M_Datos!$I$101/1000)</f>
        <v>0</v>
      </c>
      <c r="H80" s="554">
        <f>IF(M_Datos!$F$111=1, 2*$D$73*M_Datos!$F107*M_Datos!$I$101/1000,2*$D$73*'M_Cálculos propios'!$F120*M_Datos!$I$101/1000)</f>
        <v>0</v>
      </c>
      <c r="I80" s="554">
        <f>IF(M_Datos!$F$111=1, 2*$D$74*M_Datos!$F107*M_Datos!$I$101/1000,2*$D$74*'M_Cálculos propios'!$F120*M_Datos!$I$101/1000)</f>
        <v>0</v>
      </c>
      <c r="J80" s="554">
        <f>IF(M_Datos!$F$111=1, 2*$D$75*M_Datos!$F107*M_Datos!$I$101/1000,2*$D$75*'M_Cálculos propios'!$F120*M_Datos!$I$101/1000)</f>
        <v>0</v>
      </c>
      <c r="K80" s="554">
        <f t="shared" si="4"/>
        <v>0</v>
      </c>
      <c r="L80" s="319">
        <f>$K80*M_Factores!E231/1000</f>
        <v>0</v>
      </c>
      <c r="M80" s="319">
        <f>$K80*M_Factores!G231/1000</f>
        <v>0</v>
      </c>
      <c r="N80" s="319">
        <f>$K80*M_Factores!H231/1000</f>
        <v>0</v>
      </c>
      <c r="O80" s="319">
        <f>K80*M_Factores!D231/1000</f>
        <v>0</v>
      </c>
      <c r="P80" s="1"/>
      <c r="Q80" s="50"/>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B81" s="11"/>
      <c r="C81" s="289" t="s">
        <v>613</v>
      </c>
      <c r="D81" s="554">
        <f>IF(M_Datos!$F$111=1, 2*$D$69*M_Datos!$F108*M_Datos!$I$101/1000,2*$D$69*'M_Cálculos propios'!$F121*M_Datos!$I$101/1000)</f>
        <v>0</v>
      </c>
      <c r="E81" s="554">
        <f>IF(M_Datos!$F$111=1, 2*$D$70*M_Datos!$F108*M_Datos!$I$101/1000,2*$D$70*'M_Cálculos propios'!$F121*M_Datos!$I$101/1000)</f>
        <v>0</v>
      </c>
      <c r="F81" s="554">
        <f>IF(M_Datos!$F$111=1, 2*$D$71*M_Datos!$F108*M_Datos!$I$101/1000,2*$D$71*'M_Cálculos propios'!$F121*M_Datos!$I$101/1000)</f>
        <v>0</v>
      </c>
      <c r="G81" s="554">
        <f>IF(M_Datos!$F$111=1, 2*$D$72*M_Datos!$F108*M_Datos!$I$101/1000,2*$D$72*'M_Cálculos propios'!$F121*M_Datos!$I$101/1000)</f>
        <v>0</v>
      </c>
      <c r="H81" s="554">
        <f>IF(M_Datos!$F$111=1, 2*$D$73*M_Datos!$F108*M_Datos!$I$101/1000,2*$D$73*'M_Cálculos propios'!$F121*M_Datos!$I$101/1000)</f>
        <v>0</v>
      </c>
      <c r="I81" s="554">
        <f>IF(M_Datos!$F$111=1, 2*$D$74*M_Datos!$F108*M_Datos!$I$101/1000,2*$D$74*'M_Cálculos propios'!$F121*M_Datos!$I$101/1000)</f>
        <v>0</v>
      </c>
      <c r="J81" s="554">
        <f>IF(M_Datos!$F$111=1, 2*$D$75*M_Datos!$F108*M_Datos!$I$101/1000,2*$D$75*'M_Cálculos propios'!$F121*M_Datos!$I$101/1000)</f>
        <v>0</v>
      </c>
      <c r="K81" s="554">
        <f t="shared" si="4"/>
        <v>0</v>
      </c>
      <c r="L81" s="319">
        <f>$K81*M_Factores!E233/1000</f>
        <v>0</v>
      </c>
      <c r="M81" s="319">
        <f>$K81*M_Factores!G233/1000</f>
        <v>0</v>
      </c>
      <c r="N81" s="319">
        <f>$K81*M_Factores!H233/1000</f>
        <v>0</v>
      </c>
      <c r="O81" s="319">
        <f>K81*M_Factores!D233/1000</f>
        <v>0</v>
      </c>
      <c r="P81" s="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B82" s="11"/>
      <c r="C82" s="289" t="str">
        <f>IF(Idioma=Castellano,"Autobús urbano e interurbano",IF(Idioma=Valencià,"Autobús urbà i interurbà","Autobús urbano e interurbano"))</f>
        <v>Autobús urbano e interurbano</v>
      </c>
      <c r="D82" s="554">
        <f>IF(M_Datos!$F$111=1, 2*$D$69*M_Datos!$F109*M_Datos!$I$101/1000,2*$D$69*'M_Cálculos propios'!$F122*M_Datos!$I$101/1000)</f>
        <v>0</v>
      </c>
      <c r="E82" s="554">
        <f>IF(M_Datos!$F$111=1, 2*$D$70*M_Datos!$F109*M_Datos!$I$101/1000,2*$D$70*'M_Cálculos propios'!$F122*M_Datos!$I$101/1000)</f>
        <v>0</v>
      </c>
      <c r="F82" s="554">
        <f>IF(M_Datos!$F$111=1, 2*$D$71*M_Datos!$F109*M_Datos!$I$101/1000,2*$D$71*'M_Cálculos propios'!$F122*M_Datos!$I$101/1000)</f>
        <v>0</v>
      </c>
      <c r="G82" s="554">
        <f>IF(M_Datos!$F$111=1, 2*$D$72*M_Datos!$F109*M_Datos!$I$101/1000,2*$D$72*'M_Cálculos propios'!$F122*M_Datos!$I$101/1000)</f>
        <v>0</v>
      </c>
      <c r="H82" s="554">
        <f>IF(M_Datos!$F$111=1, 2*$D$73*M_Datos!$F109*M_Datos!$I$101/1000,2*$D$73*'M_Cálculos propios'!$F122*M_Datos!$I$101/1000)</f>
        <v>0</v>
      </c>
      <c r="I82" s="554">
        <f>IF(M_Datos!$F$111=1, 2*$D$74*M_Datos!$F109*M_Datos!$I$101/1000,2*$D$74*'M_Cálculos propios'!$F122*M_Datos!$I$101/1000)</f>
        <v>0</v>
      </c>
      <c r="J82" s="554">
        <f>IF(M_Datos!$F$111=1, 2*$D$75*M_Datos!$F109*M_Datos!$I$101/1000,2*$D$75*'M_Cálculos propios'!$F122*M_Datos!$I$101/1000)</f>
        <v>0</v>
      </c>
      <c r="K82" s="554">
        <f t="shared" si="4"/>
        <v>0</v>
      </c>
      <c r="L82" s="319">
        <f>$K82*M_Factores!E234/1000</f>
        <v>0</v>
      </c>
      <c r="M82" s="319">
        <f>$K82*M_Factores!G234/1000</f>
        <v>0</v>
      </c>
      <c r="N82" s="319">
        <f>$K82*M_Factores!H234/1000</f>
        <v>0</v>
      </c>
      <c r="O82" s="319">
        <f>K82*M_Factores!D234/1000</f>
        <v>0</v>
      </c>
      <c r="P82" s="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c r="B83" s="11"/>
      <c r="C83" s="289" t="s">
        <v>615</v>
      </c>
      <c r="D83" s="554">
        <f>IF(M_Datos!$F$111=1, 2*$D$69*M_Datos!$F110*M_Datos!$I$101/1000,2*$D$69*'M_Cálculos propios'!$F123*M_Datos!$I$101/1000)</f>
        <v>0</v>
      </c>
      <c r="E83" s="554">
        <f>IF(M_Datos!$F$111=1, 2*$D$70*M_Datos!$F110*M_Datos!$I$101/1000,2*$D$70*'M_Cálculos propios'!$F123*M_Datos!$I$101/1000)</f>
        <v>0</v>
      </c>
      <c r="F83" s="554">
        <f>IF(M_Datos!$F$111=1, 2*$D$71*M_Datos!$F110*M_Datos!$I$101/1000,2*$D$71*'M_Cálculos propios'!$F123*M_Datos!$I$101/1000)</f>
        <v>0</v>
      </c>
      <c r="G83" s="554">
        <f>IF(M_Datos!$F$111=1, 2*$D$72*M_Datos!$F110*M_Datos!$I$101/1000,2*$D$72*'M_Cálculos propios'!$F123*M_Datos!$I$101/1000)</f>
        <v>0</v>
      </c>
      <c r="H83" s="554">
        <f>IF(M_Datos!$F$111=1, 2*$D$73*M_Datos!$F110*M_Datos!$I$101/1000,2*$D$73*'M_Cálculos propios'!$F123*M_Datos!$I$101/1000)</f>
        <v>0</v>
      </c>
      <c r="I83" s="554">
        <f>IF(M_Datos!$F$111=1, 2*$D$74*M_Datos!$F110*M_Datos!$I$101/1000,2*$D$74*'M_Cálculos propios'!$F123*M_Datos!$I$101/1000)</f>
        <v>0</v>
      </c>
      <c r="J83" s="554">
        <f>IF(M_Datos!$F$111=1, 2*$D$75*M_Datos!$F110*M_Datos!$I$101/1000,2*$D$75*'M_Cálculos propios'!$F123*M_Datos!$I$101/1000)</f>
        <v>0</v>
      </c>
      <c r="K83" s="554">
        <f t="shared" si="4"/>
        <v>0</v>
      </c>
      <c r="L83" s="319">
        <f>$K83*M_Factores!E235/1000</f>
        <v>0</v>
      </c>
      <c r="M83" s="319">
        <f>$K83*M_Factores!G235/1000</f>
        <v>0</v>
      </c>
      <c r="N83" s="319">
        <f>$K83*M_Factores!H235/1000</f>
        <v>0</v>
      </c>
      <c r="O83" s="319">
        <f>K83*M_Factores!D235/1000</f>
        <v>0</v>
      </c>
      <c r="P83" s="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c r="B84" s="11"/>
      <c r="C84" s="12"/>
      <c r="D84" s="320">
        <f>SUM(D78:D83)</f>
        <v>0</v>
      </c>
      <c r="E84" s="320">
        <f>SUM(E78:E83)</f>
        <v>0</v>
      </c>
      <c r="F84" s="320">
        <f t="shared" ref="F84:J84" si="5">SUM(F78:F83)</f>
        <v>0</v>
      </c>
      <c r="G84" s="320">
        <f t="shared" si="5"/>
        <v>0</v>
      </c>
      <c r="H84" s="320">
        <f t="shared" si="5"/>
        <v>0</v>
      </c>
      <c r="I84" s="320">
        <f t="shared" si="5"/>
        <v>0</v>
      </c>
      <c r="J84" s="320">
        <f t="shared" si="5"/>
        <v>0</v>
      </c>
      <c r="K84" s="320">
        <f>SUM(K78:K83)</f>
        <v>0</v>
      </c>
      <c r="L84" s="318">
        <f>SUM(L78:L83)</f>
        <v>0</v>
      </c>
      <c r="M84" s="318">
        <f>SUM(M78:M83)</f>
        <v>0</v>
      </c>
      <c r="N84" s="318">
        <f>SUM(N78:N83)</f>
        <v>0</v>
      </c>
      <c r="O84" s="318">
        <f>SUM(O78:O83)</f>
        <v>0</v>
      </c>
      <c r="P84" s="1"/>
      <c r="Q84" s="39"/>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c r="B85" s="11"/>
      <c r="C85" s="11"/>
      <c r="D85" s="11"/>
      <c r="E85" s="11"/>
      <c r="F85" s="11"/>
      <c r="G85" s="11"/>
      <c r="H85" s="11"/>
      <c r="I85" s="11"/>
      <c r="J85" s="11"/>
      <c r="K85" s="56"/>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s="135" customFormat="1">
      <c r="A86" s="145"/>
      <c r="B86" s="240" t="str">
        <f>IF(Idioma=Castellano,"C. Consumo de agua",IF(Idioma=Valencià,"C. Consum d'aigua","C. Consumo de agua"))</f>
        <v>C. Consumo de agua</v>
      </c>
      <c r="C86" s="242"/>
      <c r="D86" s="242"/>
      <c r="E86" s="242"/>
      <c r="F86" s="242"/>
      <c r="G86" s="242"/>
      <c r="H86" s="242"/>
      <c r="I86" s="240" t="str">
        <f>IF(Idioma=Castellano,"D. Emisiones asociadas a gestión de residuos",IF(Idioma=Valencià,"D. Emissions associades a gestió de residus","D. Emisiones asociadas a gestión de residuos"))</f>
        <v>D. Emisiones asociadas a gestión de residuos</v>
      </c>
      <c r="J86" s="240"/>
      <c r="K86" s="242"/>
      <c r="L86" s="242"/>
      <c r="M86" s="242"/>
      <c r="N86" s="242"/>
      <c r="O86" s="240" t="str">
        <f>IF(Idioma=Castellano,"E. Sumideros y cambios de uso del suelo",IF(Idioma=Valencià,"E. Embornals i canvis d'ús del sòl","E. Sumideros y cambios de uso del suelo"))</f>
        <v>E. Sumideros y cambios de uso del suelo</v>
      </c>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row>
    <row r="87" spans="1:41">
      <c r="B87" s="11"/>
      <c r="C87" s="11"/>
      <c r="D87" s="11"/>
      <c r="E87" s="11"/>
      <c r="F87" s="11"/>
      <c r="G87" s="11"/>
      <c r="H87" s="11"/>
      <c r="I87" s="11"/>
      <c r="J87" s="11"/>
      <c r="K87" s="11"/>
      <c r="L87" s="11"/>
      <c r="M87" s="11"/>
      <c r="N87" s="11"/>
      <c r="O87" s="1"/>
      <c r="P87" s="1"/>
      <c r="Q87" s="1"/>
      <c r="R87" s="1"/>
      <c r="S87" s="1"/>
      <c r="T87" s="1"/>
      <c r="U87" s="11"/>
      <c r="V87" s="11"/>
      <c r="W87" s="11"/>
      <c r="X87" s="11"/>
      <c r="Y87" s="11"/>
      <c r="Z87" s="11"/>
      <c r="AA87" s="11"/>
      <c r="AB87" s="11"/>
      <c r="AC87" s="11"/>
      <c r="AD87" s="11"/>
      <c r="AE87" s="11"/>
      <c r="AF87" s="11"/>
      <c r="AG87" s="11"/>
      <c r="AH87" s="11"/>
      <c r="AI87" s="11"/>
      <c r="AJ87" s="11"/>
      <c r="AK87" s="11"/>
      <c r="AL87" s="11"/>
      <c r="AM87" s="11"/>
      <c r="AN87" s="11"/>
      <c r="AO87" s="11"/>
    </row>
    <row r="88" spans="1:41">
      <c r="B88" s="11"/>
      <c r="C88" s="14"/>
      <c r="D88" s="11"/>
      <c r="F88" s="11" t="str">
        <f>IF(Idioma=Castellano,"Emisiones",IF(Idioma=Valencià,"Emissions","Emisiones"))</f>
        <v>Emisiones</v>
      </c>
      <c r="G88" s="11"/>
      <c r="H88" s="11"/>
      <c r="I88" s="11"/>
      <c r="J88" s="11"/>
      <c r="K88" s="11"/>
      <c r="L88" s="11"/>
      <c r="M88" s="11"/>
      <c r="N88" s="11"/>
      <c r="O88" s="1"/>
      <c r="P88" s="249" t="str">
        <f>IF(Idioma=Castellano,"E.1. Absorción de emisiones",IF(Idioma=Valencià,"E.1. Absorció d'emissions","E.1. Absorción de emisiones"))</f>
        <v>E.1. Absorción de emisiones</v>
      </c>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c r="B89" s="11"/>
      <c r="C89" s="307" t="s">
        <v>639</v>
      </c>
      <c r="D89" s="555">
        <f>SUM(M_Datos!H24:H29)</f>
        <v>0</v>
      </c>
      <c r="E89" s="321" t="str">
        <f>IF(Idioma=Castellano,"Viviendas",IF(Idioma=Valencià,"Habitatges","Viviendas"))</f>
        <v>Viviendas</v>
      </c>
      <c r="F89" s="322">
        <f>D89*M_Factores!D260/1000</f>
        <v>0</v>
      </c>
      <c r="G89" s="14" t="str">
        <f>IF(Idioma=Castellano,"t CO2e/año",IF(Idioma=Valencià,"t CO2e/any "))</f>
        <v>t CO2e/año</v>
      </c>
      <c r="H89" s="14"/>
      <c r="J89" s="1"/>
      <c r="L89" s="14"/>
      <c r="M89" s="1"/>
      <c r="N89" s="1"/>
      <c r="O89" s="1"/>
      <c r="P89" s="11"/>
      <c r="Q89" s="57" t="str">
        <f>IF(Idioma=Castellano,"Nº de árboles",IF(Idioma=Valencià,"Nº d'arbres","Nº de árboles"))</f>
        <v>Nº de árboles</v>
      </c>
      <c r="R89" s="555">
        <f>M_Datos!J117</f>
        <v>0</v>
      </c>
      <c r="S89" s="322">
        <f>-R89*M_Factores!D288/1000</f>
        <v>0</v>
      </c>
      <c r="T89" s="14" t="s">
        <v>635</v>
      </c>
      <c r="U89" s="11"/>
      <c r="V89" s="11"/>
      <c r="W89" s="11"/>
      <c r="X89" s="11"/>
      <c r="Y89" s="11"/>
      <c r="Z89" s="11"/>
      <c r="AA89" s="11"/>
      <c r="AB89" s="11"/>
      <c r="AC89" s="11"/>
      <c r="AD89" s="11"/>
      <c r="AE89" s="11"/>
      <c r="AF89" s="11"/>
      <c r="AG89" s="11"/>
      <c r="AH89" s="11"/>
      <c r="AI89" s="11"/>
      <c r="AJ89" s="11"/>
      <c r="AK89" s="11"/>
      <c r="AL89" s="11"/>
      <c r="AM89" s="11"/>
      <c r="AN89" s="11"/>
      <c r="AO89" s="11"/>
    </row>
    <row r="90" spans="1:41">
      <c r="B90" s="11"/>
      <c r="C90" s="308" t="str">
        <f>IF(Idioma=Castellano,"Actividades económicas",IF(Idioma=Valencià,"Activitats econòmiques","Actividades económicas"))</f>
        <v>Actividades económicas</v>
      </c>
      <c r="D90" s="555">
        <f>M_Datos!M32</f>
        <v>0</v>
      </c>
      <c r="E90" s="321" t="s">
        <v>599</v>
      </c>
      <c r="F90" s="322">
        <f>D90*M_Factores!D261/1000</f>
        <v>0</v>
      </c>
      <c r="G90" s="14" t="str">
        <f>IF(Idioma=Castellano,"t CO2e/año",IF(Idioma=Valencià,"t CO2e/any "))</f>
        <v>t CO2e/año</v>
      </c>
      <c r="H90" s="14"/>
      <c r="I90" s="650" t="s">
        <v>653</v>
      </c>
      <c r="J90" s="651"/>
      <c r="K90" s="322">
        <f>M_Datos!M28*M_Factores!$D$243/1000</f>
        <v>0</v>
      </c>
      <c r="L90" s="11"/>
      <c r="M90" s="1"/>
      <c r="N90" s="1"/>
      <c r="O90" s="1"/>
      <c r="P90" s="11"/>
      <c r="Q90" s="1"/>
      <c r="R90" s="1"/>
      <c r="S90" s="1"/>
      <c r="T90" s="1"/>
      <c r="U90" s="11"/>
      <c r="V90" s="11"/>
      <c r="W90" s="11"/>
      <c r="X90" s="11"/>
      <c r="Y90" s="11"/>
      <c r="Z90" s="11"/>
      <c r="AA90" s="11"/>
      <c r="AB90" s="11"/>
      <c r="AC90" s="11"/>
      <c r="AD90" s="11"/>
      <c r="AE90" s="11"/>
      <c r="AF90" s="11"/>
      <c r="AG90" s="11"/>
      <c r="AH90" s="11"/>
      <c r="AI90" s="11"/>
      <c r="AJ90" s="11"/>
      <c r="AK90" s="11"/>
      <c r="AL90" s="11"/>
      <c r="AM90" s="11"/>
      <c r="AN90" s="11"/>
      <c r="AO90" s="11"/>
    </row>
    <row r="91" spans="1:41">
      <c r="B91" s="11"/>
      <c r="C91" s="308" t="s">
        <v>642</v>
      </c>
      <c r="D91" s="555">
        <f>M_Datos!M29</f>
        <v>0</v>
      </c>
      <c r="E91" s="321" t="s">
        <v>599</v>
      </c>
      <c r="F91" s="322">
        <f>D91*M_Factores!D262/1000</f>
        <v>0</v>
      </c>
      <c r="G91" s="14" t="str">
        <f>IF(Idioma=Castellano,"t CO2e/año",IF(Idioma=Valencià,"t CO2e/any "))</f>
        <v>t CO2e/año</v>
      </c>
      <c r="H91" s="11"/>
      <c r="I91" s="650" t="str">
        <f>IF(Idioma=Castellano,"Residencial, Terciario y Equipamientos",IF(Idioma=Valencià,"Residencial, Terciari i Equipaments",))</f>
        <v>Residencial, Terciario y Equipamientos</v>
      </c>
      <c r="J91" s="651"/>
      <c r="K91" s="322">
        <f>(M_Datos!M26+M_Datos!M27+M_Datos!M29)*M_Factores!$D$242/1000</f>
        <v>0</v>
      </c>
      <c r="L91" s="11"/>
      <c r="M91" s="1"/>
      <c r="N91" s="1"/>
      <c r="O91" s="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B92" s="11"/>
      <c r="C92" s="11"/>
      <c r="E92" s="1"/>
      <c r="F92" s="7"/>
      <c r="G92" s="1"/>
      <c r="H92" s="14"/>
      <c r="I92" s="652" t="s">
        <v>631</v>
      </c>
      <c r="J92" s="653"/>
      <c r="K92" s="322">
        <f>K90+K91</f>
        <v>0</v>
      </c>
      <c r="L92" s="14" t="str">
        <f>IF(Idioma=Castellano,"t CO2e/año",IF(Idioma=Valencià,"t CO2e/any "))</f>
        <v>t CO2e/año</v>
      </c>
      <c r="M92" s="1"/>
      <c r="N92" s="1"/>
      <c r="O92" s="1"/>
      <c r="P92" s="249" t="str">
        <f>IF(Idioma=Castellano,"E.2. Cambios de uso del suelo",IF(Idioma=Valencià,"E.2. Canvis d'ús del sòl","E.2. Cambios de uso del suelo"))</f>
        <v>E.2. Cambios de uso del suelo</v>
      </c>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c r="B93" s="11"/>
      <c r="C93" s="11"/>
      <c r="D93" s="14"/>
      <c r="E93" t="s">
        <v>631</v>
      </c>
      <c r="F93" s="322">
        <f>SUM(F89:F90)</f>
        <v>0</v>
      </c>
      <c r="G93" s="14" t="str">
        <f>IF(Idioma=Castellano,"t CO2e/año",IF(Idioma=Valencià,"t CO2e/any "))</f>
        <v>t CO2e/año</v>
      </c>
      <c r="H93" s="11"/>
      <c r="I93" s="11"/>
      <c r="J93" s="11"/>
      <c r="K93" s="11"/>
      <c r="L93" s="11"/>
      <c r="M93" s="11"/>
      <c r="N93" s="11"/>
      <c r="O93" s="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row>
    <row r="94" spans="1:41" ht="18">
      <c r="B94" s="11"/>
      <c r="C94" s="11"/>
      <c r="D94" s="11"/>
      <c r="E94" s="11"/>
      <c r="F94" s="11"/>
      <c r="G94" s="11"/>
      <c r="H94" s="11"/>
      <c r="I94" s="11"/>
      <c r="J94" s="11"/>
      <c r="K94" s="11"/>
      <c r="L94" s="11"/>
      <c r="M94" s="11"/>
      <c r="N94" s="11"/>
      <c r="O94" s="1"/>
      <c r="P94" s="11"/>
      <c r="Q94" s="58"/>
      <c r="R94" s="1"/>
      <c r="S94" s="1"/>
      <c r="T94" s="1"/>
      <c r="U94" s="11"/>
      <c r="V94" s="11"/>
      <c r="W94" s="11"/>
      <c r="X94" s="11"/>
      <c r="Z94" s="542" t="str">
        <f>IF(Idioma=Castellano,"Carbono actual en suelo",IF(Idioma=Valencià,"Carboni actual en sòl"))</f>
        <v>Carbono actual en suelo</v>
      </c>
      <c r="AA94" s="11"/>
      <c r="AB94" s="11"/>
      <c r="AC94" s="11"/>
      <c r="AD94" s="11"/>
      <c r="AE94" s="11"/>
      <c r="AF94" s="11"/>
      <c r="AG94" s="11"/>
      <c r="AH94" s="11"/>
      <c r="AI94" s="11"/>
      <c r="AJ94" s="11"/>
      <c r="AK94" s="11"/>
      <c r="AL94" s="11"/>
      <c r="AM94" s="11"/>
      <c r="AN94" s="11"/>
      <c r="AO94" s="11"/>
    </row>
    <row r="95" spans="1:41" ht="45" customHeight="1">
      <c r="B95" s="11"/>
      <c r="C95" s="11"/>
      <c r="D95" s="11"/>
      <c r="E95" s="11"/>
      <c r="F95" s="11"/>
      <c r="G95" s="11"/>
      <c r="H95" s="11"/>
      <c r="I95" s="11"/>
      <c r="J95" s="11"/>
      <c r="K95" s="11"/>
      <c r="L95" s="11"/>
      <c r="M95" s="11"/>
      <c r="N95" s="11"/>
      <c r="O95" s="1"/>
      <c r="P95" s="11"/>
      <c r="Q95" s="338"/>
      <c r="R95" s="52" t="str">
        <f>IF(Idioma=Castellano,"Situación actual (ha)",IF(Idioma=Valencià,"Situació actual (ha)"))</f>
        <v>Situación actual (ha)</v>
      </c>
      <c r="S95" s="55" t="str">
        <f>IF(Idioma=Castellano,"CO2 en suelo",IF(Idioma=Valencià,"CO2 en sol"))</f>
        <v>CO2 en suelo</v>
      </c>
      <c r="T95" s="39" t="s">
        <v>1013</v>
      </c>
      <c r="U95" s="39" t="s">
        <v>1014</v>
      </c>
      <c r="V95" s="1"/>
      <c r="W95" s="11"/>
      <c r="X95" s="11"/>
      <c r="Y95" s="11"/>
      <c r="Z95" s="11"/>
      <c r="AA95" s="11"/>
      <c r="AB95" s="11"/>
      <c r="AC95" s="11"/>
      <c r="AD95" s="11"/>
      <c r="AE95" s="11"/>
      <c r="AF95" s="11"/>
      <c r="AG95" s="11"/>
      <c r="AH95" s="11"/>
      <c r="AI95" s="11"/>
      <c r="AJ95" s="11"/>
      <c r="AK95" s="11"/>
      <c r="AL95" s="11"/>
      <c r="AM95" s="11"/>
      <c r="AN95" s="11"/>
      <c r="AO95" s="11"/>
    </row>
    <row r="96" spans="1:41" ht="21" customHeight="1">
      <c r="B96" s="11"/>
      <c r="C96" s="11"/>
      <c r="D96" s="542" t="str">
        <f>IF(Idioma=Castellano,"Emisiones asociadas al consumo de agua",IF(Idioma=Valencià,"Emissions associades al consum d'aigua","Emisiones asociadas al consumo de agua"))</f>
        <v>Emisiones asociadas al consumo de agua</v>
      </c>
      <c r="E96" s="11"/>
      <c r="F96" s="11"/>
      <c r="G96" s="11"/>
      <c r="H96" s="11"/>
      <c r="J96" s="542" t="str">
        <f>IF(Idioma=Castellano,"Emisiones asociadas a gestión de residuos",IF(Idioma=Valencià,"Emissions associades a gestió de residus"))</f>
        <v>Emisiones asociadas a gestión de residuos</v>
      </c>
      <c r="K96" s="11"/>
      <c r="L96" s="11"/>
      <c r="M96" s="11"/>
      <c r="N96" s="11"/>
      <c r="O96" s="1"/>
      <c r="P96" s="11"/>
      <c r="Q96" s="473" t="str">
        <f>IF(Idioma=Castellano,"Bosque",IF(Idioma=Valencià,"Bosc","Bosque"))</f>
        <v>Bosque</v>
      </c>
      <c r="R96" s="556">
        <f>M_Datos!M118/10000</f>
        <v>0</v>
      </c>
      <c r="S96" s="556">
        <f>-'M_Cálculos propios'!I259</f>
        <v>0</v>
      </c>
      <c r="T96" s="556">
        <v>0</v>
      </c>
      <c r="U96" s="556">
        <f>'M_Cálculos propios'!J259</f>
        <v>0</v>
      </c>
      <c r="V96" s="11"/>
      <c r="W96" s="11"/>
      <c r="X96" s="11"/>
      <c r="Y96" s="11"/>
      <c r="Z96" s="11"/>
      <c r="AA96" s="11"/>
      <c r="AB96" s="11"/>
      <c r="AC96" s="11"/>
      <c r="AD96" s="11"/>
      <c r="AE96" s="11"/>
      <c r="AF96" s="11"/>
      <c r="AG96" s="11"/>
      <c r="AH96" s="11"/>
      <c r="AI96" s="11"/>
      <c r="AJ96" s="11"/>
      <c r="AK96" s="11"/>
      <c r="AL96" s="11"/>
      <c r="AM96" s="11"/>
      <c r="AN96" s="11"/>
      <c r="AO96" s="11"/>
    </row>
    <row r="97" spans="2:41" ht="27.6">
      <c r="B97" s="11"/>
      <c r="C97" s="11"/>
      <c r="D97" s="11"/>
      <c r="E97" s="11"/>
      <c r="F97" s="11"/>
      <c r="G97" s="11"/>
      <c r="H97" s="11"/>
      <c r="I97" s="11"/>
      <c r="J97" s="11"/>
      <c r="K97" s="11"/>
      <c r="L97" s="11"/>
      <c r="M97" s="11"/>
      <c r="N97" s="11"/>
      <c r="O97" s="1"/>
      <c r="P97" s="11"/>
      <c r="Q97" s="473" t="str">
        <f>IF(Idioma=Castellano,"Garriga/Matorral (arbustivas)/Prado",IF(Idioma=Valencià,"Garriga/Matoll (arbustives)/Prado","Garriga/Matorral (arbustivas)/Prado"))</f>
        <v>Garriga/Matorral (arbustivas)/Prado</v>
      </c>
      <c r="R97" s="556">
        <f>M_Datos!M119/10000</f>
        <v>0</v>
      </c>
      <c r="S97" s="556">
        <f>-'M_Cálculos propios'!I260</f>
        <v>0</v>
      </c>
      <c r="T97" s="556">
        <v>0</v>
      </c>
      <c r="U97" s="556">
        <f>'M_Cálculos propios'!J260</f>
        <v>0</v>
      </c>
      <c r="V97" s="11"/>
      <c r="W97" s="11"/>
      <c r="X97" s="11"/>
      <c r="Y97" s="11"/>
      <c r="Z97" s="11"/>
      <c r="AA97" s="11"/>
      <c r="AB97" s="11"/>
      <c r="AC97" s="11"/>
      <c r="AD97" s="11"/>
      <c r="AE97" s="11"/>
      <c r="AF97" s="11"/>
      <c r="AG97" s="11"/>
      <c r="AH97" s="11"/>
      <c r="AI97" s="11"/>
      <c r="AJ97" s="11"/>
      <c r="AK97" s="11"/>
      <c r="AL97" s="11"/>
      <c r="AM97" s="11"/>
      <c r="AN97" s="11"/>
      <c r="AO97" s="11"/>
    </row>
    <row r="98" spans="2:41" ht="27.6" customHeight="1">
      <c r="B98" s="11"/>
      <c r="C98" s="11"/>
      <c r="D98" s="11"/>
      <c r="E98" s="11"/>
      <c r="F98" s="11"/>
      <c r="G98" s="11"/>
      <c r="H98" s="11"/>
      <c r="I98" s="11"/>
      <c r="J98" s="11"/>
      <c r="K98" s="11"/>
      <c r="L98" s="11"/>
      <c r="M98" s="11"/>
      <c r="N98" s="11"/>
      <c r="O98" s="1"/>
      <c r="P98" s="11"/>
      <c r="Q98" s="473" t="str">
        <f>IF(Idioma=Castellano,"Cultivo",IF(Idioma=Valencià,"Cultiu","Cultivo"))</f>
        <v>Cultivo</v>
      </c>
      <c r="R98" s="556">
        <f>M_Datos!M120/10000</f>
        <v>0</v>
      </c>
      <c r="S98" s="556">
        <f>-'M_Cálculos propios'!I261</f>
        <v>0</v>
      </c>
      <c r="T98" s="556">
        <v>0</v>
      </c>
      <c r="U98" s="556">
        <f>'M_Cálculos propios'!J261</f>
        <v>0</v>
      </c>
      <c r="V98" s="11"/>
      <c r="W98" s="11"/>
      <c r="X98" s="11"/>
      <c r="Y98" s="11"/>
      <c r="Z98" s="11"/>
      <c r="AA98" s="11"/>
      <c r="AB98" s="11"/>
      <c r="AC98" s="11"/>
      <c r="AD98" s="11"/>
      <c r="AE98" s="11"/>
      <c r="AF98" s="11"/>
      <c r="AG98" s="11"/>
      <c r="AH98" s="11"/>
      <c r="AI98" s="11"/>
      <c r="AJ98" s="11"/>
      <c r="AK98" s="11"/>
      <c r="AL98" s="11"/>
      <c r="AM98" s="11"/>
      <c r="AN98" s="11"/>
      <c r="AO98" s="11"/>
    </row>
    <row r="99" spans="2:41" ht="27.6">
      <c r="B99" s="11"/>
      <c r="C99" s="11"/>
      <c r="D99" s="11"/>
      <c r="E99" s="11"/>
      <c r="F99" s="11"/>
      <c r="G99" s="11"/>
      <c r="H99" s="11"/>
      <c r="I99" s="11"/>
      <c r="J99" s="11"/>
      <c r="K99" s="11"/>
      <c r="L99" s="11"/>
      <c r="M99" s="11"/>
      <c r="N99" s="11"/>
      <c r="O99" s="1"/>
      <c r="P99" s="11"/>
      <c r="Q99" s="473" t="str">
        <f>IF(Idioma=Castellano,"Marismas y humedales",IF(Idioma=Valencià,"Marenys i aiguamolls","Marismas y humedales"))</f>
        <v>Marismas y humedales</v>
      </c>
      <c r="R99" s="556">
        <f>M_Datos!M121/10000</f>
        <v>0</v>
      </c>
      <c r="S99" s="556">
        <f>-'M_Cálculos propios'!I262</f>
        <v>0</v>
      </c>
      <c r="T99" s="556">
        <v>0</v>
      </c>
      <c r="U99" s="556">
        <f>'M_Cálculos propios'!J262</f>
        <v>0</v>
      </c>
      <c r="V99" s="11"/>
      <c r="W99" s="11"/>
      <c r="X99" s="11"/>
      <c r="Y99" s="11"/>
      <c r="Z99" s="11"/>
      <c r="AA99" s="11"/>
      <c r="AB99" s="11"/>
      <c r="AC99" s="11"/>
      <c r="AD99" s="11"/>
      <c r="AE99" s="11"/>
      <c r="AF99" s="11"/>
      <c r="AG99" s="11"/>
      <c r="AH99" s="11"/>
      <c r="AI99" s="11"/>
      <c r="AJ99" s="11"/>
      <c r="AK99" s="11"/>
      <c r="AL99" s="11"/>
      <c r="AM99" s="11"/>
      <c r="AN99" s="11"/>
      <c r="AO99" s="11"/>
    </row>
    <row r="100" spans="2:41">
      <c r="B100" s="11"/>
      <c r="C100" s="11"/>
      <c r="D100" s="11"/>
      <c r="E100" s="11"/>
      <c r="F100" s="11"/>
      <c r="G100" s="11"/>
      <c r="H100" s="11"/>
      <c r="I100" s="11"/>
      <c r="J100" s="11"/>
      <c r="K100" s="11"/>
      <c r="L100" s="11"/>
      <c r="M100" s="11"/>
      <c r="N100" s="11"/>
      <c r="O100" s="1"/>
      <c r="P100" s="11"/>
      <c r="Q100" s="474" t="str">
        <f>IF(Idioma=Castellano,"Otras tierras",IF(Idioma=Valencià,"Altres terres","Otras tierras"))</f>
        <v>Otras tierras</v>
      </c>
      <c r="R100" s="556">
        <f>M_Datos!M122/10000</f>
        <v>0</v>
      </c>
      <c r="S100" s="556">
        <f>-'M_Cálculos propios'!I263</f>
        <v>0</v>
      </c>
      <c r="T100" s="556">
        <v>0</v>
      </c>
      <c r="U100" s="556">
        <f>'M_Cálculos propios'!J263</f>
        <v>0</v>
      </c>
      <c r="W100" s="11"/>
      <c r="X100" s="11"/>
      <c r="Y100" s="11"/>
      <c r="Z100" s="11"/>
      <c r="AA100" s="11"/>
      <c r="AB100" s="11"/>
      <c r="AC100" s="11"/>
      <c r="AD100" s="11"/>
      <c r="AE100" s="11"/>
      <c r="AF100" s="11"/>
      <c r="AG100" s="11"/>
      <c r="AH100" s="11"/>
      <c r="AI100" s="11"/>
      <c r="AJ100" s="11"/>
      <c r="AK100" s="11"/>
      <c r="AL100" s="11"/>
      <c r="AM100" s="11"/>
      <c r="AN100" s="11"/>
      <c r="AO100" s="11"/>
    </row>
    <row r="101" spans="2:41">
      <c r="B101" s="11"/>
      <c r="C101" s="11"/>
      <c r="D101" s="11"/>
      <c r="E101" s="11"/>
      <c r="F101" s="11"/>
      <c r="G101" s="11"/>
      <c r="H101" s="11"/>
      <c r="I101" s="11"/>
      <c r="J101" s="11"/>
      <c r="K101" s="11"/>
      <c r="L101" s="11"/>
      <c r="M101" s="11"/>
      <c r="N101" s="11"/>
      <c r="O101" s="1"/>
      <c r="P101" s="11"/>
      <c r="Q101" s="473" t="str">
        <f>IF(Idioma=Castellano,"Asentamientos",IF(Idioma=Valencià,"Assentaments","Asentamientos"))</f>
        <v>Asentamientos</v>
      </c>
      <c r="R101" s="556">
        <f>M_Datos!M123/10000</f>
        <v>0</v>
      </c>
      <c r="S101" s="556">
        <f>-'M_Cálculos propios'!I264</f>
        <v>0</v>
      </c>
      <c r="T101" s="556">
        <v>0</v>
      </c>
      <c r="U101" s="556">
        <f>'M_Cálculos propios'!J264</f>
        <v>0</v>
      </c>
      <c r="V101" s="248">
        <f>SUM(U96:U101)</f>
        <v>0</v>
      </c>
      <c r="W101" s="14" t="str">
        <f>IF(Idioma=Castellano,"t CO2e/año",IF(Idioma=Valencià,"t CO2e/any "))</f>
        <v>t CO2e/año</v>
      </c>
      <c r="X101" s="11"/>
      <c r="Y101" s="11"/>
      <c r="Z101" s="11"/>
      <c r="AA101" s="11"/>
      <c r="AB101" s="11"/>
      <c r="AC101" s="11"/>
      <c r="AD101" s="11"/>
      <c r="AE101" s="11"/>
      <c r="AF101" s="11"/>
      <c r="AG101" s="11"/>
      <c r="AH101" s="11"/>
      <c r="AI101" s="11"/>
      <c r="AJ101" s="11"/>
      <c r="AK101" s="11"/>
      <c r="AL101" s="11"/>
      <c r="AM101" s="11"/>
      <c r="AN101" s="11"/>
      <c r="AO101" s="11"/>
    </row>
    <row r="102" spans="2:41">
      <c r="B102" s="11"/>
      <c r="C102" s="11"/>
      <c r="D102" s="11"/>
      <c r="E102" s="11"/>
      <c r="F102" s="11"/>
      <c r="G102" s="11"/>
      <c r="H102" s="11"/>
      <c r="I102" s="11"/>
      <c r="J102" s="11"/>
      <c r="K102" s="11"/>
      <c r="L102" s="11"/>
      <c r="M102" s="11"/>
      <c r="N102" s="11"/>
      <c r="O102" s="1"/>
      <c r="P102" s="11"/>
      <c r="Q102" s="1"/>
      <c r="R102" s="1"/>
      <c r="S102" s="1"/>
      <c r="T102" s="1"/>
      <c r="U102" s="1"/>
      <c r="V102" s="1"/>
      <c r="W102" s="11"/>
      <c r="X102" s="11"/>
      <c r="Y102" s="11"/>
      <c r="Z102" s="11"/>
      <c r="AA102" s="11"/>
      <c r="AB102" s="11"/>
      <c r="AC102" s="11"/>
      <c r="AD102" s="11"/>
      <c r="AE102" s="11"/>
      <c r="AF102" s="11"/>
      <c r="AG102" s="11"/>
      <c r="AH102" s="11"/>
      <c r="AI102" s="11"/>
      <c r="AJ102" s="11"/>
      <c r="AK102" s="11"/>
      <c r="AL102" s="11"/>
      <c r="AM102" s="11"/>
      <c r="AN102" s="11"/>
      <c r="AO102" s="11"/>
    </row>
    <row r="103" spans="2:4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2:4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2:4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2:4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2:4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2:41">
      <c r="B108" s="11"/>
      <c r="C108" s="11"/>
      <c r="D108" s="59"/>
      <c r="E108" s="59"/>
      <c r="F108" s="59"/>
      <c r="G108" s="59"/>
      <c r="H108" s="59"/>
      <c r="I108" s="59"/>
      <c r="J108" s="59"/>
      <c r="K108" s="59"/>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2:41">
      <c r="B109" s="11"/>
      <c r="C109" s="11"/>
      <c r="D109" s="60"/>
      <c r="E109" s="60"/>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2:41">
      <c r="B110" s="11"/>
      <c r="C110" s="11"/>
      <c r="D110" s="61"/>
      <c r="E110" s="6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2:4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2:4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s="135" customFormat="1">
      <c r="A113" s="145"/>
      <c r="B113" s="243"/>
    </row>
    <row r="114" spans="1:4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row>
    <row r="115" spans="1:4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sheetData>
  <sheetProtection algorithmName="SHA-512" hashValue="A0TG2tX0OEzxLff6YD2KJM4++vMtbfodMN4YnjuiacPfIV5ly4kIVaKnIcJBLwky9kS4uKhEg9y2NWFnFK+zHA==" saltValue="4y5LZ6fgJi3Ag5wimZoJsw==" spinCount="100000" sheet="1" objects="1" scenarios="1"/>
  <mergeCells count="10">
    <mergeCell ref="D27:F27"/>
    <mergeCell ref="B4:G5"/>
    <mergeCell ref="D11:F11"/>
    <mergeCell ref="G11:I11"/>
    <mergeCell ref="D48:F48"/>
    <mergeCell ref="I90:J90"/>
    <mergeCell ref="I91:J91"/>
    <mergeCell ref="I92:J92"/>
    <mergeCell ref="D50:F50"/>
    <mergeCell ref="D36:F36"/>
  </mergeCells>
  <hyperlinks>
    <hyperlink ref="A7" location="Instrucciones_Valencia!A1" display="Instrucciones_Valencia!A1" xr:uid="{0FB960FC-1F1F-42F2-912D-798231195C1D}"/>
    <hyperlink ref="A9" location="M_Datos_Valencia!A1" display="M_Datos_Valencia!A1" xr:uid="{729EED69-370E-427E-8AA4-9193D3B0DA0E}"/>
    <hyperlink ref="A11" location="V_A0!A1" display="2.1. Alternativa 0 (A0)" xr:uid="{7E8FA048-52FB-40EF-B053-299943EC2435}"/>
    <hyperlink ref="A12" location="V_A1!A1" display="2.2. Alternativa 1 (A1)" xr:uid="{00667046-26A2-4087-827B-006F03BFE6F8}"/>
    <hyperlink ref="A13" location="V_A2!A1" display="2.3. Alternativa 2 (A2)" xr:uid="{48E7AA54-8F36-4A0F-88A3-13D8697F0A20}"/>
    <hyperlink ref="A14" location="V_A3!A1" display="2.4. Alternativa 3 (A3)" xr:uid="{D29FFEE5-690D-46BA-B675-3C5DBB75EE8F}"/>
    <hyperlink ref="A15" location="V_A4!A1" display="2.5. Alternativa 4 (A4)" xr:uid="{133F5F93-5CD2-4ECB-8935-5211F607B61D}"/>
    <hyperlink ref="A16" location="B_Resultados!A1" display="B_Resultados!A1" xr:uid="{ECFF4238-22C8-4446-9D29-5BF74C40CECF}"/>
    <hyperlink ref="A17" location="V_Factores!A1" display="V_Factores!A1" xr:uid="{43D35295-42D9-4A31-A9AA-D9F2B2E87C95}"/>
    <hyperlink ref="A19" location="B_Alcance!A1" display="B_Alcance!A1" xr:uid="{63E0DC0E-1E8D-43DF-9599-8C4F66E85C92}"/>
    <hyperlink ref="A20" location="B_Checklist!A1" display="2. Checklist" xr:uid="{4C078826-D166-4905-A80F-E0AD235E9E78}"/>
    <hyperlink ref="A21" location="B_Resultados!A1" display="B_Resultados!A1" xr:uid="{AAC44FE8-7D12-48A1-BEAC-A8E6D9F04450}"/>
    <hyperlink ref="A22" location="Resultados_generales!A1" display="Resultados_generales!A1" xr:uid="{2503809F-4B63-4C6C-BB39-2BEEAFA08C02}"/>
    <hyperlink ref="A23" location="Medidas_Propuestas!A1" display="Medidas_Propuestas!A1" xr:uid="{6C9A224B-B3CA-4372-BCD1-88B675A79FC8}"/>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85" id="{30F093EB-E942-484C-A82D-F99F25981B7A}">
            <xm:f>M_Datos!$J$17="No"</xm:f>
            <x14:dxf>
              <font>
                <color theme="0" tint="-0.34998626667073579"/>
              </font>
              <fill>
                <patternFill>
                  <bgColor theme="0" tint="-4.9989318521683403E-2"/>
                </patternFill>
              </fill>
            </x14:dxf>
          </x14:cfRule>
          <xm:sqref>C71:D71 C30:C33 C53:F55 C39:F42 F78:F83</xm:sqref>
        </x14:conditionalFormatting>
        <x14:conditionalFormatting xmlns:xm="http://schemas.microsoft.com/office/excel/2006/main">
          <x14:cfRule type="expression" priority="4" id="{B4F046B6-E45A-4603-85F2-FDF543B01122}">
            <xm:f>M_Datos!$J$17="No"</xm:f>
            <x14:dxf>
              <font>
                <color theme="0" tint="-0.34998626667073579"/>
              </font>
              <fill>
                <patternFill>
                  <bgColor theme="0" tint="-4.9989318521683403E-2"/>
                </patternFill>
              </fill>
            </x14:dxf>
          </x14:cfRule>
          <xm:sqref>F84</xm:sqref>
        </x14:conditionalFormatting>
        <x14:conditionalFormatting xmlns:xm="http://schemas.microsoft.com/office/excel/2006/main">
          <x14:cfRule type="expression" priority="3" id="{05EC30B3-8D99-4794-B2A2-9A160D5DB8A2}">
            <xm:f>M_Datos!$J$17="No"</xm:f>
            <x14:dxf>
              <font>
                <color theme="0" tint="-0.34998626667073579"/>
              </font>
              <fill>
                <patternFill>
                  <bgColor theme="0" tint="-4.9989318521683403E-2"/>
                </patternFill>
              </fill>
            </x14:dxf>
          </x14:cfRule>
          <xm:sqref>D31:F33</xm:sqref>
        </x14:conditionalFormatting>
        <x14:conditionalFormatting xmlns:xm="http://schemas.microsoft.com/office/excel/2006/main">
          <x14:cfRule type="expression" priority="2" id="{F15C81AF-C7D8-48A3-A4D9-9B3AAE69B5CC}">
            <xm:f>M_Datos!$J$17="No"</xm:f>
            <x14:dxf>
              <font>
                <color theme="0" tint="-0.34998626667073579"/>
              </font>
              <fill>
                <patternFill>
                  <bgColor theme="0" tint="-4.9989318521683403E-2"/>
                </patternFill>
              </fill>
            </x14:dxf>
          </x14:cfRule>
          <xm:sqref>D30:F30</xm:sqref>
        </x14:conditionalFormatting>
        <x14:conditionalFormatting xmlns:xm="http://schemas.microsoft.com/office/excel/2006/main">
          <x14:cfRule type="expression" priority="1" id="{DCD84D3C-9FE6-4750-9774-BF700177A25C}">
            <xm:f>M_Datos!$J$17="No"</xm:f>
            <x14:dxf>
              <font>
                <color theme="0" tint="-0.34998626667073579"/>
              </font>
              <fill>
                <patternFill>
                  <bgColor theme="0" tint="-4.9989318521683403E-2"/>
                </patternFill>
              </fill>
            </x14:dxf>
          </x14:cfRule>
          <xm:sqref>F77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8ED8-DFE0-4FE1-B030-45D3CB2A5457}">
  <sheetPr>
    <tabColor theme="5" tint="0.79998168889431442"/>
  </sheetPr>
  <dimension ref="A1:AO127"/>
  <sheetViews>
    <sheetView workbookViewId="0">
      <selection activeCell="E16" sqref="E16"/>
    </sheetView>
  </sheetViews>
  <sheetFormatPr baseColWidth="10" defaultColWidth="11.44140625" defaultRowHeight="15.6"/>
  <cols>
    <col min="1" max="1" width="29.5546875" style="145" customWidth="1"/>
    <col min="3" max="3" width="24.33203125" customWidth="1"/>
    <col min="4" max="4" width="16" customWidth="1"/>
    <col min="5" max="5" width="31.5546875" customWidth="1"/>
    <col min="6" max="6" width="21.33203125" customWidth="1"/>
    <col min="7" max="7" width="17.6640625" customWidth="1"/>
    <col min="8" max="8" width="18.6640625" customWidth="1"/>
    <col min="9" max="9" width="18.44140625" customWidth="1"/>
    <col min="10" max="10" width="22.109375" customWidth="1"/>
    <col min="11" max="11" width="23.6640625" customWidth="1"/>
    <col min="17" max="17" width="18.33203125" customWidth="1"/>
    <col min="18" max="18" width="15.33203125" customWidth="1"/>
    <col min="19" max="19" width="19.88671875" customWidth="1"/>
    <col min="20" max="20" width="16.33203125" bestFit="1" customWidth="1"/>
  </cols>
  <sheetData>
    <row r="1" spans="1:41" s="135" customFormat="1" ht="30" customHeight="1">
      <c r="A1" s="1"/>
      <c r="B1" s="137"/>
    </row>
    <row r="2" spans="1:41" s="135" customFormat="1" ht="30" customHeight="1">
      <c r="A2" s="1"/>
      <c r="B2" s="137"/>
      <c r="C2" s="136" t="str">
        <f>IF(Idioma=Castellano,"2. Cálculo de Alternativas",IF(Idioma=Valencià,"2. Càlcul d'alternatives ","2. Cálculo de Alternativas"))</f>
        <v>2. Cálculo de Alternativas</v>
      </c>
    </row>
    <row r="3" spans="1:41" s="135" customFormat="1" ht="30" customHeight="1">
      <c r="A3" s="1"/>
      <c r="B3" s="137"/>
    </row>
    <row r="4" spans="1:41" s="245" customFormat="1" ht="15" customHeight="1">
      <c r="A4" s="143"/>
      <c r="B4" s="655" t="s">
        <v>960</v>
      </c>
      <c r="C4" s="655"/>
      <c r="D4" s="655"/>
      <c r="E4" s="655"/>
      <c r="F4" s="655"/>
      <c r="G4" s="655"/>
      <c r="H4" s="244"/>
    </row>
    <row r="5" spans="1:41" s="245" customFormat="1" ht="15" customHeight="1">
      <c r="A5" s="143"/>
      <c r="B5" s="655"/>
      <c r="C5" s="655"/>
      <c r="D5" s="655"/>
      <c r="E5" s="655"/>
      <c r="F5" s="655"/>
      <c r="G5" s="655"/>
      <c r="H5" s="244"/>
    </row>
    <row r="6" spans="1:41" s="135" customFormat="1">
      <c r="A6" s="335" t="str">
        <f>IF(Idioma=Castellano,"Índice",IF(Idioma=Valencià,"Índex","Índice"))</f>
        <v>Índice</v>
      </c>
      <c r="B6" s="240" t="str">
        <f>IF(Idioma=Castellano,"A. Consumo energético",IF(Idioma=Valencià,"A. Consum energètic","A. Consumo energético"))</f>
        <v>A. Consumo energético</v>
      </c>
      <c r="O6" s="241"/>
      <c r="Q6" s="241"/>
      <c r="Z6" s="241"/>
    </row>
    <row r="7" spans="1:41" ht="14.4">
      <c r="A7" s="202" t="str">
        <f>IF(Idioma=Castellano,"Instrucciones",IF(Idioma=Valencià,"Instruccions","Instrucciones"))</f>
        <v>Instrucciones</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8">
      <c r="A8" s="203" t="str">
        <f>IF(Idioma=Castellano,"Sección de Mitigación",IF(Idioma=Valencià,"Secció de Mitigació", "Sección de Mitigación"))</f>
        <v>Sección de Mitigación</v>
      </c>
      <c r="B8" s="1"/>
      <c r="C8" s="1"/>
      <c r="D8" s="1"/>
      <c r="E8" s="195"/>
      <c r="F8" s="1"/>
      <c r="G8" s="1"/>
      <c r="H8" s="1"/>
      <c r="I8" s="1"/>
      <c r="J8" s="1"/>
      <c r="K8" s="1"/>
      <c r="L8" s="1"/>
      <c r="M8" s="1"/>
      <c r="N8" s="1"/>
      <c r="O8" s="1"/>
      <c r="P8" s="246" t="str">
        <f>IF(Idioma=Castellano,"A. Resultados demanda energética",IF(Idioma=Valencià,"A. Resultats demanda energètica","A. Resultados demanda energética"))</f>
        <v>A. Resultados demanda energética</v>
      </c>
      <c r="Q8" s="1"/>
      <c r="R8" s="1"/>
      <c r="S8" s="1"/>
      <c r="T8" s="1"/>
      <c r="U8" s="1"/>
      <c r="V8" s="1"/>
      <c r="W8" s="1"/>
      <c r="X8" s="1"/>
      <c r="Y8" s="1"/>
      <c r="Z8" s="1"/>
      <c r="AA8" s="246" t="str">
        <f>IF(Idioma=Castellano,"A. Resultados emisiones",IF(Idioma=Valencià,"A. Resultats emissions"))</f>
        <v>A. Resultados emisiones</v>
      </c>
      <c r="AB8" s="1"/>
      <c r="AC8" s="1"/>
      <c r="AD8" s="1"/>
      <c r="AE8" s="1"/>
      <c r="AF8" s="1"/>
      <c r="AG8" s="1"/>
      <c r="AH8" s="1"/>
      <c r="AI8" s="1"/>
      <c r="AJ8" s="1"/>
      <c r="AK8" s="1"/>
      <c r="AL8" s="1"/>
      <c r="AM8" s="1"/>
      <c r="AN8" s="1"/>
      <c r="AO8" s="1"/>
    </row>
    <row r="9" spans="1:41" ht="14.4">
      <c r="A9" s="204" t="str">
        <f>IF(Idioma=Castellano,"1. Datos de entrada",IF(Idioma=Valencià,"1.Dades d'entrada","1. Datos de entrada"))</f>
        <v>1. Datos de entrada</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18">
      <c r="A10" s="204" t="str">
        <f>IF(Idioma=Castellano,"2. Cálculo de Alternativas:",IF(Idioma=Valencià,"2. Càlcul d'alternatives :","2. Cálculo de Alternativas:"))</f>
        <v>2. Cálculo de Alternativas:</v>
      </c>
      <c r="B10" s="1"/>
      <c r="C10" s="246" t="str">
        <f>IF(Idioma=Castellano,"A.1. Uso de la vivienda",IF(Idioma=Valencià,"A.1. Ús de l'habitatge","A.1. Uso de la vivienda"))</f>
        <v>A.1. Uso de la vivienda</v>
      </c>
      <c r="D10" s="1"/>
      <c r="E10" s="1"/>
      <c r="F10" s="1"/>
      <c r="G10" s="1"/>
      <c r="H10" s="1"/>
      <c r="I10" s="1"/>
      <c r="J10" s="1"/>
      <c r="K10" s="1"/>
      <c r="L10" s="1"/>
      <c r="M10" s="1"/>
      <c r="N10" s="1"/>
      <c r="O10" s="542" t="str">
        <f>IF(Idioma=Castellano,"Demanda asociada a usos de vivienda",IF(Idioma=Valencià,"Demanda associades a ús d'habitatge"))</f>
        <v>Demanda asociada a usos de vivienda</v>
      </c>
      <c r="P10" s="1"/>
      <c r="Q10" s="1"/>
      <c r="R10" s="1"/>
      <c r="S10" s="542" t="str">
        <f>IF(Idioma=Castellano,"Demanda energética asociadas a los tipos de viviendas",IF(Idioma=Valencià,"Demanda energètica associades als tipus d'habitatges"))</f>
        <v>Demanda energética asociadas a los tipos de viviendas</v>
      </c>
      <c r="T10" s="1"/>
      <c r="U10" s="1"/>
      <c r="V10" s="1"/>
      <c r="W10" s="1"/>
      <c r="X10" s="1"/>
      <c r="Y10" s="1"/>
      <c r="Z10" s="1"/>
      <c r="AA10" s="542" t="str">
        <f>IF(Idioma=Castellano,"Emisiones asociada a usos de vivienda",IF(Idioma=Valencià,"Emissions associades a ús d'habitatge"))</f>
        <v>Emisiones asociada a usos de vivienda</v>
      </c>
      <c r="AB10" s="1"/>
      <c r="AC10" s="1"/>
      <c r="AD10" s="1"/>
      <c r="AE10" s="1"/>
      <c r="AF10" s="1"/>
      <c r="AG10" s="542" t="str">
        <f>IF(Idioma=Castellano,"Emisiones energética asociadas a los tipos de viviendas",IF(Idioma=Valencià,"Emissions energètica associades als tipus d'habitatges"))</f>
        <v>Emisiones energética asociadas a los tipos de viviendas</v>
      </c>
      <c r="AH10" s="1"/>
      <c r="AI10" s="1"/>
      <c r="AJ10" s="1"/>
      <c r="AK10" s="1"/>
      <c r="AL10" s="1"/>
      <c r="AM10" s="1"/>
      <c r="AN10" s="1"/>
      <c r="AO10" s="1"/>
    </row>
    <row r="11" spans="1:41" ht="14.4">
      <c r="A11" s="205" t="s">
        <v>1</v>
      </c>
      <c r="B11" s="1"/>
      <c r="C11" s="47"/>
      <c r="D11" s="652" t="str">
        <f>IF(Idioma=Castellano,"Vivienda Unifamiliar",IF(Idioma=Valencià,"Habitatge Unifamiliar","Vivienda Unifamiliar"))</f>
        <v>Vivienda Unifamiliar</v>
      </c>
      <c r="E11" s="654"/>
      <c r="F11" s="653"/>
      <c r="G11" s="652" t="str">
        <f>IF(Idioma=Castellano,"Vivienda Plurifamiliar",IF(Idioma=Valencià,"Habitatge Plurifamiliar","Vivienda Plurifamiliar"))</f>
        <v>Vivienda Plurifamiliar</v>
      </c>
      <c r="H11" s="654"/>
      <c r="I11" s="653"/>
      <c r="J11" s="158"/>
      <c r="K11" s="48"/>
      <c r="L11" s="1"/>
      <c r="M11" s="1"/>
      <c r="N11" s="1"/>
      <c r="P11" s="1"/>
      <c r="Q11" s="1"/>
      <c r="R11" s="1"/>
      <c r="S11" s="1"/>
      <c r="V11" s="1"/>
      <c r="W11" s="1"/>
      <c r="X11" s="1"/>
      <c r="Y11" s="1"/>
      <c r="Z11" s="46"/>
      <c r="AA11" s="1"/>
      <c r="AB11" s="1"/>
      <c r="AC11" s="1"/>
      <c r="AD11" s="1"/>
      <c r="AE11" s="1"/>
      <c r="AF11" s="1"/>
      <c r="AG11" s="1"/>
      <c r="AH11" s="1"/>
      <c r="AI11" s="1"/>
      <c r="AJ11" s="1"/>
      <c r="AK11" s="1"/>
      <c r="AL11" s="1"/>
      <c r="AM11" s="1"/>
      <c r="AN11" s="1"/>
      <c r="AO11" s="1"/>
    </row>
    <row r="12" spans="1:41" ht="14.4">
      <c r="A12" s="205" t="s">
        <v>2</v>
      </c>
      <c r="B12" s="1"/>
      <c r="C12" s="289" t="s">
        <v>622</v>
      </c>
      <c r="D12" s="524" t="s">
        <v>623</v>
      </c>
      <c r="E12" s="524" t="s">
        <v>948</v>
      </c>
      <c r="F12" s="526" t="str">
        <f>IF(Idioma=Castellano,"Emisiones (t CO2e)",IF(Idioma=Valencià,"Emissions (t CO2e) ","Emisiones (t CO2e)"))</f>
        <v>Emisiones (t CO2e)</v>
      </c>
      <c r="G12" s="524" t="s">
        <v>623</v>
      </c>
      <c r="H12" s="524" t="s">
        <v>948</v>
      </c>
      <c r="I12" s="526" t="str">
        <f>IF(Idioma=Castellano,"Emisiones (t CO2e)",IF(Idioma=Valencià,"Emissions (t CO2e) ","Emisiones (t CO2e)"))</f>
        <v>Emisiones (t CO2e)</v>
      </c>
      <c r="J12" s="545" t="str">
        <f>IF(Idioma=Castellano,"Total Demanda (MWh/año)",IF(Idioma=Valencià,"Total Demanda (MWh/any)","Total Demanda (MWh/año)"))</f>
        <v>Total Demanda (MWh/año)</v>
      </c>
      <c r="K12" s="545" t="str">
        <f>IF(Idioma=Castellano,"Total de emisiones (t CO2e/año)",IF(Idioma=Valencià,"Total d'emissions (t CO2e/any) ","Total de emisiones (t CO2e/año)"))</f>
        <v>Total de emisiones (t CO2e/año)</v>
      </c>
      <c r="L12" s="497"/>
      <c r="M12" s="498"/>
      <c r="N12" s="7"/>
      <c r="O12" s="7"/>
      <c r="P12" s="7"/>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ht="14.4">
      <c r="A13" s="205" t="s">
        <v>3</v>
      </c>
      <c r="B13" s="1"/>
      <c r="C13" s="289" t="str">
        <f>IF(Idioma=Castellano,"Existente",IF(Idioma=Valencià,"Existent","Existente"))</f>
        <v>Existente</v>
      </c>
      <c r="D13" s="551">
        <f>SUMIF(M_Datos!$I$30:$I$32,M_Lista!G3,M_Datos!$G$30:$G$32)</f>
        <v>0</v>
      </c>
      <c r="E13" s="312" t="e">
        <f>D13*VLOOKUP($D$11&amp;M_Datos!$E$12&amp;M_A1!C13,M_Factores!$F$10:$H$207,2,FALSE)/(10^3)</f>
        <v>#N/A</v>
      </c>
      <c r="F13" s="313" t="e">
        <f>D13*VLOOKUP($D$11&amp;M_Datos!$E$12&amp;M_A1!C13,M_Factores!$F$10:$H$207,3,FALSE)/1000</f>
        <v>#N/A</v>
      </c>
      <c r="G13" s="551">
        <f>SUMIF(M_Datos!$I$33:$I$35,M_Lista!G3,M_Datos!$G$33:$G$35)</f>
        <v>0</v>
      </c>
      <c r="H13" s="312" t="e">
        <f>G13*VLOOKUP($G$11&amp;M_Datos!$E$12&amp;M_A1!C13,M_Factores!$F$10:$H$207,2,FALSE)/(10^3)</f>
        <v>#N/A</v>
      </c>
      <c r="I13" s="313" t="e">
        <f>G13*VLOOKUP($G$11&amp;M_Datos!$E$12&amp;M_A1!C13,M_Factores!$F$10:$H$207,3,FALSE)/1000</f>
        <v>#N/A</v>
      </c>
      <c r="J13" s="314" t="e">
        <f>E13+H13</f>
        <v>#N/A</v>
      </c>
      <c r="K13" s="313" t="e">
        <f t="shared" ref="K13:K21" si="0">F13+I13</f>
        <v>#N/A</v>
      </c>
      <c r="L13" s="1"/>
      <c r="M13" s="1"/>
      <c r="N13" s="7"/>
      <c r="O13" s="7"/>
      <c r="P13" s="7"/>
      <c r="Q13" s="1"/>
      <c r="R13" s="1"/>
      <c r="S13" s="1"/>
      <c r="T13" s="1"/>
      <c r="U13" s="1"/>
      <c r="V13" s="1"/>
      <c r="W13" s="1"/>
      <c r="X13" s="1"/>
      <c r="Y13" s="46"/>
      <c r="Z13" s="1"/>
      <c r="AA13" s="1"/>
      <c r="AB13" s="1"/>
      <c r="AC13" s="1"/>
      <c r="AD13" s="1"/>
      <c r="AE13" s="1"/>
      <c r="AF13" s="1"/>
      <c r="AG13" s="1"/>
      <c r="AH13" s="1"/>
      <c r="AI13" s="1"/>
      <c r="AJ13" s="1"/>
      <c r="AK13" s="1"/>
      <c r="AL13" s="1"/>
      <c r="AM13" s="1"/>
      <c r="AN13" s="1"/>
      <c r="AO13" s="1"/>
    </row>
    <row r="14" spans="1:41" ht="14.4">
      <c r="A14" s="205" t="s">
        <v>4</v>
      </c>
      <c r="B14" s="1"/>
      <c r="C14" s="289" t="s">
        <v>625</v>
      </c>
      <c r="D14" s="551">
        <f>SUMIF(M_Datos!$I$30:$I$32,M_Lista!G4,M_Datos!$G$30:$G$32)</f>
        <v>0</v>
      </c>
      <c r="E14" s="312" t="e">
        <f>D14*VLOOKUP($D$11&amp;M_Datos!$E$12&amp;M_A1!C14,M_Factores!$F$10:$H$207,2,FALSE)/(10^3)</f>
        <v>#N/A</v>
      </c>
      <c r="F14" s="313" t="e">
        <f>D14*VLOOKUP($D$11&amp;M_Datos!$E$12&amp;M_A1!C14,M_Factores!$F$10:$H$207,3,FALSE)/1000</f>
        <v>#N/A</v>
      </c>
      <c r="G14" s="551">
        <f>SUMIF(M_Datos!$I$33:$I$35,M_Lista!G4,M_Datos!$G$33:$G$35)</f>
        <v>0</v>
      </c>
      <c r="H14" s="312" t="e">
        <f>G14*VLOOKUP($G$11&amp;M_Datos!$E$12&amp;M_A1!C14,M_Factores!$F$10:$H$207,2,FALSE)/(10^3)</f>
        <v>#N/A</v>
      </c>
      <c r="I14" s="313" t="e">
        <f>G14*VLOOKUP($G$11&amp;M_Datos!$E$12&amp;M_A1!C14,M_Factores!$F$10:$H$207,3,FALSE)/1000</f>
        <v>#N/A</v>
      </c>
      <c r="J14" s="314" t="e">
        <f t="shared" ref="J14:J21" si="1">E14+H14</f>
        <v>#N/A</v>
      </c>
      <c r="K14" s="313" t="e">
        <f t="shared" si="0"/>
        <v>#N/A</v>
      </c>
      <c r="L14" s="1"/>
      <c r="M14" s="1"/>
      <c r="N14" s="49" t="e">
        <f>F22</f>
        <v>#N/A</v>
      </c>
      <c r="O14" s="49" t="e">
        <f>I22</f>
        <v>#N/A</v>
      </c>
      <c r="P14" s="7"/>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ht="14.4">
      <c r="A15" s="205" t="s">
        <v>5</v>
      </c>
      <c r="B15" s="1"/>
      <c r="C15" s="289" t="s">
        <v>626</v>
      </c>
      <c r="D15" s="551">
        <f>SUMIF(M_Datos!$I$30:$I$32,M_Lista!G5,M_Datos!$G$30:$G$32)</f>
        <v>0</v>
      </c>
      <c r="E15" s="312" t="e">
        <f>D15*VLOOKUP($D$11&amp;M_Datos!$E$12&amp;M_A1!C15,M_Factores!$F$10:$H$207,2,FALSE)/(10^3)</f>
        <v>#N/A</v>
      </c>
      <c r="F15" s="313" t="e">
        <f>D15*VLOOKUP($D$11&amp;M_Datos!$E$12&amp;M_A1!C15,M_Factores!$F$10:$H$207,3,FALSE)/1000</f>
        <v>#N/A</v>
      </c>
      <c r="G15" s="551">
        <f>SUMIF(M_Datos!$I$33:$I$35,M_Lista!G5,M_Datos!$G$33:$G$35)</f>
        <v>0</v>
      </c>
      <c r="H15" s="312" t="e">
        <f>G15*VLOOKUP($G$11&amp;M_Datos!$E$12&amp;M_A1!C15,M_Factores!$F$10:$H$207,2,FALSE)/(10^3)</f>
        <v>#N/A</v>
      </c>
      <c r="I15" s="313" t="e">
        <f>G15*VLOOKUP($G$11&amp;M_Datos!$E$12&amp;M_A1!C15,M_Factores!$F$10:$H$207,3,FALSE)/1000</f>
        <v>#N/A</v>
      </c>
      <c r="J15" s="314" t="e">
        <f t="shared" si="1"/>
        <v>#N/A</v>
      </c>
      <c r="K15" s="313" t="e">
        <f t="shared" si="0"/>
        <v>#N/A</v>
      </c>
      <c r="L15" s="1"/>
      <c r="M15" s="1"/>
      <c r="N15" s="7"/>
      <c r="O15" s="7"/>
      <c r="P15" s="7"/>
      <c r="Q15" s="1"/>
      <c r="R15" s="1"/>
      <c r="S15" s="1"/>
      <c r="T15" s="1"/>
      <c r="U15" s="1"/>
      <c r="V15" s="1"/>
      <c r="W15" s="1"/>
      <c r="X15" s="1"/>
      <c r="Y15" s="46"/>
      <c r="Z15" s="1"/>
      <c r="AA15" s="1"/>
      <c r="AB15" s="1"/>
      <c r="AC15" s="1"/>
      <c r="AD15" s="1"/>
      <c r="AE15" s="1"/>
      <c r="AF15" s="1"/>
      <c r="AG15" s="1"/>
      <c r="AH15" s="1"/>
      <c r="AI15" s="1"/>
      <c r="AJ15" s="1"/>
      <c r="AK15" s="1"/>
      <c r="AL15" s="1"/>
      <c r="AM15" s="1"/>
      <c r="AN15" s="1"/>
      <c r="AO15" s="1"/>
    </row>
    <row r="16" spans="1:41" ht="14.4">
      <c r="A16" s="204" t="str">
        <f>IF(Idioma=Castellano,"3. Resultados",IF(Idioma=Valencià,"3. Resultats","3. Resultados"))</f>
        <v>3. Resultados</v>
      </c>
      <c r="B16" s="1"/>
      <c r="C16" s="289" t="s">
        <v>627</v>
      </c>
      <c r="D16" s="551">
        <f>SUMIF(M_Datos!$I$30:$I$32,M_Lista!G6,M_Datos!$G$30:$G$32)</f>
        <v>0</v>
      </c>
      <c r="E16" s="312" t="e">
        <f>D16*VLOOKUP($D$11&amp;M_Datos!$E$12&amp;M_A1!C16,M_Factores!$F$10:$H$207,2,FALSE)/(10^3)</f>
        <v>#N/A</v>
      </c>
      <c r="F16" s="313" t="e">
        <f>D16*VLOOKUP($D$11&amp;M_Datos!$E$12&amp;M_A1!C16,M_Factores!$F$10:$H$207,3,FALSE)/1000</f>
        <v>#N/A</v>
      </c>
      <c r="G16" s="551">
        <f>SUMIF(M_Datos!$I$33:$I$35,M_Lista!G6,M_Datos!$G$33:$G$35)</f>
        <v>0</v>
      </c>
      <c r="H16" s="312" t="e">
        <f>G16*VLOOKUP($G$11&amp;M_Datos!$E$12&amp;M_A1!C16,M_Factores!$F$10:$H$207,2,FALSE)/(10^3)</f>
        <v>#N/A</v>
      </c>
      <c r="I16" s="313" t="e">
        <f>G16*VLOOKUP($G$11&amp;M_Datos!$E$12&amp;M_A1!C16,M_Factores!$F$10:$H$207,3,FALSE)/1000</f>
        <v>#N/A</v>
      </c>
      <c r="J16" s="314" t="e">
        <f t="shared" si="1"/>
        <v>#N/A</v>
      </c>
      <c r="K16" s="313" t="e">
        <f t="shared" si="0"/>
        <v>#N/A</v>
      </c>
      <c r="L16" s="1"/>
      <c r="M16" s="1"/>
      <c r="N16" s="7"/>
      <c r="O16" s="7"/>
      <c r="P16" s="7"/>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4.4">
      <c r="A17" s="204" t="str">
        <f>IF(Idioma=Castellano,"4. Factores de emisión",IF(Idioma=Valencià,"4. Factors d'emissió","4. Factores de emisión"))</f>
        <v>4. Factores de emisión</v>
      </c>
      <c r="B17" s="1"/>
      <c r="C17" s="289" t="s">
        <v>628</v>
      </c>
      <c r="D17" s="551">
        <f>SUMIF(M_Datos!$I$30:$I$32,M_Lista!G7,M_Datos!$G$30:$G$32)</f>
        <v>0</v>
      </c>
      <c r="E17" s="312" t="e">
        <f>D17*VLOOKUP($D$11&amp;M_Datos!$E$12&amp;M_A1!C17,M_Factores!$F$10:$H$207,2,FALSE)/(10^3)</f>
        <v>#N/A</v>
      </c>
      <c r="F17" s="313" t="e">
        <f>D17*VLOOKUP($D$11&amp;M_Datos!$E$12&amp;M_A1!C17,M_Factores!$F$10:$H$207,3,FALSE)/1000</f>
        <v>#N/A</v>
      </c>
      <c r="G17" s="551">
        <f>SUMIF(M_Datos!$I$33:$I$35,M_Lista!G7,M_Datos!$G$33:$G$35)</f>
        <v>0</v>
      </c>
      <c r="H17" s="312" t="e">
        <f>G17*VLOOKUP($G$11&amp;M_Datos!$E$12&amp;M_A1!C17,M_Factores!$F$10:$H$207,2,FALSE)/(10^3)</f>
        <v>#N/A</v>
      </c>
      <c r="I17" s="313" t="e">
        <f>G17*VLOOKUP($G$11&amp;M_Datos!$E$12&amp;M_A1!C17,M_Factores!$F$10:$H$207,3,FALSE)/1000</f>
        <v>#N/A</v>
      </c>
      <c r="J17" s="314" t="e">
        <f t="shared" si="1"/>
        <v>#N/A</v>
      </c>
      <c r="K17" s="313" t="e">
        <f t="shared" si="0"/>
        <v>#N/A</v>
      </c>
      <c r="L17" s="1"/>
      <c r="M17" s="1"/>
      <c r="N17" s="7"/>
      <c r="O17" s="7"/>
      <c r="P17" s="7"/>
      <c r="Q17" s="1"/>
      <c r="R17" s="1"/>
      <c r="S17" s="1"/>
      <c r="T17" s="1"/>
      <c r="U17" s="1"/>
      <c r="V17" s="1"/>
      <c r="W17" s="1"/>
      <c r="X17" s="1"/>
      <c r="Y17" s="46"/>
      <c r="Z17" s="1"/>
      <c r="AA17" s="1"/>
      <c r="AB17" s="1"/>
      <c r="AC17" s="1"/>
      <c r="AD17" s="1"/>
      <c r="AE17" s="1"/>
      <c r="AF17" s="3"/>
      <c r="AG17" s="3"/>
      <c r="AH17" s="3"/>
      <c r="AI17" s="3"/>
      <c r="AJ17" s="3"/>
      <c r="AK17" s="3"/>
      <c r="AL17" s="3"/>
      <c r="AM17" s="3"/>
      <c r="AN17" s="3"/>
      <c r="AO17" s="3"/>
    </row>
    <row r="18" spans="1:41" ht="14.4">
      <c r="A18" s="203" t="str">
        <f>IF(Idioma=Castellano,"Sección de Adaptación",IF(Idioma=Valencià,"Secció d'Adaptació","Sección de Adaptación"))</f>
        <v>Sección de Adaptación</v>
      </c>
      <c r="B18" s="3"/>
      <c r="C18" s="289" t="s">
        <v>629</v>
      </c>
      <c r="D18" s="551">
        <f>SUMIF(M_Datos!$I$30:$I$32,M_Lista!G8,M_Datos!$G$30:$G$32)</f>
        <v>0</v>
      </c>
      <c r="E18" s="312" t="e">
        <f>D18*VLOOKUP($D$11&amp;M_Datos!$E$12&amp;M_A1!C18,M_Factores!$F$10:$H$207,2,FALSE)/(10^3)</f>
        <v>#N/A</v>
      </c>
      <c r="F18" s="313" t="e">
        <f>D18*VLOOKUP($D$11&amp;M_Datos!$E$12&amp;M_A1!C18,M_Factores!$F$10:$H$207,3,FALSE)/1000</f>
        <v>#N/A</v>
      </c>
      <c r="G18" s="551">
        <f>SUMIF(M_Datos!$I$33:$I$35,M_Lista!G8,M_Datos!$G$33:$G$35)</f>
        <v>0</v>
      </c>
      <c r="H18" s="312" t="e">
        <f>G18*VLOOKUP($G$11&amp;M_Datos!$E$12&amp;M_A1!C18,M_Factores!$F$10:$H$207,2,FALSE)/(10^3)</f>
        <v>#N/A</v>
      </c>
      <c r="I18" s="313" t="e">
        <f>G18*VLOOKUP($G$11&amp;M_Datos!$E$12&amp;M_A1!C18,M_Factores!$F$10:$H$207,3,FALSE)/1000</f>
        <v>#N/A</v>
      </c>
      <c r="J18" s="314" t="e">
        <f t="shared" si="1"/>
        <v>#N/A</v>
      </c>
      <c r="K18" s="313" t="e">
        <f t="shared" si="0"/>
        <v>#N/A</v>
      </c>
      <c r="L18" s="1"/>
      <c r="M18" s="1"/>
      <c r="N18" s="7"/>
      <c r="O18" s="7"/>
      <c r="P18" s="7"/>
      <c r="Q18" s="1"/>
      <c r="R18" s="1"/>
      <c r="S18" s="1"/>
      <c r="T18" s="1"/>
      <c r="U18" s="1"/>
      <c r="V18" s="1"/>
      <c r="W18" s="1"/>
      <c r="X18" s="1"/>
      <c r="Y18" s="1"/>
      <c r="Z18" s="1"/>
      <c r="AA18" s="1"/>
      <c r="AB18" s="1"/>
      <c r="AC18" s="1"/>
      <c r="AD18" s="1"/>
      <c r="AE18" s="1"/>
      <c r="AF18" s="3"/>
      <c r="AG18" s="3"/>
      <c r="AH18" s="3"/>
      <c r="AI18" s="3"/>
      <c r="AJ18" s="3"/>
      <c r="AK18" s="3"/>
      <c r="AL18" s="3"/>
      <c r="AM18" s="3"/>
      <c r="AN18" s="3"/>
      <c r="AO18" s="3"/>
    </row>
    <row r="19" spans="1:41" ht="14.4">
      <c r="A19" s="204" t="str">
        <f>IF(Idioma=Castellano,"1. Alcance",IF(Idioma=Valencià,"1. Abast","1. Alcance"))</f>
        <v>1. Alcance</v>
      </c>
      <c r="B19" s="3"/>
      <c r="C19" s="289" t="s">
        <v>630</v>
      </c>
      <c r="D19" s="551">
        <f>SUMIF(M_Datos!$I$30:$I$32,M_Lista!G9,M_Datos!$G$30:$G$32)</f>
        <v>0</v>
      </c>
      <c r="E19" s="312" t="e">
        <f>D19*VLOOKUP($D$11&amp;M_Datos!$E$12&amp;M_A1!C19,M_Factores!$F$10:$H$207,2,FALSE)/(10^3)</f>
        <v>#N/A</v>
      </c>
      <c r="F19" s="313" t="e">
        <f>D19*VLOOKUP($D$11&amp;M_Datos!$E$12&amp;M_A1!C19,M_Factores!$F$10:$H$207,3,FALSE)/1000</f>
        <v>#N/A</v>
      </c>
      <c r="G19" s="551">
        <f>SUMIF(M_Datos!$I$33:$I$35,M_Lista!G9,M_Datos!$G$33:$G$35)</f>
        <v>0</v>
      </c>
      <c r="H19" s="312" t="e">
        <f>G19*VLOOKUP($G$11&amp;M_Datos!$E$12&amp;M_A1!C19,M_Factores!$F$10:$H$207,2,FALSE)/(10^3)</f>
        <v>#N/A</v>
      </c>
      <c r="I19" s="313" t="e">
        <f>G19*VLOOKUP($G$11&amp;M_Datos!$E$12&amp;M_A1!C19,M_Factores!$F$10:$H$207,3,FALSE)/1000</f>
        <v>#N/A</v>
      </c>
      <c r="J19" s="314" t="e">
        <f t="shared" si="1"/>
        <v>#N/A</v>
      </c>
      <c r="K19" s="313" t="e">
        <f t="shared" si="0"/>
        <v>#N/A</v>
      </c>
      <c r="L19" s="1"/>
      <c r="M19" s="1"/>
      <c r="N19" s="7"/>
      <c r="O19" s="7"/>
      <c r="P19" s="7"/>
      <c r="Q19" s="1"/>
      <c r="R19" s="1"/>
      <c r="S19" s="1"/>
      <c r="T19" s="1"/>
      <c r="U19" s="1"/>
      <c r="V19" s="1"/>
      <c r="W19" s="1"/>
      <c r="X19" s="1"/>
      <c r="Y19" s="46"/>
      <c r="Z19" s="1"/>
      <c r="AA19" s="1"/>
      <c r="AB19" s="1"/>
      <c r="AC19" s="1"/>
      <c r="AD19" s="1"/>
      <c r="AE19" s="1"/>
      <c r="AF19" s="1"/>
      <c r="AG19" s="1"/>
      <c r="AH19" s="1"/>
      <c r="AI19" s="1"/>
      <c r="AJ19" s="1"/>
      <c r="AK19" s="1"/>
      <c r="AL19" s="1"/>
      <c r="AM19" s="1"/>
      <c r="AN19" s="1"/>
      <c r="AO19" s="1"/>
    </row>
    <row r="20" spans="1:41" ht="14.4">
      <c r="A20" s="204" t="s">
        <v>6</v>
      </c>
      <c r="B20" s="1"/>
      <c r="C20" s="289" t="str">
        <f>IF(Idioma=Castellano,"Consumo nulo",IF(Idioma=Valencià,"Consum nul","Consumo nulo"))</f>
        <v>Consumo nulo</v>
      </c>
      <c r="D20" s="551">
        <f>SUMIF(M_Datos!$I$30:$I$32,M_Lista!G10,M_Datos!$G$30:$G$32)</f>
        <v>0</v>
      </c>
      <c r="E20" s="312" t="e">
        <f>D20*VLOOKUP($D$11&amp;M_Datos!$E$12&amp;M_A1!C20,M_Factores!$F$10:$H$207,2,FALSE)/(10^3)</f>
        <v>#N/A</v>
      </c>
      <c r="F20" s="313" t="e">
        <f>D20*VLOOKUP($D$11&amp;M_Datos!$E$12&amp;M_A1!C20,M_Factores!$F$10:$H$207,3,FALSE)/1000</f>
        <v>#N/A</v>
      </c>
      <c r="G20" s="551">
        <f>SUMIF(M_Datos!$I$33:$I$35,M_Lista!G10,M_Datos!$G$33:$G$35)</f>
        <v>0</v>
      </c>
      <c r="H20" s="312" t="e">
        <f>G20*VLOOKUP($G$11&amp;M_Datos!$E$12&amp;M_A1!C20,M_Factores!$F$10:$H$207,2,FALSE)/(10^3)</f>
        <v>#N/A</v>
      </c>
      <c r="I20" s="313" t="e">
        <f>G20*VLOOKUP($G$11&amp;M_Datos!$E$12&amp;M_A1!C20,M_Factores!$F$10:$H$207,3,FALSE)/1000</f>
        <v>#N/A</v>
      </c>
      <c r="J20" s="314" t="e">
        <f t="shared" si="1"/>
        <v>#N/A</v>
      </c>
      <c r="K20" s="313" t="e">
        <f t="shared" si="0"/>
        <v>#N/A</v>
      </c>
      <c r="L20" s="1"/>
      <c r="M20" s="1"/>
      <c r="N20" s="7"/>
      <c r="O20" s="7"/>
      <c r="P20" s="7"/>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41" ht="14.4">
      <c r="A21" s="204" t="str">
        <f>IF(Idioma=Castellano,"3. Resultados",IF(Idioma=Valencià,"3. Resultats","3. Resultados"))</f>
        <v>3. Resultados</v>
      </c>
      <c r="B21" s="1"/>
      <c r="C21" s="289" t="str">
        <f>IF(Idioma=Castellano,"Sin definir",IF(Idioma=Valencià,"Sense definir","Sin definir"))</f>
        <v>Sin definir</v>
      </c>
      <c r="D21" s="551">
        <f>SUMIF(M_Datos!$I$30:$I$32,M_Lista!G11,M_Datos!$G$30:$G$32)</f>
        <v>0</v>
      </c>
      <c r="E21" s="312" t="e">
        <f>D21*VLOOKUP($D$11&amp;M_Datos!$E$12&amp;M_A1!C21,M_Factores!$F$10:$H$207,2,FALSE)/(10^3)</f>
        <v>#N/A</v>
      </c>
      <c r="F21" s="313" t="e">
        <f>D21*VLOOKUP($D$11&amp;M_Datos!$E$12&amp;M_A1!C21,M_Factores!$F$10:$H$207,3,FALSE)/1000</f>
        <v>#N/A</v>
      </c>
      <c r="G21" s="551">
        <f>SUMIF(M_Datos!$I$33:$I$35,M_Lista!G11,M_Datos!$G$33:$G$35)</f>
        <v>0</v>
      </c>
      <c r="H21" s="312" t="e">
        <f>G21*VLOOKUP($G$11&amp;M_Datos!$E$12&amp;M_A1!C21,M_Factores!$F$10:$H$207,2,FALSE)/(10^3)</f>
        <v>#N/A</v>
      </c>
      <c r="I21" s="313" t="e">
        <f>G21*VLOOKUP($G$11&amp;M_Datos!$E$12&amp;M_A1!C21,M_Factores!$F$10:$H$207,3,FALSE)/1000</f>
        <v>#N/A</v>
      </c>
      <c r="J21" s="314" t="e">
        <f t="shared" si="1"/>
        <v>#N/A</v>
      </c>
      <c r="K21" s="313" t="e">
        <f t="shared" si="0"/>
        <v>#N/A</v>
      </c>
      <c r="L21" s="1"/>
      <c r="M21" s="1"/>
      <c r="N21" s="1"/>
      <c r="O21" s="1"/>
      <c r="P21" s="1"/>
      <c r="Q21" s="1"/>
      <c r="R21" s="1"/>
      <c r="S21" s="1"/>
      <c r="T21" s="1"/>
      <c r="U21" s="1"/>
      <c r="V21" s="1"/>
      <c r="W21" s="1"/>
      <c r="X21" s="1"/>
      <c r="Y21" s="46"/>
      <c r="Z21" s="1"/>
      <c r="AA21" s="1"/>
      <c r="AB21" s="1"/>
      <c r="AC21" s="1"/>
      <c r="AD21" s="1"/>
      <c r="AE21" s="1"/>
      <c r="AF21" s="1"/>
      <c r="AG21" s="1"/>
      <c r="AH21" s="1"/>
      <c r="AI21" s="1"/>
      <c r="AJ21" s="1"/>
      <c r="AK21" s="1"/>
      <c r="AL21" s="1"/>
      <c r="AM21" s="1"/>
      <c r="AN21" s="1"/>
      <c r="AO21" s="1"/>
    </row>
    <row r="22" spans="1:41" ht="14.4">
      <c r="A22" s="203" t="str">
        <f>IF(Idioma=Castellano,"Resultados generales",IF(Idioma=Valencià,"Resultats generals","Resultados generales"))</f>
        <v>Resultados generales</v>
      </c>
      <c r="B22" s="1"/>
      <c r="C22" s="315" t="s">
        <v>631</v>
      </c>
      <c r="D22" s="552">
        <f t="shared" ref="D22:I22" si="2">SUM(D13:D21)</f>
        <v>0</v>
      </c>
      <c r="E22" s="314" t="e">
        <f t="shared" si="2"/>
        <v>#N/A</v>
      </c>
      <c r="F22" s="317" t="e">
        <f t="shared" si="2"/>
        <v>#N/A</v>
      </c>
      <c r="G22" s="551">
        <f t="shared" si="2"/>
        <v>0</v>
      </c>
      <c r="H22" s="314" t="e">
        <f t="shared" si="2"/>
        <v>#N/A</v>
      </c>
      <c r="I22" s="317" t="e">
        <f t="shared" si="2"/>
        <v>#N/A</v>
      </c>
      <c r="J22" s="314" t="e">
        <f>E22+H22</f>
        <v>#N/A</v>
      </c>
      <c r="K22" s="506" t="e">
        <f>F22+I22</f>
        <v>#N/A</v>
      </c>
      <c r="L22" s="39"/>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1" ht="22.95" customHeight="1">
      <c r="A23" s="203" t="str">
        <f>IF(Idioma=Castellano,"Medidas Propuestas",IF(Idioma=Valencià,"Mesures Proposades","Medidas Propuestas"))</f>
        <v>Medidas Propuestas</v>
      </c>
      <c r="B23" s="1"/>
      <c r="C23" s="1"/>
      <c r="D23" s="1"/>
      <c r="E23" s="1"/>
      <c r="F23" s="1"/>
      <c r="G23" s="1"/>
      <c r="H23" s="1"/>
      <c r="I23" s="1"/>
      <c r="J23" s="1"/>
      <c r="K23" s="1"/>
      <c r="L23" s="1"/>
      <c r="M23" s="1"/>
      <c r="N23" s="1"/>
      <c r="O23" s="1"/>
      <c r="P23" s="1"/>
      <c r="Q23" s="1"/>
      <c r="R23" s="1"/>
      <c r="S23" s="1"/>
      <c r="T23" s="1"/>
      <c r="U23" s="1"/>
      <c r="V23" s="1"/>
      <c r="W23" s="1"/>
      <c r="X23" s="1"/>
      <c r="Y23" s="46"/>
      <c r="Z23" s="1"/>
      <c r="AA23" s="1"/>
      <c r="AB23" s="1"/>
      <c r="AC23" s="1"/>
      <c r="AD23" s="1"/>
      <c r="AE23" s="1"/>
      <c r="AF23" s="1"/>
      <c r="AG23" s="1"/>
      <c r="AH23" s="1"/>
      <c r="AI23" s="1"/>
      <c r="AJ23" s="1"/>
      <c r="AK23" s="1"/>
      <c r="AL23" s="1"/>
      <c r="AM23" s="1"/>
      <c r="AN23" s="1"/>
      <c r="AO23" s="1"/>
    </row>
    <row r="24" spans="1:41">
      <c r="B24" s="1"/>
      <c r="C24" s="246" t="str">
        <f>IF(Idioma=Castellano,"A.2. Actividades económicas",IF(Idioma=Valencià,"A.2. Activitats econòmiques","A.2. Actividades económicas"))</f>
        <v>A.2. Actividades económicas</v>
      </c>
      <c r="D24" s="1"/>
      <c r="E24" s="1"/>
      <c r="F24" s="1"/>
      <c r="G24" s="1"/>
      <c r="H24" s="1"/>
      <c r="I24" s="1"/>
      <c r="J24" s="1"/>
      <c r="K24" s="1"/>
      <c r="L24" s="1"/>
      <c r="M24" s="1"/>
      <c r="N24" s="1"/>
      <c r="O24" s="39"/>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3.95" customHeight="1">
      <c r="A25" s="157"/>
      <c r="B25" s="1"/>
      <c r="C25" s="46"/>
      <c r="D25" s="1"/>
      <c r="E25" s="1"/>
      <c r="F25" s="1"/>
      <c r="G25" s="1"/>
      <c r="H25" s="1"/>
      <c r="I25" s="1"/>
      <c r="J25" s="1"/>
      <c r="K25" s="1"/>
      <c r="L25" s="1"/>
      <c r="M25" s="1"/>
      <c r="N25" s="1"/>
      <c r="O25" s="39"/>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0.199999999999999" customHeight="1">
      <c r="B26" s="1"/>
      <c r="C26" s="1"/>
      <c r="D26" s="1"/>
      <c r="E26" s="1"/>
      <c r="F26" s="1"/>
      <c r="G26" s="1"/>
      <c r="H26" s="1"/>
      <c r="I26" s="1"/>
      <c r="J26" s="1"/>
      <c r="K26" s="39"/>
      <c r="L26" s="1"/>
      <c r="M26" s="4"/>
      <c r="N26" s="1"/>
      <c r="O26" s="39"/>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c r="B27" s="1"/>
      <c r="C27" s="1"/>
      <c r="D27" s="652" t="s">
        <v>632</v>
      </c>
      <c r="E27" s="654"/>
      <c r="F27" s="653"/>
      <c r="G27" s="1"/>
      <c r="H27" s="1"/>
      <c r="I27" s="1"/>
      <c r="J27" s="1"/>
      <c r="K27" s="39"/>
      <c r="L27" s="1"/>
      <c r="M27" s="4"/>
      <c r="N27" s="1"/>
      <c r="O27" s="39"/>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c r="B28" s="1"/>
      <c r="C28" s="230" t="str">
        <f>IF(Idioma=Castellano,"Tipo",IF(Idioma=Valencià,"Tipus"))</f>
        <v>Tipo</v>
      </c>
      <c r="D28" s="524" t="s">
        <v>623</v>
      </c>
      <c r="E28" s="524" t="s">
        <v>948</v>
      </c>
      <c r="F28" s="526" t="str">
        <f>IF(Idioma=Castellano,"Emisiones (t CO2e)",IF(Idioma=Valencià,"Emissions (t CO2e) ","Emisiones (t CO2e)"))</f>
        <v>Emisiones (t CO2e)</v>
      </c>
      <c r="G28" s="1"/>
      <c r="H28" s="1"/>
      <c r="I28" s="1"/>
      <c r="J28" s="1"/>
      <c r="K28" s="39"/>
      <c r="L28" s="1"/>
      <c r="M28" s="4"/>
      <c r="N28" s="1"/>
      <c r="O28" s="39"/>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c r="B29" s="1"/>
      <c r="C29" s="230" t="str">
        <f>M_Datos!L78</f>
        <v>Sin especificar</v>
      </c>
      <c r="D29" s="551">
        <f>M_Cálculos!H118</f>
        <v>0</v>
      </c>
      <c r="E29" s="312">
        <f>M_Cálculos!I118</f>
        <v>0</v>
      </c>
      <c r="F29" s="313">
        <f>M_Cálculos!J118</f>
        <v>0</v>
      </c>
      <c r="G29" s="1"/>
      <c r="H29" s="1"/>
      <c r="I29" s="1"/>
      <c r="J29" s="1"/>
      <c r="K29" s="39"/>
      <c r="L29" s="1"/>
      <c r="M29" s="4"/>
      <c r="N29" s="1"/>
      <c r="O29" s="39"/>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c r="B30" s="1"/>
      <c r="C30" s="230" t="str">
        <f>M_Datos!L81</f>
        <v>Cerámica</v>
      </c>
      <c r="D30" s="551">
        <f>M_Cálculos!H119</f>
        <v>0</v>
      </c>
      <c r="E30" s="312">
        <f>M_Cálculos!I119</f>
        <v>0</v>
      </c>
      <c r="F30" s="313">
        <f>M_Cálculos!J119</f>
        <v>0</v>
      </c>
      <c r="G30" s="1"/>
      <c r="H30" s="1"/>
      <c r="I30" s="1"/>
      <c r="J30" s="1"/>
      <c r="K30" s="39"/>
      <c r="L30" s="1"/>
      <c r="M30" s="4"/>
      <c r="N30" s="1"/>
      <c r="O30" s="39"/>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8">
      <c r="B31" s="1"/>
      <c r="C31" s="230" t="str">
        <f>M_Datos!L84</f>
        <v>Agroalimentaria</v>
      </c>
      <c r="D31" s="551">
        <f>M_Cálculos!H120</f>
        <v>0</v>
      </c>
      <c r="E31" s="312">
        <f>M_Cálculos!I120</f>
        <v>0</v>
      </c>
      <c r="F31" s="313">
        <f>M_Cálculos!J120</f>
        <v>0</v>
      </c>
      <c r="G31" s="1"/>
      <c r="H31" s="1"/>
      <c r="I31" s="1"/>
      <c r="J31" s="1"/>
      <c r="K31" s="39"/>
      <c r="L31" s="1"/>
      <c r="M31" s="4"/>
      <c r="N31" s="542" t="str">
        <f>IF(Idioma=Castellano,"Demanda asociada  actividades económicas",IF(Idioma=Valencià,"Demanda associada activitats econòmiques"))</f>
        <v>Demanda asociada  actividades económicas</v>
      </c>
      <c r="P31" s="1"/>
      <c r="Q31" s="1"/>
      <c r="R31" s="1"/>
      <c r="S31" s="1"/>
      <c r="T31" s="542" t="str">
        <f>IF(Idioma=Castellano,"Demanda asociada a  terciario",IF(Idioma=Valencià,"Demanda associada  a terciari"))</f>
        <v>Demanda asociada a  terciario</v>
      </c>
      <c r="U31" s="1"/>
      <c r="V31" s="1"/>
      <c r="W31" s="1"/>
      <c r="X31" s="1"/>
      <c r="Y31" s="1"/>
      <c r="Z31" s="542" t="str">
        <f>IF(Idioma=Castellano,"Emisiones asociadas  actividades económicas",IF(Idioma=Valencià,"Emissions associades activitats econòmiques"))</f>
        <v>Emisiones asociadas  actividades económicas</v>
      </c>
      <c r="AA31" s="1"/>
      <c r="AB31" s="1"/>
      <c r="AC31" s="1"/>
      <c r="AD31" s="1"/>
      <c r="AE31" s="1"/>
      <c r="AF31" s="1"/>
      <c r="AG31" s="542" t="str">
        <f>IF(Idioma=Castellano,"Emisiones asociadas a  terciario",IF(Idioma=Valencià,"Emissions associades  a terciari"))</f>
        <v>Emisiones asociadas a  terciario</v>
      </c>
      <c r="AH31" s="1"/>
      <c r="AI31" s="1"/>
      <c r="AJ31" s="1"/>
      <c r="AK31" s="1"/>
      <c r="AL31" s="1"/>
      <c r="AM31" s="1"/>
      <c r="AN31" s="1"/>
      <c r="AO31" s="1"/>
    </row>
    <row r="32" spans="1:41">
      <c r="B32" s="1"/>
      <c r="C32" s="230" t="str">
        <f>M_Datos!L87</f>
        <v>Logística</v>
      </c>
      <c r="D32" s="551">
        <f>M_Cálculos!H121</f>
        <v>0</v>
      </c>
      <c r="E32" s="312">
        <f>M_Cálculos!I121</f>
        <v>0</v>
      </c>
      <c r="F32" s="313">
        <f>M_Cálculos!J121</f>
        <v>0</v>
      </c>
      <c r="G32" s="1"/>
      <c r="H32" s="1"/>
      <c r="I32" s="1"/>
      <c r="J32" s="1"/>
      <c r="K32" s="39"/>
      <c r="L32" s="1"/>
      <c r="M32" s="4"/>
      <c r="N32" s="1"/>
      <c r="O32" s="39"/>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2:41">
      <c r="B33" s="1"/>
      <c r="C33" s="230" t="str">
        <f>M_Datos!L90</f>
        <v>Textil</v>
      </c>
      <c r="D33" s="551">
        <f>M_Cálculos!H122</f>
        <v>0</v>
      </c>
      <c r="E33" s="312">
        <f>M_Cálculos!I122</f>
        <v>0</v>
      </c>
      <c r="F33" s="313">
        <f>M_Cálculos!J122</f>
        <v>0</v>
      </c>
      <c r="G33" s="1"/>
      <c r="H33" s="1"/>
      <c r="I33" s="1"/>
      <c r="J33" s="1"/>
      <c r="K33" s="39"/>
      <c r="L33" s="1"/>
      <c r="M33" s="4"/>
      <c r="N33" s="1"/>
      <c r="O33" s="39"/>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2:41">
      <c r="B34" s="1"/>
      <c r="C34" s="315" t="s">
        <v>631</v>
      </c>
      <c r="D34" s="552">
        <f>SUM(D29:D33)</f>
        <v>0</v>
      </c>
      <c r="E34" s="314">
        <f t="shared" ref="E34:F34" si="3">SUM(E29:E33)</f>
        <v>0</v>
      </c>
      <c r="F34" s="317">
        <f t="shared" si="3"/>
        <v>0</v>
      </c>
      <c r="G34" s="1"/>
      <c r="H34" s="1"/>
      <c r="I34" s="1"/>
      <c r="J34" s="1"/>
      <c r="K34" s="39"/>
      <c r="L34" s="1"/>
      <c r="M34" s="4"/>
      <c r="N34" s="1"/>
      <c r="O34" s="39"/>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2:41">
      <c r="B35" s="1"/>
      <c r="C35" s="1"/>
      <c r="D35" s="1"/>
      <c r="E35" s="1"/>
      <c r="F35" s="1"/>
      <c r="G35" s="1"/>
      <c r="H35" s="1"/>
      <c r="I35" s="1"/>
      <c r="J35" s="1"/>
      <c r="K35" s="39"/>
      <c r="L35" s="1"/>
      <c r="M35" s="4"/>
      <c r="N35" s="1"/>
      <c r="O35" s="39"/>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2:41">
      <c r="B36" s="1"/>
      <c r="C36" s="47"/>
      <c r="D36" s="652" t="str">
        <f>IF(Idioma=Castellano,"Terciario",IF(Idioma=Valencià,"Terciari","Terciario"))</f>
        <v>Terciario</v>
      </c>
      <c r="E36" s="654"/>
      <c r="F36" s="653"/>
      <c r="G36" s="183"/>
      <c r="H36" s="184"/>
      <c r="I36" s="159"/>
      <c r="J36" s="159"/>
      <c r="K36" s="39"/>
      <c r="L36" s="1"/>
      <c r="M36" s="4"/>
      <c r="N36" s="1"/>
      <c r="O36" s="39"/>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2:41">
      <c r="B37" s="1"/>
      <c r="C37" s="289" t="s">
        <v>633</v>
      </c>
      <c r="D37" s="524" t="s">
        <v>623</v>
      </c>
      <c r="E37" s="524" t="s">
        <v>948</v>
      </c>
      <c r="F37" s="526" t="str">
        <f>IF(Idioma=Castellano,"Emisiones (t CO2e)",IF(Idioma=Valencià,"Emissions (t CO2e) ","Emisiones (t CO2e)"))</f>
        <v>Emisiones (t CO2e)</v>
      </c>
      <c r="G37" s="183"/>
      <c r="H37" s="184"/>
      <c r="I37" s="159"/>
      <c r="J37" s="159"/>
      <c r="K37" s="39"/>
      <c r="L37" s="1"/>
      <c r="M37" s="4"/>
      <c r="N37" s="1"/>
      <c r="O37" s="39"/>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2:41">
      <c r="B38" s="1"/>
      <c r="C38" s="230" t="str">
        <f>M_Datos!L56</f>
        <v>Sin especificar</v>
      </c>
      <c r="D38" s="551">
        <f>M_Cálculos!H21</f>
        <v>0</v>
      </c>
      <c r="E38" s="312">
        <f>M_Cálculos!I21</f>
        <v>0</v>
      </c>
      <c r="F38" s="313">
        <f>M_Cálculos!J21</f>
        <v>0</v>
      </c>
      <c r="G38" s="183"/>
      <c r="H38" s="184"/>
      <c r="I38" s="159"/>
      <c r="J38" s="159"/>
      <c r="K38" s="39"/>
      <c r="L38" s="1"/>
      <c r="M38" s="4"/>
      <c r="N38" s="1"/>
      <c r="O38" s="39"/>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2:41">
      <c r="B39" s="1"/>
      <c r="C39" s="289" t="str">
        <f>M_Datos!L59</f>
        <v>Oficinas</v>
      </c>
      <c r="D39" s="551">
        <f>M_Cálculos!H31</f>
        <v>0</v>
      </c>
      <c r="E39" s="312">
        <f>M_Cálculos!I31</f>
        <v>0</v>
      </c>
      <c r="F39" s="313">
        <f>M_Cálculos!J31</f>
        <v>0</v>
      </c>
      <c r="G39" s="183"/>
      <c r="H39" s="184"/>
      <c r="I39" s="159"/>
      <c r="J39" s="159"/>
      <c r="K39" s="39"/>
      <c r="L39" s="1"/>
      <c r="M39" s="4"/>
      <c r="N39" s="1"/>
      <c r="O39" s="39"/>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2:41">
      <c r="B40" s="1"/>
      <c r="C40" s="289" t="str">
        <f>M_Datos!L62</f>
        <v>Comercio</v>
      </c>
      <c r="D40" s="551">
        <f>M_Cálculos!H41</f>
        <v>0</v>
      </c>
      <c r="E40" s="312">
        <f>M_Cálculos!I41</f>
        <v>0</v>
      </c>
      <c r="F40" s="313">
        <f>M_Cálculos!J41</f>
        <v>0</v>
      </c>
      <c r="G40" s="183"/>
      <c r="H40" s="184"/>
      <c r="I40" s="159"/>
      <c r="J40" s="159"/>
      <c r="K40" s="39"/>
      <c r="L40" s="1"/>
      <c r="M40" s="4"/>
      <c r="N40" s="1"/>
      <c r="O40" s="39"/>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2:41">
      <c r="B41" s="1"/>
      <c r="C41" s="289" t="str">
        <f>M_Datos!L65</f>
        <v>Hotel</v>
      </c>
      <c r="D41" s="551">
        <f>M_Cálculos!H51</f>
        <v>0</v>
      </c>
      <c r="E41" s="312">
        <f>M_Cálculos!I51</f>
        <v>0</v>
      </c>
      <c r="F41" s="313">
        <f>M_Cálculos!J51</f>
        <v>0</v>
      </c>
      <c r="G41" s="183"/>
      <c r="H41" s="184"/>
      <c r="I41" s="159"/>
      <c r="J41" s="159"/>
      <c r="K41" s="39"/>
      <c r="L41" s="1"/>
      <c r="M41" s="4"/>
      <c r="N41" s="1"/>
      <c r="O41" s="39"/>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2:41">
      <c r="B42" s="1"/>
      <c r="C42" s="289" t="str">
        <f>M_Datos!L68</f>
        <v>Restauración</v>
      </c>
      <c r="D42" s="551">
        <f>M_Cálculos!H61</f>
        <v>0</v>
      </c>
      <c r="E42" s="312">
        <f>M_Cálculos!I61</f>
        <v>0</v>
      </c>
      <c r="F42" s="313">
        <f>M_Cálculos!J61</f>
        <v>0</v>
      </c>
      <c r="G42" s="183"/>
      <c r="H42" s="184"/>
      <c r="I42" s="159"/>
      <c r="J42" s="159"/>
      <c r="K42" s="39"/>
      <c r="L42" s="1"/>
      <c r="M42" s="4"/>
      <c r="N42" s="1"/>
      <c r="O42" s="39"/>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2:41">
      <c r="B43" s="1"/>
      <c r="C43" s="315" t="s">
        <v>631</v>
      </c>
      <c r="D43" s="552">
        <f>SUM(D38:D42)</f>
        <v>0</v>
      </c>
      <c r="E43" s="314">
        <f>SUM(E38:E42)</f>
        <v>0</v>
      </c>
      <c r="F43" s="317">
        <f>SUM(F38:F42)</f>
        <v>0</v>
      </c>
      <c r="G43" s="183"/>
      <c r="H43" s="184"/>
      <c r="I43" s="159"/>
      <c r="J43" s="159"/>
      <c r="K43" s="39"/>
      <c r="L43" s="1"/>
      <c r="M43" s="4"/>
      <c r="N43" s="1"/>
      <c r="O43" s="39"/>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2:41" ht="21.6" customHeight="1">
      <c r="B44" s="1"/>
      <c r="C44" s="1"/>
      <c r="D44" s="1"/>
      <c r="E44" s="1"/>
      <c r="F44" s="1"/>
      <c r="G44" s="183"/>
      <c r="H44" s="184"/>
      <c r="I44" s="159"/>
      <c r="J44" s="159"/>
      <c r="K44" s="39"/>
      <c r="L44" s="1"/>
      <c r="M44" s="4"/>
      <c r="N44" s="1"/>
      <c r="O44" s="39"/>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2:41">
      <c r="B45" s="1"/>
      <c r="C45" s="1"/>
      <c r="D45" s="1"/>
      <c r="E45" s="1"/>
      <c r="F45" s="1"/>
      <c r="G45" s="1"/>
      <c r="H45" s="1"/>
      <c r="I45" s="1"/>
      <c r="J45" s="1"/>
      <c r="K45" s="1"/>
      <c r="L45" s="1"/>
      <c r="M45" s="1"/>
      <c r="N45" s="1"/>
      <c r="O45" s="39"/>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2:41">
      <c r="B46" s="1"/>
      <c r="C46" s="246" t="str">
        <f>IF(Idioma=Castellano,"A.3.Equipamientos",IF(Idioma=Valencià,"A.3.Equipaments ","A.3.Equipamientos"))</f>
        <v>A.3.Equipamientos</v>
      </c>
      <c r="D46" s="1"/>
      <c r="E46" s="1"/>
      <c r="F46" s="1"/>
      <c r="G46" s="1"/>
      <c r="H46" s="1"/>
      <c r="I46" s="1"/>
      <c r="J46" s="1"/>
      <c r="K46" s="1"/>
      <c r="L46" s="1"/>
      <c r="M46" s="4"/>
      <c r="N46" s="1"/>
      <c r="O46" s="39"/>
      <c r="P46" s="1"/>
      <c r="Q46" s="1"/>
      <c r="R46" s="1"/>
      <c r="S46" s="1"/>
      <c r="V46" s="1"/>
      <c r="W46" s="1"/>
      <c r="X46" s="1"/>
      <c r="Y46" s="1"/>
      <c r="Z46" s="1"/>
      <c r="AA46" s="1"/>
      <c r="AB46" s="1"/>
      <c r="AC46" s="1"/>
      <c r="AD46" s="1"/>
      <c r="AE46" s="1"/>
      <c r="AF46" s="1"/>
      <c r="AG46" s="1"/>
      <c r="AH46" s="1"/>
      <c r="AI46" s="1"/>
      <c r="AJ46" s="1"/>
      <c r="AK46" s="1"/>
      <c r="AL46" s="1"/>
      <c r="AM46" s="1"/>
      <c r="AN46" s="1"/>
      <c r="AO46" s="1"/>
    </row>
    <row r="47" spans="2:41" ht="18">
      <c r="B47" s="1"/>
      <c r="C47" s="46"/>
      <c r="D47" s="1"/>
      <c r="E47" s="1"/>
      <c r="F47" s="1"/>
      <c r="G47" s="1"/>
      <c r="H47" s="1"/>
      <c r="I47" s="1"/>
      <c r="J47" s="1"/>
      <c r="K47" s="1"/>
      <c r="L47" s="1"/>
      <c r="M47" s="4"/>
      <c r="N47" s="1"/>
      <c r="O47" s="542" t="str">
        <f>IF(Idioma=Castellano,"Demanda asociada  a equipamientos",IF(Idioma=Valencià,"Demanda associada  a equipaments"))</f>
        <v>Demanda asociada  a equipamientos</v>
      </c>
      <c r="P47" s="1"/>
      <c r="Q47" s="1"/>
      <c r="R47" s="1"/>
      <c r="S47" s="1"/>
      <c r="T47" s="1"/>
      <c r="U47" s="542" t="str">
        <f>IF(Idioma=Castellano,"Demanda asociada  a industria",IF(Idioma=Valencià,"Demanda associada  a industria"))</f>
        <v>Demanda asociada  a industria</v>
      </c>
      <c r="V47" s="1"/>
      <c r="W47" s="1"/>
      <c r="X47" s="1"/>
      <c r="Y47" s="1"/>
      <c r="Z47" s="1"/>
      <c r="AA47" s="1"/>
      <c r="AB47" s="542" t="str">
        <f>IF(Idioma=Castellano,"Emisiones asociadas  a equipamientos",IF(Idioma=Valencià,"Emissions associades a equipaments"))</f>
        <v>Emisiones asociadas  a equipamientos</v>
      </c>
      <c r="AC47" s="1"/>
      <c r="AD47" s="1"/>
      <c r="AE47" s="1"/>
      <c r="AF47" s="1"/>
      <c r="AG47" s="1"/>
      <c r="AH47" s="1"/>
      <c r="AI47" s="542" t="str">
        <f>IF(Idioma=Castellano,"Emisiones asociadas  a industria",IF(Idioma=Valencià,"Emissions associades  a industria"))</f>
        <v>Emisiones asociadas  a industria</v>
      </c>
      <c r="AJ47" s="1"/>
      <c r="AK47" s="1"/>
      <c r="AL47" s="1"/>
      <c r="AM47" s="1"/>
      <c r="AN47" s="1"/>
      <c r="AO47" s="1"/>
    </row>
    <row r="48" spans="2:41">
      <c r="B48" s="355"/>
      <c r="C48" s="519"/>
      <c r="D48" s="656"/>
      <c r="E48" s="656"/>
      <c r="F48" s="656"/>
      <c r="G48" s="520"/>
      <c r="H48" s="1"/>
      <c r="I48" s="1"/>
      <c r="J48" s="1"/>
      <c r="K48" s="1"/>
      <c r="L48" s="1"/>
      <c r="M48" s="4"/>
      <c r="N48" s="1"/>
      <c r="O48" s="39"/>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2:41">
      <c r="B49" s="355"/>
      <c r="C49" s="81"/>
      <c r="D49" s="85"/>
      <c r="E49" s="85"/>
      <c r="F49" s="85"/>
      <c r="G49" s="39"/>
      <c r="H49" s="1"/>
      <c r="I49" s="1"/>
      <c r="J49" s="1"/>
      <c r="K49" s="1"/>
      <c r="L49" s="1"/>
      <c r="M49" s="4"/>
      <c r="N49" s="1"/>
      <c r="O49" s="39"/>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2:41">
      <c r="B50" s="355"/>
      <c r="C50" s="47"/>
      <c r="D50" s="652" t="str">
        <f>IF(Idioma=Castellano,"Equipamientos - Resumen",IF(Idioma=Valencià,"Equipaments - Resum","Equipamientos - Resumen"))</f>
        <v>Equipamientos - Resumen</v>
      </c>
      <c r="E50" s="654"/>
      <c r="F50" s="653"/>
      <c r="G50" s="39"/>
      <c r="H50" s="1"/>
      <c r="I50" s="1"/>
      <c r="J50" s="1"/>
      <c r="K50" s="1"/>
      <c r="L50" s="1"/>
      <c r="M50" s="4"/>
      <c r="N50" s="1"/>
      <c r="O50" s="39"/>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2:41">
      <c r="B51" s="355"/>
      <c r="C51" s="289" t="s">
        <v>633</v>
      </c>
      <c r="D51" s="524" t="s">
        <v>623</v>
      </c>
      <c r="E51" s="524" t="s">
        <v>948</v>
      </c>
      <c r="F51" s="526" t="str">
        <f>IF(Idioma=Castellano,"Emisiones (t CO2e)",IF(Idioma=Valencià,"Emissions (t CO2e) ","Emisiones (t CO2e)"))</f>
        <v>Emisiones (t CO2e)</v>
      </c>
      <c r="G51" s="39"/>
      <c r="H51" s="1"/>
      <c r="I51" s="1"/>
      <c r="J51" s="1"/>
      <c r="K51" s="1"/>
      <c r="L51" s="1"/>
      <c r="M51" s="4"/>
      <c r="N51" s="1"/>
      <c r="O51" s="39"/>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2:41">
      <c r="B52" s="355"/>
      <c r="C52" s="230" t="str">
        <f>M_Datos!L38</f>
        <v>Equipamientos - Sin especificar</v>
      </c>
      <c r="D52" s="551">
        <f>M_Cálculos!H78</f>
        <v>0</v>
      </c>
      <c r="E52" s="312" t="e">
        <f>M_Cálculos!I78</f>
        <v>#N/A</v>
      </c>
      <c r="F52" s="313" t="e">
        <f>M_Cálculos!J78</f>
        <v>#N/A</v>
      </c>
      <c r="G52" s="39"/>
      <c r="H52" s="1"/>
      <c r="I52" s="1"/>
      <c r="J52" s="1"/>
      <c r="K52" s="1"/>
      <c r="L52" s="1"/>
      <c r="M52" s="4"/>
      <c r="N52" s="1"/>
      <c r="O52" s="39"/>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2:41">
      <c r="B53" s="355"/>
      <c r="C53" s="289" t="str">
        <f>M_Datos!L41</f>
        <v>Sanitario</v>
      </c>
      <c r="D53" s="551">
        <f>M_Cálculos!H88</f>
        <v>0</v>
      </c>
      <c r="E53" s="312" t="e">
        <f>M_Cálculos!I88</f>
        <v>#N/A</v>
      </c>
      <c r="F53" s="313" t="e">
        <f>M_Cálculos!J88</f>
        <v>#N/A</v>
      </c>
      <c r="G53" s="39"/>
      <c r="H53" s="1"/>
      <c r="I53" s="1"/>
      <c r="J53" s="1"/>
      <c r="K53" s="1"/>
      <c r="L53" s="1"/>
      <c r="M53" s="4"/>
      <c r="N53" s="1"/>
      <c r="O53" s="39"/>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2:41">
      <c r="B54" s="355"/>
      <c r="C54" s="289" t="str">
        <f>M_Datos!L44</f>
        <v>Educativo</v>
      </c>
      <c r="D54" s="551">
        <f>M_Cálculos!H98</f>
        <v>0</v>
      </c>
      <c r="E54" s="312" t="e">
        <f>M_Cálculos!I98</f>
        <v>#N/A</v>
      </c>
      <c r="F54" s="313" t="e">
        <f>M_Cálculos!J98</f>
        <v>#N/A</v>
      </c>
      <c r="G54" s="39"/>
      <c r="H54" s="1"/>
      <c r="I54" s="1"/>
      <c r="J54" s="1"/>
      <c r="K54" s="1"/>
      <c r="L54" s="1"/>
      <c r="M54" s="4"/>
      <c r="N54" s="1"/>
      <c r="O54" s="39"/>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2:41">
      <c r="B55" s="355"/>
      <c r="C55" s="289" t="str">
        <f>M_Datos!L47</f>
        <v>Deportivo</v>
      </c>
      <c r="D55" s="551">
        <f>M_Cálculos!H108</f>
        <v>0</v>
      </c>
      <c r="E55" s="312" t="e">
        <f>M_Cálculos!I108</f>
        <v>#N/A</v>
      </c>
      <c r="F55" s="313" t="e">
        <f>M_Cálculos!J108</f>
        <v>#N/A</v>
      </c>
      <c r="G55" s="39"/>
      <c r="H55" s="1"/>
      <c r="I55" s="1"/>
      <c r="J55" s="1"/>
      <c r="K55" s="1"/>
      <c r="L55" s="1"/>
      <c r="M55" s="4"/>
      <c r="N55" s="1"/>
      <c r="O55" s="39"/>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2:41">
      <c r="B56" s="355"/>
      <c r="C56" s="315" t="s">
        <v>631</v>
      </c>
      <c r="D56" s="552">
        <f>SUM(D52:D55)</f>
        <v>0</v>
      </c>
      <c r="E56" s="314" t="e">
        <f>SUM(E52:E55)</f>
        <v>#N/A</v>
      </c>
      <c r="F56" s="317" t="e">
        <f>SUM(F52:F55)</f>
        <v>#N/A</v>
      </c>
      <c r="G56" s="39"/>
      <c r="H56" s="1"/>
      <c r="I56" s="1"/>
      <c r="J56" s="1"/>
      <c r="K56" s="1"/>
      <c r="L56" s="1"/>
      <c r="M56" s="4"/>
      <c r="N56" s="1"/>
      <c r="O56" s="39"/>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2:41">
      <c r="B57" s="355"/>
      <c r="C57" s="81"/>
      <c r="D57" s="85"/>
      <c r="E57" s="85"/>
      <c r="F57" s="85"/>
      <c r="G57" s="39"/>
      <c r="H57" s="1"/>
      <c r="I57" s="1"/>
      <c r="J57" s="1"/>
      <c r="K57" s="1"/>
      <c r="L57" s="1"/>
      <c r="M57" s="4"/>
      <c r="N57" s="1"/>
      <c r="O57" s="39"/>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2:41">
      <c r="B58" s="355"/>
      <c r="C58" s="246" t="s">
        <v>636</v>
      </c>
      <c r="D58" s="85"/>
      <c r="E58" s="85"/>
      <c r="F58" s="85"/>
      <c r="G58" s="39"/>
      <c r="H58" s="1"/>
      <c r="I58" s="1"/>
      <c r="J58" s="1"/>
      <c r="K58" s="1"/>
      <c r="L58" s="1"/>
      <c r="M58" s="4"/>
      <c r="N58" s="1"/>
      <c r="O58" s="39"/>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2:41">
      <c r="B59" s="355"/>
      <c r="C59" s="81"/>
      <c r="D59" s="85"/>
      <c r="E59" s="85" t="str">
        <f>IF(Idioma=Castellano,"Demanda energética (MWh/año)",IF(Idioma=Valencià,"Demanda energètica (MWh/any) ","Demanda energética (MWh/año)"))</f>
        <v>Demanda energética (MWh/año)</v>
      </c>
      <c r="F59" s="85" t="str">
        <f>IF(Idioma=Castellano,"Emisiones (t CO2e/año)",IF(Idioma=Valencià,"Emissions (t CO2e/any) ","Emisiones (t CO2e/año)"))</f>
        <v>Emisiones (t CO2e/año)</v>
      </c>
      <c r="G59" s="39"/>
      <c r="H59" s="39"/>
      <c r="I59" s="39"/>
      <c r="J59" s="39"/>
      <c r="K59" s="1"/>
      <c r="L59" s="1"/>
      <c r="M59" s="4"/>
      <c r="N59" s="1"/>
      <c r="O59" s="39"/>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2:41">
      <c r="B60" s="355"/>
      <c r="C60" s="81"/>
      <c r="D60" s="39" t="s">
        <v>602</v>
      </c>
      <c r="E60" s="527" t="e">
        <f>J22+E34+E43+E56</f>
        <v>#N/A</v>
      </c>
      <c r="F60" s="527" t="e">
        <f>K22+F34+F43+F56</f>
        <v>#N/A</v>
      </c>
      <c r="G60" s="39"/>
      <c r="H60" s="39"/>
      <c r="I60" s="39"/>
      <c r="J60" s="39"/>
      <c r="K60" s="1"/>
      <c r="L60" s="1"/>
      <c r="M60" s="4"/>
      <c r="N60" s="1"/>
      <c r="O60" s="39"/>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2:41">
      <c r="B61" s="355"/>
      <c r="C61" s="521"/>
      <c r="D61" s="355"/>
      <c r="E61" s="355"/>
      <c r="F61" s="355"/>
      <c r="G61" s="355"/>
      <c r="H61" s="39"/>
      <c r="I61" s="1"/>
      <c r="J61" s="1"/>
      <c r="K61" s="1"/>
      <c r="L61" s="1"/>
      <c r="M61" s="4"/>
      <c r="N61" s="1"/>
      <c r="O61" s="39"/>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2:41">
      <c r="B62" s="1"/>
      <c r="C62" s="1"/>
      <c r="D62" s="1"/>
      <c r="E62" s="1"/>
      <c r="F62" s="1"/>
      <c r="G62" s="1"/>
      <c r="H62" s="39"/>
      <c r="I62" s="39"/>
      <c r="J62" s="1"/>
      <c r="K62" s="1"/>
      <c r="L62" s="1"/>
      <c r="M62" s="4"/>
      <c r="N62" s="1"/>
      <c r="O62" s="39"/>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2:41">
      <c r="B63" s="1"/>
      <c r="C63" s="1"/>
      <c r="D63" s="1"/>
      <c r="E63" s="1"/>
      <c r="F63" s="1"/>
      <c r="G63" s="1"/>
      <c r="H63" s="39"/>
      <c r="I63" s="39"/>
      <c r="J63" s="1"/>
      <c r="K63" s="1"/>
      <c r="L63" s="1"/>
      <c r="M63" s="4"/>
      <c r="N63" s="1"/>
      <c r="O63" s="39"/>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2:41">
      <c r="B64" s="1"/>
      <c r="C64" s="1"/>
      <c r="D64" s="1"/>
      <c r="E64" s="1"/>
      <c r="F64" s="1"/>
      <c r="G64" s="1"/>
      <c r="H64" s="39"/>
      <c r="I64" s="39"/>
      <c r="J64" s="1"/>
      <c r="K64" s="1"/>
      <c r="L64" s="1"/>
      <c r="M64" s="4"/>
      <c r="N64" s="1"/>
      <c r="O64" s="39"/>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c r="B65" s="1"/>
      <c r="C65" s="81"/>
      <c r="D65" s="85"/>
      <c r="E65" s="85"/>
      <c r="F65" s="85"/>
      <c r="G65" s="39"/>
      <c r="H65" s="39"/>
      <c r="I65" s="39"/>
      <c r="J65" s="39"/>
      <c r="K65" s="1"/>
      <c r="L65" s="1"/>
      <c r="M65" s="4"/>
      <c r="N65" s="1"/>
      <c r="O65" s="39"/>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s="135" customFormat="1">
      <c r="A66" s="145"/>
      <c r="B66" s="240" t="str">
        <f>IF(Idioma=Castellano,"B. Transporte y movilidad",IF(Idioma=Valencià,"B. Transport i mobilitat","B. Transporte y movilidad"))</f>
        <v>B. Transporte y movilidad</v>
      </c>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row>
    <row r="67" spans="1:41">
      <c r="B67" s="1"/>
      <c r="C67" s="1"/>
      <c r="D67" s="50"/>
      <c r="E67" s="50"/>
      <c r="F67" s="51"/>
      <c r="G67" s="51"/>
      <c r="H67" s="51"/>
      <c r="I67" s="50"/>
      <c r="J67" s="50"/>
      <c r="K67" s="50"/>
      <c r="L67" s="50"/>
      <c r="M67" s="50"/>
      <c r="N67" s="50"/>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c r="B68" s="1"/>
      <c r="C68" s="11"/>
      <c r="D68" s="52" t="str">
        <f>IF(Idioma=Castellano,"Nº de viajes",IF(Idioma=Valencià,"Núm de viatges","Nº de viajes"))</f>
        <v>Nº de viajes</v>
      </c>
      <c r="E68" s="52"/>
      <c r="F68" s="51"/>
      <c r="G68" s="51"/>
      <c r="H68" s="51"/>
      <c r="I68" s="11"/>
      <c r="J68" s="11"/>
      <c r="K68" s="11"/>
      <c r="L68" s="11"/>
      <c r="M68" s="53"/>
      <c r="N68" s="50"/>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8">
      <c r="B69" s="11"/>
      <c r="C69" s="13" t="str">
        <f>IF(Idioma=Castellano,"Uso residencial",IF(Idioma=Valencià,"Ús residencial ","Uso residencial"))</f>
        <v>Uso residencial</v>
      </c>
      <c r="D69" s="553">
        <f>M_Factores!D219*(M_Datos!N26/100)*365</f>
        <v>0</v>
      </c>
      <c r="E69" s="156"/>
      <c r="F69" s="11"/>
      <c r="G69" s="11"/>
      <c r="H69" s="11"/>
      <c r="I69" s="11"/>
      <c r="J69" s="11"/>
      <c r="K69" s="11"/>
      <c r="L69" s="11"/>
      <c r="M69" s="11"/>
      <c r="N69" s="50"/>
      <c r="O69" s="11"/>
      <c r="P69" s="11"/>
      <c r="Q69" s="11"/>
      <c r="R69" s="542" t="str">
        <f>IF(Idioma=Castellano,"Emisiones asociadas a movilidad por modo de transporte",IF(Idioma=Valencià,"Emissions associades a mobilitat per manera de transport"))</f>
        <v>Emisiones asociadas a movilidad por modo de transporte</v>
      </c>
      <c r="S69" s="546"/>
      <c r="T69" s="11"/>
      <c r="U69" s="11"/>
      <c r="V69" s="11"/>
      <c r="W69" s="11"/>
      <c r="X69" s="11"/>
      <c r="Y69" s="542" t="str">
        <f>IF(Idioma=Castellano,"Emisiones asociadas a movilidad por sector",IF(Idioma=Valencià,"Emissions associades a mobilitat per sector"))</f>
        <v>Emisiones asociadas a movilidad por sector</v>
      </c>
      <c r="Z69" s="11"/>
      <c r="AA69" s="11"/>
      <c r="AB69" s="11"/>
      <c r="AC69" s="11"/>
      <c r="AD69" s="11"/>
      <c r="AE69" s="11"/>
      <c r="AF69" s="11"/>
      <c r="AG69" s="11"/>
      <c r="AH69" s="11"/>
      <c r="AI69" s="11"/>
      <c r="AJ69" s="11"/>
      <c r="AK69" s="11"/>
      <c r="AL69" s="11"/>
      <c r="AM69" s="11"/>
      <c r="AN69" s="11"/>
      <c r="AO69" s="11"/>
    </row>
    <row r="70" spans="1:41">
      <c r="B70" s="11"/>
      <c r="C70" s="13" t="str">
        <f>IF(Idioma=Castellano,"Uso comercial/terciario",IF(Idioma=Valencià,"Ús comercial/terciari","Uso comercial/terciario"))</f>
        <v>Uso comercial/terciario</v>
      </c>
      <c r="D70" s="553">
        <f>M_Factores!D220*(IF(M_Datos!J17="Sí",SUM(M_Datos!P59:P70),M_Datos!N27)/100)*365</f>
        <v>0</v>
      </c>
      <c r="E70" s="156"/>
      <c r="F70" s="11"/>
      <c r="G70" s="11"/>
      <c r="H70" s="11"/>
      <c r="I70" s="11"/>
      <c r="J70" s="11"/>
      <c r="K70" s="11"/>
      <c r="L70" s="11"/>
      <c r="M70" s="11"/>
      <c r="N70" s="50"/>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row>
    <row r="71" spans="1:41">
      <c r="B71" s="11"/>
      <c r="C71" s="13" t="str">
        <f>IF(Idioma=Castellano,"Uso de oficinas",IF(Idioma=Valencià,"Ús d'oficines","Uso de oficinas"))</f>
        <v>Uso de oficinas</v>
      </c>
      <c r="D71" s="553">
        <f>M_Factores!D221*(M_A1!D39/100)*365</f>
        <v>0</v>
      </c>
      <c r="E71" s="156"/>
      <c r="F71" s="11"/>
      <c r="G71" s="11"/>
      <c r="H71" s="11"/>
      <c r="I71" s="11"/>
      <c r="J71" s="11"/>
      <c r="K71" s="11"/>
      <c r="L71" s="11"/>
      <c r="M71" s="11"/>
      <c r="N71" s="50"/>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c r="B72" s="11"/>
      <c r="C72" s="13" t="str">
        <f>IF(Idioma=Castellano,"Uso industrial",IF(Idioma=Valencià,"Ús industrial","Uso industrial"))</f>
        <v>Uso industrial</v>
      </c>
      <c r="D72" s="553">
        <f>M_Factores!D222*(M_Datos!N28/100)*365</f>
        <v>0</v>
      </c>
      <c r="E72" s="156"/>
      <c r="F72" s="11"/>
      <c r="G72" s="11"/>
      <c r="H72" s="11"/>
      <c r="I72" s="11"/>
      <c r="J72" s="11"/>
      <c r="K72" s="11"/>
      <c r="L72" s="11"/>
      <c r="M72" s="11"/>
      <c r="N72" s="50"/>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row>
    <row r="73" spans="1:41">
      <c r="B73" s="11"/>
      <c r="C73" s="13" t="str">
        <f>IF(Idioma=Castellano,"Equipamientos",IF(Idioma=Valencià,"Equipaments ","Equipamientos"))</f>
        <v>Equipamientos</v>
      </c>
      <c r="D73" s="553">
        <f>M_Factores!D223*(M_Datos!N29/100)*365</f>
        <v>0</v>
      </c>
      <c r="E73" s="156"/>
      <c r="F73" s="11"/>
      <c r="G73" s="11"/>
      <c r="H73" s="11"/>
      <c r="I73" s="11"/>
      <c r="J73" s="11"/>
      <c r="K73" s="11"/>
      <c r="L73" s="11"/>
      <c r="M73" s="11"/>
      <c r="N73" s="50"/>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row>
    <row r="74" spans="1:41">
      <c r="B74" s="11"/>
      <c r="C74" s="13" t="str">
        <f>IF(Idioma=Castellano,"Zonas verdes",IF(Idioma=Valencià,"Zones verdes ","Zonas verdes"))</f>
        <v>Zonas verdes</v>
      </c>
      <c r="D74" s="553">
        <f>M_Factores!D224*(M_Datos!N30/100)*365</f>
        <v>0</v>
      </c>
      <c r="E74" s="156"/>
      <c r="F74" s="11"/>
      <c r="G74" s="11"/>
      <c r="H74" s="11"/>
      <c r="I74" s="11"/>
      <c r="J74" s="11"/>
      <c r="K74" s="11"/>
      <c r="L74" s="11"/>
      <c r="M74" s="11"/>
      <c r="N74" s="50"/>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c r="B75" s="11"/>
      <c r="C75" s="13" t="str">
        <f>IF(Idioma=Castellano,"Franja costera",IF(Idioma=Valencià,"Franja costanera ","Franja costera"))</f>
        <v>Franja costera</v>
      </c>
      <c r="D75" s="553">
        <f>M_Factores!D225*(M_Datos!N31/100)*365</f>
        <v>0</v>
      </c>
      <c r="E75" s="156"/>
      <c r="F75" s="11"/>
      <c r="G75" s="11"/>
      <c r="H75" s="11"/>
      <c r="I75" s="11"/>
      <c r="J75" s="11"/>
      <c r="K75" s="11"/>
      <c r="L75" s="11"/>
      <c r="M75" s="11"/>
      <c r="N75" s="50"/>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c r="B76" s="11"/>
      <c r="C76" s="11"/>
      <c r="D76" s="11"/>
      <c r="E76" s="11"/>
      <c r="F76" s="11"/>
      <c r="G76" s="11"/>
      <c r="H76" s="11"/>
      <c r="I76" s="11"/>
      <c r="J76" s="11"/>
      <c r="K76" s="11"/>
      <c r="L76" s="11"/>
      <c r="M76" s="11"/>
      <c r="N76" s="50"/>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ht="27.6">
      <c r="B77" s="11"/>
      <c r="C77" s="54" t="str">
        <f>IF(Idioma=Castellano,"Km recorridos por modo transporte",IF(Idioma=Valencià,"Km recorreguts per manera transporte"))</f>
        <v>Km recorridos por modo transporte</v>
      </c>
      <c r="D77" s="55" t="str">
        <f>IF(Idioma=Castellano,"Uso residencial",IF(Idioma=Valencià,"Ús residencial ","Uso residencial"))</f>
        <v>Uso residencial</v>
      </c>
      <c r="E77" s="55" t="str">
        <f>IF(Idioma=Castellano,"Uso comercial/terciario",IF(Idioma=Valencià,"Ús comercial/terciari","Uso comercial/terciario"))</f>
        <v>Uso comercial/terciario</v>
      </c>
      <c r="F77" s="55" t="str">
        <f>IF(Idioma=Castellano,"Uso de oficinas",IF(Idioma=Valencià,"Ús d'oficines","Uso de oficinas"))</f>
        <v>Uso de oficinas</v>
      </c>
      <c r="G77" s="55" t="str">
        <f>IF(Idioma=Castellano,"Uso industrial",IF(Idioma=Valencià,"Ús industrial","Uso industrial"))</f>
        <v>Uso industrial</v>
      </c>
      <c r="H77" s="55" t="str">
        <f>IF(Idioma=Castellano,"Equipamientos",IF(Idioma=Valencià,"Equipaments ","Equipamientos"))</f>
        <v>Equipamientos</v>
      </c>
      <c r="I77" s="55" t="str">
        <f>IF(Idioma=Castellano,"Zonas verdes",IF(Idioma=Valencià,"Zones verdes ","Zonas verdes"))</f>
        <v>Zonas verdes</v>
      </c>
      <c r="J77" s="55" t="str">
        <f>IF(Idioma=Castellano,"Franja costera",IF(Idioma=Valencià,"Franja costanera ","Franja costera"))</f>
        <v>Franja costera</v>
      </c>
      <c r="K77" s="55" t="s">
        <v>638</v>
      </c>
      <c r="L77" s="18" t="str">
        <f>IF(Idioma=Castellano,"t CO2/año",IF(Idioma=Valencià,"t CO2/any ","t CO2/año"))</f>
        <v>t CO2/año</v>
      </c>
      <c r="M77" s="18" t="str">
        <f>IF(Idioma=Castellano,"t CH4/año",IF(Idioma=Valencià,"t CH4/any ","t CH4/año"))</f>
        <v>t CH4/año</v>
      </c>
      <c r="N77" s="18" t="str">
        <f>IF(Idioma=Castellano,"t N2O/año",IF(Idioma=Valencià,"t N2O/any ","t N2O/año"))</f>
        <v>t N2O/año</v>
      </c>
      <c r="O77" s="18" t="str">
        <f>IF(Idioma=Castellano,"t CO2e/año",IF(Idioma=Valencià,"t CO2e/any ","t CO2e/año"))</f>
        <v>t CO2e/año</v>
      </c>
      <c r="P77" s="1"/>
      <c r="Q77" s="50"/>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c r="B78" s="11"/>
      <c r="C78" s="289" t="str">
        <f>IF(Idioma=Castellano,"Andando",IF(Idioma=Valencià,"Caminant","Andando"))</f>
        <v>Andando</v>
      </c>
      <c r="D78" s="554">
        <f>IF(M_Datos!$H$111=1, 2*$D$69*M_Datos!$G105*M_Datos!$I$101/1000,2*$D$69*'M_Cálculos propios'!$I118*M_Datos!$I$101/1000)</f>
        <v>0</v>
      </c>
      <c r="E78" s="554">
        <f>IF(M_Datos!$H$111=1, 2*$D$70*M_Datos!$G105*M_Datos!$I$101/1000,2*$D$70*'M_Cálculos propios'!$I118*M_Datos!$I$101/1000)</f>
        <v>0</v>
      </c>
      <c r="F78" s="554">
        <f>IF(M_Datos!$G$111=1, 2*$D$71*M_Datos!$G105*M_Datos!$I$101/1000,2*$D$71*'M_Cálculos propios'!$I118*M_Datos!$I$101/1000)</f>
        <v>0</v>
      </c>
      <c r="G78" s="554">
        <f>IF(M_Datos!$G$111=1, 2*$D$72*M_Datos!$G105*M_Datos!$I$101/1000,2*$D$72*'M_Cálculos propios'!$I118*M_Datos!$I$101/1000)</f>
        <v>0</v>
      </c>
      <c r="H78" s="554">
        <f>IF(M_Datos!$G$111=1, 2*$D$73*M_Datos!$G105*M_Datos!$I$101/1000,2*$D$73*'M_Cálculos propios'!$I118*M_Datos!$I$101/1000)</f>
        <v>0</v>
      </c>
      <c r="I78" s="554">
        <f>IF(M_Datos!$G$111=1, 2*$D$74*M_Datos!$G105*M_Datos!$I$101/1000,2*$D$74*'M_Cálculos propios'!$I118*M_Datos!$I$101/1000)</f>
        <v>0</v>
      </c>
      <c r="J78" s="554">
        <f>IF(M_Datos!$G$111=1, 2*$D$75*M_Datos!$G105*M_Datos!$I$101/1000,2*$D$75*'M_Cálculos propios'!$I118*M_Datos!$I$101/1000)</f>
        <v>0</v>
      </c>
      <c r="K78" s="554">
        <f>SUM(D78:J78)</f>
        <v>0</v>
      </c>
      <c r="L78" s="319">
        <f>$K78*M_Factores!E229/1000</f>
        <v>0</v>
      </c>
      <c r="M78" s="319">
        <f>$K78*M_Factores!G229/1000</f>
        <v>0</v>
      </c>
      <c r="N78" s="319">
        <f>$K78*M_Factores!H229/1000</f>
        <v>0</v>
      </c>
      <c r="O78" s="319">
        <f>K78*M_Factores!D229/1000</f>
        <v>0</v>
      </c>
      <c r="P78" s="1"/>
      <c r="Q78" s="50"/>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c r="B79" s="11"/>
      <c r="C79" s="289" t="s">
        <v>610</v>
      </c>
      <c r="D79" s="554">
        <f>IF(M_Datos!$H$111=1, 2*$D$69*M_Datos!$G106*M_Datos!$I$101/1000,2*$D$69*'M_Cálculos propios'!$I119*M_Datos!$I$101/1000)</f>
        <v>0</v>
      </c>
      <c r="E79" s="554">
        <f>IF(M_Datos!$H$111=1, 2*$D$70*M_Datos!$G106*M_Datos!$I$101/1000,2*$D$70*'M_Cálculos propios'!$I119*M_Datos!$I$101/1000)</f>
        <v>0</v>
      </c>
      <c r="F79" s="554">
        <f>IF(M_Datos!$G$111=1, 2*$D$71*M_Datos!$G106*M_Datos!$I$101/1000,2*$D$71*'M_Cálculos propios'!$I119*M_Datos!$I$101/1000)</f>
        <v>0</v>
      </c>
      <c r="G79" s="554">
        <f>IF(M_Datos!$G$111=1, 2*$D$72*M_Datos!$G106*M_Datos!$I$101/1000,2*$D$72*'M_Cálculos propios'!$I119*M_Datos!$I$101/1000)</f>
        <v>0</v>
      </c>
      <c r="H79" s="554">
        <f>IF(M_Datos!$G$111=1, 2*$D$73*M_Datos!$G106*M_Datos!$I$101/1000,2*$D$73*'M_Cálculos propios'!$I119*M_Datos!$I$101/1000)</f>
        <v>0</v>
      </c>
      <c r="I79" s="554">
        <f>IF(M_Datos!$G$111=1, 2*$D$74*M_Datos!$G106*M_Datos!$I$101/1000,2*$D$74*'M_Cálculos propios'!$I119*M_Datos!$I$101/1000)</f>
        <v>0</v>
      </c>
      <c r="J79" s="554">
        <f>IF(M_Datos!$G$111=1, 2*$D$75*M_Datos!$G106*M_Datos!$I$101/1000,2*$D$75*'M_Cálculos propios'!$I119*M_Datos!$I$101/1000)</f>
        <v>0</v>
      </c>
      <c r="K79" s="554">
        <f t="shared" ref="K79:K83" si="4">SUM(D79:J79)</f>
        <v>0</v>
      </c>
      <c r="L79" s="319">
        <f>$K79*M_Factores!E230/1000</f>
        <v>0</v>
      </c>
      <c r="M79" s="319">
        <f>$K79*M_Factores!G230/1000</f>
        <v>0</v>
      </c>
      <c r="N79" s="319">
        <f>$K79*M_Factores!H230/1000</f>
        <v>0</v>
      </c>
      <c r="O79" s="319">
        <f>K79*M_Factores!D230/1000</f>
        <v>0</v>
      </c>
      <c r="P79" s="1"/>
      <c r="Q79" s="50"/>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c r="B80" s="11"/>
      <c r="C80" s="289" t="str">
        <f>IF(Idioma=Castellano,"Automóvil/Vehículo privado",IF(Idioma=Valencià,"Automòbil/Vehicle privat","Automóvil/Vehículo privado"))</f>
        <v>Automóvil/Vehículo privado</v>
      </c>
      <c r="D80" s="554">
        <f>IF(M_Datos!$H$111=1, 2*$D$69*M_Datos!$G107*M_Datos!$I$101/1000,2*$D$69*'M_Cálculos propios'!$I120*M_Datos!$I$101/1000)</f>
        <v>0</v>
      </c>
      <c r="E80" s="554">
        <f>IF(M_Datos!$H$111=1, 2*$D$70*M_Datos!$G107*M_Datos!$I$101/1000,2*$D$70*'M_Cálculos propios'!$I120*M_Datos!$I$101/1000)</f>
        <v>0</v>
      </c>
      <c r="F80" s="554">
        <f>IF(M_Datos!$G$111=1, 2*$D$71*M_Datos!$G107*M_Datos!$I$101/1000,2*$D$71*'M_Cálculos propios'!$I120*M_Datos!$I$101/1000)</f>
        <v>0</v>
      </c>
      <c r="G80" s="554">
        <f>IF(M_Datos!$G$111=1, 2*$D$72*M_Datos!$G107*M_Datos!$I$101/1000,2*$D$72*'M_Cálculos propios'!$I120*M_Datos!$I$101/1000)</f>
        <v>0</v>
      </c>
      <c r="H80" s="554">
        <f>IF(M_Datos!$G$111=1, 2*$D$73*M_Datos!$G107*M_Datos!$I$101/1000,2*$D$73*'M_Cálculos propios'!$I120*M_Datos!$I$101/1000)</f>
        <v>0</v>
      </c>
      <c r="I80" s="554">
        <f>IF(M_Datos!$G$111=1, 2*$D$74*M_Datos!$G107*M_Datos!$I$101/1000,2*$D$74*'M_Cálculos propios'!$I120*M_Datos!$I$101/1000)</f>
        <v>0</v>
      </c>
      <c r="J80" s="554">
        <f>IF(M_Datos!$G$111=1, 2*$D$75*M_Datos!$G107*M_Datos!$I$101/1000,2*$D$75*'M_Cálculos propios'!$I120*M_Datos!$I$101/1000)</f>
        <v>0</v>
      </c>
      <c r="K80" s="554">
        <f t="shared" si="4"/>
        <v>0</v>
      </c>
      <c r="L80" s="319">
        <f>$K80*M_Factores!E231/1000</f>
        <v>0</v>
      </c>
      <c r="M80" s="319">
        <f>$K80*M_Factores!G231/1000</f>
        <v>0</v>
      </c>
      <c r="N80" s="319">
        <f>$K80*M_Factores!H231/1000</f>
        <v>0</v>
      </c>
      <c r="O80" s="319">
        <f>K80*M_Factores!D231/1000</f>
        <v>0</v>
      </c>
      <c r="P80" s="1"/>
      <c r="Q80" s="50"/>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B81" s="11"/>
      <c r="C81" s="289" t="s">
        <v>613</v>
      </c>
      <c r="D81" s="554">
        <f>IF(M_Datos!$H$111=1, 2*$D$69*M_Datos!$G108*M_Datos!$I$101/1000,2*$D$69*'M_Cálculos propios'!$I121*M_Datos!$I$101/1000)</f>
        <v>0</v>
      </c>
      <c r="E81" s="554">
        <f>IF(M_Datos!$H$111=1, 2*$D$70*M_Datos!$G108*M_Datos!$I$101/1000,2*$D$70*'M_Cálculos propios'!$I121*M_Datos!$I$101/1000)</f>
        <v>0</v>
      </c>
      <c r="F81" s="554">
        <f>IF(M_Datos!$G$111=1, 2*$D$71*M_Datos!$G108*M_Datos!$I$101/1000,2*$D$71*'M_Cálculos propios'!$I121*M_Datos!$I$101/1000)</f>
        <v>0</v>
      </c>
      <c r="G81" s="554">
        <f>IF(M_Datos!$G$111=1, 2*$D$72*M_Datos!$G108*M_Datos!$I$101/1000,2*$D$72*'M_Cálculos propios'!$I121*M_Datos!$I$101/1000)</f>
        <v>0</v>
      </c>
      <c r="H81" s="554">
        <f>IF(M_Datos!$G$111=1, 2*$D$73*M_Datos!$G108*M_Datos!$I$101/1000,2*$D$73*'M_Cálculos propios'!$I121*M_Datos!$I$101/1000)</f>
        <v>0</v>
      </c>
      <c r="I81" s="554">
        <f>IF(M_Datos!$G$111=1, 2*$D$74*M_Datos!$G108*M_Datos!$I$101/1000,2*$D$74*'M_Cálculos propios'!$I121*M_Datos!$I$101/1000)</f>
        <v>0</v>
      </c>
      <c r="J81" s="554">
        <f>IF(M_Datos!$G$111=1, 2*$D$75*M_Datos!$G108*M_Datos!$I$101/1000,2*$D$75*'M_Cálculos propios'!$I121*M_Datos!$I$101/1000)</f>
        <v>0</v>
      </c>
      <c r="K81" s="554">
        <f t="shared" si="4"/>
        <v>0</v>
      </c>
      <c r="L81" s="319">
        <f>$K81*M_Factores!E233/1000</f>
        <v>0</v>
      </c>
      <c r="M81" s="319">
        <f>$K81*M_Factores!G233/1000</f>
        <v>0</v>
      </c>
      <c r="N81" s="319">
        <f>$K81*M_Factores!H233/1000</f>
        <v>0</v>
      </c>
      <c r="O81" s="319">
        <f>K81*M_Factores!D233/1000</f>
        <v>0</v>
      </c>
      <c r="P81" s="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B82" s="11"/>
      <c r="C82" s="289" t="str">
        <f>IF(Idioma=Castellano,"Autobús urbano e interurbano",IF(Idioma=Valencià,"Autobús urbà i interurbà","Autobús urbano e interurbano"))</f>
        <v>Autobús urbano e interurbano</v>
      </c>
      <c r="D82" s="554">
        <f>IF(M_Datos!$H$111=1, 2*$D$69*M_Datos!$G109*M_Datos!$I$101/1000,2*$D$69*'M_Cálculos propios'!$I122*M_Datos!$I$101/1000)</f>
        <v>0</v>
      </c>
      <c r="E82" s="554">
        <f>IF(M_Datos!$H$111=1, 2*$D$70*M_Datos!$G109*M_Datos!$I$101/1000,2*$D$70*'M_Cálculos propios'!$I122*M_Datos!$I$101/1000)</f>
        <v>0</v>
      </c>
      <c r="F82" s="554">
        <f>IF(M_Datos!$G$111=1, 2*$D$71*M_Datos!$G109*M_Datos!$I$101/1000,2*$D$71*'M_Cálculos propios'!$I122*M_Datos!$I$101/1000)</f>
        <v>0</v>
      </c>
      <c r="G82" s="554">
        <f>IF(M_Datos!$G$111=1, 2*$D$72*M_Datos!$G109*M_Datos!$I$101/1000,2*$D$72*'M_Cálculos propios'!$I122*M_Datos!$I$101/1000)</f>
        <v>0</v>
      </c>
      <c r="H82" s="554">
        <f>IF(M_Datos!$G$111=1, 2*$D$73*M_Datos!$G109*M_Datos!$I$101/1000,2*$D$73*'M_Cálculos propios'!$I122*M_Datos!$I$101/1000)</f>
        <v>0</v>
      </c>
      <c r="I82" s="554">
        <f>IF(M_Datos!$G$111=1, 2*$D$74*M_Datos!$G109*M_Datos!$I$101/1000,2*$D$74*'M_Cálculos propios'!$I122*M_Datos!$I$101/1000)</f>
        <v>0</v>
      </c>
      <c r="J82" s="554">
        <f>IF(M_Datos!$G$111=1, 2*$D$75*M_Datos!$G109*M_Datos!$I$101/1000,2*$D$75*'M_Cálculos propios'!$I122*M_Datos!$I$101/1000)</f>
        <v>0</v>
      </c>
      <c r="K82" s="554">
        <f t="shared" si="4"/>
        <v>0</v>
      </c>
      <c r="L82" s="319">
        <f>$K82*M_Factores!E234/1000</f>
        <v>0</v>
      </c>
      <c r="M82" s="319">
        <f>$K82*M_Factores!G234/1000</f>
        <v>0</v>
      </c>
      <c r="N82" s="319">
        <f>$K82*M_Factores!H234/1000</f>
        <v>0</v>
      </c>
      <c r="O82" s="319">
        <f>K82*M_Factores!D234/1000</f>
        <v>0</v>
      </c>
      <c r="P82" s="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c r="B83" s="11"/>
      <c r="C83" s="289" t="s">
        <v>615</v>
      </c>
      <c r="D83" s="554">
        <f>IF(M_Datos!$H$111=1, 2*$D$69*M_Datos!$G110*M_Datos!$I$101/1000,2*$D$69*'M_Cálculos propios'!$I123*M_Datos!$I$101/1000)</f>
        <v>0</v>
      </c>
      <c r="E83" s="554">
        <f>IF(M_Datos!$H$111=1, 2*$D$70*M_Datos!$G110*M_Datos!$I$101/1000,2*$D$70*'M_Cálculos propios'!$I123*M_Datos!$I$101/1000)</f>
        <v>0</v>
      </c>
      <c r="F83" s="554">
        <f>IF(M_Datos!$G$111=1, 2*$D$71*M_Datos!$G110*M_Datos!$I$101/1000,2*$D$71*'M_Cálculos propios'!$I123*M_Datos!$I$101/1000)</f>
        <v>0</v>
      </c>
      <c r="G83" s="554">
        <f>IF(M_Datos!$G$111=1, 2*$D$72*M_Datos!$G110*M_Datos!$I$101/1000,2*$D$72*'M_Cálculos propios'!$I123*M_Datos!$I$101/1000)</f>
        <v>0</v>
      </c>
      <c r="H83" s="554">
        <f>IF(M_Datos!$G$111=1, 2*$D$73*M_Datos!$G110*M_Datos!$I$101/1000,2*$D$73*'M_Cálculos propios'!$I123*M_Datos!$I$101/1000)</f>
        <v>0</v>
      </c>
      <c r="I83" s="554">
        <f>IF(M_Datos!$G$111=1, 2*$D$74*M_Datos!$G110*M_Datos!$I$101/1000,2*$D$74*'M_Cálculos propios'!$I123*M_Datos!$I$101/1000)</f>
        <v>0</v>
      </c>
      <c r="J83" s="554">
        <f>IF(M_Datos!$G$111=1, 2*$D$75*M_Datos!$G110*M_Datos!$I$101/1000,2*$D$75*'M_Cálculos propios'!$I123*M_Datos!$I$101/1000)</f>
        <v>0</v>
      </c>
      <c r="K83" s="554">
        <f t="shared" si="4"/>
        <v>0</v>
      </c>
      <c r="L83" s="319">
        <f>$K83*M_Factores!E235/1000</f>
        <v>0</v>
      </c>
      <c r="M83" s="319">
        <f>$K83*M_Factores!G235/1000</f>
        <v>0</v>
      </c>
      <c r="N83" s="319">
        <f>$K83*M_Factores!H235/1000</f>
        <v>0</v>
      </c>
      <c r="O83" s="319">
        <f>K83*M_Factores!D235/1000</f>
        <v>0</v>
      </c>
      <c r="P83" s="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c r="B84" s="11"/>
      <c r="C84" s="12"/>
      <c r="D84" s="557">
        <f>SUM(D78:D83)</f>
        <v>0</v>
      </c>
      <c r="E84" s="557">
        <f>SUM(E78:E83)</f>
        <v>0</v>
      </c>
      <c r="F84" s="554">
        <f>$D$71*M_Datos!$F111*M_Datos!$I$101/1000</f>
        <v>0</v>
      </c>
      <c r="G84" s="554">
        <f>$D$72*M_Datos!$F111*M_Datos!$I$101/1000</f>
        <v>0</v>
      </c>
      <c r="H84" s="554">
        <f>$D$73*M_Datos!$F111*M_Datos!$I$101/1000</f>
        <v>0</v>
      </c>
      <c r="I84" s="554">
        <f>$D$74*M_Datos!$F111*M_Datos!$I$101/1000</f>
        <v>0</v>
      </c>
      <c r="J84" s="554">
        <f>$D$75*M_Datos!$F111*M_Datos!$I$101/1000</f>
        <v>0</v>
      </c>
      <c r="K84" s="557">
        <f>SUM(K78:K83)</f>
        <v>0</v>
      </c>
      <c r="L84" s="318">
        <f>SUM(L78:L83)</f>
        <v>0</v>
      </c>
      <c r="M84" s="318">
        <f>SUM(M78:M83)</f>
        <v>0</v>
      </c>
      <c r="N84" s="318">
        <f>SUM(N78:N83)</f>
        <v>0</v>
      </c>
      <c r="O84" s="318">
        <f>SUM(O78:O83)</f>
        <v>0</v>
      </c>
      <c r="P84" s="1"/>
      <c r="Q84" s="39"/>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c r="B85" s="11"/>
      <c r="C85" s="11"/>
      <c r="D85" s="11"/>
      <c r="E85" s="11"/>
      <c r="F85" s="11"/>
      <c r="G85" s="11"/>
      <c r="H85" s="11"/>
      <c r="I85" s="11"/>
      <c r="J85" s="11"/>
      <c r="K85" s="56"/>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s="135" customFormat="1">
      <c r="A86" s="145"/>
      <c r="B86" s="240" t="str">
        <f>IF(Idioma=Castellano,"C. Consumo de agua",IF(Idioma=Valencià,"C. Consum d'aigua","C. Consumo de agua"))</f>
        <v>C. Consumo de agua</v>
      </c>
      <c r="C86" s="242"/>
      <c r="D86" s="242"/>
      <c r="E86" s="242"/>
      <c r="F86" s="242"/>
      <c r="G86" s="242"/>
      <c r="H86" s="242"/>
      <c r="I86" s="240" t="str">
        <f>IF(Idioma=Castellano,"D. Emisiones asociadas a gestión de residuos",IF(Idioma=Valencià,"D. Emissions associades a gestió de residus","D. Emisiones asociadas a gestión de residuos"))</f>
        <v>D. Emisiones asociadas a gestión de residuos</v>
      </c>
      <c r="J86" s="240"/>
      <c r="K86" s="242"/>
      <c r="L86" s="242"/>
      <c r="M86" s="242"/>
      <c r="N86" s="242"/>
      <c r="O86" s="240" t="str">
        <f>IF(Idioma=Castellano,"E. Sumideros y cambios de uso del suelo",IF(Idioma=Valencià,"E. Embornals i canvis d'ús del sòl","E. Sumideros y cambios de uso del suelo"))</f>
        <v>E. Sumideros y cambios de uso del suelo</v>
      </c>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row>
    <row r="87" spans="1:41">
      <c r="B87" s="11"/>
      <c r="C87" s="11"/>
      <c r="D87" s="11"/>
      <c r="E87" s="11"/>
      <c r="F87" s="11"/>
      <c r="G87" s="11"/>
      <c r="H87" s="11"/>
      <c r="I87" s="11"/>
      <c r="J87" s="11"/>
      <c r="K87" s="11"/>
      <c r="L87" s="11"/>
      <c r="M87" s="11"/>
      <c r="N87" s="11"/>
      <c r="O87" s="1"/>
      <c r="P87" s="1"/>
      <c r="Q87" s="1"/>
      <c r="R87" s="1"/>
      <c r="S87" s="1"/>
      <c r="T87" s="1"/>
      <c r="U87" s="11"/>
      <c r="V87" s="11"/>
      <c r="W87" s="11"/>
      <c r="X87" s="11"/>
      <c r="Y87" s="11"/>
      <c r="Z87" s="11"/>
      <c r="AA87" s="11"/>
      <c r="AB87" s="11"/>
      <c r="AC87" s="11"/>
      <c r="AD87" s="11"/>
      <c r="AE87" s="11"/>
      <c r="AF87" s="11"/>
      <c r="AG87" s="11"/>
      <c r="AH87" s="11"/>
      <c r="AI87" s="11"/>
      <c r="AJ87" s="11"/>
      <c r="AK87" s="11"/>
      <c r="AL87" s="11"/>
      <c r="AM87" s="11"/>
      <c r="AN87" s="11"/>
      <c r="AO87" s="11"/>
    </row>
    <row r="88" spans="1:41">
      <c r="B88" s="11"/>
      <c r="C88" s="14"/>
      <c r="D88" s="11"/>
      <c r="F88" s="11"/>
      <c r="G88" s="11"/>
      <c r="H88" s="11"/>
      <c r="I88" s="11"/>
      <c r="J88" s="11"/>
      <c r="K88" s="11"/>
      <c r="L88" s="11"/>
      <c r="M88" s="11"/>
      <c r="N88" s="11"/>
      <c r="O88" s="1"/>
      <c r="P88" s="249" t="str">
        <f>IF(Idioma=Castellano,"E.1. Absorción de emisiones",IF(Idioma=Valencià,"E.1. Absorció d'emissions","E.1. Absorción de emisiones"))</f>
        <v>E.1. Absorción de emisiones</v>
      </c>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c r="B89" s="11"/>
      <c r="C89" s="307" t="s">
        <v>639</v>
      </c>
      <c r="D89" s="555">
        <f>SUM(M_Datos!H30:H35)</f>
        <v>0</v>
      </c>
      <c r="E89" s="321" t="s">
        <v>640</v>
      </c>
      <c r="F89" s="322">
        <f>D89*M_Factores!D260/1000</f>
        <v>0</v>
      </c>
      <c r="G89" s="14" t="str">
        <f>IF(Idioma=Castellano,"t CO2e/año",IF(Idioma=Valencià,"t CO2e/any "))</f>
        <v>t CO2e/año</v>
      </c>
      <c r="H89" s="14"/>
      <c r="I89" s="650" t="s">
        <v>653</v>
      </c>
      <c r="J89" s="651"/>
      <c r="K89" s="322">
        <f>M_Datos!N28*M_Factores!$D$243/1000</f>
        <v>0</v>
      </c>
      <c r="L89" s="11"/>
      <c r="M89" s="1"/>
      <c r="N89" s="1"/>
      <c r="O89" s="1"/>
      <c r="P89" s="11"/>
      <c r="Q89" s="57" t="str">
        <f>IF(Idioma=Castellano,"Nº de árboles",IF(Idioma=Valencià,"Nº d'arbres","Nº de árboles"))</f>
        <v>Nº de árboles</v>
      </c>
      <c r="R89" s="555">
        <f>M_Datos!J118</f>
        <v>0</v>
      </c>
      <c r="S89" s="1"/>
      <c r="T89" s="1"/>
      <c r="U89" s="11"/>
      <c r="V89" s="11"/>
      <c r="W89" s="11"/>
      <c r="X89" s="11"/>
      <c r="Y89" s="11"/>
      <c r="Z89" s="11"/>
      <c r="AA89" s="11"/>
      <c r="AB89" s="11"/>
      <c r="AC89" s="11"/>
      <c r="AD89" s="11"/>
      <c r="AE89" s="11"/>
      <c r="AF89" s="11"/>
      <c r="AG89" s="11"/>
      <c r="AH89" s="11"/>
      <c r="AI89" s="11"/>
      <c r="AJ89" s="11"/>
      <c r="AK89" s="11"/>
      <c r="AL89" s="11"/>
      <c r="AM89" s="11"/>
      <c r="AN89" s="11"/>
      <c r="AO89" s="11"/>
    </row>
    <row r="90" spans="1:41">
      <c r="B90" s="11"/>
      <c r="C90" s="481" t="str">
        <f>IF(Idioma=Castellano,"Actividades económicas",IF(Idioma=Valencià,"Activitats econòmiques","Actividades económicas"))</f>
        <v>Actividades económicas</v>
      </c>
      <c r="D90" s="555">
        <f>M_Datos!N32</f>
        <v>0</v>
      </c>
      <c r="E90" s="321" t="s">
        <v>599</v>
      </c>
      <c r="F90" s="322">
        <f>D90*M_Factores!D261/1000</f>
        <v>0</v>
      </c>
      <c r="G90" s="14" t="str">
        <f>IF(Idioma=Castellano,"t CO2e/año",IF(Idioma=Valencià,"t CO2e/any "))</f>
        <v>t CO2e/año</v>
      </c>
      <c r="H90" s="14"/>
      <c r="I90" s="650" t="str">
        <f>IF(Idioma=Castellano,"Residencial, Terciario y Equipamientos",IF(Idioma=Valencià,"Residencial, Terciari i Equipaments",))</f>
        <v>Residencial, Terciario y Equipamientos</v>
      </c>
      <c r="J90" s="651"/>
      <c r="K90" s="322">
        <f>(M_Datos!N26+M_Datos!N27+M_Datos!N29)*M_Factores!$D$242/1000</f>
        <v>0</v>
      </c>
      <c r="L90" s="11"/>
      <c r="M90" s="1"/>
      <c r="N90" s="1"/>
      <c r="O90" s="1"/>
      <c r="P90" s="11"/>
      <c r="Q90" s="529" t="s">
        <v>958</v>
      </c>
      <c r="R90" s="558">
        <f>SUM(M_Datos!H30:H35)</f>
        <v>0</v>
      </c>
      <c r="S90" s="322">
        <f>-IF(R89=0,R90*M_Factores!D288/1000,R89*M_Factores!D288/1000)</f>
        <v>0</v>
      </c>
      <c r="T90" s="14" t="str">
        <f>IF(Idioma=Castellano,"t CO2e/año",IF(Idioma=Valencià,"t CO2e/any "))</f>
        <v>t CO2e/año</v>
      </c>
      <c r="U90" s="11"/>
      <c r="V90" s="11"/>
      <c r="W90" s="11"/>
      <c r="X90" s="11"/>
      <c r="Y90" s="11"/>
      <c r="Z90" s="11"/>
      <c r="AA90" s="11"/>
      <c r="AB90" s="11"/>
      <c r="AC90" s="11"/>
      <c r="AD90" s="11"/>
      <c r="AE90" s="11"/>
      <c r="AF90" s="11"/>
      <c r="AG90" s="11"/>
      <c r="AH90" s="11"/>
      <c r="AI90" s="11"/>
      <c r="AJ90" s="11"/>
      <c r="AK90" s="11"/>
      <c r="AL90" s="11"/>
      <c r="AM90" s="11"/>
      <c r="AN90" s="11"/>
      <c r="AO90" s="11"/>
    </row>
    <row r="91" spans="1:41">
      <c r="B91" s="11"/>
      <c r="C91" s="481" t="s">
        <v>642</v>
      </c>
      <c r="D91" s="555">
        <f>M_Datos!N29</f>
        <v>0</v>
      </c>
      <c r="E91" s="321" t="s">
        <v>599</v>
      </c>
      <c r="F91" s="322">
        <f>D91*M_Factores!D262/1000</f>
        <v>0</v>
      </c>
      <c r="G91" s="14" t="str">
        <f>IF(Idioma=Castellano,"t CO2e/año",IF(Idioma=Valencià,"t CO2e/any "))</f>
        <v>t CO2e/año</v>
      </c>
      <c r="H91" s="11"/>
      <c r="I91" s="652" t="s">
        <v>631</v>
      </c>
      <c r="J91" s="653"/>
      <c r="K91" s="322">
        <f>K89+K90</f>
        <v>0</v>
      </c>
      <c r="L91" s="14" t="str">
        <f>IF(Idioma=Castellano,"t CO2e/año",IF(Idioma=Valencià,"t CO2e/any "))</f>
        <v>t CO2e/año</v>
      </c>
      <c r="M91" s="1"/>
      <c r="N91" s="1"/>
      <c r="O91" s="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B92" s="11"/>
      <c r="C92" s="11"/>
      <c r="F92" s="247"/>
      <c r="H92" s="14"/>
      <c r="I92" s="11"/>
      <c r="L92" s="11"/>
      <c r="M92" s="1"/>
      <c r="N92" s="1"/>
      <c r="O92" s="1"/>
      <c r="P92" s="249" t="str">
        <f>IF(Idioma=Castellano,"E.2. Cambios de uso del suelo",IF(Idioma=Valencià,"E.2. Canvis d'ús del sòl","E.2. Cambios de uso del suelo"))</f>
        <v>E.2. Cambios de uso del suelo</v>
      </c>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ht="18">
      <c r="B93" s="11"/>
      <c r="C93" s="11"/>
      <c r="D93" s="14" t="s">
        <v>631</v>
      </c>
      <c r="F93" s="322">
        <f>SUM(F89:F90)</f>
        <v>0</v>
      </c>
      <c r="G93" s="14" t="str">
        <f>IF(Idioma=Castellano,"t CO2e/año",IF(Idioma=Valencià,"t CO2e/any "))</f>
        <v>t CO2e/año</v>
      </c>
      <c r="H93" s="11"/>
      <c r="I93" s="11"/>
      <c r="J93" s="11"/>
      <c r="K93" s="11"/>
      <c r="L93" s="11"/>
      <c r="M93" s="11"/>
      <c r="N93" s="11"/>
      <c r="O93" s="1"/>
      <c r="P93" s="11"/>
      <c r="Q93" s="11"/>
      <c r="R93" s="11"/>
      <c r="S93" s="11"/>
      <c r="T93" s="11"/>
      <c r="U93" s="11"/>
      <c r="V93" s="11"/>
      <c r="W93" s="11"/>
      <c r="X93" s="11"/>
      <c r="Y93" s="11"/>
      <c r="AA93" s="548" t="str">
        <f>IF(Idioma=Castellano,"Emisiones por cambios de usos del en suelo",IF(Idioma=Valencià,"Emissions per canvis d'usos de l'en sòl"))</f>
        <v>Emisiones por cambios de usos del en suelo</v>
      </c>
      <c r="AB93" s="11"/>
      <c r="AC93" s="11"/>
      <c r="AD93" s="11"/>
      <c r="AE93" s="11"/>
      <c r="AF93" s="11"/>
      <c r="AG93" s="11"/>
      <c r="AH93" s="11"/>
      <c r="AI93" s="11"/>
      <c r="AJ93" s="11"/>
      <c r="AK93" s="11"/>
      <c r="AL93" s="11"/>
      <c r="AM93" s="11"/>
      <c r="AN93" s="11"/>
      <c r="AO93" s="11"/>
    </row>
    <row r="94" spans="1:41">
      <c r="B94" s="11"/>
      <c r="C94" s="11"/>
      <c r="D94" s="11"/>
      <c r="E94" s="11"/>
      <c r="F94" s="11"/>
      <c r="G94" s="11"/>
      <c r="H94" s="11"/>
      <c r="I94" s="11"/>
      <c r="J94" s="11"/>
      <c r="K94" s="11"/>
      <c r="L94" s="11"/>
      <c r="M94" s="11"/>
      <c r="N94" s="11"/>
      <c r="O94" s="1"/>
      <c r="P94" s="11"/>
      <c r="Q94" s="58"/>
      <c r="R94" s="1"/>
      <c r="S94" s="1"/>
      <c r="T94" s="1"/>
      <c r="U94" s="11"/>
      <c r="V94" s="11"/>
      <c r="W94" s="11"/>
      <c r="X94" s="11"/>
      <c r="Y94" s="11"/>
      <c r="Z94" s="11"/>
      <c r="AA94" s="11"/>
      <c r="AB94" s="11"/>
      <c r="AC94" s="11"/>
      <c r="AD94" s="11"/>
      <c r="AE94" s="11"/>
      <c r="AF94" s="11"/>
      <c r="AG94" s="11"/>
      <c r="AH94" s="11"/>
      <c r="AI94" s="11"/>
      <c r="AJ94" s="11"/>
      <c r="AK94" s="11"/>
      <c r="AL94" s="11"/>
      <c r="AM94" s="11"/>
      <c r="AN94" s="11"/>
      <c r="AO94" s="11"/>
    </row>
    <row r="95" spans="1:41" ht="27.6">
      <c r="B95" s="11"/>
      <c r="C95" s="11"/>
      <c r="D95" s="11"/>
      <c r="E95" s="11"/>
      <c r="F95" s="11"/>
      <c r="G95" s="11"/>
      <c r="H95" s="11"/>
      <c r="I95" s="11"/>
      <c r="J95" s="11"/>
      <c r="K95" s="11"/>
      <c r="L95" s="11"/>
      <c r="M95" s="11"/>
      <c r="N95" s="11"/>
      <c r="O95" s="1"/>
      <c r="P95" s="11"/>
      <c r="Q95" s="338"/>
      <c r="R95" s="52" t="str">
        <f>IF(Idioma=Castellano,"Situación actual (ha)",IF(Idioma=Valencià,"Situació actual (ha)"))</f>
        <v>Situación actual (ha)</v>
      </c>
      <c r="S95" s="55" t="str">
        <f>IF(Idioma=Castellano,"Pérdida o ganancia (ha)",IF(Idioma=Valencià,"Pèrdua o guany (ha)"))</f>
        <v>Pérdida o ganancia (ha)</v>
      </c>
      <c r="T95" s="39" t="s">
        <v>1014</v>
      </c>
      <c r="U95" s="1"/>
      <c r="W95" s="11"/>
      <c r="X95" s="11"/>
      <c r="Y95" s="11"/>
      <c r="Z95" s="11"/>
      <c r="AA95" s="11"/>
      <c r="AB95" s="11"/>
      <c r="AC95" s="11"/>
      <c r="AD95" s="11"/>
      <c r="AE95" s="11"/>
      <c r="AF95" s="11"/>
      <c r="AG95" s="11"/>
      <c r="AH95" s="11"/>
      <c r="AI95" s="11"/>
      <c r="AJ95" s="11"/>
      <c r="AK95" s="11"/>
      <c r="AL95" s="11"/>
      <c r="AM95" s="11"/>
      <c r="AN95" s="11"/>
      <c r="AO95" s="11"/>
    </row>
    <row r="96" spans="1:41" ht="18">
      <c r="B96" s="11"/>
      <c r="C96" s="11"/>
      <c r="D96" s="542" t="str">
        <f>IF(Idioma=Castellano,"Emisiones asociadas al consumo de agua",IF(Idioma=Valencià,"Emissions associades al consum d'aigua","Emisiones asociadas al consumo de agua"))</f>
        <v>Emisiones asociadas al consumo de agua</v>
      </c>
      <c r="E96" s="11"/>
      <c r="F96" s="11"/>
      <c r="G96" s="11"/>
      <c r="H96" s="11"/>
      <c r="I96" s="11"/>
      <c r="J96" s="542" t="str">
        <f>IF(Idioma=Castellano,"Emisiones asociadas a gestión de residuos",IF(Idioma=Valencià,"Emissions associades a gestió de residus"))</f>
        <v>Emisiones asociadas a gestión de residuos</v>
      </c>
      <c r="K96" s="11"/>
      <c r="L96" s="11"/>
      <c r="M96" s="11"/>
      <c r="N96" s="11"/>
      <c r="O96" s="1"/>
      <c r="P96" s="11"/>
      <c r="Q96" s="473" t="str">
        <f>IF(Idioma=Castellano,"Bosque",IF(Idioma=Valencià,"Bosc","Bosque"))</f>
        <v>Bosque</v>
      </c>
      <c r="R96" s="556" t="str">
        <f>IF(SUM(M_Datos!$N$26:$N$33)=0, " ",'M_Cálculos propios'!F259)</f>
        <v xml:space="preserve"> </v>
      </c>
      <c r="S96" s="556" t="str">
        <f>IF(SUM(M_Datos!$N$26:$N$33)=0, " ", 'M_Cálculos propios'!G265)</f>
        <v xml:space="preserve"> </v>
      </c>
      <c r="T96" s="558" t="str" cm="1">
        <f t="array" ref="T96">IF(SUM(M_Datos!$N$26:$N$33)=0, " ", 'M_Cálculos propios'!I265:I270+'M_Cálculos propios'!J265:J270)</f>
        <v xml:space="preserve"> </v>
      </c>
      <c r="U96" s="11"/>
      <c r="V96" s="11"/>
      <c r="W96" s="11"/>
      <c r="X96" s="11"/>
      <c r="Y96" s="11"/>
      <c r="Z96" s="11"/>
      <c r="AA96" s="11"/>
      <c r="AB96" s="11"/>
      <c r="AC96" s="11"/>
      <c r="AD96" s="11"/>
      <c r="AE96" s="11"/>
      <c r="AF96" s="11"/>
      <c r="AG96" s="11"/>
      <c r="AH96" s="11"/>
      <c r="AI96" s="11"/>
      <c r="AJ96" s="11"/>
      <c r="AK96" s="11"/>
      <c r="AL96" s="11"/>
      <c r="AM96" s="11"/>
      <c r="AN96" s="11"/>
      <c r="AO96" s="11"/>
    </row>
    <row r="97" spans="2:41" ht="27.6">
      <c r="B97" s="11"/>
      <c r="C97" s="11"/>
      <c r="D97" s="11"/>
      <c r="E97" s="11"/>
      <c r="F97" s="11"/>
      <c r="G97" s="11"/>
      <c r="H97" s="11"/>
      <c r="I97" s="11"/>
      <c r="J97" s="11"/>
      <c r="K97" s="11"/>
      <c r="L97" s="11"/>
      <c r="M97" s="11"/>
      <c r="N97" s="11"/>
      <c r="O97" s="1"/>
      <c r="P97" s="11"/>
      <c r="Q97" s="473" t="str">
        <f>IF(Idioma=Castellano,"Garriga/Matorral (arbustivas)/Prado",IF(Idioma=Valencià,"Garriga/Matoll (arbustives)/Prado","Garriga/Matorral (arbustivas)/Prado"))</f>
        <v>Garriga/Matorral (arbustivas)/Prado</v>
      </c>
      <c r="R97" s="556" t="str">
        <f>IF(SUM(M_Datos!$N$26:$N$33)=0, " ",'M_Cálculos propios'!F260)</f>
        <v xml:space="preserve"> </v>
      </c>
      <c r="S97" s="556" t="str">
        <f>IF(SUM(M_Datos!$N$26:$N$33)=0, " ", 'M_Cálculos propios'!G266)</f>
        <v xml:space="preserve"> </v>
      </c>
      <c r="T97" s="558"/>
      <c r="U97" s="11"/>
      <c r="V97" s="11"/>
      <c r="W97" s="11"/>
      <c r="X97" s="11"/>
      <c r="Y97" s="11"/>
      <c r="Z97" s="11"/>
      <c r="AA97" s="11"/>
      <c r="AB97" s="11"/>
      <c r="AC97" s="11"/>
      <c r="AD97" s="11"/>
      <c r="AE97" s="11"/>
      <c r="AF97" s="11"/>
      <c r="AG97" s="11"/>
      <c r="AH97" s="11"/>
      <c r="AI97" s="11"/>
      <c r="AJ97" s="11"/>
      <c r="AK97" s="11"/>
      <c r="AL97" s="11"/>
      <c r="AM97" s="11"/>
      <c r="AN97" s="11"/>
      <c r="AO97" s="11"/>
    </row>
    <row r="98" spans="2:41" ht="27.6" customHeight="1">
      <c r="B98" s="11"/>
      <c r="C98" s="11"/>
      <c r="D98" s="11"/>
      <c r="E98" s="11"/>
      <c r="F98" s="11"/>
      <c r="G98" s="11"/>
      <c r="H98" s="11"/>
      <c r="I98" s="11"/>
      <c r="J98" s="11"/>
      <c r="K98" s="11"/>
      <c r="L98" s="11"/>
      <c r="M98" s="11"/>
      <c r="N98" s="11"/>
      <c r="O98" s="1"/>
      <c r="P98" s="11"/>
      <c r="Q98" s="473" t="str">
        <f>IF(Idioma=Castellano,"Cultivo",IF(Idioma=Valencià,"Cultiu","Cultivo"))</f>
        <v>Cultivo</v>
      </c>
      <c r="R98" s="556" t="str">
        <f>IF(SUM(M_Datos!$N$26:$N$33)=0, " ",'M_Cálculos propios'!F261)</f>
        <v xml:space="preserve"> </v>
      </c>
      <c r="S98" s="556" t="str">
        <f>IF(SUM(M_Datos!$N$26:$N$33)=0, " ", 'M_Cálculos propios'!G267)</f>
        <v xml:space="preserve"> </v>
      </c>
      <c r="T98" s="558"/>
      <c r="U98" s="11"/>
      <c r="V98" s="11"/>
      <c r="W98" s="11"/>
      <c r="X98" s="11"/>
      <c r="Y98" s="11"/>
      <c r="Z98" s="11"/>
      <c r="AA98" s="11"/>
      <c r="AB98" s="11"/>
      <c r="AC98" s="11"/>
      <c r="AD98" s="11"/>
      <c r="AE98" s="11"/>
      <c r="AF98" s="11"/>
      <c r="AG98" s="11"/>
      <c r="AH98" s="11"/>
      <c r="AI98" s="11"/>
      <c r="AJ98" s="11"/>
      <c r="AK98" s="11"/>
      <c r="AL98" s="11"/>
      <c r="AM98" s="11"/>
      <c r="AN98" s="11"/>
      <c r="AO98" s="11"/>
    </row>
    <row r="99" spans="2:41" ht="27.6">
      <c r="B99" s="11"/>
      <c r="C99" s="11"/>
      <c r="D99" s="11"/>
      <c r="E99" s="11"/>
      <c r="F99" s="11"/>
      <c r="G99" s="11"/>
      <c r="H99" s="11"/>
      <c r="I99" s="11"/>
      <c r="J99" s="11"/>
      <c r="K99" s="11"/>
      <c r="L99" s="11"/>
      <c r="M99" s="11"/>
      <c r="N99" s="11"/>
      <c r="O99" s="1"/>
      <c r="P99" s="11"/>
      <c r="Q99" s="473" t="str">
        <f>IF(Idioma=Castellano,"Marismas y humedales",IF(Idioma=Valencià,"Marenys i aiguamolls","Marismas y humedales"))</f>
        <v>Marismas y humedales</v>
      </c>
      <c r="R99" s="556" t="str">
        <f>IF(SUM(M_Datos!$N$26:$N$33)=0, " ",'M_Cálculos propios'!F262)</f>
        <v xml:space="preserve"> </v>
      </c>
      <c r="S99" s="556" t="str">
        <f>IF(SUM(M_Datos!$N$26:$N$33)=0, " ", 'M_Cálculos propios'!G268)</f>
        <v xml:space="preserve"> </v>
      </c>
      <c r="T99" s="558"/>
      <c r="U99" s="11"/>
      <c r="V99" s="11"/>
      <c r="W99" s="11"/>
      <c r="X99" s="11"/>
      <c r="Y99" s="11"/>
      <c r="Z99" s="11"/>
      <c r="AA99" s="11"/>
      <c r="AB99" s="11"/>
      <c r="AC99" s="11"/>
      <c r="AD99" s="11"/>
      <c r="AE99" s="11"/>
      <c r="AF99" s="11"/>
      <c r="AG99" s="11"/>
      <c r="AH99" s="11"/>
      <c r="AI99" s="11"/>
      <c r="AJ99" s="11"/>
      <c r="AK99" s="11"/>
      <c r="AL99" s="11"/>
      <c r="AM99" s="11"/>
      <c r="AN99" s="11"/>
      <c r="AO99" s="11"/>
    </row>
    <row r="100" spans="2:41">
      <c r="B100" s="11"/>
      <c r="C100" s="11"/>
      <c r="D100" s="11"/>
      <c r="E100" s="11"/>
      <c r="F100" s="11"/>
      <c r="G100" s="11"/>
      <c r="H100" s="11"/>
      <c r="I100" s="11"/>
      <c r="J100" s="11"/>
      <c r="K100" s="11"/>
      <c r="L100" s="11"/>
      <c r="M100" s="11"/>
      <c r="N100" s="11"/>
      <c r="O100" s="1"/>
      <c r="P100" s="11"/>
      <c r="Q100" s="474" t="str">
        <f>IF(Idioma=Castellano,"Otras tierras",IF(Idioma=Valencià,"Altres terres","Otras tierras"))</f>
        <v>Otras tierras</v>
      </c>
      <c r="R100" s="556" t="str">
        <f>IF(SUM(M_Datos!$N$26:$N$33)=0, " ",'M_Cálculos propios'!F263)</f>
        <v xml:space="preserve"> </v>
      </c>
      <c r="S100" s="556" t="str">
        <f>IF(SUM(M_Datos!$N$26:$N$33)=0, " ", 'M_Cálculos propios'!G269)</f>
        <v xml:space="preserve"> </v>
      </c>
      <c r="T100" s="558"/>
      <c r="U100" s="1"/>
      <c r="V100" s="1"/>
      <c r="W100" s="11"/>
      <c r="X100" s="11"/>
      <c r="Y100" s="11"/>
      <c r="Z100" s="11"/>
      <c r="AA100" s="11"/>
      <c r="AB100" s="11"/>
      <c r="AC100" s="11"/>
      <c r="AD100" s="11"/>
      <c r="AE100" s="11"/>
      <c r="AF100" s="11"/>
      <c r="AG100" s="11"/>
      <c r="AH100" s="11"/>
      <c r="AI100" s="11"/>
      <c r="AJ100" s="11"/>
      <c r="AK100" s="11"/>
      <c r="AL100" s="11"/>
      <c r="AM100" s="11"/>
      <c r="AN100" s="11"/>
      <c r="AO100" s="11"/>
    </row>
    <row r="101" spans="2:41">
      <c r="B101" s="11"/>
      <c r="C101" s="11"/>
      <c r="D101" s="11"/>
      <c r="E101" s="11"/>
      <c r="F101" s="11"/>
      <c r="G101" s="11"/>
      <c r="H101" s="11"/>
      <c r="I101" s="11"/>
      <c r="J101" s="11"/>
      <c r="K101" s="11"/>
      <c r="L101" s="11"/>
      <c r="M101" s="11"/>
      <c r="N101" s="11"/>
      <c r="O101" s="1"/>
      <c r="P101" s="11"/>
      <c r="Q101" s="473" t="str">
        <f>IF(Idioma=Castellano,"Asentamientos",IF(Idioma=Valencià,"Assentaments","Asentamientos"))</f>
        <v>Asentamientos</v>
      </c>
      <c r="R101" s="556" t="str">
        <f>IF(SUM(M_Datos!$N$26:$N$33)=0, " ",'M_Cálculos propios'!F264)</f>
        <v xml:space="preserve"> </v>
      </c>
      <c r="S101" s="556" t="str">
        <f>IF(SUM(M_Datos!$N$26:$N$33)=0, " ", 'M_Cálculos propios'!G270)</f>
        <v xml:space="preserve"> </v>
      </c>
      <c r="T101" s="558"/>
      <c r="U101" s="528">
        <f>SUM(_xlfn.ANCHORARRAY(T96))</f>
        <v>0</v>
      </c>
      <c r="V101" s="14" t="str">
        <f>IF(Idioma=Castellano,"t CO2e/año",IF(Idioma=Valencià,"t CO2e/any "))</f>
        <v>t CO2e/año</v>
      </c>
      <c r="W101" s="11"/>
      <c r="X101" s="11"/>
      <c r="Y101" s="11"/>
      <c r="Z101" s="11"/>
      <c r="AA101" s="11"/>
      <c r="AB101" s="11"/>
      <c r="AC101" s="11"/>
      <c r="AD101" s="11"/>
      <c r="AE101" s="11"/>
      <c r="AF101" s="11"/>
      <c r="AG101" s="11"/>
      <c r="AH101" s="11"/>
      <c r="AI101" s="11"/>
      <c r="AJ101" s="11"/>
      <c r="AK101" s="11"/>
      <c r="AL101" s="11"/>
      <c r="AM101" s="11"/>
      <c r="AN101" s="11"/>
      <c r="AO101" s="11"/>
    </row>
    <row r="102" spans="2:41">
      <c r="B102" s="11"/>
      <c r="C102" s="11"/>
      <c r="D102" s="11"/>
      <c r="E102" s="11"/>
      <c r="F102" s="11"/>
      <c r="G102" s="11"/>
      <c r="H102" s="11"/>
      <c r="I102" s="11"/>
      <c r="J102" s="11"/>
      <c r="K102" s="11"/>
      <c r="L102" s="11"/>
      <c r="M102" s="11"/>
      <c r="N102" s="11"/>
      <c r="O102" s="1"/>
      <c r="P102" s="11"/>
      <c r="Q102" s="1"/>
      <c r="R102" s="1"/>
      <c r="S102" s="1"/>
      <c r="T102" s="1"/>
      <c r="U102" s="1"/>
      <c r="V102" s="1"/>
      <c r="W102" s="11"/>
      <c r="X102" s="11"/>
      <c r="Y102" s="11"/>
      <c r="Z102" s="11"/>
      <c r="AA102" s="11"/>
      <c r="AB102" s="11"/>
      <c r="AC102" s="11"/>
      <c r="AD102" s="11"/>
      <c r="AE102" s="11"/>
      <c r="AF102" s="11"/>
      <c r="AG102" s="11"/>
      <c r="AH102" s="11"/>
      <c r="AI102" s="11"/>
      <c r="AJ102" s="11"/>
      <c r="AK102" s="11"/>
      <c r="AL102" s="11"/>
      <c r="AM102" s="11"/>
      <c r="AN102" s="11"/>
      <c r="AO102" s="11"/>
    </row>
    <row r="103" spans="2:4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2:4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2:4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2:4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2:4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2:41">
      <c r="B108" s="11"/>
      <c r="C108" s="11"/>
      <c r="D108" s="59"/>
      <c r="E108" s="59"/>
      <c r="F108" s="59"/>
      <c r="G108" s="59"/>
      <c r="H108" s="59"/>
      <c r="I108" s="59"/>
      <c r="J108" s="59"/>
      <c r="K108" s="59"/>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2:41">
      <c r="B109" s="11"/>
      <c r="C109" s="11"/>
      <c r="D109" s="60"/>
      <c r="E109" s="60"/>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2:41">
      <c r="B110" s="11"/>
      <c r="C110" s="11"/>
      <c r="D110" s="61"/>
      <c r="E110" s="6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2:4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2:4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s="135" customFormat="1">
      <c r="A113" s="145"/>
      <c r="B113" s="243"/>
    </row>
    <row r="114" spans="1:4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row>
    <row r="115" spans="1:4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sheetData>
  <sheetProtection algorithmName="SHA-512" hashValue="nP0G2rWYGs6fMymNGuy8UN1S/htRog5WORHRnRvDj8pQwUdEl4GWEn7esU3j4SR2oWlHoUUC7y1O7FRBlsFUIQ==" saltValue="CKe3/F37m+XCJliPQxyo2Q==" spinCount="100000" sheet="1" objects="1" scenarios="1"/>
  <mergeCells count="10">
    <mergeCell ref="B4:G5"/>
    <mergeCell ref="D11:F11"/>
    <mergeCell ref="G11:I11"/>
    <mergeCell ref="D27:F27"/>
    <mergeCell ref="D36:F36"/>
    <mergeCell ref="I89:J89"/>
    <mergeCell ref="I90:J90"/>
    <mergeCell ref="I91:J91"/>
    <mergeCell ref="D50:F50"/>
    <mergeCell ref="D48:F48"/>
  </mergeCells>
  <hyperlinks>
    <hyperlink ref="A7" location="Instrucciones_Valencia!A1" display="Instrucciones_Valencia!A1" xr:uid="{D3CF3302-2A71-4C83-AD78-FE80AB87FA87}"/>
    <hyperlink ref="A9" location="M_Datos_Valencia!A1" display="M_Datos_Valencia!A1" xr:uid="{37B39E1C-BCF7-4AE0-A01D-5D60EC006C7E}"/>
    <hyperlink ref="A11" location="V_A0!A1" display="2.1. Alternativa 0 (A0)" xr:uid="{07E62592-4EA7-494A-AEBF-7E6788E51F7D}"/>
    <hyperlink ref="A12" location="V_A1!A1" display="2.2. Alternativa 1 (A1)" xr:uid="{4C9BFB97-025F-4380-906F-7C01FBC97BFE}"/>
    <hyperlink ref="A13" location="V_A2!A1" display="2.3. Alternativa 2 (A2)" xr:uid="{89668974-00F1-4F96-8CC3-8EE14ACC8A49}"/>
    <hyperlink ref="A14" location="V_A3!A1" display="2.4. Alternativa 3 (A3)" xr:uid="{6614DBF9-92A9-4D7A-8F67-B1104EA69F5A}"/>
    <hyperlink ref="A15" location="V_A4!A1" display="2.5. Alternativa 4 (A4)" xr:uid="{93DF76D4-B820-477A-B8F9-BDDC7A750088}"/>
    <hyperlink ref="A16" location="B_Resultados!A1" display="B_Resultados!A1" xr:uid="{A140C9C8-90F0-4131-8DE0-9E064B4098A2}"/>
    <hyperlink ref="A17" location="V_Factores!A1" display="V_Factores!A1" xr:uid="{D792573B-0BEC-4FF8-8E2B-31B11285B925}"/>
    <hyperlink ref="A19" location="B_Alcance!A1" display="B_Alcance!A1" xr:uid="{25E8307C-766B-49C2-9054-5BE85CC317A3}"/>
    <hyperlink ref="A20" location="B_Checklist!A1" display="2. Checklist" xr:uid="{D44E28AB-92B5-4597-897F-606ABF544F7A}"/>
    <hyperlink ref="A21" location="B_Resultados!A1" display="B_Resultados!A1" xr:uid="{29C0D0B8-0FFB-46C5-A576-7C3C44CD8F9B}"/>
    <hyperlink ref="A22" location="Resultados_generales!A1" display="Resultados_generales!A1" xr:uid="{58C303EB-E39D-4204-ACFA-DE78F749AD99}"/>
    <hyperlink ref="A23" location="Medidas_Propuestas!A1" display="Medidas_Propuestas!A1" xr:uid="{AABB3812-03EE-41E5-BD37-F2DDAFCCEEB7}"/>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5" id="{3DE69284-E5EC-422F-8D1B-FE25BC5D208F}">
            <xm:f>M_Datos!$J$17="No"</xm:f>
            <x14:dxf>
              <font>
                <color theme="0" tint="-0.34998626667073579"/>
              </font>
              <fill>
                <patternFill>
                  <bgColor theme="0" tint="-4.9989318521683403E-2"/>
                </patternFill>
              </fill>
            </x14:dxf>
          </x14:cfRule>
          <xm:sqref>D71 C53:F55 C39:F42 F77:F84</xm:sqref>
        </x14:conditionalFormatting>
        <x14:conditionalFormatting xmlns:xm="http://schemas.microsoft.com/office/excel/2006/main">
          <x14:cfRule type="expression" priority="3" id="{13B33A57-0B38-43FB-A1BD-F1303EA3F012}">
            <xm:f>M_Datos!$J$17="No"</xm:f>
            <x14:dxf>
              <font>
                <color theme="0" tint="-0.34998626667073579"/>
              </font>
              <fill>
                <patternFill>
                  <bgColor theme="0" tint="-4.9989318521683403E-2"/>
                </patternFill>
              </fill>
            </x14:dxf>
          </x14:cfRule>
          <xm:sqref>C71</xm:sqref>
        </x14:conditionalFormatting>
        <x14:conditionalFormatting xmlns:xm="http://schemas.microsoft.com/office/excel/2006/main">
          <x14:cfRule type="expression" priority="2" id="{3FC3F329-9532-4F4A-A756-35433636EF01}">
            <xm:f>M_Datos!$J$17="No"</xm:f>
            <x14:dxf>
              <font>
                <color theme="0" tint="-0.34998626667073579"/>
              </font>
              <fill>
                <patternFill>
                  <bgColor theme="0" tint="-4.9989318521683403E-2"/>
                </patternFill>
              </fill>
            </x14:dxf>
          </x14:cfRule>
          <xm:sqref>C30:C33</xm:sqref>
        </x14:conditionalFormatting>
        <x14:conditionalFormatting xmlns:xm="http://schemas.microsoft.com/office/excel/2006/main">
          <x14:cfRule type="expression" priority="1" id="{B8370175-9386-4876-82D9-0E076D73C7CA}">
            <xm:f>M_Datos!$J$17="No"</xm:f>
            <x14:dxf>
              <font>
                <color theme="0" tint="-0.34998626667073579"/>
              </font>
              <fill>
                <patternFill>
                  <bgColor theme="0" tint="-4.9989318521683403E-2"/>
                </patternFill>
              </fill>
            </x14:dxf>
          </x14:cfRule>
          <xm:sqref>D30:F33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971AF-F517-4770-8A47-97BE7658D6BB}">
  <sheetPr>
    <tabColor theme="5" tint="0.79998168889431442"/>
  </sheetPr>
  <dimension ref="A1:AO127"/>
  <sheetViews>
    <sheetView topLeftCell="A61" workbookViewId="0">
      <selection activeCell="G72" sqref="G72"/>
    </sheetView>
  </sheetViews>
  <sheetFormatPr baseColWidth="10" defaultColWidth="11.44140625" defaultRowHeight="15.6"/>
  <cols>
    <col min="1" max="1" width="29.5546875" style="145" customWidth="1"/>
    <col min="3" max="3" width="24.33203125" customWidth="1"/>
    <col min="4" max="4" width="16" customWidth="1"/>
    <col min="5" max="5" width="31.5546875" customWidth="1"/>
    <col min="6" max="6" width="21.33203125" customWidth="1"/>
    <col min="7" max="7" width="17.6640625" customWidth="1"/>
    <col min="8" max="8" width="18.6640625" customWidth="1"/>
    <col min="9" max="9" width="18.44140625" customWidth="1"/>
    <col min="10" max="10" width="20.88671875" customWidth="1"/>
    <col min="11" max="11" width="21.6640625" customWidth="1"/>
    <col min="17" max="17" width="18.33203125" customWidth="1"/>
    <col min="18" max="18" width="15.33203125" customWidth="1"/>
    <col min="19" max="19" width="19.88671875" customWidth="1"/>
    <col min="20" max="20" width="16.33203125" bestFit="1" customWidth="1"/>
  </cols>
  <sheetData>
    <row r="1" spans="1:41" s="135" customFormat="1" ht="30" customHeight="1">
      <c r="A1" s="1"/>
      <c r="B1" s="137"/>
    </row>
    <row r="2" spans="1:41" s="135" customFormat="1" ht="30" customHeight="1">
      <c r="A2" s="1"/>
      <c r="B2" s="137"/>
      <c r="C2" s="136" t="str">
        <f>IF(Idioma=Castellano,"2. Cálculo de Alternativas",IF(Idioma=Valencià,"2. Càlcul d'alternatives ","2. Cálculo de Alternativas"))</f>
        <v>2. Cálculo de Alternativas</v>
      </c>
    </row>
    <row r="3" spans="1:41" s="135" customFormat="1" ht="30" customHeight="1">
      <c r="A3" s="1"/>
      <c r="B3" s="137"/>
    </row>
    <row r="4" spans="1:41" s="245" customFormat="1" ht="15" customHeight="1">
      <c r="A4" s="143"/>
      <c r="B4" s="655" t="s">
        <v>644</v>
      </c>
      <c r="C4" s="655"/>
      <c r="D4" s="655"/>
      <c r="E4" s="655"/>
      <c r="F4" s="655"/>
      <c r="G4" s="655"/>
      <c r="H4" s="244"/>
    </row>
    <row r="5" spans="1:41" s="245" customFormat="1" ht="15" customHeight="1">
      <c r="A5" s="143"/>
      <c r="B5" s="655"/>
      <c r="C5" s="655"/>
      <c r="D5" s="655"/>
      <c r="E5" s="655"/>
      <c r="F5" s="655"/>
      <c r="G5" s="655"/>
      <c r="H5" s="244"/>
    </row>
    <row r="6" spans="1:41" s="135" customFormat="1">
      <c r="A6" s="335" t="str">
        <f>IF(Idioma=Castellano,"Índice",IF(Idioma=Valencià,"Índex","Índice"))</f>
        <v>Índice</v>
      </c>
      <c r="B6" s="240" t="str">
        <f>IF(Idioma=Castellano,"A. Consumo energético",IF(Idioma=Valencià,"A. Consum energètic","A. Consumo energético"))</f>
        <v>A. Consumo energético</v>
      </c>
      <c r="O6" s="241"/>
      <c r="Q6" s="241"/>
      <c r="Z6" s="241"/>
    </row>
    <row r="7" spans="1:41" ht="14.4">
      <c r="A7" s="202" t="str">
        <f>IF(Idioma=Castellano,"Instrucciones",IF(Idioma=Valencià,"Instruccions","Instrucciones"))</f>
        <v>Instrucciones</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8">
      <c r="A8" s="203" t="str">
        <f>IF(Idioma=Castellano,"Sección de Mitigación",IF(Idioma=Valencià,"Secció de Mitigació", "Sección de Mitigación"))</f>
        <v>Sección de Mitigación</v>
      </c>
      <c r="B8" s="1"/>
      <c r="C8" s="1"/>
      <c r="D8" s="1"/>
      <c r="E8" s="195"/>
      <c r="F8" s="1"/>
      <c r="G8" s="1"/>
      <c r="H8" s="1"/>
      <c r="I8" s="1"/>
      <c r="J8" s="1"/>
      <c r="K8" s="1"/>
      <c r="L8" s="1"/>
      <c r="M8" s="1"/>
      <c r="N8" s="1"/>
      <c r="O8" s="1"/>
      <c r="P8" s="246" t="str">
        <f>IF(Idioma=Castellano,"A. Resultados demanda energética",IF(Idioma=Valencià,"A. Resultats demanda energètica","A. Resultados demanda energética"))</f>
        <v>A. Resultados demanda energética</v>
      </c>
      <c r="Q8" s="1"/>
      <c r="R8" s="1"/>
      <c r="S8" s="1"/>
      <c r="T8" s="1"/>
      <c r="U8" s="1"/>
      <c r="V8" s="1"/>
      <c r="W8" s="1"/>
      <c r="X8" s="1"/>
      <c r="Y8" s="1"/>
      <c r="Z8" s="1"/>
      <c r="AA8" s="246" t="str">
        <f>IF(Idioma=Castellano,"A. Resultados emisiones",IF(Idioma=Valencià,"A. Resultats emissions"))</f>
        <v>A. Resultados emisiones</v>
      </c>
      <c r="AB8" s="1"/>
      <c r="AC8" s="1"/>
      <c r="AD8" s="1"/>
      <c r="AE8" s="1"/>
      <c r="AF8" s="1"/>
      <c r="AG8" s="1"/>
      <c r="AH8" s="1"/>
      <c r="AI8" s="1"/>
      <c r="AJ8" s="1"/>
      <c r="AK8" s="1"/>
      <c r="AL8" s="1"/>
      <c r="AM8" s="1"/>
      <c r="AN8" s="1"/>
      <c r="AO8" s="1"/>
    </row>
    <row r="9" spans="1:41" ht="14.4">
      <c r="A9" s="204" t="str">
        <f>IF(Idioma=Castellano,"1. Datos de entrada",IF(Idioma=Valencià,"1.Dades d'entrada","1. Datos de entrada"))</f>
        <v>1. Datos de entrada</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18">
      <c r="A10" s="204" t="str">
        <f>IF(Idioma=Castellano,"2. Cálculo de Alternativas:",IF(Idioma=Valencià,"2. Càlcul d'alternatives :","2. Cálculo de Alternativas:"))</f>
        <v>2. Cálculo de Alternativas:</v>
      </c>
      <c r="B10" s="1"/>
      <c r="C10" s="246" t="str">
        <f>IF(Idioma=Castellano,"A.1. Uso de la vivienda",IF(Idioma=Valencià,"A.1. Ús de l'habitatge","A.1. Uso de la vivienda"))</f>
        <v>A.1. Uso de la vivienda</v>
      </c>
      <c r="D10" s="1"/>
      <c r="E10" s="1"/>
      <c r="F10" s="1"/>
      <c r="G10" s="1"/>
      <c r="H10" s="1"/>
      <c r="I10" s="1"/>
      <c r="J10" s="1"/>
      <c r="K10" s="1"/>
      <c r="L10" s="1"/>
      <c r="M10" s="1"/>
      <c r="N10" s="1"/>
      <c r="O10" s="542" t="str">
        <f>IF(Idioma=Castellano,"Demanda asociada a usos de vivienda",IF(Idioma=Valencià,"Demanda associades a ús d'habitatge"))</f>
        <v>Demanda asociada a usos de vivienda</v>
      </c>
      <c r="P10" s="1"/>
      <c r="Q10" s="1"/>
      <c r="R10" s="1"/>
      <c r="S10" s="542" t="str">
        <f>IF(Idioma=Castellano,"Demanda energética asociadas a los tipos de viviendas",IF(Idioma=Valencià,"Demanda energètica associades als tipus d'habitatges"))</f>
        <v>Demanda energética asociadas a los tipos de viviendas</v>
      </c>
      <c r="T10" s="1"/>
      <c r="U10" s="1"/>
      <c r="V10" s="1"/>
      <c r="W10" s="1"/>
      <c r="X10" s="1"/>
      <c r="Y10" s="1"/>
      <c r="Z10" s="1"/>
      <c r="AA10" s="542" t="str">
        <f>IF(Idioma=Castellano,"Emisiones asociada a usos de vivienda",IF(Idioma=Valencià,"Emissions associades a ús d'habitatge"))</f>
        <v>Emisiones asociada a usos de vivienda</v>
      </c>
      <c r="AB10" s="1"/>
      <c r="AC10" s="1"/>
      <c r="AD10" s="1"/>
      <c r="AE10" s="1"/>
      <c r="AF10" s="1"/>
      <c r="AG10" s="542" t="str">
        <f>IF(Idioma=Castellano,"Emisiones energética asociadas a los tipos de viviendas",IF(Idioma=Valencià,"Emissions energètica associades als tipus d'habitatges"))</f>
        <v>Emisiones energética asociadas a los tipos de viviendas</v>
      </c>
      <c r="AH10" s="1"/>
      <c r="AI10" s="1"/>
      <c r="AJ10" s="1"/>
      <c r="AK10" s="1"/>
      <c r="AL10" s="1"/>
      <c r="AM10" s="1"/>
      <c r="AN10" s="1"/>
      <c r="AO10" s="1"/>
    </row>
    <row r="11" spans="1:41" ht="14.4">
      <c r="A11" s="205" t="s">
        <v>1</v>
      </c>
      <c r="B11" s="1"/>
      <c r="C11" s="47"/>
      <c r="D11" s="652" t="str">
        <f>IF(Idioma=Castellano,"Vivienda Unifamiliar",IF(Idioma=Valencià,"Habitatge Unifamiliar","Vivienda Unifamiliar"))</f>
        <v>Vivienda Unifamiliar</v>
      </c>
      <c r="E11" s="654"/>
      <c r="F11" s="653"/>
      <c r="G11" s="652" t="str">
        <f>IF(Idioma=Castellano,"Vivienda Plurifamiliar",IF(Idioma=Valencià,"Habitatge Plurifamiliar","Vivienda Plurifamiliar"))</f>
        <v>Vivienda Plurifamiliar</v>
      </c>
      <c r="H11" s="654"/>
      <c r="I11" s="653"/>
      <c r="J11" s="158"/>
      <c r="K11" s="48"/>
      <c r="L11" s="1"/>
      <c r="M11" s="1"/>
      <c r="N11" s="1"/>
      <c r="P11" s="1"/>
      <c r="Q11" s="1"/>
      <c r="R11" s="1"/>
      <c r="S11" s="1"/>
      <c r="V11" s="1"/>
      <c r="W11" s="1"/>
      <c r="X11" s="1"/>
      <c r="Y11" s="1"/>
      <c r="Z11" s="46"/>
      <c r="AA11" s="1"/>
      <c r="AB11" s="1"/>
      <c r="AC11" s="1"/>
      <c r="AD11" s="1"/>
      <c r="AE11" s="1"/>
      <c r="AF11" s="1"/>
      <c r="AG11" s="1"/>
      <c r="AH11" s="1"/>
      <c r="AI11" s="1"/>
      <c r="AJ11" s="1"/>
      <c r="AK11" s="1"/>
      <c r="AL11" s="1"/>
      <c r="AM11" s="1"/>
      <c r="AN11" s="1"/>
      <c r="AO11" s="1"/>
    </row>
    <row r="12" spans="1:41" ht="14.4">
      <c r="A12" s="205" t="s">
        <v>2</v>
      </c>
      <c r="B12" s="1"/>
      <c r="C12" s="289" t="s">
        <v>622</v>
      </c>
      <c r="D12" s="525" t="s">
        <v>623</v>
      </c>
      <c r="E12" s="525" t="s">
        <v>948</v>
      </c>
      <c r="F12" s="526" t="str">
        <f>IF(Idioma=Castellano,"Emisiones (t CO2e)",IF(Idioma=Valencià,"Emissions (t CO2e) ","Emisiones (t CO2e)"))</f>
        <v>Emisiones (t CO2e)</v>
      </c>
      <c r="G12" s="525" t="s">
        <v>623</v>
      </c>
      <c r="H12" s="525" t="s">
        <v>948</v>
      </c>
      <c r="I12" s="526" t="str">
        <f>IF(Idioma=Castellano,"Emisiones (t CO2e)",IF(Idioma=Valencià,"Emissions (t CO2e) ","Emisiones (t CO2e)"))</f>
        <v>Emisiones (t CO2e)</v>
      </c>
      <c r="J12" s="525" t="str">
        <f>M_A0!J12</f>
        <v>Total Demanda (MWh/año)</v>
      </c>
      <c r="K12" s="526" t="str">
        <f>IF(Idioma=Castellano,"Total de emisiones (t CO2e/año)",IF(Idioma=Valencià,"Total d'emissions (t CO2e/any) ","Total de emisiones (t CO2e/año)"))</f>
        <v>Total de emisiones (t CO2e/año)</v>
      </c>
      <c r="L12" s="1"/>
      <c r="M12" s="1"/>
      <c r="N12" s="7"/>
      <c r="O12" s="7"/>
      <c r="P12" s="7"/>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ht="14.4">
      <c r="A13" s="205" t="s">
        <v>3</v>
      </c>
      <c r="B13" s="1"/>
      <c r="C13" s="289" t="str">
        <f>IF(Idioma=Castellano,"Existente",IF(Idioma=Valencià,"Existent","Existente"))</f>
        <v>Existente</v>
      </c>
      <c r="D13" s="551">
        <f>SUMIF(M_Datos!$I$36:$I$38,M_Lista!G3,M_Datos!$G$36:$G$38)</f>
        <v>0</v>
      </c>
      <c r="E13" s="312" t="e">
        <f>D13*VLOOKUP($D$11&amp;M_Datos!$E$12&amp;M_A2!C13,M_Factores!$F$10:$H$207,2,FALSE)/(10^3)</f>
        <v>#N/A</v>
      </c>
      <c r="F13" s="313" t="e">
        <f>D13*VLOOKUP($D$11&amp;M_Datos!$E$12&amp;M_A2!C13,M_Factores!$F$10:$H$207,3,FALSE)/1000</f>
        <v>#N/A</v>
      </c>
      <c r="G13" s="551">
        <f>SUMIF(M_Datos!$I$39:$I$41,M_Lista!G3,M_Datos!$G$39:$G$41)</f>
        <v>0</v>
      </c>
      <c r="H13" s="312" t="e">
        <f>G13*VLOOKUP($G$11&amp;M_Datos!$E$12&amp;M_A2!C13,M_Factores!$F$10:$H$207,2,FALSE)/(10^3)</f>
        <v>#N/A</v>
      </c>
      <c r="I13" s="313" t="e">
        <f>G13*VLOOKUP($G$11&amp;M_Datos!$E$12&amp;M_A2!C13,M_Factores!$F$10:$H$207,3,FALSE)/1000</f>
        <v>#N/A</v>
      </c>
      <c r="J13" s="314" t="e">
        <f>E13+H13</f>
        <v>#N/A</v>
      </c>
      <c r="K13" s="313" t="e">
        <f t="shared" ref="K13:K21" si="0">F13+I13</f>
        <v>#N/A</v>
      </c>
      <c r="L13" s="1"/>
      <c r="M13" s="1"/>
      <c r="N13" s="7" t="str">
        <f>D11</f>
        <v>Vivienda Unifamiliar</v>
      </c>
      <c r="O13" s="7" t="str">
        <f>G11</f>
        <v>Vivienda Plurifamiliar</v>
      </c>
      <c r="P13" s="7"/>
      <c r="Q13" s="1"/>
      <c r="R13" s="1"/>
      <c r="S13" s="1"/>
      <c r="T13" s="1"/>
      <c r="U13" s="1"/>
      <c r="V13" s="1"/>
      <c r="W13" s="1"/>
      <c r="X13" s="1"/>
      <c r="Y13" s="46"/>
      <c r="Z13" s="1"/>
      <c r="AA13" s="1"/>
      <c r="AB13" s="1"/>
      <c r="AC13" s="1"/>
      <c r="AD13" s="1"/>
      <c r="AE13" s="1"/>
      <c r="AF13" s="1"/>
      <c r="AG13" s="1"/>
      <c r="AH13" s="1"/>
      <c r="AI13" s="1"/>
      <c r="AJ13" s="1"/>
      <c r="AK13" s="1"/>
      <c r="AL13" s="1"/>
      <c r="AM13" s="1"/>
      <c r="AN13" s="1"/>
      <c r="AO13" s="1"/>
    </row>
    <row r="14" spans="1:41" ht="14.4">
      <c r="A14" s="205" t="s">
        <v>4</v>
      </c>
      <c r="B14" s="1"/>
      <c r="C14" s="289" t="s">
        <v>625</v>
      </c>
      <c r="D14" s="551">
        <f>SUMIF(M_Datos!$I$36:$I$38,M_Lista!G4,M_Datos!$G$36:$G$38)</f>
        <v>0</v>
      </c>
      <c r="E14" s="312" t="e">
        <f>D14*VLOOKUP($D$11&amp;M_Datos!$E$12&amp;M_A2!C14,M_Factores!$F$10:$H$207,2,FALSE)/(10^3)</f>
        <v>#N/A</v>
      </c>
      <c r="F14" s="313" t="e">
        <f>D14*VLOOKUP($D$11&amp;M_Datos!$E$12&amp;M_A2!C14,M_Factores!$F$10:$H$207,3,FALSE)/1000</f>
        <v>#N/A</v>
      </c>
      <c r="G14" s="551">
        <f>SUMIF(M_Datos!$I$39:$I$41,M_Lista!G4,M_Datos!$G$39:$G$41)</f>
        <v>0</v>
      </c>
      <c r="H14" s="312" t="e">
        <f>G14*VLOOKUP($G$11&amp;M_Datos!$E$12&amp;M_A2!C14,M_Factores!$F$10:$H$207,2,FALSE)/(10^3)</f>
        <v>#N/A</v>
      </c>
      <c r="I14" s="313" t="e">
        <f>G14*VLOOKUP($G$11&amp;M_Datos!$E$12&amp;M_A2!C14,M_Factores!$F$10:$H$207,3,FALSE)/1000</f>
        <v>#N/A</v>
      </c>
      <c r="J14" s="314" t="e">
        <f t="shared" ref="J14:J21" si="1">E14+H14</f>
        <v>#N/A</v>
      </c>
      <c r="K14" s="313" t="e">
        <f t="shared" si="0"/>
        <v>#N/A</v>
      </c>
      <c r="L14" s="1"/>
      <c r="M14" s="1"/>
      <c r="N14" s="49" t="e">
        <f>F22</f>
        <v>#N/A</v>
      </c>
      <c r="O14" s="49" t="e">
        <f>I22</f>
        <v>#N/A</v>
      </c>
      <c r="P14" s="7"/>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ht="14.4">
      <c r="A15" s="205" t="s">
        <v>5</v>
      </c>
      <c r="B15" s="1"/>
      <c r="C15" s="289" t="s">
        <v>626</v>
      </c>
      <c r="D15" s="551">
        <f>SUMIF(M_Datos!$I$36:$I$38,M_Lista!G5,M_Datos!$G$36:$G$38)</f>
        <v>0</v>
      </c>
      <c r="E15" s="312" t="e">
        <f>D15*VLOOKUP($D$11&amp;M_Datos!$E$12&amp;M_A2!C15,M_Factores!$F$10:$H$207,2,FALSE)/(10^3)</f>
        <v>#N/A</v>
      </c>
      <c r="F15" s="313" t="e">
        <f>D15*VLOOKUP($D$11&amp;M_Datos!$E$12&amp;M_A2!C15,M_Factores!$F$10:$H$207,3,FALSE)/1000</f>
        <v>#N/A</v>
      </c>
      <c r="G15" s="551">
        <f>SUMIF(M_Datos!$I$39:$I$41,M_Lista!G5,M_Datos!$G$39:$G$41)</f>
        <v>0</v>
      </c>
      <c r="H15" s="312" t="e">
        <f>G15*VLOOKUP($G$11&amp;M_Datos!$E$12&amp;M_A2!C15,M_Factores!$F$10:$H$207,2,FALSE)/(10^3)</f>
        <v>#N/A</v>
      </c>
      <c r="I15" s="313" t="e">
        <f>G15*VLOOKUP($G$11&amp;M_Datos!$E$12&amp;M_A2!C15,M_Factores!$F$10:$H$207,3,FALSE)/1000</f>
        <v>#N/A</v>
      </c>
      <c r="J15" s="314" t="e">
        <f t="shared" si="1"/>
        <v>#N/A</v>
      </c>
      <c r="K15" s="313" t="e">
        <f t="shared" si="0"/>
        <v>#N/A</v>
      </c>
      <c r="L15" s="1"/>
      <c r="M15" s="1"/>
      <c r="N15" s="7"/>
      <c r="O15" s="7"/>
      <c r="P15" s="7"/>
      <c r="Q15" s="1"/>
      <c r="R15" s="1"/>
      <c r="S15" s="1"/>
      <c r="T15" s="1"/>
      <c r="U15" s="1"/>
      <c r="V15" s="1"/>
      <c r="W15" s="1"/>
      <c r="X15" s="1"/>
      <c r="Y15" s="46"/>
      <c r="Z15" s="1"/>
      <c r="AA15" s="1"/>
      <c r="AB15" s="1"/>
      <c r="AC15" s="1"/>
      <c r="AD15" s="1"/>
      <c r="AE15" s="1"/>
      <c r="AF15" s="1"/>
      <c r="AG15" s="1"/>
      <c r="AH15" s="1"/>
      <c r="AI15" s="1"/>
      <c r="AJ15" s="1"/>
      <c r="AK15" s="1"/>
      <c r="AL15" s="1"/>
      <c r="AM15" s="1"/>
      <c r="AN15" s="1"/>
      <c r="AO15" s="1"/>
    </row>
    <row r="16" spans="1:41" ht="14.4">
      <c r="A16" s="204" t="str">
        <f>IF(Idioma=Castellano,"3. Resultados",IF(Idioma=Valencià,"3. Resultats","3. Resultados"))</f>
        <v>3. Resultados</v>
      </c>
      <c r="B16" s="1"/>
      <c r="C16" s="289" t="s">
        <v>627</v>
      </c>
      <c r="D16" s="551">
        <f>SUMIF(M_Datos!$I$36:$I$38,M_Lista!G6,M_Datos!$G$36:$G$38)</f>
        <v>0</v>
      </c>
      <c r="E16" s="312" t="e">
        <f>D16*VLOOKUP($D$11&amp;M_Datos!$E$12&amp;M_A2!C16,M_Factores!$F$10:$H$207,2,FALSE)/(10^3)</f>
        <v>#N/A</v>
      </c>
      <c r="F16" s="313" t="e">
        <f>D16*VLOOKUP($D$11&amp;M_Datos!$E$12&amp;M_A2!C16,M_Factores!$F$10:$H$207,3,FALSE)/1000</f>
        <v>#N/A</v>
      </c>
      <c r="G16" s="551">
        <f>SUMIF(M_Datos!$I$39:$I$41,M_Lista!G6,M_Datos!$G$39:$G$41)</f>
        <v>0</v>
      </c>
      <c r="H16" s="312" t="e">
        <f>G16*VLOOKUP($G$11&amp;M_Datos!$E$12&amp;M_A2!C16,M_Factores!$F$10:$H$207,2,FALSE)/(10^3)</f>
        <v>#N/A</v>
      </c>
      <c r="I16" s="313" t="e">
        <f>G16*VLOOKUP($G$11&amp;M_Datos!$E$12&amp;M_A2!C16,M_Factores!$F$10:$H$207,3,FALSE)/1000</f>
        <v>#N/A</v>
      </c>
      <c r="J16" s="314" t="e">
        <f t="shared" si="1"/>
        <v>#N/A</v>
      </c>
      <c r="K16" s="313" t="e">
        <f t="shared" si="0"/>
        <v>#N/A</v>
      </c>
      <c r="L16" s="1"/>
      <c r="M16" s="1"/>
      <c r="N16" s="7"/>
      <c r="O16" s="7"/>
      <c r="P16" s="7"/>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4.4">
      <c r="A17" s="204" t="str">
        <f>IF(Idioma=Castellano,"4. Factores de emisión",IF(Idioma=Valencià,"4. Factors d'emissió","4. Factores de emisión"))</f>
        <v>4. Factores de emisión</v>
      </c>
      <c r="B17" s="1"/>
      <c r="C17" s="289" t="s">
        <v>628</v>
      </c>
      <c r="D17" s="551">
        <f>SUMIF(M_Datos!$I$36:$I$38,M_Lista!G7,M_Datos!$G$36:$G$38)</f>
        <v>0</v>
      </c>
      <c r="E17" s="312" t="e">
        <f>D17*VLOOKUP($D$11&amp;M_Datos!$E$12&amp;M_A2!C17,M_Factores!$F$10:$H$207,2,FALSE)/(10^3)</f>
        <v>#N/A</v>
      </c>
      <c r="F17" s="313" t="e">
        <f>D17*VLOOKUP($D$11&amp;M_Datos!$E$12&amp;M_A2!C17,M_Factores!$F$10:$H$207,3,FALSE)/1000</f>
        <v>#N/A</v>
      </c>
      <c r="G17" s="551">
        <f>SUMIF(M_Datos!$I$39:$I$41,M_Lista!G7,M_Datos!$G$39:$G$41)</f>
        <v>0</v>
      </c>
      <c r="H17" s="312" t="e">
        <f>G17*VLOOKUP($G$11&amp;M_Datos!$E$12&amp;M_A2!C17,M_Factores!$F$10:$H$207,2,FALSE)/(10^3)</f>
        <v>#N/A</v>
      </c>
      <c r="I17" s="313" t="e">
        <f>G17*VLOOKUP($G$11&amp;M_Datos!$E$12&amp;M_A2!C17,M_Factores!$F$10:$H$207,3,FALSE)/1000</f>
        <v>#N/A</v>
      </c>
      <c r="J17" s="314" t="e">
        <f t="shared" si="1"/>
        <v>#N/A</v>
      </c>
      <c r="K17" s="313" t="e">
        <f t="shared" si="0"/>
        <v>#N/A</v>
      </c>
      <c r="L17" s="1"/>
      <c r="M17" s="1"/>
      <c r="N17" s="7"/>
      <c r="O17" s="7"/>
      <c r="P17" s="7"/>
      <c r="Q17" s="1"/>
      <c r="R17" s="1"/>
      <c r="S17" s="1"/>
      <c r="T17" s="1"/>
      <c r="U17" s="1"/>
      <c r="V17" s="1"/>
      <c r="W17" s="1"/>
      <c r="X17" s="1"/>
      <c r="Y17" s="46"/>
      <c r="Z17" s="1"/>
      <c r="AA17" s="1"/>
      <c r="AB17" s="1"/>
      <c r="AC17" s="1"/>
      <c r="AD17" s="1"/>
      <c r="AE17" s="1"/>
      <c r="AF17" s="3"/>
      <c r="AG17" s="3"/>
      <c r="AH17" s="3"/>
      <c r="AI17" s="3"/>
      <c r="AJ17" s="3"/>
      <c r="AK17" s="3"/>
      <c r="AL17" s="3"/>
      <c r="AM17" s="3"/>
      <c r="AN17" s="3"/>
      <c r="AO17" s="3"/>
    </row>
    <row r="18" spans="1:41" ht="14.4">
      <c r="A18" s="203" t="str">
        <f>IF(Idioma=Castellano,"Sección de Adaptación",IF(Idioma=Valencià,"Secció d'Adaptació","Sección de Adaptación"))</f>
        <v>Sección de Adaptación</v>
      </c>
      <c r="B18" s="3"/>
      <c r="C18" s="289" t="s">
        <v>629</v>
      </c>
      <c r="D18" s="551">
        <f>SUMIF(M_Datos!$I$36:$I$38,M_Lista!G8,M_Datos!$G$36:$G$38)</f>
        <v>0</v>
      </c>
      <c r="E18" s="312" t="e">
        <f>D18*VLOOKUP($D$11&amp;M_Datos!$E$12&amp;M_A2!C18,M_Factores!$F$10:$H$207,2,FALSE)/(10^3)</f>
        <v>#N/A</v>
      </c>
      <c r="F18" s="313" t="e">
        <f>D18*VLOOKUP($D$11&amp;M_Datos!$E$12&amp;M_A2!C18,M_Factores!$F$10:$H$207,3,FALSE)/1000</f>
        <v>#N/A</v>
      </c>
      <c r="G18" s="551">
        <f>SUMIF(M_Datos!$I$39:$I$41,M_Lista!G8,M_Datos!$G$39:$G$41)</f>
        <v>0</v>
      </c>
      <c r="H18" s="312" t="e">
        <f>G18*VLOOKUP($G$11&amp;M_Datos!$E$12&amp;M_A2!C18,M_Factores!$F$10:$H$207,2,FALSE)/(10^3)</f>
        <v>#N/A</v>
      </c>
      <c r="I18" s="313" t="e">
        <f>G18*VLOOKUP($G$11&amp;M_Datos!$E$12&amp;M_A2!C18,M_Factores!$F$10:$H$207,3,FALSE)/1000</f>
        <v>#N/A</v>
      </c>
      <c r="J18" s="314" t="e">
        <f t="shared" si="1"/>
        <v>#N/A</v>
      </c>
      <c r="K18" s="313" t="e">
        <f t="shared" si="0"/>
        <v>#N/A</v>
      </c>
      <c r="L18" s="1"/>
      <c r="M18" s="1"/>
      <c r="N18" s="7"/>
      <c r="O18" s="7"/>
      <c r="P18" s="7"/>
      <c r="Q18" s="1"/>
      <c r="R18" s="1"/>
      <c r="S18" s="1"/>
      <c r="T18" s="1"/>
      <c r="U18" s="1"/>
      <c r="V18" s="1"/>
      <c r="W18" s="1"/>
      <c r="X18" s="1"/>
      <c r="Y18" s="1"/>
      <c r="Z18" s="1"/>
      <c r="AA18" s="1"/>
      <c r="AB18" s="1"/>
      <c r="AC18" s="1"/>
      <c r="AD18" s="1"/>
      <c r="AE18" s="1"/>
      <c r="AF18" s="3"/>
      <c r="AG18" s="3"/>
      <c r="AH18" s="3"/>
      <c r="AI18" s="3"/>
      <c r="AJ18" s="3"/>
      <c r="AK18" s="3"/>
      <c r="AL18" s="3"/>
      <c r="AM18" s="3"/>
      <c r="AN18" s="3"/>
      <c r="AO18" s="3"/>
    </row>
    <row r="19" spans="1:41" ht="14.4">
      <c r="A19" s="204" t="str">
        <f>IF(Idioma=Castellano,"1. Alcance",IF(Idioma=Valencià,"1. Abast","1. Alcance"))</f>
        <v>1. Alcance</v>
      </c>
      <c r="B19" s="3"/>
      <c r="C19" s="289" t="s">
        <v>630</v>
      </c>
      <c r="D19" s="551">
        <f>SUMIF(M_Datos!$I$36:$I$38,M_Lista!G9,M_Datos!$G$36:$G$38)</f>
        <v>0</v>
      </c>
      <c r="E19" s="312" t="e">
        <f>D19*VLOOKUP($D$11&amp;M_Datos!$E$12&amp;M_A2!C19,M_Factores!$F$10:$H$207,2,FALSE)/(10^3)</f>
        <v>#N/A</v>
      </c>
      <c r="F19" s="313" t="e">
        <f>D19*VLOOKUP($D$11&amp;M_Datos!$E$12&amp;M_A2!C19,M_Factores!$F$10:$H$207,3,FALSE)/1000</f>
        <v>#N/A</v>
      </c>
      <c r="G19" s="551">
        <f>SUMIF(M_Datos!$I$39:$I$41,M_Lista!G9,M_Datos!$G$39:$G$41)</f>
        <v>0</v>
      </c>
      <c r="H19" s="312" t="e">
        <f>G19*VLOOKUP($G$11&amp;M_Datos!$E$12&amp;M_A2!C19,M_Factores!$F$10:$H$207,2,FALSE)/(10^3)</f>
        <v>#N/A</v>
      </c>
      <c r="I19" s="313" t="e">
        <f>G19*VLOOKUP($G$11&amp;M_Datos!$E$12&amp;M_A2!C19,M_Factores!$F$10:$H$207,3,FALSE)/1000</f>
        <v>#N/A</v>
      </c>
      <c r="J19" s="314" t="e">
        <f t="shared" si="1"/>
        <v>#N/A</v>
      </c>
      <c r="K19" s="313" t="e">
        <f t="shared" si="0"/>
        <v>#N/A</v>
      </c>
      <c r="L19" s="1"/>
      <c r="M19" s="1"/>
      <c r="N19" s="7"/>
      <c r="O19" s="7"/>
      <c r="P19" s="7"/>
      <c r="Q19" s="1"/>
      <c r="R19" s="1"/>
      <c r="S19" s="1"/>
      <c r="T19" s="1"/>
      <c r="U19" s="1"/>
      <c r="V19" s="1"/>
      <c r="W19" s="1"/>
      <c r="X19" s="1"/>
      <c r="Y19" s="46"/>
      <c r="Z19" s="1"/>
      <c r="AA19" s="1"/>
      <c r="AB19" s="1"/>
      <c r="AC19" s="1"/>
      <c r="AD19" s="1"/>
      <c r="AE19" s="1"/>
      <c r="AF19" s="1"/>
      <c r="AG19" s="1"/>
      <c r="AH19" s="1"/>
      <c r="AI19" s="1"/>
      <c r="AJ19" s="1"/>
      <c r="AK19" s="1"/>
      <c r="AL19" s="1"/>
      <c r="AM19" s="1"/>
      <c r="AN19" s="1"/>
      <c r="AO19" s="1"/>
    </row>
    <row r="20" spans="1:41" ht="14.4">
      <c r="A20" s="204" t="s">
        <v>6</v>
      </c>
      <c r="B20" s="1"/>
      <c r="C20" s="289" t="str">
        <f>IF(Idioma=Castellano,"Consumo nulo",IF(Idioma=Valencià,"Consum nul","Consumo nulo"))</f>
        <v>Consumo nulo</v>
      </c>
      <c r="D20" s="551">
        <f>SUMIF(M_Datos!$I$36:$I$38,M_Lista!G10,M_Datos!$G$36:$G$38)</f>
        <v>0</v>
      </c>
      <c r="E20" s="312" t="e">
        <f>D20*VLOOKUP($D$11&amp;M_Datos!$E$12&amp;M_A2!C20,M_Factores!$F$10:$H$207,2,FALSE)/(10^3)</f>
        <v>#N/A</v>
      </c>
      <c r="F20" s="313" t="e">
        <f>D20*VLOOKUP($D$11&amp;M_Datos!$E$12&amp;M_A2!C20,M_Factores!$F$10:$H$207,3,FALSE)/1000</f>
        <v>#N/A</v>
      </c>
      <c r="G20" s="551">
        <f>SUMIF(M_Datos!$I$39:$I$41,M_Lista!G10,M_Datos!$G$39:$G$41)</f>
        <v>0</v>
      </c>
      <c r="H20" s="312" t="e">
        <f>G20*VLOOKUP($G$11&amp;M_Datos!$E$12&amp;M_A2!C20,M_Factores!$F$10:$H$207,2,FALSE)/(10^3)</f>
        <v>#N/A</v>
      </c>
      <c r="I20" s="313" t="e">
        <f>G20*VLOOKUP($G$11&amp;M_Datos!$E$12&amp;M_A2!C20,M_Factores!$F$10:$H$207,3,FALSE)/1000</f>
        <v>#N/A</v>
      </c>
      <c r="J20" s="314" t="e">
        <f t="shared" si="1"/>
        <v>#N/A</v>
      </c>
      <c r="K20" s="313" t="e">
        <f t="shared" si="0"/>
        <v>#N/A</v>
      </c>
      <c r="L20" s="1"/>
      <c r="M20" s="1"/>
      <c r="N20" s="7"/>
      <c r="O20" s="7"/>
      <c r="P20" s="7"/>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41" ht="14.4">
      <c r="A21" s="204" t="str">
        <f>IF(Idioma=Castellano,"3. Resultados",IF(Idioma=Valencià,"3. Resultats","3. Resultados"))</f>
        <v>3. Resultados</v>
      </c>
      <c r="B21" s="1"/>
      <c r="C21" s="289" t="str">
        <f>IF(Idioma=Castellano,"Sin definir",IF(Idioma=Valencià,"Sense definir","Sin definir"))</f>
        <v>Sin definir</v>
      </c>
      <c r="D21" s="551">
        <f>SUMIF(M_Datos!$I$36:$I$38,M_Lista!G11,M_Datos!$G$36:$G$38)</f>
        <v>0</v>
      </c>
      <c r="E21" s="312" t="e">
        <f>D21*VLOOKUP($D$11&amp;M_Datos!$E$12&amp;M_A2!C21,M_Factores!$F$10:$H$207,2,FALSE)/(10^3)</f>
        <v>#N/A</v>
      </c>
      <c r="F21" s="313" t="e">
        <f>D21*VLOOKUP($D$11&amp;M_Datos!$E$12&amp;M_A2!C21,M_Factores!$F$10:$H$207,3,FALSE)/1000</f>
        <v>#N/A</v>
      </c>
      <c r="G21" s="551">
        <f>SUMIF(M_Datos!$I$39:$I$41,M_Lista!G11,M_Datos!$G$39:$G$41)</f>
        <v>0</v>
      </c>
      <c r="H21" s="312" t="e">
        <f>G21*VLOOKUP($G$11&amp;M_Datos!$E$12&amp;M_A2!C21,M_Factores!$F$10:$H$207,2,FALSE)/(10^3)</f>
        <v>#N/A</v>
      </c>
      <c r="I21" s="313" t="e">
        <f>G21*VLOOKUP($G$11&amp;M_Datos!$E$12&amp;M_A2!C21,M_Factores!$F$10:$H$207,3,FALSE)/1000</f>
        <v>#N/A</v>
      </c>
      <c r="J21" s="314" t="e">
        <f t="shared" si="1"/>
        <v>#N/A</v>
      </c>
      <c r="K21" s="313" t="e">
        <f t="shared" si="0"/>
        <v>#N/A</v>
      </c>
      <c r="L21" s="1"/>
      <c r="M21" s="1"/>
      <c r="N21" s="1"/>
      <c r="O21" s="1"/>
      <c r="P21" s="1"/>
      <c r="Q21" s="1"/>
      <c r="R21" s="1"/>
      <c r="S21" s="1"/>
      <c r="T21" s="1"/>
      <c r="U21" s="1"/>
      <c r="V21" s="1"/>
      <c r="W21" s="1"/>
      <c r="X21" s="1"/>
      <c r="Y21" s="46"/>
      <c r="Z21" s="1"/>
      <c r="AA21" s="1"/>
      <c r="AB21" s="1"/>
      <c r="AC21" s="1"/>
      <c r="AD21" s="1"/>
      <c r="AE21" s="1"/>
      <c r="AF21" s="1"/>
      <c r="AG21" s="1"/>
      <c r="AH21" s="1"/>
      <c r="AI21" s="1"/>
      <c r="AJ21" s="1"/>
      <c r="AK21" s="1"/>
      <c r="AL21" s="1"/>
      <c r="AM21" s="1"/>
      <c r="AN21" s="1"/>
      <c r="AO21" s="1"/>
    </row>
    <row r="22" spans="1:41" ht="14.4">
      <c r="A22" s="203" t="str">
        <f>IF(Idioma=Castellano,"Resultados generales",IF(Idioma=Valencià,"Resultats generals","Resultados generales"))</f>
        <v>Resultados generales</v>
      </c>
      <c r="B22" s="1"/>
      <c r="C22" s="315" t="s">
        <v>631</v>
      </c>
      <c r="D22" s="552">
        <f t="shared" ref="D22:I22" si="2">SUM(D13:D21)</f>
        <v>0</v>
      </c>
      <c r="E22" s="314" t="e">
        <f t="shared" si="2"/>
        <v>#N/A</v>
      </c>
      <c r="F22" s="317" t="e">
        <f t="shared" si="2"/>
        <v>#N/A</v>
      </c>
      <c r="G22" s="552">
        <f t="shared" si="2"/>
        <v>0</v>
      </c>
      <c r="H22" s="314" t="e">
        <f t="shared" si="2"/>
        <v>#N/A</v>
      </c>
      <c r="I22" s="317" t="e">
        <f t="shared" si="2"/>
        <v>#N/A</v>
      </c>
      <c r="J22" s="314" t="e">
        <f>E22+H22</f>
        <v>#N/A</v>
      </c>
      <c r="K22" s="506" t="e">
        <f>F22+I22</f>
        <v>#N/A</v>
      </c>
      <c r="L22" s="39"/>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1" ht="22.95" customHeight="1">
      <c r="A23" s="203" t="str">
        <f>IF(Idioma=Castellano,"Medidas Propuestas",IF(Idioma=Valencià,"Mesures Proposades","Medidas Propuestas"))</f>
        <v>Medidas Propuestas</v>
      </c>
      <c r="B23" s="1"/>
      <c r="C23" s="1"/>
      <c r="D23" s="1"/>
      <c r="E23" s="1"/>
      <c r="F23" s="1"/>
      <c r="G23" s="1"/>
      <c r="H23" s="1"/>
      <c r="I23" s="1"/>
      <c r="J23" s="1"/>
      <c r="K23" s="1"/>
      <c r="L23" s="1"/>
      <c r="M23" s="1"/>
      <c r="N23" s="1"/>
      <c r="O23" s="1"/>
      <c r="P23" s="1"/>
      <c r="Q23" s="1"/>
      <c r="R23" s="1"/>
      <c r="S23" s="1"/>
      <c r="T23" s="1"/>
      <c r="U23" s="1"/>
      <c r="V23" s="1"/>
      <c r="W23" s="1"/>
      <c r="X23" s="1"/>
      <c r="Y23" s="46"/>
      <c r="Z23" s="1"/>
      <c r="AA23" s="1"/>
      <c r="AB23" s="1"/>
      <c r="AC23" s="1"/>
      <c r="AD23" s="1"/>
      <c r="AE23" s="1"/>
      <c r="AF23" s="1"/>
      <c r="AG23" s="1"/>
      <c r="AH23" s="1"/>
      <c r="AI23" s="1"/>
      <c r="AJ23" s="1"/>
      <c r="AK23" s="1"/>
      <c r="AL23" s="1"/>
      <c r="AM23" s="1"/>
      <c r="AN23" s="1"/>
      <c r="AO23" s="1"/>
    </row>
    <row r="24" spans="1:41">
      <c r="B24" s="1"/>
      <c r="C24" s="246" t="str">
        <f>IF(Idioma=Castellano,"A.2. Actividades económicas",IF(Idioma=Valencià,"A.2. Activitats econòmiques","A.2. Actividades económicas"))</f>
        <v>A.2. Actividades económicas</v>
      </c>
      <c r="D24" s="1"/>
      <c r="E24" s="1"/>
      <c r="F24" s="1"/>
      <c r="G24" s="1"/>
      <c r="H24" s="1"/>
      <c r="I24" s="1"/>
      <c r="J24" s="1"/>
      <c r="K24" s="1"/>
      <c r="L24" s="1"/>
      <c r="M24" s="1"/>
      <c r="N24" s="1"/>
      <c r="O24" s="39"/>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3.95" customHeight="1">
      <c r="A25" s="157"/>
      <c r="B25" s="1"/>
      <c r="C25" s="46"/>
      <c r="D25" s="1"/>
      <c r="E25" s="1"/>
      <c r="F25" s="1"/>
      <c r="G25" s="1"/>
      <c r="H25" s="1"/>
      <c r="I25" s="1"/>
      <c r="J25" s="1"/>
      <c r="K25" s="1"/>
      <c r="L25" s="1"/>
      <c r="M25" s="1"/>
      <c r="N25" s="1"/>
      <c r="O25" s="39"/>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0.199999999999999" customHeight="1">
      <c r="B26" s="1"/>
      <c r="C26" s="1"/>
      <c r="D26" s="1"/>
      <c r="E26" s="1"/>
      <c r="F26" s="1"/>
      <c r="G26" s="1"/>
      <c r="H26" s="1"/>
      <c r="I26" s="1"/>
      <c r="J26" s="1"/>
      <c r="K26" s="39"/>
      <c r="L26" s="1"/>
      <c r="M26" s="4"/>
      <c r="N26" s="1"/>
      <c r="O26" s="39"/>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c r="B27" s="1"/>
      <c r="C27" s="1"/>
      <c r="D27" s="652" t="s">
        <v>632</v>
      </c>
      <c r="E27" s="654"/>
      <c r="F27" s="653"/>
      <c r="G27" s="1"/>
      <c r="H27" s="1"/>
      <c r="I27" s="1"/>
      <c r="J27" s="1"/>
      <c r="K27" s="39"/>
      <c r="L27" s="1"/>
      <c r="M27" s="4"/>
      <c r="N27" s="1"/>
      <c r="O27" s="39"/>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c r="B28" s="1"/>
      <c r="C28" s="230" t="str">
        <f>IF(Idioma=Castellano,"Tipo",IF(Idioma=Valencià,"Tipus"))</f>
        <v>Tipo</v>
      </c>
      <c r="D28" s="525" t="s">
        <v>623</v>
      </c>
      <c r="E28" s="525" t="s">
        <v>948</v>
      </c>
      <c r="F28" s="526" t="str">
        <f>IF(Idioma=Castellano,"Emisiones (t CO2e)",IF(Idioma=Valencià,"Emissions (t CO2e) ","Emisiones (t CO2e)"))</f>
        <v>Emisiones (t CO2e)</v>
      </c>
      <c r="G28" s="1"/>
      <c r="H28" s="1"/>
      <c r="I28" s="1"/>
      <c r="J28" s="1"/>
      <c r="K28" s="39"/>
      <c r="L28" s="1"/>
      <c r="M28" s="4"/>
      <c r="N28" s="1"/>
      <c r="O28" s="39"/>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c r="B29" s="1"/>
      <c r="C29" s="230" t="str">
        <f>M_Datos!L78</f>
        <v>Sin especificar</v>
      </c>
      <c r="D29" s="551">
        <f>M_Cálculos!K118</f>
        <v>0</v>
      </c>
      <c r="E29" s="312">
        <f>M_Cálculos!L118</f>
        <v>0</v>
      </c>
      <c r="F29" s="313">
        <f>M_Cálculos!M118</f>
        <v>0</v>
      </c>
      <c r="G29" s="1"/>
      <c r="H29" s="1"/>
      <c r="I29" s="1"/>
      <c r="J29" s="1"/>
      <c r="K29" s="39"/>
      <c r="L29" s="1"/>
      <c r="M29" s="4"/>
      <c r="N29" s="1"/>
      <c r="O29" s="39"/>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c r="B30" s="1"/>
      <c r="C30" s="230" t="str">
        <f>M_Datos!L81</f>
        <v>Cerámica</v>
      </c>
      <c r="D30" s="551">
        <f>M_Cálculos!K119</f>
        <v>0</v>
      </c>
      <c r="E30" s="312">
        <f>M_Cálculos!L119</f>
        <v>0</v>
      </c>
      <c r="F30" s="313">
        <f>M_Cálculos!M119</f>
        <v>0</v>
      </c>
      <c r="G30" s="1"/>
      <c r="H30" s="1"/>
      <c r="I30" s="1"/>
      <c r="J30" s="1"/>
      <c r="K30" s="39"/>
      <c r="L30" s="1"/>
      <c r="M30" s="4"/>
      <c r="N30" s="1"/>
      <c r="O30" s="39"/>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8">
      <c r="B31" s="1"/>
      <c r="C31" s="230" t="str">
        <f>M_Datos!L84</f>
        <v>Agroalimentaria</v>
      </c>
      <c r="D31" s="551">
        <f>M_Cálculos!K120</f>
        <v>0</v>
      </c>
      <c r="E31" s="312">
        <f>M_Cálculos!L120</f>
        <v>0</v>
      </c>
      <c r="F31" s="313">
        <f>M_Cálculos!M120</f>
        <v>0</v>
      </c>
      <c r="G31" s="1"/>
      <c r="H31" s="1"/>
      <c r="I31" s="1"/>
      <c r="J31" s="1"/>
      <c r="K31" s="39"/>
      <c r="L31" s="1"/>
      <c r="M31" s="4"/>
      <c r="N31" s="542" t="str">
        <f>IF(Idioma=Castellano,"Demanda asociada  actividades económicas",IF(Idioma=Valencià,"Demanda associada activitats econòmiques"))</f>
        <v>Demanda asociada  actividades económicas</v>
      </c>
      <c r="P31" s="1"/>
      <c r="Q31" s="1"/>
      <c r="R31" s="1"/>
      <c r="S31" s="1"/>
      <c r="T31" s="542" t="str">
        <f>IF(Idioma=Castellano,"Demanda asociada a  terciario",IF(Idioma=Valencià,"Demanda associada  a terciari"))</f>
        <v>Demanda asociada a  terciario</v>
      </c>
      <c r="U31" s="1"/>
      <c r="V31" s="1"/>
      <c r="W31" s="1"/>
      <c r="X31" s="1"/>
      <c r="Y31" s="1"/>
      <c r="Z31" s="542" t="str">
        <f>IF(Idioma=Castellano,"Emisiones asociadas  actividades económicas",IF(Idioma=Valencià,"Emissions associades activitats econòmiques"))</f>
        <v>Emisiones asociadas  actividades económicas</v>
      </c>
      <c r="AA31" s="1"/>
      <c r="AB31" s="1"/>
      <c r="AC31" s="1"/>
      <c r="AD31" s="1"/>
      <c r="AE31" s="1"/>
      <c r="AF31" s="1"/>
      <c r="AG31" s="542" t="str">
        <f>IF(Idioma=Castellano,"Emisiones asociadas a  terciario",IF(Idioma=Valencià,"Emissions associades  a terciari"))</f>
        <v>Emisiones asociadas a  terciario</v>
      </c>
      <c r="AH31" s="1"/>
      <c r="AI31" s="1"/>
      <c r="AJ31" s="1"/>
      <c r="AK31" s="1"/>
      <c r="AL31" s="1"/>
      <c r="AM31" s="1"/>
      <c r="AN31" s="1"/>
      <c r="AO31" s="1"/>
    </row>
    <row r="32" spans="1:41">
      <c r="B32" s="1"/>
      <c r="C32" s="230" t="str">
        <f>M_Datos!L87</f>
        <v>Logística</v>
      </c>
      <c r="D32" s="551">
        <f>M_Cálculos!K121</f>
        <v>0</v>
      </c>
      <c r="E32" s="312">
        <f>M_Cálculos!L121</f>
        <v>0</v>
      </c>
      <c r="F32" s="313">
        <f>M_Cálculos!M121</f>
        <v>0</v>
      </c>
      <c r="G32" s="1"/>
      <c r="H32" s="1"/>
      <c r="I32" s="1"/>
      <c r="J32" s="1"/>
      <c r="K32" s="39"/>
      <c r="L32" s="1"/>
      <c r="M32" s="4"/>
      <c r="N32" s="1"/>
      <c r="O32" s="39"/>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2:41">
      <c r="B33" s="1"/>
      <c r="C33" s="230" t="str">
        <f>M_Datos!L90</f>
        <v>Textil</v>
      </c>
      <c r="D33" s="551">
        <f>M_Cálculos!K122</f>
        <v>0</v>
      </c>
      <c r="E33" s="312">
        <f>M_Cálculos!L122</f>
        <v>0</v>
      </c>
      <c r="F33" s="313">
        <f>M_Cálculos!M122</f>
        <v>0</v>
      </c>
      <c r="G33" s="1"/>
      <c r="H33" s="1"/>
      <c r="I33" s="1"/>
      <c r="J33" s="1"/>
      <c r="K33" s="39"/>
      <c r="L33" s="1"/>
      <c r="M33" s="4"/>
      <c r="N33" s="1"/>
      <c r="O33" s="39"/>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2:41">
      <c r="B34" s="1"/>
      <c r="C34" s="315" t="s">
        <v>631</v>
      </c>
      <c r="D34" s="552">
        <f>SUM(D29:D33)</f>
        <v>0</v>
      </c>
      <c r="E34" s="314">
        <f t="shared" ref="E34:F34" si="3">SUM(E29:E33)</f>
        <v>0</v>
      </c>
      <c r="F34" s="317">
        <f t="shared" si="3"/>
        <v>0</v>
      </c>
      <c r="G34" s="1"/>
      <c r="H34" s="1"/>
      <c r="I34" s="1"/>
      <c r="J34" s="1"/>
      <c r="K34" s="39"/>
      <c r="L34" s="1"/>
      <c r="M34" s="4"/>
      <c r="N34" s="1"/>
      <c r="O34" s="39"/>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2:41">
      <c r="B35" s="1"/>
      <c r="C35" s="1"/>
      <c r="D35" s="1"/>
      <c r="E35" s="1"/>
      <c r="F35" s="1"/>
      <c r="G35" s="1"/>
      <c r="H35" s="1"/>
      <c r="I35" s="1"/>
      <c r="J35" s="1"/>
      <c r="K35" s="39"/>
      <c r="L35" s="1"/>
      <c r="M35" s="4"/>
      <c r="N35" s="1"/>
      <c r="O35" s="39"/>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2:41">
      <c r="B36" s="1"/>
      <c r="C36" s="47"/>
      <c r="D36" s="652" t="str">
        <f>IF(Idioma=Castellano,"Terciario",IF(Idioma=Valencià,"Terciari","Terciario"))</f>
        <v>Terciario</v>
      </c>
      <c r="E36" s="654"/>
      <c r="F36" s="653"/>
      <c r="G36" s="183"/>
      <c r="H36" s="184"/>
      <c r="I36" s="159"/>
      <c r="J36" s="159"/>
      <c r="K36" s="39"/>
      <c r="L36" s="1"/>
      <c r="M36" s="4"/>
      <c r="N36" s="1"/>
      <c r="O36" s="39"/>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2:41">
      <c r="B37" s="1"/>
      <c r="C37" s="289" t="s">
        <v>633</v>
      </c>
      <c r="D37" s="525" t="s">
        <v>623</v>
      </c>
      <c r="E37" s="525" t="s">
        <v>948</v>
      </c>
      <c r="F37" s="526" t="str">
        <f>IF(Idioma=Castellano,"Emisiones (t CO2e)",IF(Idioma=Valencià,"Emissions (t CO2e) ","Emisiones (t CO2e)"))</f>
        <v>Emisiones (t CO2e)</v>
      </c>
      <c r="G37" s="183"/>
      <c r="H37" s="184"/>
      <c r="I37" s="159"/>
      <c r="J37" s="159"/>
      <c r="K37" s="39"/>
      <c r="L37" s="1"/>
      <c r="M37" s="4"/>
      <c r="N37" s="1"/>
      <c r="O37" s="39"/>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2:41">
      <c r="B38" s="1"/>
      <c r="C38" s="230" t="str">
        <f>M_Datos!L56</f>
        <v>Sin especificar</v>
      </c>
      <c r="D38" s="551">
        <f>M_Cálculos!K21</f>
        <v>0</v>
      </c>
      <c r="E38" s="312">
        <f>M_Cálculos!L21</f>
        <v>0</v>
      </c>
      <c r="F38" s="312">
        <f>M_Cálculos!M21</f>
        <v>0</v>
      </c>
      <c r="G38" s="183"/>
      <c r="H38" s="184"/>
      <c r="I38" s="159"/>
      <c r="J38" s="159"/>
      <c r="K38" s="39"/>
      <c r="L38" s="1"/>
      <c r="M38" s="4"/>
      <c r="N38" s="1"/>
      <c r="O38" s="39"/>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2:41">
      <c r="B39" s="1"/>
      <c r="C39" s="289" t="str">
        <f>M_Datos!L59</f>
        <v>Oficinas</v>
      </c>
      <c r="D39" s="551">
        <f>M_Cálculos!K31</f>
        <v>0</v>
      </c>
      <c r="E39" s="312">
        <f>M_Cálculos!L31</f>
        <v>0</v>
      </c>
      <c r="F39" s="313">
        <f>M_Cálculos!M31</f>
        <v>0</v>
      </c>
      <c r="G39" s="183"/>
      <c r="H39" s="184"/>
      <c r="I39" s="159"/>
      <c r="J39" s="159"/>
      <c r="K39" s="39"/>
      <c r="L39" s="1"/>
      <c r="M39" s="4"/>
      <c r="N39" s="1"/>
      <c r="O39" s="39"/>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2:41">
      <c r="B40" s="1"/>
      <c r="C40" s="289" t="str">
        <f>M_Datos!L62</f>
        <v>Comercio</v>
      </c>
      <c r="D40" s="551">
        <f>M_Cálculos!K41</f>
        <v>0</v>
      </c>
      <c r="E40" s="312">
        <f>M_Cálculos!L41</f>
        <v>0</v>
      </c>
      <c r="F40" s="313">
        <f>M_Cálculos!M41</f>
        <v>0</v>
      </c>
      <c r="G40" s="183"/>
      <c r="H40" s="184"/>
      <c r="I40" s="159"/>
      <c r="J40" s="159"/>
      <c r="K40" s="39"/>
      <c r="L40" s="1"/>
      <c r="M40" s="4"/>
      <c r="N40" s="1"/>
      <c r="O40" s="39"/>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2:41">
      <c r="B41" s="1"/>
      <c r="C41" s="289" t="str">
        <f>M_Datos!L65</f>
        <v>Hotel</v>
      </c>
      <c r="D41" s="551">
        <f>M_Cálculos!K51</f>
        <v>0</v>
      </c>
      <c r="E41" s="312">
        <f>M_Cálculos!L51</f>
        <v>0</v>
      </c>
      <c r="F41" s="313">
        <f>M_Cálculos!M51</f>
        <v>0</v>
      </c>
      <c r="G41" s="183"/>
      <c r="H41" s="184"/>
      <c r="I41" s="159"/>
      <c r="J41" s="159"/>
      <c r="K41" s="39"/>
      <c r="L41" s="1"/>
      <c r="M41" s="4"/>
      <c r="N41" s="1"/>
      <c r="O41" s="39"/>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2:41">
      <c r="B42" s="1"/>
      <c r="C42" s="289" t="str">
        <f>M_Datos!L68</f>
        <v>Restauración</v>
      </c>
      <c r="D42" s="551">
        <f>M_Cálculos!K61</f>
        <v>0</v>
      </c>
      <c r="E42" s="312">
        <f>M_Cálculos!L61</f>
        <v>0</v>
      </c>
      <c r="F42" s="313">
        <f>M_Cálculos!M61</f>
        <v>0</v>
      </c>
      <c r="G42" s="183"/>
      <c r="H42" s="184"/>
      <c r="I42" s="159"/>
      <c r="J42" s="159"/>
      <c r="K42" s="39"/>
      <c r="L42" s="1"/>
      <c r="M42" s="4"/>
      <c r="N42" s="1"/>
      <c r="O42" s="39"/>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2:41">
      <c r="B43" s="1"/>
      <c r="C43" s="315" t="s">
        <v>631</v>
      </c>
      <c r="D43" s="552">
        <f>SUM(D38:D42)</f>
        <v>0</v>
      </c>
      <c r="E43" s="314">
        <f>SUM(E38:E42)</f>
        <v>0</v>
      </c>
      <c r="F43" s="317">
        <f>SUM(F38:F42)</f>
        <v>0</v>
      </c>
      <c r="G43" s="183"/>
      <c r="H43" s="184"/>
      <c r="I43" s="159"/>
      <c r="J43" s="159"/>
      <c r="K43" s="39"/>
      <c r="L43" s="1"/>
      <c r="M43" s="4"/>
      <c r="N43" s="1"/>
      <c r="O43" s="39"/>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2:41" ht="21.6" customHeight="1">
      <c r="B44" s="1"/>
      <c r="C44" s="1"/>
      <c r="D44" s="1"/>
      <c r="E44" s="1"/>
      <c r="F44" s="1"/>
      <c r="G44" s="183"/>
      <c r="H44" s="184"/>
      <c r="I44" s="159"/>
      <c r="J44" s="159"/>
      <c r="K44" s="39"/>
      <c r="L44" s="1"/>
      <c r="M44" s="4"/>
      <c r="N44" s="1"/>
      <c r="O44" s="39"/>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2:41">
      <c r="B45" s="1"/>
      <c r="C45" s="1"/>
      <c r="D45" s="1"/>
      <c r="E45" s="1"/>
      <c r="F45" s="1"/>
      <c r="G45" s="1"/>
      <c r="H45" s="1"/>
      <c r="I45" s="1"/>
      <c r="J45" s="1"/>
      <c r="K45" s="1"/>
      <c r="L45" s="1"/>
      <c r="M45" s="1"/>
      <c r="N45" s="1"/>
      <c r="O45" s="39"/>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2:41">
      <c r="B46" s="1"/>
      <c r="C46" s="246" t="str">
        <f>IF(Idioma=Castellano,"A.3.Equipamientos",IF(Idioma=Valencià,"A.3.Equipaments ","A.3.Equipamientos"))</f>
        <v>A.3.Equipamientos</v>
      </c>
      <c r="D46" s="1"/>
      <c r="E46" s="1"/>
      <c r="F46" s="1"/>
      <c r="G46" s="1"/>
      <c r="H46" s="1"/>
      <c r="I46" s="1"/>
      <c r="J46" s="1"/>
      <c r="K46" s="1"/>
      <c r="L46" s="1"/>
      <c r="M46" s="4"/>
      <c r="N46" s="1"/>
      <c r="O46" s="39"/>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2:41" ht="18">
      <c r="B47" s="1"/>
      <c r="C47" s="46"/>
      <c r="D47" s="1"/>
      <c r="E47" s="1"/>
      <c r="F47" s="1"/>
      <c r="G47" s="1"/>
      <c r="H47" s="1"/>
      <c r="I47" s="1"/>
      <c r="J47" s="1"/>
      <c r="K47" s="1"/>
      <c r="L47" s="1"/>
      <c r="M47" s="4"/>
      <c r="N47" s="1"/>
      <c r="O47" s="542" t="str">
        <f>IF(Idioma=Castellano,"Demanda asociada  a equipamientos",IF(Idioma=Valencià,"Demanda associada  a equipaments"))</f>
        <v>Demanda asociada  a equipamientos</v>
      </c>
      <c r="P47" s="1"/>
      <c r="Q47" s="1"/>
      <c r="R47" s="1"/>
      <c r="S47" s="1"/>
      <c r="T47" s="1"/>
      <c r="U47" s="542" t="str">
        <f>IF(Idioma=Castellano,"Demanda asociada  a industria",IF(Idioma=Valencià,"Demanda associada  a industria"))</f>
        <v>Demanda asociada  a industria</v>
      </c>
      <c r="V47" s="1"/>
      <c r="W47" s="1"/>
      <c r="X47" s="1"/>
      <c r="Y47" s="1"/>
      <c r="Z47" s="1"/>
      <c r="AA47" s="1"/>
      <c r="AB47" s="542" t="str">
        <f>IF(Idioma=Castellano,"Emisiones asociadas  a equipamientos",IF(Idioma=Valencià,"Emissions associades a equipaments"))</f>
        <v>Emisiones asociadas  a equipamientos</v>
      </c>
      <c r="AC47" s="1"/>
      <c r="AD47" s="1"/>
      <c r="AE47" s="1"/>
      <c r="AF47" s="1"/>
      <c r="AG47" s="1"/>
      <c r="AH47" s="1"/>
      <c r="AI47" s="542" t="str">
        <f>IF(Idioma=Castellano,"Emisiones asociadas  a industria",IF(Idioma=Valencià,"Emissions associades  a industria"))</f>
        <v>Emisiones asociadas  a industria</v>
      </c>
      <c r="AJ47" s="1"/>
      <c r="AK47" s="1"/>
      <c r="AL47" s="1"/>
      <c r="AM47" s="1"/>
      <c r="AN47" s="1"/>
      <c r="AO47" s="1"/>
    </row>
    <row r="48" spans="2:41">
      <c r="B48" s="355"/>
      <c r="C48" s="519"/>
      <c r="D48" s="656"/>
      <c r="E48" s="656"/>
      <c r="F48" s="656"/>
      <c r="G48" s="520"/>
      <c r="H48" s="1"/>
      <c r="I48" s="1"/>
      <c r="J48" s="1"/>
      <c r="K48" s="1"/>
      <c r="L48" s="1"/>
      <c r="M48" s="4"/>
      <c r="N48" s="1"/>
      <c r="O48" s="39"/>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2:41">
      <c r="B49" s="355"/>
      <c r="C49" s="81"/>
      <c r="D49" s="85"/>
      <c r="E49" s="85"/>
      <c r="F49" s="85"/>
      <c r="G49" s="39"/>
      <c r="H49" s="1"/>
      <c r="I49" s="1"/>
      <c r="J49" s="1"/>
      <c r="K49" s="1"/>
      <c r="L49" s="1"/>
      <c r="M49" s="4"/>
      <c r="N49" s="1"/>
      <c r="O49" s="39"/>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2:41">
      <c r="B50" s="355"/>
      <c r="C50" s="47"/>
      <c r="D50" s="652" t="str">
        <f>IF(Idioma=Castellano,"Equipamientos - Resumen",IF(Idioma=Valencià,"Equipaments - Resum","Equipamientos - Resumen"))</f>
        <v>Equipamientos - Resumen</v>
      </c>
      <c r="E50" s="654"/>
      <c r="F50" s="653"/>
      <c r="G50" s="39"/>
      <c r="H50" s="1"/>
      <c r="I50" s="1"/>
      <c r="J50" s="1"/>
      <c r="K50" s="1"/>
      <c r="L50" s="1"/>
      <c r="M50" s="4"/>
      <c r="N50" s="1"/>
      <c r="O50" s="39"/>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2:41">
      <c r="B51" s="355"/>
      <c r="C51" s="289" t="s">
        <v>633</v>
      </c>
      <c r="D51" s="525" t="s">
        <v>623</v>
      </c>
      <c r="E51" s="525" t="s">
        <v>948</v>
      </c>
      <c r="F51" s="526" t="str">
        <f>IF(Idioma=Castellano,"Emisiones (t CO2e)",IF(Idioma=Valencià,"Emissions (t CO2e) ","Emisiones (t CO2e)"))</f>
        <v>Emisiones (t CO2e)</v>
      </c>
      <c r="G51" s="39"/>
      <c r="H51" s="1"/>
      <c r="I51" s="1"/>
      <c r="J51" s="1"/>
      <c r="K51" s="1"/>
      <c r="L51" s="1"/>
      <c r="M51" s="4"/>
      <c r="N51" s="1"/>
      <c r="O51" s="39"/>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2:41">
      <c r="B52" s="355"/>
      <c r="C52" s="230" t="str">
        <f>M_Datos!L38</f>
        <v>Equipamientos - Sin especificar</v>
      </c>
      <c r="D52" s="551">
        <f>M_Cálculos!K78</f>
        <v>0</v>
      </c>
      <c r="E52" s="312" t="e">
        <f>M_Cálculos!L78</f>
        <v>#N/A</v>
      </c>
      <c r="F52" s="312" t="e">
        <f>M_Cálculos!M78</f>
        <v>#N/A</v>
      </c>
      <c r="G52" s="39"/>
      <c r="H52" s="1"/>
      <c r="I52" s="1"/>
      <c r="J52" s="1"/>
      <c r="K52" s="1"/>
      <c r="L52" s="1"/>
      <c r="M52" s="4"/>
      <c r="N52" s="1"/>
      <c r="O52" s="39"/>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2:41">
      <c r="B53" s="355"/>
      <c r="C53" s="289" t="str">
        <f>M_Datos!L41</f>
        <v>Sanitario</v>
      </c>
      <c r="D53" s="551">
        <f>M_Cálculos!K88</f>
        <v>0</v>
      </c>
      <c r="E53" s="312" t="e">
        <f>M_Cálculos!L88</f>
        <v>#N/A</v>
      </c>
      <c r="F53" s="313" t="e">
        <f>M_Cálculos!M88</f>
        <v>#N/A</v>
      </c>
      <c r="G53" s="39"/>
      <c r="H53" s="1"/>
      <c r="I53" s="1"/>
      <c r="J53" s="1"/>
      <c r="K53" s="1"/>
      <c r="L53" s="1"/>
      <c r="M53" s="4"/>
      <c r="N53" s="1"/>
      <c r="O53" s="39"/>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2:41">
      <c r="B54" s="355"/>
      <c r="C54" s="289" t="str">
        <f>M_Datos!L44</f>
        <v>Educativo</v>
      </c>
      <c r="D54" s="551">
        <f>M_Cálculos!K98</f>
        <v>0</v>
      </c>
      <c r="E54" s="312" t="e">
        <f>M_Cálculos!L98</f>
        <v>#N/A</v>
      </c>
      <c r="F54" s="313" t="e">
        <f>M_Cálculos!M98</f>
        <v>#N/A</v>
      </c>
      <c r="G54" s="39"/>
      <c r="H54" s="1"/>
      <c r="I54" s="1"/>
      <c r="J54" s="1"/>
      <c r="K54" s="1"/>
      <c r="L54" s="1"/>
      <c r="M54" s="4"/>
      <c r="N54" s="1"/>
      <c r="O54" s="39"/>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2:41">
      <c r="B55" s="355"/>
      <c r="C55" s="289" t="str">
        <f>M_Datos!L47</f>
        <v>Deportivo</v>
      </c>
      <c r="D55" s="551">
        <f>M_Cálculos!K108</f>
        <v>0</v>
      </c>
      <c r="E55" s="312" t="e">
        <f>M_Cálculos!L108</f>
        <v>#N/A</v>
      </c>
      <c r="F55" s="313" t="e">
        <f>M_Cálculos!M108</f>
        <v>#N/A</v>
      </c>
      <c r="G55" s="39"/>
      <c r="H55" s="1"/>
      <c r="I55" s="1"/>
      <c r="J55" s="1"/>
      <c r="K55" s="1"/>
      <c r="L55" s="1"/>
      <c r="M55" s="4"/>
      <c r="N55" s="1"/>
      <c r="O55" s="39"/>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2:41">
      <c r="B56" s="355"/>
      <c r="C56" s="315" t="s">
        <v>631</v>
      </c>
      <c r="D56" s="552">
        <f>SUM(D52:D55)</f>
        <v>0</v>
      </c>
      <c r="E56" s="314" t="e">
        <f>SUM(E52:E55)</f>
        <v>#N/A</v>
      </c>
      <c r="F56" s="317" t="e">
        <f>SUM(F52:F55)</f>
        <v>#N/A</v>
      </c>
      <c r="G56" s="39"/>
      <c r="H56" s="1"/>
      <c r="I56" s="1"/>
      <c r="J56" s="1"/>
      <c r="K56" s="1"/>
      <c r="L56" s="1"/>
      <c r="M56" s="4"/>
      <c r="N56" s="1"/>
      <c r="O56" s="39"/>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2:41">
      <c r="B57" s="355"/>
      <c r="C57" s="81"/>
      <c r="D57" s="85"/>
      <c r="E57" s="85"/>
      <c r="F57" s="85"/>
      <c r="G57" s="39"/>
      <c r="H57" s="1"/>
      <c r="I57" s="1"/>
      <c r="J57" s="1"/>
      <c r="K57" s="1"/>
      <c r="L57" s="1"/>
      <c r="M57" s="4"/>
      <c r="N57" s="1"/>
      <c r="O57" s="39"/>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2:41">
      <c r="B58" s="355"/>
      <c r="C58" s="246" t="s">
        <v>636</v>
      </c>
      <c r="D58" s="85"/>
      <c r="E58" s="85"/>
      <c r="F58" s="85"/>
      <c r="G58" s="39"/>
      <c r="H58" s="1"/>
      <c r="I58" s="1"/>
      <c r="J58" s="1"/>
      <c r="K58" s="1"/>
      <c r="L58" s="1"/>
      <c r="M58" s="4"/>
      <c r="N58" s="1"/>
      <c r="O58" s="39"/>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2:41">
      <c r="B59" s="355"/>
      <c r="C59" s="81"/>
      <c r="D59" s="85"/>
      <c r="E59" s="85" t="str">
        <f>IF(Idioma=Castellano,"Demanda energética (MWh/año)",IF(Idioma=Valencià,"Demanda energètica (MWh/any) ","Demanda energética (MWh/año)"))</f>
        <v>Demanda energética (MWh/año)</v>
      </c>
      <c r="F59" s="85" t="str">
        <f>IF(Idioma=Castellano,"Emisiones (t CO2e/año)",IF(Idioma=Valencià,"Emissions (t CO2e/any) ","Emisiones (t CO2e/año)"))</f>
        <v>Emisiones (t CO2e/año)</v>
      </c>
      <c r="G59" s="39"/>
      <c r="H59" s="39"/>
      <c r="I59" s="39"/>
      <c r="J59" s="39"/>
      <c r="K59" s="1"/>
      <c r="L59" s="1"/>
      <c r="M59" s="4"/>
      <c r="N59" s="1"/>
      <c r="O59" s="39"/>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2:41">
      <c r="B60" s="355"/>
      <c r="C60" s="81"/>
      <c r="D60" s="39" t="s">
        <v>602</v>
      </c>
      <c r="E60" s="527" t="e">
        <f>J22+E34+E43+E56</f>
        <v>#N/A</v>
      </c>
      <c r="F60" s="527" t="e">
        <f>K22+F34+F43+F56</f>
        <v>#N/A</v>
      </c>
      <c r="G60" s="39"/>
      <c r="H60" s="39"/>
      <c r="I60" s="39"/>
      <c r="J60" s="39"/>
      <c r="K60" s="1"/>
      <c r="L60" s="1"/>
      <c r="M60" s="4"/>
      <c r="N60" s="1"/>
      <c r="O60" s="39"/>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2:41">
      <c r="B61" s="355"/>
      <c r="C61" s="521"/>
      <c r="D61" s="355"/>
      <c r="E61" s="355"/>
      <c r="F61" s="355"/>
      <c r="G61" s="355"/>
      <c r="H61" s="39"/>
      <c r="I61" s="1"/>
      <c r="J61" s="1"/>
      <c r="K61" s="1"/>
      <c r="L61" s="1"/>
      <c r="M61" s="4"/>
      <c r="N61" s="1"/>
      <c r="O61" s="39"/>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2:41">
      <c r="B62" s="1"/>
      <c r="C62" s="1"/>
      <c r="D62" s="1"/>
      <c r="E62" s="1"/>
      <c r="F62" s="1"/>
      <c r="G62" s="1"/>
      <c r="H62" s="39"/>
      <c r="I62" s="39"/>
      <c r="J62" s="1"/>
      <c r="K62" s="1"/>
      <c r="L62" s="1"/>
      <c r="M62" s="4"/>
      <c r="N62" s="1"/>
      <c r="O62" s="39"/>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2:41">
      <c r="B63" s="1"/>
      <c r="C63" s="1"/>
      <c r="D63" s="1"/>
      <c r="E63" s="1"/>
      <c r="F63" s="1"/>
      <c r="G63" s="1"/>
      <c r="H63" s="39"/>
      <c r="I63" s="39"/>
      <c r="J63" s="1"/>
      <c r="K63" s="1"/>
      <c r="L63" s="1"/>
      <c r="M63" s="4"/>
      <c r="N63" s="1"/>
      <c r="O63" s="39"/>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2:41">
      <c r="B64" s="1"/>
      <c r="C64" s="1"/>
      <c r="D64" s="1"/>
      <c r="E64" s="1"/>
      <c r="F64" s="1"/>
      <c r="G64" s="1"/>
      <c r="H64" s="39"/>
      <c r="I64" s="39"/>
      <c r="J64" s="1"/>
      <c r="K64" s="1"/>
      <c r="L64" s="1"/>
      <c r="M64" s="4"/>
      <c r="N64" s="1"/>
      <c r="O64" s="39"/>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c r="B65" s="1"/>
      <c r="C65" s="81"/>
      <c r="D65" s="85"/>
      <c r="E65" s="85"/>
      <c r="F65" s="85"/>
      <c r="G65" s="39"/>
      <c r="H65" s="39"/>
      <c r="I65" s="39"/>
      <c r="J65" s="39"/>
      <c r="K65" s="1"/>
      <c r="L65" s="1"/>
      <c r="M65" s="4"/>
      <c r="N65" s="1"/>
      <c r="O65" s="39"/>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s="135" customFormat="1">
      <c r="A66" s="145"/>
      <c r="B66" s="240" t="str">
        <f>IF(Idioma=Castellano,"B. Transporte y movilidad",IF(Idioma=Valencià,"B. Transport i mobilitat","B. Transporte y movilidad"))</f>
        <v>B. Transporte y movilidad</v>
      </c>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row>
    <row r="67" spans="1:41">
      <c r="B67" s="1"/>
      <c r="C67" s="1"/>
      <c r="D67" s="50"/>
      <c r="E67" s="50"/>
      <c r="F67" s="51"/>
      <c r="G67" s="51"/>
      <c r="H67" s="51"/>
      <c r="I67" s="50"/>
      <c r="J67" s="50"/>
      <c r="K67" s="50"/>
      <c r="L67" s="50"/>
      <c r="M67" s="50"/>
      <c r="N67" s="50"/>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c r="B68" s="1"/>
      <c r="C68" s="11"/>
      <c r="D68" s="52" t="str">
        <f>IF(Idioma=Castellano,"Nº de viajes",IF(Idioma=Valencià,"Núm de viatges","Nº de viajes"))</f>
        <v>Nº de viajes</v>
      </c>
      <c r="E68" s="52"/>
      <c r="F68" s="51"/>
      <c r="G68" s="51"/>
      <c r="H68" s="51"/>
      <c r="I68" s="11"/>
      <c r="J68" s="11"/>
      <c r="K68" s="11"/>
      <c r="L68" s="11"/>
      <c r="M68" s="53"/>
      <c r="N68" s="50"/>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8">
      <c r="B69" s="11"/>
      <c r="C69" s="13" t="str">
        <f>IF(Idioma=Castellano,"Uso residencial",IF(Idioma=Valencià,"Ús residencial ","Uso residencial"))</f>
        <v>Uso residencial</v>
      </c>
      <c r="D69" s="553">
        <f>M_Factores!D219*(M_Datos!O26/100)*365</f>
        <v>0</v>
      </c>
      <c r="E69" s="156"/>
      <c r="F69" s="11"/>
      <c r="G69" s="11"/>
      <c r="H69" s="11"/>
      <c r="I69" s="11"/>
      <c r="J69" s="11"/>
      <c r="K69" s="11"/>
      <c r="L69" s="11"/>
      <c r="M69" s="11"/>
      <c r="N69" s="50"/>
      <c r="O69" s="11"/>
      <c r="P69" s="11"/>
      <c r="Q69" s="11"/>
      <c r="R69" s="542" t="str">
        <f>IF(Idioma=Castellano,"Emisiones asociadas a movilidad por modo de transporte",IF(Idioma=Valencià,"Emissions associades a mobilitat per manera de transport"))</f>
        <v>Emisiones asociadas a movilidad por modo de transporte</v>
      </c>
      <c r="S69" s="546"/>
      <c r="T69" s="11"/>
      <c r="U69" s="11"/>
      <c r="V69" s="11"/>
      <c r="W69" s="11"/>
      <c r="X69" s="11"/>
      <c r="Y69" s="542" t="str">
        <f>IF(Idioma=Castellano,"Emisiones asociadas a movilidad por sector",IF(Idioma=Valencià,"Emissions associades a mobilitat per sector"))</f>
        <v>Emisiones asociadas a movilidad por sector</v>
      </c>
      <c r="Z69" s="11"/>
      <c r="AA69" s="11"/>
      <c r="AB69" s="11"/>
      <c r="AC69" s="11"/>
      <c r="AD69" s="11"/>
      <c r="AE69" s="11"/>
      <c r="AF69" s="11"/>
      <c r="AG69" s="11"/>
      <c r="AH69" s="11"/>
      <c r="AI69" s="11"/>
      <c r="AJ69" s="11"/>
      <c r="AK69" s="11"/>
      <c r="AL69" s="11"/>
      <c r="AM69" s="11"/>
      <c r="AN69" s="11"/>
      <c r="AO69" s="11"/>
    </row>
    <row r="70" spans="1:41">
      <c r="B70" s="11"/>
      <c r="C70" s="13" t="str">
        <f>IF(Idioma=Castellano,"Uso comercial/terciario",IF(Idioma=Valencià,"Ús comercial/terciari","Uso comercial/terciario"))</f>
        <v>Uso comercial/terciario</v>
      </c>
      <c r="D70" s="553">
        <f>M_Factores!D220*(IF(M_Datos!J17="Sí",SUM(M_Datos!R59:R70),M_Datos!O27)/100)*365</f>
        <v>0</v>
      </c>
      <c r="E70" s="156"/>
      <c r="F70" s="11"/>
      <c r="G70" s="11"/>
      <c r="H70" s="11"/>
      <c r="I70" s="11"/>
      <c r="J70" s="11"/>
      <c r="K70" s="11"/>
      <c r="L70" s="11"/>
      <c r="M70" s="11"/>
      <c r="N70" s="50"/>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row>
    <row r="71" spans="1:41">
      <c r="B71" s="11"/>
      <c r="C71" s="13" t="str">
        <f>IF(Idioma=Castellano,"Uso de oficinas",IF(Idioma=Valencià,"Ús d'oficines","Uso de oficinas"))</f>
        <v>Uso de oficinas</v>
      </c>
      <c r="D71" s="553">
        <f>M_Factores!D221*(M_A2!D39/100)*365</f>
        <v>0</v>
      </c>
      <c r="E71" s="156"/>
      <c r="F71" s="11"/>
      <c r="G71" s="11"/>
      <c r="H71" s="11"/>
      <c r="I71" s="11"/>
      <c r="J71" s="11"/>
      <c r="K71" s="11"/>
      <c r="L71" s="11"/>
      <c r="M71" s="11"/>
      <c r="N71" s="50"/>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c r="B72" s="11"/>
      <c r="C72" s="13" t="str">
        <f>IF(Idioma=Castellano,"Uso industrial",IF(Idioma=Valencià,"Ús industrial","Uso industrial"))</f>
        <v>Uso industrial</v>
      </c>
      <c r="D72" s="553">
        <f>M_Factores!D222*(M_Datos!O28/100)*365</f>
        <v>0</v>
      </c>
      <c r="E72" s="156"/>
      <c r="F72" s="11"/>
      <c r="G72" s="11"/>
      <c r="H72" s="11"/>
      <c r="I72" s="11"/>
      <c r="J72" s="11"/>
      <c r="K72" s="11"/>
      <c r="L72" s="11"/>
      <c r="M72" s="11"/>
      <c r="N72" s="50"/>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row>
    <row r="73" spans="1:41">
      <c r="B73" s="11"/>
      <c r="C73" s="13" t="str">
        <f>IF(Idioma=Castellano,"Equipamientos",IF(Idioma=Valencià,"Equipaments ","Equipamientos"))</f>
        <v>Equipamientos</v>
      </c>
      <c r="D73" s="553">
        <f>M_Factores!D223*(M_Datos!O29/100)*365</f>
        <v>0</v>
      </c>
      <c r="E73" s="156"/>
      <c r="F73" s="11"/>
      <c r="G73" s="11"/>
      <c r="H73" s="11"/>
      <c r="I73" s="11"/>
      <c r="J73" s="11"/>
      <c r="K73" s="11"/>
      <c r="L73" s="11"/>
      <c r="M73" s="11"/>
      <c r="N73" s="50"/>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row>
    <row r="74" spans="1:41">
      <c r="B74" s="11"/>
      <c r="C74" s="13" t="str">
        <f>IF(Idioma=Castellano,"Zonas verdes",IF(Idioma=Valencià,"Zones verdes ","Zonas verdes"))</f>
        <v>Zonas verdes</v>
      </c>
      <c r="D74" s="553">
        <f>M_Factores!D224*(M_Datos!O30/100)*365</f>
        <v>0</v>
      </c>
      <c r="E74" s="156"/>
      <c r="F74" s="11"/>
      <c r="G74" s="11"/>
      <c r="H74" s="11"/>
      <c r="I74" s="11"/>
      <c r="J74" s="11"/>
      <c r="K74" s="11"/>
      <c r="L74" s="11"/>
      <c r="M74" s="11"/>
      <c r="N74" s="50"/>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c r="B75" s="11"/>
      <c r="C75" s="13" t="str">
        <f>IF(Idioma=Castellano,"Franja costera",IF(Idioma=Valencià,"Franja costanera ","Franja costera"))</f>
        <v>Franja costera</v>
      </c>
      <c r="D75" s="553">
        <f>M_Factores!D225*(M_Datos!O31/100)*365</f>
        <v>0</v>
      </c>
      <c r="E75" s="156"/>
      <c r="F75" s="11"/>
      <c r="G75" s="11"/>
      <c r="H75" s="11"/>
      <c r="I75" s="11"/>
      <c r="J75" s="11"/>
      <c r="K75" s="11"/>
      <c r="L75" s="11"/>
      <c r="M75" s="11"/>
      <c r="N75" s="50"/>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c r="B76" s="11"/>
      <c r="C76" s="11"/>
      <c r="D76" s="11"/>
      <c r="E76" s="11"/>
      <c r="F76" s="11"/>
      <c r="G76" s="11"/>
      <c r="H76" s="11"/>
      <c r="I76" s="11"/>
      <c r="J76" s="11"/>
      <c r="K76" s="11"/>
      <c r="L76" s="11"/>
      <c r="M76" s="11"/>
      <c r="N76" s="50"/>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ht="27.6">
      <c r="B77" s="11"/>
      <c r="C77" s="54" t="str">
        <f>IF(Idioma=Castellano,"Km recorridos por modo transporte",IF(Idioma=Valencià,"Km recorreguts per manera transporte"))</f>
        <v>Km recorridos por modo transporte</v>
      </c>
      <c r="D77" s="55" t="str">
        <f>IF(Idioma=Castellano,"Uso residencial",IF(Idioma=Valencià,"Ús residencial ","Uso residencial"))</f>
        <v>Uso residencial</v>
      </c>
      <c r="E77" s="55" t="str">
        <f>IF(Idioma=Castellano,"Uso comercial/terciario",IF(Idioma=Valencià,"Ús comercial/terciari","Uso comercial/terciario"))</f>
        <v>Uso comercial/terciario</v>
      </c>
      <c r="F77" s="55" t="str">
        <f>IF(Idioma=Castellano,"Uso de oficinas",IF(Idioma=Valencià,"Ús d'oficines","Uso de oficinas"))</f>
        <v>Uso de oficinas</v>
      </c>
      <c r="G77" s="55" t="str">
        <f>IF(Idioma=Castellano,"Uso industrial",IF(Idioma=Valencià,"Ús industrial","Uso industrial"))</f>
        <v>Uso industrial</v>
      </c>
      <c r="H77" s="55" t="str">
        <f>IF(Idioma=Castellano,"Equipamientos",IF(Idioma=Valencià,"Equipaments ","Equipamientos"))</f>
        <v>Equipamientos</v>
      </c>
      <c r="I77" s="55" t="str">
        <f>IF(Idioma=Castellano,"Zonas verdes",IF(Idioma=Valencià,"Zones verdes ","Zonas verdes"))</f>
        <v>Zonas verdes</v>
      </c>
      <c r="J77" s="55" t="str">
        <f>IF(Idioma=Castellano,"Franja costera",IF(Idioma=Valencià,"Franja costanera ","Franja costera"))</f>
        <v>Franja costera</v>
      </c>
      <c r="K77" s="55" t="s">
        <v>638</v>
      </c>
      <c r="L77" s="18" t="str">
        <f>IF(Idioma=Castellano,"t CO2/año",IF(Idioma=Valencià,"t CO2/any ","t CO2/año"))</f>
        <v>t CO2/año</v>
      </c>
      <c r="M77" s="18" t="str">
        <f>IF(Idioma=Castellano,"t CH4/año",IF(Idioma=Valencià,"t CH4/any ","t CH4/año"))</f>
        <v>t CH4/año</v>
      </c>
      <c r="N77" s="18" t="str">
        <f>IF(Idioma=Castellano,"t N2O/año",IF(Idioma=Valencià,"t N2O/any ","t N2O/año"))</f>
        <v>t N2O/año</v>
      </c>
      <c r="O77" s="18" t="str">
        <f>IF(Idioma=Castellano,"t CO2e/año",IF(Idioma=Valencià,"t CO2e/any ","t CO2e/año"))</f>
        <v>t CO2e/año</v>
      </c>
      <c r="P77" s="1"/>
      <c r="Q77" s="50"/>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c r="B78" s="11"/>
      <c r="C78" s="289" t="str">
        <f>IF(Idioma=Castellano,"Andando",IF(Idioma=Valencià,"Caminant","Andando"))</f>
        <v>Andando</v>
      </c>
      <c r="D78" s="554">
        <f>IF(M_Datos!$H$111=1, 2*$D$69*M_Datos!$H105*M_Datos!$I$101/1000,2*$D$69*'M_Cálculos propios'!$L118*M_Datos!$I$101/1000)</f>
        <v>0</v>
      </c>
      <c r="E78" s="554">
        <f>IF(M_Datos!$H$111=1, 2*$D$70*M_Datos!$H105*M_Datos!$I$101/1000,2*$D$70*'M_Cálculos propios'!$L118*M_Datos!$I$101/1000)</f>
        <v>0</v>
      </c>
      <c r="F78" s="554">
        <f>IF(M_Datos!$H$111=1, 2*$D$71*M_Datos!$H105*M_Datos!$I$101/1000,2*$D$71*'M_Cálculos propios'!$L118*M_Datos!$I$101/1000)</f>
        <v>0</v>
      </c>
      <c r="G78" s="554">
        <f>IF(M_Datos!$H$111=1, 2*$D$72*M_Datos!$H105*M_Datos!$I$101/1000,2*$D$72*'M_Cálculos propios'!$L118*M_Datos!$I$101/1000)</f>
        <v>0</v>
      </c>
      <c r="H78" s="554">
        <f>IF(M_Datos!$H$111=1, 2*$D$73*M_Datos!$H105*M_Datos!$I$101/1000,2*$D$73*'M_Cálculos propios'!$L118*M_Datos!$I$101/1000)</f>
        <v>0</v>
      </c>
      <c r="I78" s="554">
        <f>IF(M_Datos!$H$111=1, 2*$D$74*M_Datos!$H105*M_Datos!$I$101/1000,2*$D$74*'M_Cálculos propios'!$L118*M_Datos!$I$101/1000)</f>
        <v>0</v>
      </c>
      <c r="J78" s="554">
        <f>IF(M_Datos!$H$111=1, 2*$D$75*M_Datos!$H105*M_Datos!$I$101/1000,2*$D$75*'M_Cálculos propios'!$L118*M_Datos!$I$101/1000)</f>
        <v>0</v>
      </c>
      <c r="K78" s="554">
        <f>SUM(D78:J78)</f>
        <v>0</v>
      </c>
      <c r="L78" s="319">
        <f>$K78*M_Factores!E229/1000</f>
        <v>0</v>
      </c>
      <c r="M78" s="319">
        <f>$K78*M_Factores!G229/1000</f>
        <v>0</v>
      </c>
      <c r="N78" s="319">
        <f>$K78*M_Factores!H229/1000</f>
        <v>0</v>
      </c>
      <c r="O78" s="319">
        <f>K78*M_Factores!D229/1000</f>
        <v>0</v>
      </c>
      <c r="P78" s="1"/>
      <c r="Q78" s="50"/>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c r="B79" s="11"/>
      <c r="C79" s="289" t="s">
        <v>610</v>
      </c>
      <c r="D79" s="554">
        <f>IF(M_Datos!$H$111=1, 2*$D$69*M_Datos!$H106*M_Datos!$I$101/1000,2*$D$69*'M_Cálculos propios'!$L119*M_Datos!$I$101/1000)</f>
        <v>0</v>
      </c>
      <c r="E79" s="554">
        <f>IF(M_Datos!$H$111=1, 2*$D$70*M_Datos!$H106*M_Datos!$I$101/1000,2*$D$70*'M_Cálculos propios'!$L119*M_Datos!$I$101/1000)</f>
        <v>0</v>
      </c>
      <c r="F79" s="554">
        <f>IF(M_Datos!$H$111=1, 2*$D$71*M_Datos!$H106*M_Datos!$I$101/1000,2*$D$71*'M_Cálculos propios'!$L119*M_Datos!$I$101/1000)</f>
        <v>0</v>
      </c>
      <c r="G79" s="554">
        <f>IF(M_Datos!$H$111=1, 2*$D$72*M_Datos!$H106*M_Datos!$I$101/1000,2*$D$72*'M_Cálculos propios'!$L119*M_Datos!$I$101/1000)</f>
        <v>0</v>
      </c>
      <c r="H79" s="554">
        <f>IF(M_Datos!$H$111=1, 2*$D$73*M_Datos!$H106*M_Datos!$I$101/1000,2*$D$73*'M_Cálculos propios'!$L119*M_Datos!$I$101/1000)</f>
        <v>0</v>
      </c>
      <c r="I79" s="554">
        <f>IF(M_Datos!$H$111=1, 2*$D$74*M_Datos!$H106*M_Datos!$I$101/1000,2*$D$74*'M_Cálculos propios'!$L119*M_Datos!$I$101/1000)</f>
        <v>0</v>
      </c>
      <c r="J79" s="554">
        <f>IF(M_Datos!$H$111=1, 2*$D$75*M_Datos!$H106*M_Datos!$I$101/1000,2*$D$75*'M_Cálculos propios'!$L119*M_Datos!$I$101/1000)</f>
        <v>0</v>
      </c>
      <c r="K79" s="554">
        <f t="shared" ref="K79:K83" si="4">SUM(D79:J79)</f>
        <v>0</v>
      </c>
      <c r="L79" s="319">
        <f>$K79*M_Factores!E230/1000</f>
        <v>0</v>
      </c>
      <c r="M79" s="319">
        <f>$K79*M_Factores!G230/1000</f>
        <v>0</v>
      </c>
      <c r="N79" s="319">
        <f>$K79*M_Factores!H230/1000</f>
        <v>0</v>
      </c>
      <c r="O79" s="319">
        <f>K79*M_Factores!D230/1000</f>
        <v>0</v>
      </c>
      <c r="P79" s="1"/>
      <c r="Q79" s="50"/>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ht="17.399999999999999" customHeight="1">
      <c r="B80" s="11"/>
      <c r="C80" s="289" t="str">
        <f>IF(Idioma=Castellano,"Automóvil/Vehículo privado",IF(Idioma=Valencià,"Automòbil/Vehicle privat","Automóvil/Vehículo privado"))</f>
        <v>Automóvil/Vehículo privado</v>
      </c>
      <c r="D80" s="554">
        <f>IF(M_Datos!$H$111=1, 2*$D$69*M_Datos!$H107*M_Datos!$I$101/1000,2*$D$69*'M_Cálculos propios'!$L120*M_Datos!$I$101/1000)</f>
        <v>0</v>
      </c>
      <c r="E80" s="554">
        <f>IF(M_Datos!$H$111=1, 2*$D$70*M_Datos!$H107*M_Datos!$I$101/1000,2*$D$70*'M_Cálculos propios'!$L120*M_Datos!$I$101/1000)</f>
        <v>0</v>
      </c>
      <c r="F80" s="554">
        <f>IF(M_Datos!$H$111=1, 2*$D$71*M_Datos!$H107*M_Datos!$I$101/1000,2*$D$71*'M_Cálculos propios'!$L120*M_Datos!$I$101/1000)</f>
        <v>0</v>
      </c>
      <c r="G80" s="554">
        <f>IF(M_Datos!$H$111=1, 2*$D$72*M_Datos!$H107*M_Datos!$I$101/1000,2*$D$72*'M_Cálculos propios'!$L120*M_Datos!$I$101/1000)</f>
        <v>0</v>
      </c>
      <c r="H80" s="554">
        <f>IF(M_Datos!$H$111=1, 2*$D$73*M_Datos!$H107*M_Datos!$I$101/1000,2*$D$73*'M_Cálculos propios'!$L120*M_Datos!$I$101/1000)</f>
        <v>0</v>
      </c>
      <c r="I80" s="554">
        <f>IF(M_Datos!$H$111=1, 2*$D$74*M_Datos!$H107*M_Datos!$I$101/1000,2*$D$74*'M_Cálculos propios'!$L120*M_Datos!$I$101/1000)</f>
        <v>0</v>
      </c>
      <c r="J80" s="554">
        <f>IF(M_Datos!$H$111=1, 2*$D$75*M_Datos!$H107*M_Datos!$I$101/1000,2*$D$75*'M_Cálculos propios'!$L120*M_Datos!$I$101/1000)</f>
        <v>0</v>
      </c>
      <c r="K80" s="554">
        <f t="shared" si="4"/>
        <v>0</v>
      </c>
      <c r="L80" s="319">
        <f>$K80*M_Factores!E231/1000</f>
        <v>0</v>
      </c>
      <c r="M80" s="319">
        <f>$K80*M_Factores!G231/1000</f>
        <v>0</v>
      </c>
      <c r="N80" s="319">
        <f>$K80*M_Factores!H231/1000</f>
        <v>0</v>
      </c>
      <c r="O80" s="319">
        <f>K80*M_Factores!D231/1000</f>
        <v>0</v>
      </c>
      <c r="P80" s="1"/>
      <c r="Q80" s="50"/>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B81" s="11"/>
      <c r="C81" s="289" t="s">
        <v>613</v>
      </c>
      <c r="D81" s="554">
        <f>IF(M_Datos!$H$111=1, 2*$D$69*M_Datos!$H108*M_Datos!$I$101/1000,2*$D$69*'M_Cálculos propios'!$L121*M_Datos!$I$101/1000)</f>
        <v>0</v>
      </c>
      <c r="E81" s="554">
        <f>IF(M_Datos!$H$111=1, 2*$D$70*M_Datos!$H108*M_Datos!$I$101/1000,2*$D$70*'M_Cálculos propios'!$L121*M_Datos!$I$101/1000)</f>
        <v>0</v>
      </c>
      <c r="F81" s="554">
        <f>IF(M_Datos!$H$111=1, 2*$D$71*M_Datos!$H108*M_Datos!$I$101/1000,2*$D$71*'M_Cálculos propios'!$L121*M_Datos!$I$101/1000)</f>
        <v>0</v>
      </c>
      <c r="G81" s="554">
        <f>IF(M_Datos!$H$111=1, 2*$D$72*M_Datos!$H108*M_Datos!$I$101/1000,2*$D$72*'M_Cálculos propios'!$L121*M_Datos!$I$101/1000)</f>
        <v>0</v>
      </c>
      <c r="H81" s="554">
        <f>IF(M_Datos!$H$111=1, 2*$D$73*M_Datos!$H108*M_Datos!$I$101/1000,2*$D$73*'M_Cálculos propios'!$L121*M_Datos!$I$101/1000)</f>
        <v>0</v>
      </c>
      <c r="I81" s="554">
        <f>IF(M_Datos!$H$111=1, 2*$D$74*M_Datos!$H108*M_Datos!$I$101/1000,2*$D$74*'M_Cálculos propios'!$L121*M_Datos!$I$101/1000)</f>
        <v>0</v>
      </c>
      <c r="J81" s="554">
        <f>IF(M_Datos!$H$111=1, 2*$D$75*M_Datos!$H108*M_Datos!$I$101/1000,2*$D$75*'M_Cálculos propios'!$L121*M_Datos!$I$101/1000)</f>
        <v>0</v>
      </c>
      <c r="K81" s="554">
        <f t="shared" si="4"/>
        <v>0</v>
      </c>
      <c r="L81" s="319">
        <f>$K81*M_Factores!E233/1000</f>
        <v>0</v>
      </c>
      <c r="M81" s="319">
        <f>$K81*M_Factores!G233/1000</f>
        <v>0</v>
      </c>
      <c r="N81" s="319">
        <f>$K81*M_Factores!H233/1000</f>
        <v>0</v>
      </c>
      <c r="O81" s="319">
        <f>K81*M_Factores!D233/1000</f>
        <v>0</v>
      </c>
      <c r="P81" s="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B82" s="11"/>
      <c r="C82" s="289" t="str">
        <f>IF(Idioma=Castellano,"Autobús urbano e interurbano",IF(Idioma=Valencià,"Autobús urbà i interurbà","Autobús urbano e interurbano"))</f>
        <v>Autobús urbano e interurbano</v>
      </c>
      <c r="D82" s="554">
        <f>IF(M_Datos!$H$111=1, 2*$D$69*M_Datos!$H109*M_Datos!$I$101/1000,2*$D$69*'M_Cálculos propios'!$L122*M_Datos!$I$101/1000)</f>
        <v>0</v>
      </c>
      <c r="E82" s="554">
        <f>IF(M_Datos!$H$111=1, 2*$D$70*M_Datos!$H109*M_Datos!$I$101/1000,2*$D$70*'M_Cálculos propios'!$L122*M_Datos!$I$101/1000)</f>
        <v>0</v>
      </c>
      <c r="F82" s="554">
        <f>IF(M_Datos!$H$111=1, 2*$D$71*M_Datos!$H109*M_Datos!$I$101/1000,2*$D$71*'M_Cálculos propios'!$L122*M_Datos!$I$101/1000)</f>
        <v>0</v>
      </c>
      <c r="G82" s="554">
        <f>IF(M_Datos!$H$111=1, 2*$D$72*M_Datos!$H109*M_Datos!$I$101/1000,2*$D$72*'M_Cálculos propios'!$L122*M_Datos!$I$101/1000)</f>
        <v>0</v>
      </c>
      <c r="H82" s="554">
        <f>IF(M_Datos!$H$111=1, 2*$D$73*M_Datos!$H109*M_Datos!$I$101/1000,2*$D$73*'M_Cálculos propios'!$L122*M_Datos!$I$101/1000)</f>
        <v>0</v>
      </c>
      <c r="I82" s="554">
        <f>IF(M_Datos!$H$111=1, 2*$D$74*M_Datos!$H109*M_Datos!$I$101/1000,2*$D$74*'M_Cálculos propios'!$L122*M_Datos!$I$101/1000)</f>
        <v>0</v>
      </c>
      <c r="J82" s="554">
        <f>IF(M_Datos!$H$111=1, 2*$D$75*M_Datos!$H109*M_Datos!$I$101/1000,2*$D$75*'M_Cálculos propios'!$L122*M_Datos!$I$101/1000)</f>
        <v>0</v>
      </c>
      <c r="K82" s="554">
        <f t="shared" si="4"/>
        <v>0</v>
      </c>
      <c r="L82" s="319">
        <f>$K82*M_Factores!E234/1000</f>
        <v>0</v>
      </c>
      <c r="M82" s="319">
        <f>$K82*M_Factores!G234/1000</f>
        <v>0</v>
      </c>
      <c r="N82" s="319">
        <f>$K82*M_Factores!H234/1000</f>
        <v>0</v>
      </c>
      <c r="O82" s="319">
        <f>K82*M_Factores!D234/1000</f>
        <v>0</v>
      </c>
      <c r="P82" s="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c r="B83" s="11"/>
      <c r="C83" s="289" t="s">
        <v>615</v>
      </c>
      <c r="D83" s="554">
        <f>IF(M_Datos!$H$111=1, 2*$D$69*M_Datos!$H110*M_Datos!$I$101/1000,2*$D$69*'M_Cálculos propios'!$L123*M_Datos!$I$101/1000)</f>
        <v>0</v>
      </c>
      <c r="E83" s="554">
        <f>IF(M_Datos!$H$111=1, 2*$D$70*M_Datos!$H110*M_Datos!$I$101/1000,2*$D$70*'M_Cálculos propios'!$L123*M_Datos!$I$101/1000)</f>
        <v>0</v>
      </c>
      <c r="F83" s="554">
        <f>IF(M_Datos!$H$111=1, 2*$D$71*M_Datos!$H110*M_Datos!$I$101/1000,2*$D$71*'M_Cálculos propios'!$L123*M_Datos!$I$101/1000)</f>
        <v>0</v>
      </c>
      <c r="G83" s="554">
        <f>IF(M_Datos!$H$111=1, 2*$D$72*M_Datos!$H110*M_Datos!$I$101/1000,2*$D$72*'M_Cálculos propios'!$L123*M_Datos!$I$101/1000)</f>
        <v>0</v>
      </c>
      <c r="H83" s="554">
        <f>IF(M_Datos!$H$111=1, 2*$D$73*M_Datos!$H110*M_Datos!$I$101/1000,2*$D$73*'M_Cálculos propios'!$L123*M_Datos!$I$101/1000)</f>
        <v>0</v>
      </c>
      <c r="I83" s="554">
        <f>IF(M_Datos!$H$111=1, 2*$D$74*M_Datos!$H110*M_Datos!$I$101/1000,2*$D$74*'M_Cálculos propios'!$L123*M_Datos!$I$101/1000)</f>
        <v>0</v>
      </c>
      <c r="J83" s="554">
        <f>IF(M_Datos!$H$111=1, 2*$D$75*M_Datos!$H110*M_Datos!$I$101/1000,2*$D$75*'M_Cálculos propios'!$L123*M_Datos!$I$101/1000)</f>
        <v>0</v>
      </c>
      <c r="K83" s="554">
        <f t="shared" si="4"/>
        <v>0</v>
      </c>
      <c r="L83" s="319">
        <f>$K83*M_Factores!E235/1000</f>
        <v>0</v>
      </c>
      <c r="M83" s="319">
        <f>$K83*M_Factores!G235/1000</f>
        <v>0</v>
      </c>
      <c r="N83" s="319">
        <f>$K83*M_Factores!H235/1000</f>
        <v>0</v>
      </c>
      <c r="O83" s="319">
        <f>K83*M_Factores!D235/1000</f>
        <v>0</v>
      </c>
      <c r="P83" s="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c r="B84" s="11"/>
      <c r="C84" s="12"/>
      <c r="D84" s="557">
        <f>SUM(D78:D83)</f>
        <v>0</v>
      </c>
      <c r="E84" s="557">
        <f>SUM(E78:E83)</f>
        <v>0</v>
      </c>
      <c r="F84" s="554">
        <f>$D$71*M_Datos!$F111*M_Datos!$I$101/1000</f>
        <v>0</v>
      </c>
      <c r="G84" s="554">
        <f>$D$72*M_Datos!$F111*M_Datos!$I$101/1000</f>
        <v>0</v>
      </c>
      <c r="H84" s="554">
        <f>$D$73*M_Datos!$F111*M_Datos!$I$101/1000</f>
        <v>0</v>
      </c>
      <c r="I84" s="554">
        <f>$D$74*M_Datos!$F111*M_Datos!$I$101/1000</f>
        <v>0</v>
      </c>
      <c r="J84" s="554">
        <f>$D$75*M_Datos!$F111*M_Datos!$I$101/1000</f>
        <v>0</v>
      </c>
      <c r="K84" s="557">
        <f>SUM(K78:K83)</f>
        <v>0</v>
      </c>
      <c r="L84" s="318">
        <f>SUM(L78:L83)</f>
        <v>0</v>
      </c>
      <c r="M84" s="318">
        <f>SUM(M78:M83)</f>
        <v>0</v>
      </c>
      <c r="N84" s="318">
        <f>SUM(N78:N83)</f>
        <v>0</v>
      </c>
      <c r="O84" s="318">
        <f>SUM(O78:O83)</f>
        <v>0</v>
      </c>
      <c r="P84" s="1"/>
      <c r="Q84" s="39"/>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c r="B85" s="11"/>
      <c r="C85" s="11"/>
      <c r="D85" s="11"/>
      <c r="E85" s="11"/>
      <c r="F85" s="11"/>
      <c r="G85" s="11"/>
      <c r="H85" s="11"/>
      <c r="I85" s="11"/>
      <c r="J85" s="11"/>
      <c r="K85" s="56"/>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s="135" customFormat="1">
      <c r="A86" s="145"/>
      <c r="B86" s="240" t="str">
        <f>IF(Idioma=Castellano,"C. Consumo de agua",IF(Idioma=Valencià,"C. Consum d'aigua","C. Consumo de agua"))</f>
        <v>C. Consumo de agua</v>
      </c>
      <c r="C86" s="242"/>
      <c r="D86" s="242"/>
      <c r="E86" s="242"/>
      <c r="F86" s="242"/>
      <c r="G86" s="242"/>
      <c r="H86" s="242"/>
      <c r="I86" s="240" t="str">
        <f>IF(Idioma=Castellano,"D. Emisiones asociadas a gestión de residuos",IF(Idioma=Valencià,"D. Emissions associades a gestió de residus","D. Emisiones asociadas a gestión de residuos"))</f>
        <v>D. Emisiones asociadas a gestión de residuos</v>
      </c>
      <c r="J86" s="240"/>
      <c r="K86" s="242"/>
      <c r="L86" s="242"/>
      <c r="M86" s="242"/>
      <c r="N86" s="242"/>
      <c r="O86" s="240" t="str">
        <f>IF(Idioma=Castellano,"E. Sumideros y cambios de uso del suelo",IF(Idioma=Valencià,"E. Embornals i canvis d'ús del sòl","E. Sumideros y cambios de uso del suelo"))</f>
        <v>E. Sumideros y cambios de uso del suelo</v>
      </c>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row>
    <row r="87" spans="1:41">
      <c r="B87" s="11"/>
      <c r="C87" s="11"/>
      <c r="D87" s="11"/>
      <c r="E87" s="11"/>
      <c r="F87" s="11"/>
      <c r="G87" s="11"/>
      <c r="H87" s="11"/>
      <c r="I87" s="11"/>
      <c r="J87" s="11"/>
      <c r="K87" s="11"/>
      <c r="L87" s="11"/>
      <c r="M87" s="11"/>
      <c r="N87" s="11"/>
      <c r="O87" s="1"/>
      <c r="P87" s="1"/>
      <c r="Q87" s="1"/>
      <c r="R87" s="1"/>
      <c r="S87" s="1"/>
      <c r="T87" s="1"/>
      <c r="U87" s="11"/>
      <c r="V87" s="11"/>
      <c r="W87" s="11"/>
      <c r="X87" s="11"/>
      <c r="Y87" s="11"/>
      <c r="Z87" s="11"/>
      <c r="AA87" s="11"/>
      <c r="AB87" s="11"/>
      <c r="AC87" s="11"/>
      <c r="AD87" s="11"/>
      <c r="AE87" s="11"/>
      <c r="AF87" s="11"/>
      <c r="AG87" s="11"/>
      <c r="AH87" s="11"/>
      <c r="AI87" s="11"/>
      <c r="AJ87" s="11"/>
      <c r="AK87" s="11"/>
      <c r="AL87" s="11"/>
      <c r="AM87" s="11"/>
      <c r="AN87" s="11"/>
      <c r="AO87" s="11"/>
    </row>
    <row r="88" spans="1:41">
      <c r="B88" s="11"/>
      <c r="C88" s="14"/>
      <c r="D88" s="11"/>
      <c r="F88" s="11"/>
      <c r="G88" s="11"/>
      <c r="H88" s="11"/>
      <c r="I88" s="11"/>
      <c r="J88" s="11"/>
      <c r="K88" s="11"/>
      <c r="L88" s="11"/>
      <c r="M88" s="11"/>
      <c r="N88" s="11"/>
      <c r="O88" s="1"/>
      <c r="P88" s="249" t="str">
        <f>IF(Idioma=Castellano,"E.1. Absorción de emisiones",IF(Idioma=Valencià,"E.1. Absorció d'emissions","E.1. Absorción de emisiones"))</f>
        <v>E.1. Absorción de emisiones</v>
      </c>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c r="B89" s="11"/>
      <c r="C89" s="307" t="s">
        <v>639</v>
      </c>
      <c r="D89" s="555">
        <f>SUM(M_Datos!H36:H41)</f>
        <v>0</v>
      </c>
      <c r="E89" s="321" t="s">
        <v>640</v>
      </c>
      <c r="F89" s="322">
        <f>D89*M_Factores!D260/1000</f>
        <v>0</v>
      </c>
      <c r="G89" s="14" t="str">
        <f>IF(Idioma=Castellano,"t CO2e/año",IF(Idioma=Valencià,"t CO2e/any "))</f>
        <v>t CO2e/año</v>
      </c>
      <c r="H89" s="14"/>
      <c r="I89" s="650" t="s">
        <v>653</v>
      </c>
      <c r="J89" s="651"/>
      <c r="K89" s="322">
        <f>M_Datos!O28*M_Factores!$D$243/1000</f>
        <v>0</v>
      </c>
      <c r="L89" s="11"/>
      <c r="M89" s="1"/>
      <c r="N89" s="1"/>
      <c r="O89" s="1"/>
      <c r="P89" s="11"/>
      <c r="Q89" s="57" t="str">
        <f>IF(Idioma=Castellano,"Nº de árboles",IF(Idioma=Valencià,"Nº d'arbres","Nº de árboles"))</f>
        <v>Nº de árboles</v>
      </c>
      <c r="R89" s="555">
        <f>M_Datos!J119</f>
        <v>0</v>
      </c>
      <c r="T89" s="14"/>
      <c r="U89" s="11"/>
      <c r="V89" s="11"/>
      <c r="W89" s="11"/>
      <c r="X89" s="11"/>
      <c r="Y89" s="11"/>
      <c r="Z89" s="11"/>
      <c r="AA89" s="11"/>
      <c r="AB89" s="11"/>
      <c r="AC89" s="11"/>
      <c r="AD89" s="11"/>
      <c r="AE89" s="11"/>
      <c r="AF89" s="11"/>
      <c r="AG89" s="11"/>
      <c r="AH89" s="11"/>
      <c r="AI89" s="11"/>
      <c r="AJ89" s="11"/>
      <c r="AK89" s="11"/>
      <c r="AL89" s="11"/>
      <c r="AM89" s="11"/>
      <c r="AN89" s="11"/>
      <c r="AO89" s="11"/>
    </row>
    <row r="90" spans="1:41">
      <c r="B90" s="11"/>
      <c r="C90" s="481" t="str">
        <f>IF(Idioma=Castellano,"Actividades económicas",IF(Idioma=Valencià,"Activitats econòmiques","Actividades económicas"))</f>
        <v>Actividades económicas</v>
      </c>
      <c r="D90" s="555">
        <f>M_Datos!O32</f>
        <v>0</v>
      </c>
      <c r="E90" s="321" t="s">
        <v>599</v>
      </c>
      <c r="F90" s="322">
        <f>D90*M_Factores!D261/1000</f>
        <v>0</v>
      </c>
      <c r="G90" s="14" t="str">
        <f>IF(Idioma=Castellano,"t CO2e/año",IF(Idioma=Valencià,"t CO2e/any "))</f>
        <v>t CO2e/año</v>
      </c>
      <c r="H90" s="14"/>
      <c r="I90" s="650" t="str">
        <f>IF(Idioma=Castellano,"Residencial, Terciario y Equipamientos",IF(Idioma=Valencià,"Residencial, Terciari i Equipaments",))</f>
        <v>Residencial, Terciario y Equipamientos</v>
      </c>
      <c r="J90" s="651"/>
      <c r="K90" s="322">
        <f>(M_Datos!O26+M_Datos!O27+M_Datos!O29)*M_Factores!$D$242/1000</f>
        <v>0</v>
      </c>
      <c r="L90" s="11"/>
      <c r="M90" s="1"/>
      <c r="N90" s="1"/>
      <c r="O90" s="1"/>
      <c r="P90" s="11"/>
      <c r="Q90" s="529" t="s">
        <v>959</v>
      </c>
      <c r="R90" s="558">
        <f>SUM(M_Datos!H36:H41)</f>
        <v>0</v>
      </c>
      <c r="S90" s="322">
        <f>IF(R89=0,-R90*M_Factores!D288/1000,-R89*M_Factores!D288/1000)</f>
        <v>0</v>
      </c>
      <c r="T90" s="14" t="str">
        <f>IF(Idioma=Castellano,"t CO2e/año",IF(Idioma=Valencià,"t CO2e/any "))</f>
        <v>t CO2e/año</v>
      </c>
      <c r="U90" s="11"/>
      <c r="V90" s="11"/>
      <c r="W90" s="11"/>
      <c r="X90" s="11"/>
      <c r="Y90" s="11"/>
      <c r="Z90" s="11"/>
      <c r="AA90" s="11"/>
      <c r="AB90" s="11"/>
      <c r="AC90" s="11"/>
      <c r="AD90" s="11"/>
      <c r="AE90" s="11"/>
      <c r="AF90" s="11"/>
      <c r="AG90" s="11"/>
      <c r="AH90" s="11"/>
      <c r="AI90" s="11"/>
      <c r="AJ90" s="11"/>
      <c r="AK90" s="11"/>
      <c r="AL90" s="11"/>
      <c r="AM90" s="11"/>
      <c r="AN90" s="11"/>
      <c r="AO90" s="11"/>
    </row>
    <row r="91" spans="1:41">
      <c r="B91" s="11"/>
      <c r="C91" s="481" t="s">
        <v>642</v>
      </c>
      <c r="D91" s="555">
        <f>M_Datos!O29</f>
        <v>0</v>
      </c>
      <c r="E91" s="321" t="s">
        <v>599</v>
      </c>
      <c r="F91" s="322">
        <f>D91*M_Factores!D262/1000</f>
        <v>0</v>
      </c>
      <c r="G91" s="14" t="str">
        <f>IF(Idioma=Castellano,"t CO2e/año",IF(Idioma=Valencià,"t CO2e/any "))</f>
        <v>t CO2e/año</v>
      </c>
      <c r="H91" s="11"/>
      <c r="I91" s="652" t="s">
        <v>631</v>
      </c>
      <c r="J91" s="653"/>
      <c r="K91" s="322">
        <f>K89+K90</f>
        <v>0</v>
      </c>
      <c r="L91" s="14" t="str">
        <f>IF(Idioma=Castellano,"t CO2e/año",IF(Idioma=Valencià,"t CO2e/any "))</f>
        <v>t CO2e/año</v>
      </c>
      <c r="M91" s="1"/>
      <c r="N91" s="1"/>
      <c r="O91" s="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B92" s="11"/>
      <c r="C92" s="11"/>
      <c r="D92" s="1"/>
      <c r="E92" s="1"/>
      <c r="F92" s="7"/>
      <c r="G92" s="1"/>
      <c r="H92" s="14"/>
      <c r="I92" s="11"/>
      <c r="L92" s="11"/>
      <c r="M92" s="1"/>
      <c r="N92" s="1"/>
      <c r="O92" s="1"/>
      <c r="P92" s="249" t="str">
        <f>IF(Idioma=Castellano,"E.2. Cambios de uso del suelo",IF(Idioma=Valencià,"E.2. Canvis d'ús del sòl","E.2. Cambios de uso del suelo"))</f>
        <v>E.2. Cambios de uso del suelo</v>
      </c>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c r="B93" s="11"/>
      <c r="C93" s="11"/>
      <c r="D93" s="14" t="s">
        <v>631</v>
      </c>
      <c r="E93" s="1"/>
      <c r="F93" s="322">
        <f>SUM(F89:F90)</f>
        <v>0</v>
      </c>
      <c r="G93" s="14" t="str">
        <f>IF(Idioma=Castellano,"t CO2e/año",IF(Idioma=Valencià,"t CO2e/any "))</f>
        <v>t CO2e/año</v>
      </c>
      <c r="H93" s="11"/>
      <c r="I93" s="11"/>
      <c r="J93" s="11"/>
      <c r="K93" s="11"/>
      <c r="L93" s="11"/>
      <c r="M93" s="11"/>
      <c r="N93" s="11"/>
      <c r="O93" s="1"/>
      <c r="P93" s="11"/>
      <c r="Q93" s="11"/>
      <c r="R93" s="11"/>
      <c r="S93" s="11"/>
      <c r="T93" s="11"/>
      <c r="U93" s="11"/>
      <c r="V93" s="11"/>
      <c r="W93" s="11"/>
      <c r="X93" s="11"/>
      <c r="Z93" s="11"/>
      <c r="AA93" s="11"/>
      <c r="AB93" s="11"/>
      <c r="AC93" s="11"/>
      <c r="AD93" s="11"/>
      <c r="AE93" s="11"/>
      <c r="AF93" s="11"/>
      <c r="AG93" s="11"/>
      <c r="AH93" s="11"/>
      <c r="AI93" s="11"/>
      <c r="AJ93" s="11"/>
      <c r="AK93" s="11"/>
      <c r="AL93" s="11"/>
      <c r="AM93" s="11"/>
      <c r="AN93" s="11"/>
      <c r="AO93" s="11"/>
    </row>
    <row r="94" spans="1:41" ht="18">
      <c r="B94" s="11"/>
      <c r="C94" s="11"/>
      <c r="D94" s="11"/>
      <c r="E94" s="11"/>
      <c r="F94" s="11"/>
      <c r="G94" s="11"/>
      <c r="H94" s="11"/>
      <c r="I94" s="11"/>
      <c r="J94" s="11"/>
      <c r="K94" s="11"/>
      <c r="L94" s="11"/>
      <c r="M94" s="11"/>
      <c r="N94" s="11"/>
      <c r="O94" s="1"/>
      <c r="P94" s="11"/>
      <c r="Q94" s="58"/>
      <c r="R94" s="1"/>
      <c r="S94" s="1"/>
      <c r="T94" s="1"/>
      <c r="U94" s="11"/>
      <c r="V94" s="11"/>
      <c r="W94" s="11"/>
      <c r="X94" s="11"/>
      <c r="Y94" s="11"/>
      <c r="Z94" s="11"/>
      <c r="AB94" s="548" t="str">
        <f>IF(Idioma=Castellano,"Emisiones por cambios de usos del en suelo",IF(Idioma=Valencià,"Emissions per canvis d'usos de l'en sòl"))</f>
        <v>Emisiones por cambios de usos del en suelo</v>
      </c>
      <c r="AC94" s="11"/>
      <c r="AD94" s="11"/>
      <c r="AE94" s="11"/>
      <c r="AF94" s="11"/>
      <c r="AG94" s="11"/>
      <c r="AH94" s="11"/>
      <c r="AI94" s="11"/>
      <c r="AJ94" s="11"/>
      <c r="AK94" s="11"/>
      <c r="AL94" s="11"/>
      <c r="AM94" s="11"/>
      <c r="AN94" s="11"/>
      <c r="AO94" s="11"/>
    </row>
    <row r="95" spans="1:41" ht="27.6">
      <c r="B95" s="11"/>
      <c r="C95" s="11"/>
      <c r="D95" s="11"/>
      <c r="E95" s="11"/>
      <c r="F95" s="11"/>
      <c r="G95" s="11"/>
      <c r="H95" s="11"/>
      <c r="I95" s="11"/>
      <c r="J95" s="11"/>
      <c r="K95" s="11"/>
      <c r="L95" s="11"/>
      <c r="M95" s="11"/>
      <c r="N95" s="11"/>
      <c r="O95" s="1"/>
      <c r="P95" s="11"/>
      <c r="Q95" s="338"/>
      <c r="R95" s="52" t="str">
        <f>IF(Idioma=Castellano,"Situación actual (ha)",IF(Idioma=Valencià,"Situació actual (ha)"))</f>
        <v>Situación actual (ha)</v>
      </c>
      <c r="S95" s="55" t="str">
        <f>IF(Idioma=Castellano,"Pérdida o ganancia (ha)",IF(Idioma=Valencià,"Pèrdua o guany (ha)"))</f>
        <v>Pérdida o ganancia (ha)</v>
      </c>
      <c r="T95" s="39" t="s">
        <v>957</v>
      </c>
      <c r="U95" s="1"/>
      <c r="V95" s="1"/>
      <c r="W95" s="11"/>
      <c r="X95" s="11"/>
      <c r="Y95" s="11"/>
      <c r="Z95" s="11"/>
      <c r="AA95" s="11"/>
      <c r="AB95" s="11"/>
      <c r="AC95" s="11"/>
      <c r="AD95" s="11"/>
      <c r="AE95" s="11"/>
      <c r="AF95" s="11"/>
      <c r="AG95" s="11"/>
      <c r="AH95" s="11"/>
      <c r="AI95" s="11"/>
      <c r="AJ95" s="11"/>
      <c r="AK95" s="11"/>
      <c r="AL95" s="11"/>
      <c r="AM95" s="11"/>
      <c r="AN95" s="11"/>
      <c r="AO95" s="11"/>
    </row>
    <row r="96" spans="1:41" ht="18">
      <c r="B96" s="11"/>
      <c r="C96" s="11"/>
      <c r="D96" s="542" t="str">
        <f>IF(Idioma=Castellano,"Emisiones asociadas al consumo de agua",IF(Idioma=Valencià,"Emissions associades al consum d'aigua","Emisiones asociadas al consumo de agua"))</f>
        <v>Emisiones asociadas al consumo de agua</v>
      </c>
      <c r="E96" s="11"/>
      <c r="F96" s="11"/>
      <c r="G96" s="11"/>
      <c r="H96" s="11"/>
      <c r="I96" s="11"/>
      <c r="J96" s="542" t="str">
        <f>IF(Idioma=Castellano,"Emisiones asociadas a gestión de residuos",IF(Idioma=Valencià,"Emissions associades a gestió de residus"))</f>
        <v>Emisiones asociadas a gestión de residuos</v>
      </c>
      <c r="K96" s="11"/>
      <c r="L96" s="11"/>
      <c r="M96" s="11"/>
      <c r="N96" s="11"/>
      <c r="O96" s="1"/>
      <c r="P96" s="11"/>
      <c r="Q96" s="473" t="str">
        <f>IF(Idioma=Castellano,"Bosque",IF(Idioma=Valencià,"Bosc","Bosque"))</f>
        <v>Bosque</v>
      </c>
      <c r="R96" s="556" t="str">
        <f>IF(SUM(M_Datos!$O$26:$O$33)=0, " ", 'M_Cálculos propios'!F259)</f>
        <v xml:space="preserve"> </v>
      </c>
      <c r="S96" s="556" t="str">
        <f>IF(SUM(M_Datos!$O$26:$O$33)=0, " ", 'M_Cálculos propios'!G271)</f>
        <v xml:space="preserve"> </v>
      </c>
      <c r="T96" s="558" t="str" cm="1">
        <f t="array" ref="T96">IF(SUM(M_Datos!$O$26:$O$33)=0, " ", 'M_Cálculos propios'!I271:I276+'M_Cálculos propios'!J271:J276)</f>
        <v xml:space="preserve"> </v>
      </c>
      <c r="U96" s="11"/>
      <c r="V96" s="11"/>
      <c r="W96" s="11"/>
      <c r="X96" s="11"/>
      <c r="Y96" s="11"/>
      <c r="Z96" s="11"/>
      <c r="AA96" s="11"/>
      <c r="AB96" s="11"/>
      <c r="AC96" s="11"/>
      <c r="AD96" s="11"/>
      <c r="AE96" s="11"/>
      <c r="AF96" s="11"/>
      <c r="AG96" s="11"/>
      <c r="AH96" s="11"/>
      <c r="AI96" s="11"/>
      <c r="AJ96" s="11"/>
      <c r="AK96" s="11"/>
      <c r="AL96" s="11"/>
      <c r="AM96" s="11"/>
      <c r="AN96" s="11"/>
      <c r="AO96" s="11"/>
    </row>
    <row r="97" spans="2:41" ht="27.6">
      <c r="B97" s="11"/>
      <c r="C97" s="11"/>
      <c r="D97" s="11"/>
      <c r="E97" s="11"/>
      <c r="F97" s="11"/>
      <c r="G97" s="11"/>
      <c r="H97" s="11"/>
      <c r="I97" s="11"/>
      <c r="J97" s="11"/>
      <c r="K97" s="11"/>
      <c r="L97" s="11"/>
      <c r="M97" s="11"/>
      <c r="N97" s="11"/>
      <c r="O97" s="1"/>
      <c r="P97" s="11"/>
      <c r="Q97" s="473" t="str">
        <f>IF(Idioma=Castellano,"Garriga/Matorral (arbustivas)/Prado",IF(Idioma=Valencià,"Garriga/Matoll (arbustives)/Prado","Garriga/Matorral (arbustivas)/Prado"))</f>
        <v>Garriga/Matorral (arbustivas)/Prado</v>
      </c>
      <c r="R97" s="556" t="str">
        <f>IF(SUM(M_Datos!$O$26:$O$33)=0, " ", 'M_Cálculos propios'!F260)</f>
        <v xml:space="preserve"> </v>
      </c>
      <c r="S97" s="556" t="str">
        <f>IF(SUM(M_Datos!$O$26:$O$33)=0, " ", 'M_Cálculos propios'!G272)</f>
        <v xml:space="preserve"> </v>
      </c>
      <c r="T97" s="558"/>
      <c r="U97" s="11"/>
      <c r="V97" s="11"/>
      <c r="W97" s="11"/>
      <c r="X97" s="11"/>
      <c r="Y97" s="11"/>
      <c r="Z97" s="11"/>
      <c r="AA97" s="11"/>
      <c r="AB97" s="11"/>
      <c r="AC97" s="11"/>
      <c r="AD97" s="11"/>
      <c r="AE97" s="11"/>
      <c r="AF97" s="11"/>
      <c r="AG97" s="11"/>
      <c r="AH97" s="11"/>
      <c r="AI97" s="11"/>
      <c r="AJ97" s="11"/>
      <c r="AK97" s="11"/>
      <c r="AL97" s="11"/>
      <c r="AM97" s="11"/>
      <c r="AN97" s="11"/>
      <c r="AO97" s="11"/>
    </row>
    <row r="98" spans="2:41" ht="27.6" customHeight="1">
      <c r="B98" s="11"/>
      <c r="C98" s="11"/>
      <c r="D98" s="11"/>
      <c r="E98" s="11"/>
      <c r="F98" s="11"/>
      <c r="G98" s="11"/>
      <c r="H98" s="11"/>
      <c r="I98" s="11"/>
      <c r="J98" s="11"/>
      <c r="K98" s="11"/>
      <c r="L98" s="11"/>
      <c r="M98" s="11"/>
      <c r="N98" s="11"/>
      <c r="O98" s="1"/>
      <c r="P98" s="11"/>
      <c r="Q98" s="473" t="str">
        <f>IF(Idioma=Castellano,"Cultivo",IF(Idioma=Valencià,"Cultiu","Cultivo"))</f>
        <v>Cultivo</v>
      </c>
      <c r="R98" s="556" t="str">
        <f>IF(SUM(M_Datos!$O$26:$O$33)=0, " ", 'M_Cálculos propios'!F261)</f>
        <v xml:space="preserve"> </v>
      </c>
      <c r="S98" s="556" t="str">
        <f>IF(SUM(M_Datos!$O$26:$O$33)=0, " ", 'M_Cálculos propios'!G273)</f>
        <v xml:space="preserve"> </v>
      </c>
      <c r="T98" s="558"/>
      <c r="U98" s="11"/>
      <c r="V98" s="11"/>
      <c r="W98" s="11"/>
      <c r="X98" s="11"/>
      <c r="Y98" s="11"/>
      <c r="Z98" s="11"/>
      <c r="AA98" s="11"/>
      <c r="AB98" s="11"/>
      <c r="AC98" s="11"/>
      <c r="AD98" s="11"/>
      <c r="AE98" s="11"/>
      <c r="AF98" s="11"/>
      <c r="AG98" s="11"/>
      <c r="AH98" s="11"/>
      <c r="AI98" s="11"/>
      <c r="AJ98" s="11"/>
      <c r="AK98" s="11"/>
      <c r="AL98" s="11"/>
      <c r="AM98" s="11"/>
      <c r="AN98" s="11"/>
      <c r="AO98" s="11"/>
    </row>
    <row r="99" spans="2:41" ht="27.6">
      <c r="B99" s="11"/>
      <c r="C99" s="11"/>
      <c r="D99" s="11"/>
      <c r="E99" s="11"/>
      <c r="F99" s="11"/>
      <c r="G99" s="11"/>
      <c r="H99" s="11"/>
      <c r="I99" s="11"/>
      <c r="J99" s="11"/>
      <c r="K99" s="11"/>
      <c r="L99" s="11"/>
      <c r="M99" s="11"/>
      <c r="N99" s="11"/>
      <c r="O99" s="1"/>
      <c r="P99" s="11"/>
      <c r="Q99" s="473" t="str">
        <f>IF(Idioma=Castellano,"Marismas y humedales",IF(Idioma=Valencià,"Marenys i aiguamolls","Marismas y humedales"))</f>
        <v>Marismas y humedales</v>
      </c>
      <c r="R99" s="556" t="str">
        <f>IF(SUM(M_Datos!$O$26:$O$33)=0, " ", 'M_Cálculos propios'!F262)</f>
        <v xml:space="preserve"> </v>
      </c>
      <c r="S99" s="556" t="str">
        <f>IF(SUM(M_Datos!$O$26:$O$33)=0, " ", 'M_Cálculos propios'!G274)</f>
        <v xml:space="preserve"> </v>
      </c>
      <c r="T99" s="558"/>
      <c r="U99" s="11"/>
      <c r="V99" s="11"/>
      <c r="W99" s="11"/>
      <c r="X99" s="11"/>
      <c r="Y99" s="11"/>
      <c r="Z99" s="11"/>
      <c r="AA99" s="11"/>
      <c r="AB99" s="11"/>
      <c r="AC99" s="11"/>
      <c r="AD99" s="11"/>
      <c r="AE99" s="11"/>
      <c r="AF99" s="11"/>
      <c r="AG99" s="11"/>
      <c r="AH99" s="11"/>
      <c r="AI99" s="11"/>
      <c r="AJ99" s="11"/>
      <c r="AK99" s="11"/>
      <c r="AL99" s="11"/>
      <c r="AM99" s="11"/>
      <c r="AN99" s="11"/>
      <c r="AO99" s="11"/>
    </row>
    <row r="100" spans="2:41">
      <c r="B100" s="11"/>
      <c r="C100" s="11"/>
      <c r="D100" s="11"/>
      <c r="E100" s="11"/>
      <c r="F100" s="11"/>
      <c r="G100" s="11"/>
      <c r="H100" s="11"/>
      <c r="I100" s="11"/>
      <c r="J100" s="11"/>
      <c r="K100" s="11"/>
      <c r="L100" s="11"/>
      <c r="M100" s="11"/>
      <c r="N100" s="11"/>
      <c r="O100" s="1"/>
      <c r="P100" s="11"/>
      <c r="Q100" s="474" t="str">
        <f>IF(Idioma=Castellano,"Otras tierras",IF(Idioma=Valencià,"Altres terres","Otras tierras"))</f>
        <v>Otras tierras</v>
      </c>
      <c r="R100" s="556" t="str">
        <f>IF(SUM(M_Datos!$O$26:$O$33)=0, " ", 'M_Cálculos propios'!F263)</f>
        <v xml:space="preserve"> </v>
      </c>
      <c r="S100" s="556" t="str">
        <f>IF(SUM(M_Datos!$O$26:$O$33)=0, " ", 'M_Cálculos propios'!G275)</f>
        <v xml:space="preserve"> </v>
      </c>
      <c r="T100" s="558"/>
      <c r="U100" s="1"/>
      <c r="V100" s="1"/>
      <c r="W100" s="11"/>
      <c r="X100" s="11"/>
      <c r="Y100" s="11"/>
      <c r="Z100" s="11"/>
      <c r="AA100" s="11"/>
      <c r="AB100" s="11"/>
      <c r="AC100" s="11"/>
      <c r="AD100" s="11"/>
      <c r="AE100" s="11"/>
      <c r="AF100" s="11"/>
      <c r="AG100" s="11"/>
      <c r="AH100" s="11"/>
      <c r="AI100" s="11"/>
      <c r="AJ100" s="11"/>
      <c r="AK100" s="11"/>
      <c r="AL100" s="11"/>
      <c r="AM100" s="11"/>
      <c r="AN100" s="11"/>
      <c r="AO100" s="11"/>
    </row>
    <row r="101" spans="2:41">
      <c r="B101" s="11"/>
      <c r="C101" s="11"/>
      <c r="D101" s="11"/>
      <c r="E101" s="11"/>
      <c r="F101" s="11"/>
      <c r="G101" s="11"/>
      <c r="H101" s="11"/>
      <c r="I101" s="11"/>
      <c r="J101" s="11"/>
      <c r="K101" s="11"/>
      <c r="L101" s="11"/>
      <c r="M101" s="11"/>
      <c r="N101" s="11"/>
      <c r="O101" s="1"/>
      <c r="P101" s="11"/>
      <c r="Q101" s="473" t="str">
        <f>IF(Idioma=Castellano,"Asentamientos",IF(Idioma=Valencià,"Assentaments","Asentamientos"))</f>
        <v>Asentamientos</v>
      </c>
      <c r="R101" s="556" t="str">
        <f>IF(SUM(M_Datos!$O$26:$O$33)=0, " ", 'M_Cálculos propios'!F264)</f>
        <v xml:space="preserve"> </v>
      </c>
      <c r="S101" s="556" t="str">
        <f>IF(SUM(M_Datos!$O$26:$O$33)=0, " ", 'M_Cálculos propios'!G276)</f>
        <v xml:space="preserve"> </v>
      </c>
      <c r="T101" s="558"/>
      <c r="U101" s="528">
        <f>SUM(_xlfn.ANCHORARRAY(T96))</f>
        <v>0</v>
      </c>
      <c r="V101" s="14" t="str">
        <f>IF(Idioma=Castellano,"t CO2e/año",IF(Idioma=Valencià,"t CO2e/any "))</f>
        <v>t CO2e/año</v>
      </c>
      <c r="W101" s="11"/>
      <c r="X101" s="11"/>
      <c r="Y101" s="11"/>
      <c r="Z101" s="11"/>
      <c r="AA101" s="11"/>
      <c r="AB101" s="11"/>
      <c r="AC101" s="11"/>
      <c r="AD101" s="11"/>
      <c r="AE101" s="11"/>
      <c r="AF101" s="11"/>
      <c r="AG101" s="11"/>
      <c r="AH101" s="11"/>
      <c r="AI101" s="11"/>
      <c r="AJ101" s="11"/>
      <c r="AK101" s="11"/>
      <c r="AL101" s="11"/>
      <c r="AM101" s="11"/>
      <c r="AN101" s="11"/>
      <c r="AO101" s="11"/>
    </row>
    <row r="102" spans="2:41">
      <c r="B102" s="11"/>
      <c r="C102" s="11"/>
      <c r="D102" s="11"/>
      <c r="E102" s="11"/>
      <c r="F102" s="11"/>
      <c r="G102" s="11"/>
      <c r="H102" s="11"/>
      <c r="I102" s="11"/>
      <c r="J102" s="11"/>
      <c r="K102" s="11"/>
      <c r="L102" s="11"/>
      <c r="M102" s="11"/>
      <c r="N102" s="11"/>
      <c r="O102" s="1"/>
      <c r="P102" s="11"/>
      <c r="Q102" s="1"/>
      <c r="R102" s="1"/>
      <c r="S102" s="1"/>
      <c r="T102" s="1"/>
      <c r="U102" s="1"/>
      <c r="V102" s="1"/>
      <c r="W102" s="11"/>
      <c r="X102" s="11"/>
      <c r="Y102" s="11"/>
      <c r="Z102" s="11"/>
      <c r="AA102" s="11"/>
      <c r="AB102" s="11"/>
      <c r="AC102" s="11"/>
      <c r="AD102" s="11"/>
      <c r="AE102" s="11"/>
      <c r="AF102" s="11"/>
      <c r="AG102" s="11"/>
      <c r="AH102" s="11"/>
      <c r="AI102" s="11"/>
      <c r="AJ102" s="11"/>
      <c r="AK102" s="11"/>
      <c r="AL102" s="11"/>
      <c r="AM102" s="11"/>
      <c r="AN102" s="11"/>
      <c r="AO102" s="11"/>
    </row>
    <row r="103" spans="2:4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2:4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2:4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2:4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2:4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2:41">
      <c r="B108" s="11"/>
      <c r="C108" s="11"/>
      <c r="D108" s="59"/>
      <c r="E108" s="59"/>
      <c r="F108" s="59"/>
      <c r="G108" s="59"/>
      <c r="H108" s="59"/>
      <c r="I108" s="59"/>
      <c r="J108" s="59"/>
      <c r="K108" s="59"/>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2:41">
      <c r="B109" s="11"/>
      <c r="C109" s="11"/>
      <c r="D109" s="60"/>
      <c r="E109" s="60"/>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2:41">
      <c r="B110" s="11"/>
      <c r="C110" s="11"/>
      <c r="D110" s="61"/>
      <c r="E110" s="6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2:4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2:4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s="135" customFormat="1">
      <c r="A113" s="145"/>
      <c r="B113" s="243"/>
    </row>
    <row r="114" spans="1:4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row>
    <row r="115" spans="1:4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sheetData>
  <sheetProtection algorithmName="SHA-512" hashValue="4glTHyOSazJE/r0/DQU+6bMTRaTC3lZP1a2xtW+VtFOPAijQvuHucSS9WcdsXcV1WYPgb9J0JiIASKov49B16A==" saltValue="7IrXlyehlwhETeIIy5GImA==" spinCount="100000" sheet="1" objects="1" scenarios="1"/>
  <mergeCells count="10">
    <mergeCell ref="I89:J89"/>
    <mergeCell ref="I90:J90"/>
    <mergeCell ref="I91:J91"/>
    <mergeCell ref="D50:F50"/>
    <mergeCell ref="B4:G5"/>
    <mergeCell ref="D11:F11"/>
    <mergeCell ref="G11:I11"/>
    <mergeCell ref="D27:F27"/>
    <mergeCell ref="D36:F36"/>
    <mergeCell ref="D48:F48"/>
  </mergeCells>
  <hyperlinks>
    <hyperlink ref="A7" location="Instrucciones_Valencia!A1" display="Instrucciones_Valencia!A1" xr:uid="{511F3866-3B84-40AF-9114-BAFE8106494C}"/>
    <hyperlink ref="A9" location="M_Datos_Valencia!A1" display="M_Datos_Valencia!A1" xr:uid="{85BC8FE9-8E0F-4E95-BC4D-82253D4F146A}"/>
    <hyperlink ref="A11" location="V_A0!A1" display="2.1. Alternativa 0 (A0)" xr:uid="{47E4E6F1-1E62-4EE1-AF11-6ED641D89DB3}"/>
    <hyperlink ref="A12" location="V_A1!A1" display="2.2. Alternativa 1 (A1)" xr:uid="{BFDB7DE2-C568-4C5A-8C21-D28DC15804A3}"/>
    <hyperlink ref="A13" location="V_A2!A1" display="2.3. Alternativa 2 (A2)" xr:uid="{58D4F1E0-C663-4DFB-9FEE-630A4238ADFE}"/>
    <hyperlink ref="A14" location="V_A3!A1" display="2.4. Alternativa 3 (A3)" xr:uid="{9ACCB782-CE8D-4DD3-B07F-8114B45F8711}"/>
    <hyperlink ref="A15" location="V_A4!A1" display="2.5. Alternativa 4 (A4)" xr:uid="{7070E989-406B-4D09-80ED-85AF04EF0827}"/>
    <hyperlink ref="A16" location="B_Resultados!A1" display="B_Resultados!A1" xr:uid="{275FC90B-B78B-4AB4-937D-D15E050D52D3}"/>
    <hyperlink ref="A17" location="V_Factores!A1" display="V_Factores!A1" xr:uid="{7351935F-D5E3-449D-B238-B556579D81DC}"/>
    <hyperlink ref="A19" location="B_Alcance!A1" display="B_Alcance!A1" xr:uid="{D268A6E1-AADE-4085-ADEA-ECD4FFBBA281}"/>
    <hyperlink ref="A20" location="B_Checklist!A1" display="2. Checklist" xr:uid="{97468674-028F-4A8E-866E-C24841DB8EFE}"/>
    <hyperlink ref="A21" location="B_Resultados!A1" display="B_Resultados!A1" xr:uid="{CAC88064-A8D0-4EB7-B359-E17D2CFBC215}"/>
    <hyperlink ref="A22" location="Resultados_generales!A1" display="Resultados_generales!A1" xr:uid="{A07E8808-16B7-412E-9A5F-B19FDA9966DC}"/>
    <hyperlink ref="A23" location="Medidas_Propuestas!A1" display="Medidas_Propuestas!A1" xr:uid="{1FEF7ED4-0ED7-4174-B6F1-87F5CCBDE012}"/>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2" id="{2F5BCCFB-DDB4-4C03-BC4E-0DAF5573BB7E}">
            <xm:f>M_Datos!$J$17="No"</xm:f>
            <x14:dxf>
              <font>
                <color theme="0" tint="-0.34998626667073579"/>
              </font>
              <fill>
                <patternFill>
                  <bgColor theme="0" tint="-4.9989318521683403E-2"/>
                </patternFill>
              </fill>
            </x14:dxf>
          </x14:cfRule>
          <xm:sqref>D71 D53:D55 D39:D42 F78:F84</xm:sqref>
        </x14:conditionalFormatting>
        <x14:conditionalFormatting xmlns:xm="http://schemas.microsoft.com/office/excel/2006/main">
          <x14:cfRule type="expression" priority="10" id="{6D505E02-4846-4AED-8DFF-85824A21EC5B}">
            <xm:f>M_Datos!$J$17="No"</xm:f>
            <x14:dxf>
              <font>
                <color theme="0" tint="-0.34998626667073579"/>
              </font>
              <fill>
                <patternFill>
                  <bgColor theme="0" tint="-4.9989318521683403E-2"/>
                </patternFill>
              </fill>
            </x14:dxf>
          </x14:cfRule>
          <xm:sqref>E30:F32</xm:sqref>
        </x14:conditionalFormatting>
        <x14:conditionalFormatting xmlns:xm="http://schemas.microsoft.com/office/excel/2006/main">
          <x14:cfRule type="expression" priority="9" id="{54DD5DE8-BEF4-4B5E-9329-94DB4AF91855}">
            <xm:f>M_Datos!$J$17="No"</xm:f>
            <x14:dxf>
              <font>
                <color theme="0" tint="-0.34998626667073579"/>
              </font>
              <fill>
                <patternFill>
                  <bgColor theme="0" tint="-4.9989318521683403E-2"/>
                </patternFill>
              </fill>
            </x14:dxf>
          </x14:cfRule>
          <xm:sqref>E39:F42</xm:sqref>
        </x14:conditionalFormatting>
        <x14:conditionalFormatting xmlns:xm="http://schemas.microsoft.com/office/excel/2006/main">
          <x14:cfRule type="expression" priority="8" id="{9BD9A3F9-C0C8-4D9E-B9E7-641F57C1FC91}">
            <xm:f>M_Datos!$J$17="No"</xm:f>
            <x14:dxf>
              <font>
                <color theme="0" tint="-0.34998626667073579"/>
              </font>
              <fill>
                <patternFill>
                  <bgColor theme="0" tint="-4.9989318521683403E-2"/>
                </patternFill>
              </fill>
            </x14:dxf>
          </x14:cfRule>
          <xm:sqref>E53:F55</xm:sqref>
        </x14:conditionalFormatting>
        <x14:conditionalFormatting xmlns:xm="http://schemas.microsoft.com/office/excel/2006/main">
          <x14:cfRule type="expression" priority="7" id="{618024A7-F081-46DB-A95D-8BF6A337796F}">
            <xm:f>M_Datos!$J$17="No"</xm:f>
            <x14:dxf>
              <font>
                <color theme="0" tint="-0.34998626667073579"/>
              </font>
              <fill>
                <patternFill>
                  <bgColor theme="0" tint="-4.9989318521683403E-2"/>
                </patternFill>
              </fill>
            </x14:dxf>
          </x14:cfRule>
          <xm:sqref>C71</xm:sqref>
        </x14:conditionalFormatting>
        <x14:conditionalFormatting xmlns:xm="http://schemas.microsoft.com/office/excel/2006/main">
          <x14:cfRule type="expression" priority="6" id="{64342F3D-FE2F-411A-AD41-559E3ACFAEBF}">
            <xm:f>M_Datos!$J$17="No"</xm:f>
            <x14:dxf>
              <font>
                <color theme="0" tint="-0.34998626667073579"/>
              </font>
              <fill>
                <patternFill>
                  <bgColor theme="0" tint="-4.9989318521683403E-2"/>
                </patternFill>
              </fill>
            </x14:dxf>
          </x14:cfRule>
          <xm:sqref>F77</xm:sqref>
        </x14:conditionalFormatting>
        <x14:conditionalFormatting xmlns:xm="http://schemas.microsoft.com/office/excel/2006/main">
          <x14:cfRule type="expression" priority="5" id="{37B88D92-9FCA-4D3D-9676-76CFBE2D3089}">
            <xm:f>M_Datos!$J$17="No"</xm:f>
            <x14:dxf>
              <font>
                <color theme="0" tint="-0.34998626667073579"/>
              </font>
              <fill>
                <patternFill>
                  <bgColor theme="0" tint="-4.9989318521683403E-2"/>
                </patternFill>
              </fill>
            </x14:dxf>
          </x14:cfRule>
          <xm:sqref>C30:C33</xm:sqref>
        </x14:conditionalFormatting>
        <x14:conditionalFormatting xmlns:xm="http://schemas.microsoft.com/office/excel/2006/main">
          <x14:cfRule type="expression" priority="4" id="{56B65E7A-C81B-4A82-8A7D-842EA627BB9D}">
            <xm:f>M_Datos!$J$17="No"</xm:f>
            <x14:dxf>
              <font>
                <color theme="0" tint="-0.34998626667073579"/>
              </font>
              <fill>
                <patternFill>
                  <bgColor theme="0" tint="-4.9989318521683403E-2"/>
                </patternFill>
              </fill>
            </x14:dxf>
          </x14:cfRule>
          <xm:sqref>C39:C42</xm:sqref>
        </x14:conditionalFormatting>
        <x14:conditionalFormatting xmlns:xm="http://schemas.microsoft.com/office/excel/2006/main">
          <x14:cfRule type="expression" priority="3" id="{2726BBEC-2231-46AE-8A88-ECB81B102FFB}">
            <xm:f>M_Datos!$J$17="No"</xm:f>
            <x14:dxf>
              <font>
                <color theme="0" tint="-0.34998626667073579"/>
              </font>
              <fill>
                <patternFill>
                  <bgColor theme="0" tint="-4.9989318521683403E-2"/>
                </patternFill>
              </fill>
            </x14:dxf>
          </x14:cfRule>
          <xm:sqref>C53:C55</xm:sqref>
        </x14:conditionalFormatting>
        <x14:conditionalFormatting xmlns:xm="http://schemas.microsoft.com/office/excel/2006/main">
          <x14:cfRule type="expression" priority="2" id="{E21014B9-9B02-4045-97DA-469E23F8096D}">
            <xm:f>M_Datos!$J$17="No"</xm:f>
            <x14:dxf>
              <font>
                <color theme="0" tint="-0.34998626667073579"/>
              </font>
              <fill>
                <patternFill>
                  <bgColor theme="0" tint="-4.9989318521683403E-2"/>
                </patternFill>
              </fill>
            </x14:dxf>
          </x14:cfRule>
          <xm:sqref>D30:D33</xm:sqref>
        </x14:conditionalFormatting>
        <x14:conditionalFormatting xmlns:xm="http://schemas.microsoft.com/office/excel/2006/main">
          <x14:cfRule type="expression" priority="1" id="{39149207-BB1E-493A-9549-234BDDB99C4B}">
            <xm:f>M_Datos!$J$17="No"</xm:f>
            <x14:dxf>
              <font>
                <color theme="0" tint="-0.34998626667073579"/>
              </font>
              <fill>
                <patternFill>
                  <bgColor theme="0" tint="-4.9989318521683403E-2"/>
                </patternFill>
              </fill>
            </x14:dxf>
          </x14:cfRule>
          <xm:sqref>E33:F33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7A360-02CD-4631-B524-72B858108459}">
  <sheetPr>
    <tabColor theme="5" tint="0.79998168889431442"/>
  </sheetPr>
  <dimension ref="A1:AO127"/>
  <sheetViews>
    <sheetView topLeftCell="A61" workbookViewId="0">
      <selection activeCell="D78" sqref="D78:K83"/>
    </sheetView>
  </sheetViews>
  <sheetFormatPr baseColWidth="10" defaultColWidth="11.44140625" defaultRowHeight="15.6"/>
  <cols>
    <col min="1" max="1" width="29.5546875" style="145" customWidth="1"/>
    <col min="3" max="3" width="24.33203125" customWidth="1"/>
    <col min="4" max="4" width="16" customWidth="1"/>
    <col min="5" max="5" width="31.5546875" customWidth="1"/>
    <col min="6" max="6" width="21.33203125" customWidth="1"/>
    <col min="7" max="7" width="17.6640625" customWidth="1"/>
    <col min="8" max="8" width="18.6640625" customWidth="1"/>
    <col min="9" max="9" width="18.44140625" customWidth="1"/>
    <col min="10" max="10" width="20.88671875" customWidth="1"/>
    <col min="11" max="11" width="21.6640625" customWidth="1"/>
    <col min="17" max="17" width="18.33203125" customWidth="1"/>
    <col min="18" max="18" width="15.33203125" customWidth="1"/>
    <col min="19" max="19" width="19.88671875" customWidth="1"/>
    <col min="20" max="20" width="16.33203125" bestFit="1" customWidth="1"/>
  </cols>
  <sheetData>
    <row r="1" spans="1:41" s="135" customFormat="1" ht="30" customHeight="1">
      <c r="A1" s="1"/>
      <c r="B1" s="137"/>
    </row>
    <row r="2" spans="1:41" s="135" customFormat="1" ht="30" customHeight="1">
      <c r="A2" s="1"/>
      <c r="B2" s="137"/>
      <c r="C2" s="136" t="str">
        <f>IF(Idioma=Castellano,"2. Cálculo de Alternativas",IF(Idioma=Valencià,"2. Càlcul d'alternatives ","2. Cálculo de Alternativas"))</f>
        <v>2. Cálculo de Alternativas</v>
      </c>
    </row>
    <row r="3" spans="1:41" s="135" customFormat="1" ht="30" customHeight="1">
      <c r="A3" s="1"/>
      <c r="B3" s="137"/>
    </row>
    <row r="4" spans="1:41" s="245" customFormat="1" ht="15" customHeight="1">
      <c r="A4" s="143"/>
      <c r="B4" s="655" t="s">
        <v>645</v>
      </c>
      <c r="C4" s="655"/>
      <c r="D4" s="655"/>
      <c r="E4" s="655"/>
      <c r="F4" s="655"/>
      <c r="G4" s="655"/>
      <c r="H4" s="244"/>
    </row>
    <row r="5" spans="1:41" s="245" customFormat="1" ht="15" customHeight="1">
      <c r="A5" s="143"/>
      <c r="B5" s="655"/>
      <c r="C5" s="655"/>
      <c r="D5" s="655"/>
      <c r="E5" s="655"/>
      <c r="F5" s="655"/>
      <c r="G5" s="655"/>
      <c r="H5" s="244"/>
    </row>
    <row r="6" spans="1:41" s="135" customFormat="1">
      <c r="A6" s="335" t="str">
        <f>IF(Idioma=Castellano,"Índice",IF(Idioma=Valencià,"Índex","Índice"))</f>
        <v>Índice</v>
      </c>
      <c r="B6" s="240" t="str">
        <f>IF(Idioma=Castellano,"A. Consumo energético",IF(Idioma=Valencià,"A. Consum energètic","A. Consumo energético"))</f>
        <v>A. Consumo energético</v>
      </c>
      <c r="O6" s="241"/>
      <c r="Q6" s="241"/>
      <c r="Z6" s="241"/>
    </row>
    <row r="7" spans="1:41" ht="14.4">
      <c r="A7" s="202" t="str">
        <f>IF(Idioma=Castellano,"Instrucciones",IF(Idioma=Valencià,"Instruccions","Instrucciones"))</f>
        <v>Instrucciones</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8">
      <c r="A8" s="203" t="str">
        <f>IF(Idioma=Castellano,"Sección de Mitigación",IF(Idioma=Valencià,"Secció de Mitigació", "Sección de Mitigación"))</f>
        <v>Sección de Mitigación</v>
      </c>
      <c r="B8" s="1"/>
      <c r="C8" s="1"/>
      <c r="D8" s="1"/>
      <c r="E8" s="195"/>
      <c r="F8" s="1"/>
      <c r="G8" s="1"/>
      <c r="H8" s="1"/>
      <c r="I8" s="1"/>
      <c r="J8" s="1"/>
      <c r="K8" s="1"/>
      <c r="L8" s="1"/>
      <c r="M8" s="1"/>
      <c r="N8" s="1"/>
      <c r="O8" s="1"/>
      <c r="P8" s="246" t="str">
        <f>IF(Idioma=Castellano,"A. Resultados demanda energética",IF(Idioma=Valencià,"A. Resultats demanda energètica","A. Resultados demanda energética"))</f>
        <v>A. Resultados demanda energética</v>
      </c>
      <c r="Q8" s="1"/>
      <c r="R8" s="1"/>
      <c r="S8" s="1"/>
      <c r="T8" s="1"/>
      <c r="U8" s="1"/>
      <c r="V8" s="1"/>
      <c r="W8" s="1"/>
      <c r="X8" s="1"/>
      <c r="Y8" s="1"/>
      <c r="Z8" s="1"/>
      <c r="AA8" s="246" t="str">
        <f>IF(Idioma=Castellano,"A. Resultados emisiones",IF(Idioma=Valencià,"A. Resultats emissions"))</f>
        <v>A. Resultados emisiones</v>
      </c>
      <c r="AB8" s="1"/>
      <c r="AC8" s="1"/>
      <c r="AD8" s="1"/>
      <c r="AE8" s="1"/>
      <c r="AF8" s="1"/>
      <c r="AG8" s="1"/>
      <c r="AH8" s="1"/>
      <c r="AI8" s="1"/>
      <c r="AJ8" s="1"/>
      <c r="AK8" s="1"/>
      <c r="AL8" s="1"/>
      <c r="AM8" s="1"/>
      <c r="AN8" s="1"/>
      <c r="AO8" s="1"/>
    </row>
    <row r="9" spans="1:41" ht="14.4">
      <c r="A9" s="204" t="str">
        <f>IF(Idioma=Castellano,"1. Datos de entrada",IF(Idioma=Valencià,"1.Dades d'entrada","1. Datos de entrada"))</f>
        <v>1. Datos de entrada</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18">
      <c r="A10" s="204" t="str">
        <f>IF(Idioma=Castellano,"2. Cálculo de Alternativas:",IF(Idioma=Valencià,"2. Càlcul d'alternatives :","2. Cálculo de Alternativas:"))</f>
        <v>2. Cálculo de Alternativas:</v>
      </c>
      <c r="B10" s="1"/>
      <c r="C10" s="246" t="str">
        <f>IF(Idioma=Castellano,"A.1. Uso de la vivienda",IF(Idioma=Valencià,"A.1. Ús de l'habitatge","A.1. Uso de la vivienda"))</f>
        <v>A.1. Uso de la vivienda</v>
      </c>
      <c r="D10" s="1"/>
      <c r="E10" s="1"/>
      <c r="F10" s="1"/>
      <c r="G10" s="1"/>
      <c r="H10" s="1"/>
      <c r="I10" s="1"/>
      <c r="J10" s="1"/>
      <c r="K10" s="1"/>
      <c r="L10" s="1"/>
      <c r="M10" s="1"/>
      <c r="N10" s="1"/>
      <c r="O10" s="542" t="str">
        <f>IF(Idioma=Castellano,"Demanda asociada a usos de vivienda",IF(Idioma=Valencià,"Demanda associades a ús d'habitatge"))</f>
        <v>Demanda asociada a usos de vivienda</v>
      </c>
      <c r="P10" s="1"/>
      <c r="Q10" s="1"/>
      <c r="R10" s="1"/>
      <c r="S10" s="542" t="str">
        <f>IF(Idioma=Castellano,"Demanda energética asociadas a los tipos de viviendas",IF(Idioma=Valencià,"Demanda energètica associades als tipus d'habitatges"))</f>
        <v>Demanda energética asociadas a los tipos de viviendas</v>
      </c>
      <c r="T10" s="1"/>
      <c r="U10" s="1"/>
      <c r="V10" s="1"/>
      <c r="W10" s="1"/>
      <c r="X10" s="1"/>
      <c r="Y10" s="1"/>
      <c r="Z10" s="1"/>
      <c r="AA10" s="542" t="str">
        <f>IF(Idioma=Castellano,"Emisiones asociada a usos de vivienda",IF(Idioma=Valencià,"Emissions associades a ús d'habitatge"))</f>
        <v>Emisiones asociada a usos de vivienda</v>
      </c>
      <c r="AB10" s="1"/>
      <c r="AC10" s="1"/>
      <c r="AD10" s="1"/>
      <c r="AE10" s="1"/>
      <c r="AF10" s="1"/>
      <c r="AG10" s="542" t="str">
        <f>IF(Idioma=Castellano,"Emisiones energética asociadas a los tipos de viviendas",IF(Idioma=Valencià,"Emissions energètica associades als tipus d'habitatges"))</f>
        <v>Emisiones energética asociadas a los tipos de viviendas</v>
      </c>
      <c r="AH10" s="1"/>
      <c r="AI10" s="1"/>
      <c r="AJ10" s="1"/>
      <c r="AK10" s="1"/>
      <c r="AL10" s="1"/>
      <c r="AM10" s="1"/>
      <c r="AN10" s="1"/>
      <c r="AO10" s="1"/>
    </row>
    <row r="11" spans="1:41" ht="14.4">
      <c r="A11" s="205" t="s">
        <v>1</v>
      </c>
      <c r="B11" s="1"/>
      <c r="C11" s="47"/>
      <c r="D11" s="652" t="str">
        <f>IF(Idioma=Castellano,"Vivienda Unifamiliar",IF(Idioma=Valencià,"Habitatge Unifamiliar","Vivienda Unifamiliar"))</f>
        <v>Vivienda Unifamiliar</v>
      </c>
      <c r="E11" s="654"/>
      <c r="F11" s="653"/>
      <c r="G11" s="652" t="str">
        <f>IF(Idioma=Castellano,"Vivienda Plurifamiliar",IF(Idioma=Valencià,"Habitatge Plurifamiliar","Vivienda Plurifamiliar"))</f>
        <v>Vivienda Plurifamiliar</v>
      </c>
      <c r="H11" s="654"/>
      <c r="I11" s="653"/>
      <c r="J11" s="158"/>
      <c r="K11" s="48"/>
      <c r="L11" s="1"/>
      <c r="M11" s="1"/>
      <c r="N11" s="1"/>
      <c r="P11" s="1"/>
      <c r="Q11" s="1"/>
      <c r="R11" s="1"/>
      <c r="S11" s="1"/>
      <c r="V11" s="1"/>
      <c r="W11" s="1"/>
      <c r="X11" s="1"/>
      <c r="Y11" s="1"/>
      <c r="Z11" s="46"/>
      <c r="AA11" s="1"/>
      <c r="AB11" s="1"/>
      <c r="AC11" s="1"/>
      <c r="AD11" s="1"/>
      <c r="AE11" s="1"/>
      <c r="AF11" s="1"/>
      <c r="AG11" s="1"/>
      <c r="AH11" s="1"/>
      <c r="AI11" s="1"/>
      <c r="AJ11" s="1"/>
      <c r="AK11" s="1"/>
      <c r="AL11" s="1"/>
      <c r="AM11" s="1"/>
      <c r="AN11" s="1"/>
      <c r="AO11" s="1"/>
    </row>
    <row r="12" spans="1:41" ht="14.4">
      <c r="A12" s="205" t="s">
        <v>2</v>
      </c>
      <c r="B12" s="1"/>
      <c r="C12" s="289" t="s">
        <v>622</v>
      </c>
      <c r="D12" s="525" t="s">
        <v>623</v>
      </c>
      <c r="E12" s="525" t="s">
        <v>948</v>
      </c>
      <c r="F12" s="526" t="str">
        <f>IF(Idioma=Castellano,"Emisiones (t CO2e)",IF(Idioma=Valencià,"Emissions (t CO2e) ","Emisiones (t CO2e)"))</f>
        <v>Emisiones (t CO2e)</v>
      </c>
      <c r="G12" s="525" t="s">
        <v>623</v>
      </c>
      <c r="H12" s="525" t="s">
        <v>948</v>
      </c>
      <c r="I12" s="526" t="str">
        <f>IF(Idioma=Castellano,"Emisiones (t CO2e)",IF(Idioma=Valencià,"Emissions (t CO2e) ","Emisiones (t CO2e)"))</f>
        <v>Emisiones (t CO2e)</v>
      </c>
      <c r="J12" s="545" t="str">
        <f>IF(Idioma=Castellano,"Total Demanda (MWh/año)",IF(Idioma=Valencià,"Total Demanda (MWh/any)","Total Demanda (MWh/año)"))</f>
        <v>Total Demanda (MWh/año)</v>
      </c>
      <c r="K12" s="526" t="str">
        <f>IF(Idioma=Castellano,"Total de emisiones (t CO2e/año)",IF(Idioma=Valencià,"Total d'emissions (t CO2e/any) ","Total de emisiones (t CO2e/año)"))</f>
        <v>Total de emisiones (t CO2e/año)</v>
      </c>
      <c r="L12" s="1"/>
      <c r="M12" s="1"/>
      <c r="N12" s="7"/>
      <c r="O12" s="7"/>
      <c r="P12" s="7"/>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ht="14.4">
      <c r="A13" s="205" t="s">
        <v>3</v>
      </c>
      <c r="B13" s="1"/>
      <c r="C13" s="289" t="str">
        <f>IF(Idioma=Castellano,"Existente",IF(Idioma=Valencià,"Existent","Existente"))</f>
        <v>Existente</v>
      </c>
      <c r="D13" s="551">
        <f>SUMIF(M_Datos!$I$42:$I$44,M_Lista!G3,M_Datos!$G$42:$G$44)</f>
        <v>0</v>
      </c>
      <c r="E13" s="312" t="e">
        <f>D13*VLOOKUP($D$11&amp;M_Datos!$E$12&amp;M_A3!C13,M_Factores!$F$10:$H$207,2,FALSE)/(10^3)</f>
        <v>#N/A</v>
      </c>
      <c r="F13" s="313" t="e">
        <f>D13*VLOOKUP($D$11&amp;M_Datos!$E$12&amp;M_A3!C13,M_Factores!$F$10:$H$207,3,FALSE)/1000</f>
        <v>#N/A</v>
      </c>
      <c r="G13" s="551">
        <f>SUMIF(M_Datos!$I$45:$I$47,M_Lista!G3,M_Datos!$G$45:$G$47)</f>
        <v>0</v>
      </c>
      <c r="H13" s="312" t="e">
        <f>G13*VLOOKUP($G$11&amp;M_Datos!$E$12&amp;M_A3!C13,M_Factores!$F$10:$H$207,2,FALSE)/(10^3)</f>
        <v>#N/A</v>
      </c>
      <c r="I13" s="313" t="e">
        <f>G13*VLOOKUP($G$11&amp;M_Datos!$E$12&amp;M_A3!C13,M_Factores!$F$10:$H$207,3,FALSE)/1000</f>
        <v>#N/A</v>
      </c>
      <c r="J13" s="314" t="e">
        <f>E13+H13</f>
        <v>#N/A</v>
      </c>
      <c r="K13" s="313" t="e">
        <f t="shared" ref="K13:K21" si="0">F13+I13</f>
        <v>#N/A</v>
      </c>
      <c r="L13" s="1"/>
      <c r="M13" s="1"/>
      <c r="N13" s="7"/>
      <c r="O13" s="7"/>
      <c r="P13" s="7"/>
      <c r="Q13" s="1"/>
      <c r="R13" s="1"/>
      <c r="S13" s="1"/>
      <c r="T13" s="1"/>
      <c r="U13" s="1"/>
      <c r="V13" s="1"/>
      <c r="W13" s="1"/>
      <c r="X13" s="1"/>
      <c r="Y13" s="46"/>
      <c r="Z13" s="1"/>
      <c r="AA13" s="1"/>
      <c r="AB13" s="1"/>
      <c r="AC13" s="1"/>
      <c r="AD13" s="1"/>
      <c r="AE13" s="1"/>
      <c r="AF13" s="1"/>
      <c r="AG13" s="1"/>
      <c r="AH13" s="1"/>
      <c r="AI13" s="1"/>
      <c r="AJ13" s="1"/>
      <c r="AK13" s="1"/>
      <c r="AL13" s="1"/>
      <c r="AM13" s="1"/>
      <c r="AN13" s="1"/>
      <c r="AO13" s="1"/>
    </row>
    <row r="14" spans="1:41" ht="14.4">
      <c r="A14" s="205" t="s">
        <v>4</v>
      </c>
      <c r="B14" s="1"/>
      <c r="C14" s="289" t="s">
        <v>625</v>
      </c>
      <c r="D14" s="551">
        <f>SUMIF(M_Datos!$I$42:$I$44,M_Lista!G4,M_Datos!$G$42:$G$44)</f>
        <v>0</v>
      </c>
      <c r="E14" s="312" t="e">
        <f>D14*VLOOKUP($D$11&amp;M_Datos!$E$12&amp;M_A3!C14,M_Factores!$F$10:$H$207,2,FALSE)/(10^3)</f>
        <v>#N/A</v>
      </c>
      <c r="F14" s="313" t="e">
        <f>D14*VLOOKUP($D$11&amp;M_Datos!$E$12&amp;M_A3!C14,M_Factores!$F$10:$H$207,3,FALSE)/1000</f>
        <v>#N/A</v>
      </c>
      <c r="G14" s="551">
        <f>SUMIF(M_Datos!$I$45:$I$47,M_Lista!G4,M_Datos!$G$45:$G$47)</f>
        <v>0</v>
      </c>
      <c r="H14" s="312" t="e">
        <f>G14*VLOOKUP($G$11&amp;M_Datos!$E$12&amp;M_A3!C14,M_Factores!$F$10:$H$207,2,FALSE)/(10^3)</f>
        <v>#N/A</v>
      </c>
      <c r="I14" s="313" t="e">
        <f>G14*VLOOKUP($G$11&amp;M_Datos!$E$12&amp;M_A3!C14,M_Factores!$F$10:$H$207,3,FALSE)/1000</f>
        <v>#N/A</v>
      </c>
      <c r="J14" s="314" t="e">
        <f t="shared" ref="J14:J21" si="1">E14+H14</f>
        <v>#N/A</v>
      </c>
      <c r="K14" s="313" t="e">
        <f t="shared" si="0"/>
        <v>#N/A</v>
      </c>
      <c r="L14" s="1"/>
      <c r="M14" s="1"/>
      <c r="N14" s="49" t="e">
        <f>F22</f>
        <v>#N/A</v>
      </c>
      <c r="O14" s="49" t="e">
        <f>I22</f>
        <v>#N/A</v>
      </c>
      <c r="P14" s="7"/>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ht="14.4">
      <c r="A15" s="205" t="s">
        <v>5</v>
      </c>
      <c r="B15" s="1"/>
      <c r="C15" s="289" t="s">
        <v>626</v>
      </c>
      <c r="D15" s="551">
        <f>SUMIF(M_Datos!$I$42:$I$44,M_Lista!G5,M_Datos!$G$42:$G$44)</f>
        <v>0</v>
      </c>
      <c r="E15" s="312" t="e">
        <f>D15*VLOOKUP($D$11&amp;M_Datos!$E$12&amp;M_A3!C15,M_Factores!$F$10:$H$207,2,FALSE)/(10^3)</f>
        <v>#N/A</v>
      </c>
      <c r="F15" s="313" t="e">
        <f>D15*VLOOKUP($D$11&amp;M_Datos!$E$12&amp;M_A3!C15,M_Factores!$F$10:$H$207,3,FALSE)/1000</f>
        <v>#N/A</v>
      </c>
      <c r="G15" s="551">
        <f>SUMIF(M_Datos!$I$45:$I$47,M_Lista!G5,M_Datos!$G$45:$G$47)</f>
        <v>0</v>
      </c>
      <c r="H15" s="312" t="e">
        <f>G15*VLOOKUP($G$11&amp;M_Datos!$E$12&amp;M_A3!C15,M_Factores!$F$10:$H$207,2,FALSE)/(10^3)</f>
        <v>#N/A</v>
      </c>
      <c r="I15" s="313" t="e">
        <f>G15*VLOOKUP($G$11&amp;M_Datos!$E$12&amp;M_A3!C15,M_Factores!$F$10:$H$207,3,FALSE)/1000</f>
        <v>#N/A</v>
      </c>
      <c r="J15" s="314" t="e">
        <f t="shared" si="1"/>
        <v>#N/A</v>
      </c>
      <c r="K15" s="313" t="e">
        <f t="shared" si="0"/>
        <v>#N/A</v>
      </c>
      <c r="L15" s="1"/>
      <c r="M15" s="1"/>
      <c r="N15" s="7"/>
      <c r="O15" s="7"/>
      <c r="P15" s="7"/>
      <c r="Q15" s="1"/>
      <c r="R15" s="1"/>
      <c r="S15" s="1"/>
      <c r="T15" s="1"/>
      <c r="U15" s="1"/>
      <c r="V15" s="1"/>
      <c r="W15" s="1"/>
      <c r="X15" s="1"/>
      <c r="Y15" s="46"/>
      <c r="Z15" s="1"/>
      <c r="AA15" s="1"/>
      <c r="AB15" s="1"/>
      <c r="AC15" s="1"/>
      <c r="AD15" s="1"/>
      <c r="AE15" s="1"/>
      <c r="AF15" s="1"/>
      <c r="AG15" s="1"/>
      <c r="AH15" s="1"/>
      <c r="AI15" s="1"/>
      <c r="AJ15" s="1"/>
      <c r="AK15" s="1"/>
      <c r="AL15" s="1"/>
      <c r="AM15" s="1"/>
      <c r="AN15" s="1"/>
      <c r="AO15" s="1"/>
    </row>
    <row r="16" spans="1:41" ht="14.4">
      <c r="A16" s="204" t="str">
        <f>IF(Idioma=Castellano,"3. Resultados",IF(Idioma=Valencià,"3. Resultats","3. Resultados"))</f>
        <v>3. Resultados</v>
      </c>
      <c r="B16" s="1"/>
      <c r="C16" s="289" t="s">
        <v>627</v>
      </c>
      <c r="D16" s="551">
        <f>SUMIF(M_Datos!$I$42:$I$44,M_Lista!G6,M_Datos!$G$42:$G$44)</f>
        <v>0</v>
      </c>
      <c r="E16" s="312" t="e">
        <f>D16*VLOOKUP($D$11&amp;M_Datos!$E$12&amp;M_A3!C16,M_Factores!$F$10:$H$207,2,FALSE)/(10^3)</f>
        <v>#N/A</v>
      </c>
      <c r="F16" s="313" t="e">
        <f>D16*VLOOKUP($D$11&amp;M_Datos!$E$12&amp;M_A3!C16,M_Factores!$F$10:$H$207,3,FALSE)/1000</f>
        <v>#N/A</v>
      </c>
      <c r="G16" s="551">
        <f>SUMIF(M_Datos!$I$45:$I$47,M_Lista!G6,M_Datos!$G$45:$G$47)</f>
        <v>0</v>
      </c>
      <c r="H16" s="312" t="e">
        <f>G16*VLOOKUP($G$11&amp;M_Datos!$E$12&amp;M_A3!C16,M_Factores!$F$10:$H$207,2,FALSE)/(10^3)</f>
        <v>#N/A</v>
      </c>
      <c r="I16" s="313" t="e">
        <f>G16*VLOOKUP($G$11&amp;M_Datos!$E$12&amp;M_A3!C16,M_Factores!$F$10:$H$207,3,FALSE)/1000</f>
        <v>#N/A</v>
      </c>
      <c r="J16" s="314" t="e">
        <f t="shared" si="1"/>
        <v>#N/A</v>
      </c>
      <c r="K16" s="313" t="e">
        <f t="shared" si="0"/>
        <v>#N/A</v>
      </c>
      <c r="L16" s="1"/>
      <c r="M16" s="1"/>
      <c r="N16" s="7"/>
      <c r="O16" s="7"/>
      <c r="P16" s="7"/>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4.4">
      <c r="A17" s="204" t="str">
        <f>IF(Idioma=Castellano,"4. Factores de emisión",IF(Idioma=Valencià,"4. Factors d'emissió","4. Factores de emisión"))</f>
        <v>4. Factores de emisión</v>
      </c>
      <c r="B17" s="1"/>
      <c r="C17" s="289" t="s">
        <v>628</v>
      </c>
      <c r="D17" s="551">
        <f>SUMIF(M_Datos!$I$42:$I$44,M_Lista!G7,M_Datos!$G$42:$G$44)</f>
        <v>0</v>
      </c>
      <c r="E17" s="312" t="e">
        <f>D17*VLOOKUP($D$11&amp;M_Datos!$E$12&amp;M_A3!C17,M_Factores!$F$10:$H$207,2,FALSE)/(10^3)</f>
        <v>#N/A</v>
      </c>
      <c r="F17" s="313" t="e">
        <f>D17*VLOOKUP($D$11&amp;M_Datos!$E$12&amp;M_A3!C17,M_Factores!$F$10:$H$207,3,FALSE)/1000</f>
        <v>#N/A</v>
      </c>
      <c r="G17" s="551">
        <f>SUMIF(M_Datos!$I$45:$I$47,M_Lista!G7,M_Datos!$G$45:$G$47)</f>
        <v>0</v>
      </c>
      <c r="H17" s="312" t="e">
        <f>G17*VLOOKUP($G$11&amp;M_Datos!$E$12&amp;M_A3!C17,M_Factores!$F$10:$H$207,2,FALSE)/(10^3)</f>
        <v>#N/A</v>
      </c>
      <c r="I17" s="313" t="e">
        <f>G17*VLOOKUP($G$11&amp;M_Datos!$E$12&amp;M_A3!C17,M_Factores!$F$10:$H$207,3,FALSE)/1000</f>
        <v>#N/A</v>
      </c>
      <c r="J17" s="314" t="e">
        <f t="shared" si="1"/>
        <v>#N/A</v>
      </c>
      <c r="K17" s="313" t="e">
        <f t="shared" si="0"/>
        <v>#N/A</v>
      </c>
      <c r="L17" s="1"/>
      <c r="M17" s="1"/>
      <c r="N17" s="7"/>
      <c r="O17" s="7"/>
      <c r="P17" s="7"/>
      <c r="Q17" s="1"/>
      <c r="R17" s="1"/>
      <c r="S17" s="1"/>
      <c r="T17" s="1"/>
      <c r="U17" s="1"/>
      <c r="V17" s="1"/>
      <c r="W17" s="1"/>
      <c r="X17" s="1"/>
      <c r="Y17" s="46"/>
      <c r="Z17" s="1"/>
      <c r="AA17" s="1"/>
      <c r="AB17" s="1"/>
      <c r="AC17" s="1"/>
      <c r="AD17" s="1"/>
      <c r="AE17" s="1"/>
      <c r="AF17" s="3"/>
      <c r="AG17" s="3"/>
      <c r="AH17" s="3"/>
      <c r="AI17" s="3"/>
      <c r="AJ17" s="3"/>
      <c r="AK17" s="3"/>
      <c r="AL17" s="3"/>
      <c r="AM17" s="3"/>
      <c r="AN17" s="3"/>
      <c r="AO17" s="3"/>
    </row>
    <row r="18" spans="1:41" ht="14.4">
      <c r="A18" s="203" t="str">
        <f>IF(Idioma=Castellano,"Sección de Adaptación",IF(Idioma=Valencià,"Secció d'Adaptació","Sección de Adaptación"))</f>
        <v>Sección de Adaptación</v>
      </c>
      <c r="B18" s="3"/>
      <c r="C18" s="289" t="s">
        <v>629</v>
      </c>
      <c r="D18" s="551">
        <f>SUMIF(M_Datos!$I$42:$I$44,M_Lista!G8,M_Datos!$G$42:$G$44)</f>
        <v>0</v>
      </c>
      <c r="E18" s="312" t="e">
        <f>D18*VLOOKUP($D$11&amp;M_Datos!$E$12&amp;M_A3!C18,M_Factores!$F$10:$H$207,2,FALSE)/(10^3)</f>
        <v>#N/A</v>
      </c>
      <c r="F18" s="313" t="e">
        <f>D18*VLOOKUP($D$11&amp;M_Datos!$E$12&amp;M_A3!C18,M_Factores!$F$10:$H$207,3,FALSE)/1000</f>
        <v>#N/A</v>
      </c>
      <c r="G18" s="551">
        <f>SUMIF(M_Datos!$I$45:$I$47,M_Lista!G8,M_Datos!$G$45:$G$47)</f>
        <v>0</v>
      </c>
      <c r="H18" s="312" t="e">
        <f>G18*VLOOKUP($G$11&amp;M_Datos!$E$12&amp;M_A3!C18,M_Factores!$F$10:$H$207,2,FALSE)/(10^3)</f>
        <v>#N/A</v>
      </c>
      <c r="I18" s="313" t="e">
        <f>G18*VLOOKUP($G$11&amp;M_Datos!$E$12&amp;M_A3!C18,M_Factores!$F$10:$H$207,3,FALSE)/1000</f>
        <v>#N/A</v>
      </c>
      <c r="J18" s="314" t="e">
        <f t="shared" si="1"/>
        <v>#N/A</v>
      </c>
      <c r="K18" s="313" t="e">
        <f t="shared" si="0"/>
        <v>#N/A</v>
      </c>
      <c r="L18" s="1"/>
      <c r="M18" s="1"/>
      <c r="N18" s="7"/>
      <c r="O18" s="7"/>
      <c r="P18" s="7"/>
      <c r="Q18" s="1"/>
      <c r="R18" s="1"/>
      <c r="S18" s="1"/>
      <c r="T18" s="1"/>
      <c r="U18" s="1"/>
      <c r="V18" s="1"/>
      <c r="W18" s="1"/>
      <c r="X18" s="1"/>
      <c r="Y18" s="1"/>
      <c r="Z18" s="1"/>
      <c r="AA18" s="1"/>
      <c r="AB18" s="1"/>
      <c r="AC18" s="1"/>
      <c r="AD18" s="1"/>
      <c r="AE18" s="1"/>
      <c r="AF18" s="3"/>
      <c r="AG18" s="3"/>
      <c r="AH18" s="3"/>
      <c r="AI18" s="3"/>
      <c r="AJ18" s="3"/>
      <c r="AK18" s="3"/>
      <c r="AL18" s="3"/>
      <c r="AM18" s="3"/>
      <c r="AN18" s="3"/>
      <c r="AO18" s="3"/>
    </row>
    <row r="19" spans="1:41" ht="14.4">
      <c r="A19" s="204" t="str">
        <f>IF(Idioma=Castellano,"1. Alcance",IF(Idioma=Valencià,"1. Abast","1. Alcance"))</f>
        <v>1. Alcance</v>
      </c>
      <c r="B19" s="3"/>
      <c r="C19" s="289" t="s">
        <v>630</v>
      </c>
      <c r="D19" s="551">
        <f>SUMIF(M_Datos!$I$42:$I$44,M_Lista!G9,M_Datos!$G$42:$G$44)</f>
        <v>0</v>
      </c>
      <c r="E19" s="312" t="e">
        <f>D19*VLOOKUP($D$11&amp;M_Datos!$E$12&amp;M_A3!C19,M_Factores!$F$10:$H$207,2,FALSE)/(10^3)</f>
        <v>#N/A</v>
      </c>
      <c r="F19" s="313" t="e">
        <f>D19*VLOOKUP($D$11&amp;M_Datos!$E$12&amp;M_A3!C19,M_Factores!$F$10:$H$207,3,FALSE)/1000</f>
        <v>#N/A</v>
      </c>
      <c r="G19" s="551">
        <f>SUMIF(M_Datos!$I$45:$I$47,M_Lista!G9,M_Datos!$G$45:$G$47)</f>
        <v>0</v>
      </c>
      <c r="H19" s="312" t="e">
        <f>G19*VLOOKUP($G$11&amp;M_Datos!$E$12&amp;M_A3!C19,M_Factores!$F$10:$H$207,2,FALSE)/(10^3)</f>
        <v>#N/A</v>
      </c>
      <c r="I19" s="313" t="e">
        <f>G19*VLOOKUP($G$11&amp;M_Datos!$E$12&amp;M_A3!C19,M_Factores!$F$10:$H$207,3,FALSE)/1000</f>
        <v>#N/A</v>
      </c>
      <c r="J19" s="314" t="e">
        <f t="shared" si="1"/>
        <v>#N/A</v>
      </c>
      <c r="K19" s="313" t="e">
        <f t="shared" si="0"/>
        <v>#N/A</v>
      </c>
      <c r="L19" s="1"/>
      <c r="M19" s="1"/>
      <c r="N19" s="7"/>
      <c r="O19" s="7"/>
      <c r="P19" s="7"/>
      <c r="Q19" s="1"/>
      <c r="R19" s="1"/>
      <c r="S19" s="1"/>
      <c r="T19" s="1"/>
      <c r="U19" s="1"/>
      <c r="V19" s="1"/>
      <c r="W19" s="1"/>
      <c r="X19" s="1"/>
      <c r="Y19" s="46"/>
      <c r="Z19" s="1"/>
      <c r="AA19" s="1"/>
      <c r="AB19" s="1"/>
      <c r="AC19" s="1"/>
      <c r="AD19" s="1"/>
      <c r="AE19" s="1"/>
      <c r="AF19" s="1"/>
      <c r="AG19" s="1"/>
      <c r="AH19" s="1"/>
      <c r="AI19" s="1"/>
      <c r="AJ19" s="1"/>
      <c r="AK19" s="1"/>
      <c r="AL19" s="1"/>
      <c r="AM19" s="1"/>
      <c r="AN19" s="1"/>
      <c r="AO19" s="1"/>
    </row>
    <row r="20" spans="1:41" ht="14.4">
      <c r="A20" s="204" t="s">
        <v>6</v>
      </c>
      <c r="B20" s="1"/>
      <c r="C20" s="289" t="str">
        <f>IF(Idioma=Castellano,"Consumo nulo",IF(Idioma=Valencià,"Consum nul","Consumo nulo"))</f>
        <v>Consumo nulo</v>
      </c>
      <c r="D20" s="551">
        <f>SUMIF(M_Datos!$I$42:$I$44,M_Lista!G10,M_Datos!$G$42:$G$44)</f>
        <v>0</v>
      </c>
      <c r="E20" s="312" t="e">
        <f>D20*VLOOKUP($D$11&amp;M_Datos!$E$12&amp;M_A3!C20,M_Factores!$F$10:$H$207,2,FALSE)/(10^3)</f>
        <v>#N/A</v>
      </c>
      <c r="F20" s="313" t="e">
        <f>D20*VLOOKUP($D$11&amp;M_Datos!$E$12&amp;M_A3!C20,M_Factores!$F$10:$H$207,3,FALSE)/1000</f>
        <v>#N/A</v>
      </c>
      <c r="G20" s="551">
        <f>SUMIF(M_Datos!$I$45:$I$47,M_Lista!G10,M_Datos!$G$45:$G$47)</f>
        <v>0</v>
      </c>
      <c r="H20" s="312" t="e">
        <f>G20*VLOOKUP($G$11&amp;M_Datos!$E$12&amp;M_A3!C20,M_Factores!$F$10:$H$207,2,FALSE)/(10^3)</f>
        <v>#N/A</v>
      </c>
      <c r="I20" s="313" t="e">
        <f>G20*VLOOKUP($G$11&amp;M_Datos!$E$12&amp;M_A3!C20,M_Factores!$F$10:$H$207,3,FALSE)/1000</f>
        <v>#N/A</v>
      </c>
      <c r="J20" s="314" t="e">
        <f t="shared" si="1"/>
        <v>#N/A</v>
      </c>
      <c r="K20" s="313" t="e">
        <f t="shared" si="0"/>
        <v>#N/A</v>
      </c>
      <c r="L20" s="1"/>
      <c r="M20" s="1"/>
      <c r="N20" s="7"/>
      <c r="O20" s="7"/>
      <c r="P20" s="7"/>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41" ht="14.4">
      <c r="A21" s="204" t="str">
        <f>IF(Idioma=Castellano,"3. Resultados",IF(Idioma=Valencià,"3. Resultats","3. Resultados"))</f>
        <v>3. Resultados</v>
      </c>
      <c r="B21" s="1"/>
      <c r="C21" s="289" t="str">
        <f>IF(Idioma=Castellano,"Sin definir",IF(Idioma=Valencià,"Sense definir","Sin definir"))</f>
        <v>Sin definir</v>
      </c>
      <c r="D21" s="551">
        <f>SUMIF(M_Datos!$I$42:$I$44,M_Lista!G11,M_Datos!$G$42:$G$44)</f>
        <v>0</v>
      </c>
      <c r="E21" s="312" t="e">
        <f>D21*VLOOKUP($D$11&amp;M_Datos!$E$12&amp;M_A3!C21,M_Factores!$F$10:$H$207,2,FALSE)/(10^3)</f>
        <v>#N/A</v>
      </c>
      <c r="F21" s="313" t="e">
        <f>D21*VLOOKUP($D$11&amp;M_Datos!$E$12&amp;M_A3!C21,M_Factores!$F$10:$H$207,3,FALSE)/1000</f>
        <v>#N/A</v>
      </c>
      <c r="G21" s="551">
        <f>SUMIF(M_Datos!$I$45:$I$47,M_Lista!G11,M_Datos!$G$45:$G$47)</f>
        <v>0</v>
      </c>
      <c r="H21" s="312" t="e">
        <f>G21*VLOOKUP($G$11&amp;M_Datos!$E$12&amp;M_A3!C21,M_Factores!$F$10:$H$207,2,FALSE)/(10^3)</f>
        <v>#N/A</v>
      </c>
      <c r="I21" s="313" t="e">
        <f>G21*VLOOKUP($G$11&amp;M_Datos!$E$12&amp;M_A3!C21,M_Factores!$F$10:$H$207,3,FALSE)/1000</f>
        <v>#N/A</v>
      </c>
      <c r="J21" s="314" t="e">
        <f t="shared" si="1"/>
        <v>#N/A</v>
      </c>
      <c r="K21" s="313" t="e">
        <f t="shared" si="0"/>
        <v>#N/A</v>
      </c>
      <c r="L21" s="1"/>
      <c r="M21" s="1"/>
      <c r="N21" s="1"/>
      <c r="O21" s="1"/>
      <c r="P21" s="1"/>
      <c r="Q21" s="1"/>
      <c r="R21" s="1"/>
      <c r="S21" s="1"/>
      <c r="T21" s="1"/>
      <c r="U21" s="1"/>
      <c r="V21" s="1"/>
      <c r="W21" s="1"/>
      <c r="X21" s="1"/>
      <c r="Y21" s="46"/>
      <c r="Z21" s="1"/>
      <c r="AA21" s="1"/>
      <c r="AB21" s="1"/>
      <c r="AC21" s="1"/>
      <c r="AD21" s="1"/>
      <c r="AE21" s="1"/>
      <c r="AF21" s="1"/>
      <c r="AG21" s="1"/>
      <c r="AH21" s="1"/>
      <c r="AI21" s="1"/>
      <c r="AJ21" s="1"/>
      <c r="AK21" s="1"/>
      <c r="AL21" s="1"/>
      <c r="AM21" s="1"/>
      <c r="AN21" s="1"/>
      <c r="AO21" s="1"/>
    </row>
    <row r="22" spans="1:41" ht="14.4">
      <c r="A22" s="203" t="str">
        <f>IF(Idioma=Castellano,"Resultados generales",IF(Idioma=Valencià,"Resultats generals","Resultados generales"))</f>
        <v>Resultados generales</v>
      </c>
      <c r="B22" s="1"/>
      <c r="C22" s="315" t="s">
        <v>631</v>
      </c>
      <c r="D22" s="552">
        <f t="shared" ref="D22:I22" si="2">SUM(D13:D21)</f>
        <v>0</v>
      </c>
      <c r="E22" s="314" t="e">
        <f t="shared" si="2"/>
        <v>#N/A</v>
      </c>
      <c r="F22" s="317" t="e">
        <f t="shared" si="2"/>
        <v>#N/A</v>
      </c>
      <c r="G22" s="552">
        <f t="shared" si="2"/>
        <v>0</v>
      </c>
      <c r="H22" s="314" t="e">
        <f t="shared" si="2"/>
        <v>#N/A</v>
      </c>
      <c r="I22" s="317" t="e">
        <f t="shared" si="2"/>
        <v>#N/A</v>
      </c>
      <c r="J22" s="314" t="e">
        <f>E22+H22</f>
        <v>#N/A</v>
      </c>
      <c r="K22" s="506" t="e">
        <f>F22+I22</f>
        <v>#N/A</v>
      </c>
      <c r="L22" s="39"/>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1" ht="22.95" customHeight="1">
      <c r="A23" s="203" t="str">
        <f>IF(Idioma=Castellano,"Medidas Propuestas",IF(Idioma=Valencià,"Mesures Proposades","Medidas Propuestas"))</f>
        <v>Medidas Propuestas</v>
      </c>
      <c r="B23" s="1"/>
      <c r="C23" s="1"/>
      <c r="D23" s="1"/>
      <c r="E23" s="1"/>
      <c r="F23" s="1"/>
      <c r="G23" s="1"/>
      <c r="H23" s="1"/>
      <c r="I23" s="1"/>
      <c r="J23" s="1"/>
      <c r="K23" s="1"/>
      <c r="L23" s="1"/>
      <c r="M23" s="1"/>
      <c r="N23" s="1"/>
      <c r="O23" s="1"/>
      <c r="P23" s="1"/>
      <c r="Q23" s="1"/>
      <c r="R23" s="1"/>
      <c r="S23" s="1"/>
      <c r="T23" s="1"/>
      <c r="U23" s="1"/>
      <c r="V23" s="1"/>
      <c r="W23" s="1"/>
      <c r="X23" s="1"/>
      <c r="Y23" s="46"/>
      <c r="Z23" s="1"/>
      <c r="AA23" s="1"/>
      <c r="AB23" s="1"/>
      <c r="AC23" s="1"/>
      <c r="AD23" s="1"/>
      <c r="AE23" s="1"/>
      <c r="AF23" s="1"/>
      <c r="AG23" s="1"/>
      <c r="AH23" s="1"/>
      <c r="AI23" s="1"/>
      <c r="AJ23" s="1"/>
      <c r="AK23" s="1"/>
      <c r="AL23" s="1"/>
      <c r="AM23" s="1"/>
      <c r="AN23" s="1"/>
      <c r="AO23" s="1"/>
    </row>
    <row r="24" spans="1:41">
      <c r="B24" s="1"/>
      <c r="C24" s="246" t="str">
        <f>IF(Idioma=Castellano,"A.2. Actividades económicas",IF(Idioma=Valencià,"A.2. Activitats econòmiques","A.2. Actividades económicas"))</f>
        <v>A.2. Actividades económicas</v>
      </c>
      <c r="D24" s="1"/>
      <c r="E24" s="1"/>
      <c r="F24" s="1"/>
      <c r="G24" s="1"/>
      <c r="H24" s="1"/>
      <c r="I24" s="1"/>
      <c r="J24" s="1"/>
      <c r="K24" s="1"/>
      <c r="L24" s="1"/>
      <c r="M24" s="1"/>
      <c r="N24" s="1"/>
      <c r="O24" s="39"/>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3.95" customHeight="1">
      <c r="A25" s="157"/>
      <c r="B25" s="1"/>
      <c r="C25" s="46"/>
      <c r="D25" s="1"/>
      <c r="E25" s="1"/>
      <c r="F25" s="1"/>
      <c r="G25" s="1"/>
      <c r="H25" s="1"/>
      <c r="I25" s="1"/>
      <c r="J25" s="1"/>
      <c r="K25" s="1"/>
      <c r="L25" s="1"/>
      <c r="M25" s="1"/>
      <c r="N25" s="1"/>
      <c r="O25" s="39"/>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0.199999999999999" customHeight="1">
      <c r="B26" s="1"/>
      <c r="C26" s="1"/>
      <c r="D26" s="1"/>
      <c r="E26" s="1"/>
      <c r="F26" s="1"/>
      <c r="G26" s="1"/>
      <c r="H26" s="1"/>
      <c r="I26" s="1"/>
      <c r="J26" s="1"/>
      <c r="K26" s="39"/>
      <c r="L26" s="1"/>
      <c r="M26" s="4"/>
      <c r="N26" s="1"/>
      <c r="O26" s="39"/>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c r="B27" s="1"/>
      <c r="C27" s="1"/>
      <c r="D27" s="652" t="s">
        <v>632</v>
      </c>
      <c r="E27" s="654"/>
      <c r="F27" s="653"/>
      <c r="G27" s="1"/>
      <c r="H27" s="1"/>
      <c r="I27" s="1"/>
      <c r="J27" s="1"/>
      <c r="K27" s="39"/>
      <c r="L27" s="1"/>
      <c r="M27" s="4"/>
      <c r="N27" s="1"/>
      <c r="O27" s="39"/>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c r="B28" s="1"/>
      <c r="C28" s="230" t="str">
        <f>IF(Idioma=Castellano,"Tipo",IF(Idioma=Valencià,"Tipus"))</f>
        <v>Tipo</v>
      </c>
      <c r="D28" s="525" t="s">
        <v>623</v>
      </c>
      <c r="E28" s="525" t="s">
        <v>948</v>
      </c>
      <c r="F28" s="526" t="str">
        <f>IF(Idioma=Castellano,"Emisiones (t CO2e)",IF(Idioma=Valencià,"Emissions (t CO2e) ","Emisiones (t CO2e)"))</f>
        <v>Emisiones (t CO2e)</v>
      </c>
      <c r="G28" s="1"/>
      <c r="H28" s="1"/>
      <c r="I28" s="1"/>
      <c r="J28" s="1"/>
      <c r="K28" s="39"/>
      <c r="L28" s="1"/>
      <c r="M28" s="4"/>
      <c r="N28" s="1"/>
      <c r="O28" s="39"/>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c r="B29" s="1"/>
      <c r="C29" s="230" t="str">
        <f>M_Datos!L78</f>
        <v>Sin especificar</v>
      </c>
      <c r="D29" s="551">
        <f>M_Cálculos!N118</f>
        <v>0</v>
      </c>
      <c r="E29" s="312">
        <f>M_Cálculos!O118</f>
        <v>0</v>
      </c>
      <c r="F29" s="313">
        <f>M_Cálculos!P118</f>
        <v>0</v>
      </c>
      <c r="G29" s="1"/>
      <c r="H29" s="1"/>
      <c r="I29" s="1"/>
      <c r="J29" s="1"/>
      <c r="K29" s="39"/>
      <c r="L29" s="1"/>
      <c r="M29" s="4"/>
      <c r="N29" s="1"/>
      <c r="O29" s="39"/>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c r="B30" s="1"/>
      <c r="C30" s="230" t="str">
        <f>M_Datos!L81</f>
        <v>Cerámica</v>
      </c>
      <c r="D30" s="551">
        <f>M_Cálculos!N119</f>
        <v>0</v>
      </c>
      <c r="E30" s="312">
        <f>M_Cálculos!O119</f>
        <v>0</v>
      </c>
      <c r="F30" s="313">
        <f>M_Cálculos!P119</f>
        <v>0</v>
      </c>
      <c r="G30" s="1"/>
      <c r="H30" s="1"/>
      <c r="I30" s="1"/>
      <c r="J30" s="1"/>
      <c r="K30" s="39"/>
      <c r="L30" s="1"/>
      <c r="M30" s="4"/>
      <c r="N30" s="1"/>
      <c r="O30" s="39"/>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8">
      <c r="B31" s="1"/>
      <c r="C31" s="230" t="str">
        <f>M_Datos!L84</f>
        <v>Agroalimentaria</v>
      </c>
      <c r="D31" s="551">
        <f>M_Cálculos!N120</f>
        <v>0</v>
      </c>
      <c r="E31" s="312">
        <f>M_Cálculos!O120</f>
        <v>0</v>
      </c>
      <c r="F31" s="313">
        <f>M_Cálculos!P120</f>
        <v>0</v>
      </c>
      <c r="G31" s="1"/>
      <c r="H31" s="1"/>
      <c r="I31" s="1"/>
      <c r="J31" s="1"/>
      <c r="K31" s="39"/>
      <c r="L31" s="1"/>
      <c r="M31" s="4"/>
      <c r="N31" s="542" t="str">
        <f>IF(Idioma=Castellano,"Demanda asociada  actividades económicas",IF(Idioma=Valencià,"Demanda associada activitats econòmiques"))</f>
        <v>Demanda asociada  actividades económicas</v>
      </c>
      <c r="P31" s="1"/>
      <c r="Q31" s="1"/>
      <c r="R31" s="1"/>
      <c r="S31" s="1"/>
      <c r="T31" s="542" t="str">
        <f>IF(Idioma=Castellano,"Demanda asociada a  terciario",IF(Idioma=Valencià,"Demanda associada  a terciari"))</f>
        <v>Demanda asociada a  terciario</v>
      </c>
      <c r="U31" s="1"/>
      <c r="V31" s="1"/>
      <c r="W31" s="1"/>
      <c r="X31" s="1"/>
      <c r="Y31" s="1"/>
      <c r="Z31" s="542" t="str">
        <f>IF(Idioma=Castellano,"Emisiones asociadas  actividades económicas",IF(Idioma=Valencià,"Emissions associades activitats econòmiques"))</f>
        <v>Emisiones asociadas  actividades económicas</v>
      </c>
      <c r="AA31" s="1"/>
      <c r="AB31" s="1"/>
      <c r="AC31" s="1"/>
      <c r="AD31" s="1"/>
      <c r="AE31" s="1"/>
      <c r="AF31" s="1"/>
      <c r="AG31" s="542" t="str">
        <f>IF(Idioma=Castellano,"Emisiones asociadas a  terciario",IF(Idioma=Valencià,"Emissions associades  a terciari"))</f>
        <v>Emisiones asociadas a  terciario</v>
      </c>
      <c r="AH31" s="1"/>
      <c r="AI31" s="1"/>
      <c r="AJ31" s="1"/>
      <c r="AK31" s="1"/>
      <c r="AL31" s="1"/>
      <c r="AM31" s="1"/>
      <c r="AN31" s="1"/>
      <c r="AO31" s="1"/>
    </row>
    <row r="32" spans="1:41">
      <c r="B32" s="1"/>
      <c r="C32" s="230" t="str">
        <f>M_Datos!L87</f>
        <v>Logística</v>
      </c>
      <c r="D32" s="551">
        <f>M_Cálculos!N121</f>
        <v>0</v>
      </c>
      <c r="E32" s="312">
        <f>M_Cálculos!O121</f>
        <v>0</v>
      </c>
      <c r="F32" s="313">
        <f>M_Cálculos!P121</f>
        <v>0</v>
      </c>
      <c r="G32" s="1"/>
      <c r="H32" s="1"/>
      <c r="I32" s="1"/>
      <c r="J32" s="1"/>
      <c r="K32" s="39"/>
      <c r="L32" s="1"/>
      <c r="M32" s="4"/>
      <c r="N32" s="1"/>
      <c r="O32" s="39"/>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2:41">
      <c r="B33" s="1"/>
      <c r="C33" s="230" t="str">
        <f>M_Datos!L90</f>
        <v>Textil</v>
      </c>
      <c r="D33" s="551">
        <f>M_Cálculos!N122</f>
        <v>0</v>
      </c>
      <c r="E33" s="312">
        <f>M_Cálculos!O122</f>
        <v>0</v>
      </c>
      <c r="F33" s="313">
        <f>M_Cálculos!P122</f>
        <v>0</v>
      </c>
      <c r="G33" s="1"/>
      <c r="H33" s="1"/>
      <c r="I33" s="1"/>
      <c r="J33" s="1"/>
      <c r="K33" s="39"/>
      <c r="L33" s="1"/>
      <c r="M33" s="4"/>
      <c r="N33" s="1"/>
      <c r="O33" s="39"/>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2:41">
      <c r="B34" s="1"/>
      <c r="C34" s="315" t="s">
        <v>631</v>
      </c>
      <c r="D34" s="552">
        <f>SUM(D29:D33)</f>
        <v>0</v>
      </c>
      <c r="E34" s="314">
        <f t="shared" ref="E34:F34" si="3">SUM(E29:E33)</f>
        <v>0</v>
      </c>
      <c r="F34" s="317">
        <f t="shared" si="3"/>
        <v>0</v>
      </c>
      <c r="G34" s="1"/>
      <c r="H34" s="1"/>
      <c r="I34" s="1"/>
      <c r="J34" s="1"/>
      <c r="K34" s="39"/>
      <c r="L34" s="1"/>
      <c r="M34" s="4"/>
      <c r="N34" s="1"/>
      <c r="O34" s="39"/>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2:41">
      <c r="B35" s="1"/>
      <c r="C35" s="1"/>
      <c r="D35" s="1"/>
      <c r="E35" s="1"/>
      <c r="F35" s="1"/>
      <c r="G35" s="1"/>
      <c r="H35" s="1"/>
      <c r="I35" s="1"/>
      <c r="J35" s="1"/>
      <c r="K35" s="39"/>
      <c r="L35" s="1"/>
      <c r="M35" s="4"/>
      <c r="N35" s="1"/>
      <c r="O35" s="39"/>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2:41">
      <c r="B36" s="1"/>
      <c r="C36" s="47"/>
      <c r="D36" s="652" t="str">
        <f>IF(Idioma=Castellano,"Terciario",IF(Idioma=Valencià,"Terciari","Terciario"))</f>
        <v>Terciario</v>
      </c>
      <c r="E36" s="654"/>
      <c r="F36" s="653"/>
      <c r="G36" s="183"/>
      <c r="H36" s="184"/>
      <c r="I36" s="159"/>
      <c r="J36" s="159"/>
      <c r="K36" s="39"/>
      <c r="L36" s="1"/>
      <c r="M36" s="4"/>
      <c r="N36" s="1"/>
      <c r="O36" s="39"/>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2:41">
      <c r="B37" s="1"/>
      <c r="C37" s="289" t="s">
        <v>633</v>
      </c>
      <c r="D37" s="525" t="s">
        <v>623</v>
      </c>
      <c r="E37" s="525" t="s">
        <v>948</v>
      </c>
      <c r="F37" s="526" t="str">
        <f>IF(Idioma=Castellano,"Emisiones (t CO2e)",IF(Idioma=Valencià,"Emissions (t CO2e) ","Emisiones (t CO2e)"))</f>
        <v>Emisiones (t CO2e)</v>
      </c>
      <c r="G37" s="183"/>
      <c r="H37" s="184"/>
      <c r="I37" s="159"/>
      <c r="J37" s="159"/>
      <c r="K37" s="39"/>
      <c r="L37" s="1"/>
      <c r="M37" s="4"/>
      <c r="N37" s="1"/>
      <c r="O37" s="39"/>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2:41">
      <c r="B38" s="1"/>
      <c r="C38" s="230" t="str">
        <f>M_Datos!L56</f>
        <v>Sin especificar</v>
      </c>
      <c r="D38" s="551">
        <f>M_Cálculos!N21</f>
        <v>0</v>
      </c>
      <c r="E38" s="312">
        <f>M_Cálculos!O21</f>
        <v>0</v>
      </c>
      <c r="F38" s="313">
        <f>M_Cálculos!P21</f>
        <v>0</v>
      </c>
      <c r="G38" s="183"/>
      <c r="H38" s="184"/>
      <c r="I38" s="159"/>
      <c r="J38" s="159"/>
      <c r="K38" s="39"/>
      <c r="L38" s="1"/>
      <c r="M38" s="4"/>
      <c r="N38" s="1"/>
      <c r="O38" s="39"/>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2:41">
      <c r="B39" s="1"/>
      <c r="C39" s="289" t="str">
        <f>M_Datos!L59</f>
        <v>Oficinas</v>
      </c>
      <c r="D39" s="551">
        <f>M_Cálculos!N31</f>
        <v>0</v>
      </c>
      <c r="E39" s="312">
        <f>M_Cálculos!O31</f>
        <v>0</v>
      </c>
      <c r="F39" s="313">
        <f>M_Cálculos!P31</f>
        <v>0</v>
      </c>
      <c r="G39" s="183"/>
      <c r="H39" s="184"/>
      <c r="I39" s="159"/>
      <c r="J39" s="159"/>
      <c r="K39" s="39"/>
      <c r="L39" s="1"/>
      <c r="M39" s="4"/>
      <c r="N39" s="1"/>
      <c r="O39" s="39"/>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2:41">
      <c r="B40" s="1"/>
      <c r="C40" s="289" t="str">
        <f>M_Datos!L62</f>
        <v>Comercio</v>
      </c>
      <c r="D40" s="551">
        <f>M_Cálculos!N41</f>
        <v>0</v>
      </c>
      <c r="E40" s="312">
        <f>M_Cálculos!O41</f>
        <v>0</v>
      </c>
      <c r="F40" s="313">
        <f>M_Cálculos!P41</f>
        <v>0</v>
      </c>
      <c r="G40" s="183"/>
      <c r="H40" s="184"/>
      <c r="I40" s="159"/>
      <c r="J40" s="159"/>
      <c r="K40" s="39"/>
      <c r="L40" s="1"/>
      <c r="M40" s="4"/>
      <c r="N40" s="1"/>
      <c r="O40" s="39"/>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2:41">
      <c r="B41" s="1"/>
      <c r="C41" s="289" t="str">
        <f>M_Datos!L65</f>
        <v>Hotel</v>
      </c>
      <c r="D41" s="551">
        <f>M_Cálculos!N51</f>
        <v>0</v>
      </c>
      <c r="E41" s="312">
        <f>M_Cálculos!O51</f>
        <v>0</v>
      </c>
      <c r="F41" s="313">
        <f>M_Cálculos!P51</f>
        <v>0</v>
      </c>
      <c r="G41" s="183"/>
      <c r="H41" s="184"/>
      <c r="I41" s="159"/>
      <c r="J41" s="159"/>
      <c r="K41" s="39"/>
      <c r="L41" s="1"/>
      <c r="M41" s="4"/>
      <c r="N41" s="1"/>
      <c r="O41" s="39"/>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2:41">
      <c r="B42" s="1"/>
      <c r="C42" s="289" t="str">
        <f>M_Datos!L68</f>
        <v>Restauración</v>
      </c>
      <c r="D42" s="551">
        <f>M_Cálculos!N61</f>
        <v>0</v>
      </c>
      <c r="E42" s="312">
        <f>M_Cálculos!O61</f>
        <v>0</v>
      </c>
      <c r="F42" s="313">
        <f>M_Cálculos!P61</f>
        <v>0</v>
      </c>
      <c r="G42" s="183"/>
      <c r="H42" s="184"/>
      <c r="I42" s="159"/>
      <c r="J42" s="159"/>
      <c r="K42" s="39"/>
      <c r="L42" s="1"/>
      <c r="M42" s="4"/>
      <c r="N42" s="1"/>
      <c r="O42" s="39"/>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2:41">
      <c r="B43" s="1"/>
      <c r="C43" s="315" t="s">
        <v>631</v>
      </c>
      <c r="D43" s="552">
        <f>SUM(D38:D42)</f>
        <v>0</v>
      </c>
      <c r="E43" s="314">
        <f>SUM(E38:E42)</f>
        <v>0</v>
      </c>
      <c r="F43" s="317">
        <f>SUM(F38:F42)</f>
        <v>0</v>
      </c>
      <c r="G43" s="183"/>
      <c r="H43" s="184"/>
      <c r="I43" s="159"/>
      <c r="J43" s="159"/>
      <c r="K43" s="39"/>
      <c r="L43" s="1"/>
      <c r="M43" s="4"/>
      <c r="N43" s="1"/>
      <c r="O43" s="39"/>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2:41" ht="21.6" customHeight="1">
      <c r="B44" s="1"/>
      <c r="C44" s="1"/>
      <c r="D44" s="1"/>
      <c r="E44" s="1"/>
      <c r="F44" s="1"/>
      <c r="G44" s="183"/>
      <c r="H44" s="184"/>
      <c r="I44" s="159"/>
      <c r="J44" s="159"/>
      <c r="K44" s="39"/>
      <c r="L44" s="1"/>
      <c r="M44" s="4"/>
      <c r="N44" s="1"/>
      <c r="O44" s="39"/>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2:41">
      <c r="B45" s="1"/>
      <c r="C45" s="1"/>
      <c r="D45" s="1"/>
      <c r="E45" s="1"/>
      <c r="F45" s="1"/>
      <c r="G45" s="1"/>
      <c r="H45" s="1"/>
      <c r="I45" s="1"/>
      <c r="J45" s="1"/>
      <c r="K45" s="1"/>
      <c r="L45" s="1"/>
      <c r="M45" s="1"/>
      <c r="N45" s="1"/>
      <c r="O45" s="39"/>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2:41">
      <c r="B46" s="1"/>
      <c r="C46" s="246" t="str">
        <f>IF(Idioma=Castellano,"A.3.Equipamientos",IF(Idioma=Valencià,"A.3.Equipaments ","A.3.Equipamientos"))</f>
        <v>A.3.Equipamientos</v>
      </c>
      <c r="D46" s="1"/>
      <c r="E46" s="1"/>
      <c r="F46" s="1"/>
      <c r="G46" s="1"/>
      <c r="H46" s="1"/>
      <c r="I46" s="1"/>
      <c r="J46" s="1"/>
      <c r="K46" s="1"/>
      <c r="L46" s="1"/>
      <c r="M46" s="4"/>
      <c r="N46" s="1"/>
      <c r="O46" s="39"/>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2:41" ht="18">
      <c r="B47" s="1"/>
      <c r="C47" s="46"/>
      <c r="D47" s="1"/>
      <c r="E47" s="1"/>
      <c r="F47" s="1"/>
      <c r="G47" s="1"/>
      <c r="H47" s="1"/>
      <c r="I47" s="1"/>
      <c r="J47" s="1"/>
      <c r="K47" s="1"/>
      <c r="L47" s="1"/>
      <c r="M47" s="4"/>
      <c r="N47" s="1"/>
      <c r="O47" s="542" t="str">
        <f>IF(Idioma=Castellano,"Demanda asociada  a equipamientos",IF(Idioma=Valencià,"Demanda associada  a equipaments"))</f>
        <v>Demanda asociada  a equipamientos</v>
      </c>
      <c r="P47" s="1"/>
      <c r="Q47" s="1"/>
      <c r="R47" s="1"/>
      <c r="S47" s="1"/>
      <c r="T47" s="1"/>
      <c r="U47" s="542" t="str">
        <f>IF(Idioma=Castellano,"Demanda asociada  a industria",IF(Idioma=Valencià,"Demanda associada  a industria"))</f>
        <v>Demanda asociada  a industria</v>
      </c>
      <c r="V47" s="1"/>
      <c r="W47" s="1"/>
      <c r="X47" s="1"/>
      <c r="Y47" s="1"/>
      <c r="Z47" s="1"/>
      <c r="AA47" s="1"/>
      <c r="AB47" s="542" t="str">
        <f>IF(Idioma=Castellano,"Emisiones asociadas  a equipamientos",IF(Idioma=Valencià,"Emissions associades a equipaments"))</f>
        <v>Emisiones asociadas  a equipamientos</v>
      </c>
      <c r="AC47" s="1"/>
      <c r="AD47" s="1"/>
      <c r="AE47" s="1"/>
      <c r="AF47" s="1"/>
      <c r="AG47" s="1"/>
      <c r="AH47" s="1"/>
      <c r="AI47" s="542" t="str">
        <f>IF(Idioma=Castellano,"Emisiones asociadas  a industria",IF(Idioma=Valencià,"Emissions associades  a industria"))</f>
        <v>Emisiones asociadas  a industria</v>
      </c>
      <c r="AJ47" s="1"/>
      <c r="AK47" s="1"/>
      <c r="AL47" s="1"/>
      <c r="AM47" s="1"/>
      <c r="AN47" s="1"/>
      <c r="AO47" s="1"/>
    </row>
    <row r="48" spans="2:41">
      <c r="B48" s="355"/>
      <c r="C48" s="519"/>
      <c r="D48" s="656"/>
      <c r="E48" s="656"/>
      <c r="F48" s="656"/>
      <c r="G48" s="520"/>
      <c r="H48" s="1"/>
      <c r="I48" s="1"/>
      <c r="J48" s="1"/>
      <c r="K48" s="1"/>
      <c r="L48" s="1"/>
      <c r="M48" s="4"/>
      <c r="N48" s="1"/>
      <c r="O48" s="39"/>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2:41">
      <c r="B49" s="355"/>
      <c r="C49" s="81"/>
      <c r="D49" s="85"/>
      <c r="E49" s="85"/>
      <c r="F49" s="85"/>
      <c r="G49" s="39"/>
      <c r="H49" s="1"/>
      <c r="I49" s="1"/>
      <c r="J49" s="1"/>
      <c r="K49" s="1"/>
      <c r="L49" s="1"/>
      <c r="M49" s="4"/>
      <c r="N49" s="1"/>
      <c r="O49" s="39"/>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2:41">
      <c r="B50" s="355"/>
      <c r="C50" s="47"/>
      <c r="D50" s="652" t="str">
        <f>IF(Idioma=Castellano,"Equipamientos - Resumen",IF(Idioma=Valencià,"Equipaments - Resum","Equipamientos - Resumen"))</f>
        <v>Equipamientos - Resumen</v>
      </c>
      <c r="E50" s="654"/>
      <c r="F50" s="653"/>
      <c r="G50" s="39"/>
      <c r="H50" s="1"/>
      <c r="I50" s="1"/>
      <c r="J50" s="1"/>
      <c r="K50" s="1"/>
      <c r="L50" s="1"/>
      <c r="M50" s="4"/>
      <c r="N50" s="1"/>
      <c r="O50" s="39"/>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2:41">
      <c r="B51" s="355"/>
      <c r="C51" s="289" t="s">
        <v>633</v>
      </c>
      <c r="D51" s="525" t="s">
        <v>623</v>
      </c>
      <c r="E51" s="525" t="s">
        <v>948</v>
      </c>
      <c r="F51" s="526" t="str">
        <f>IF(Idioma=Castellano,"Emisiones (t CO2e)",IF(Idioma=Valencià,"Emissions (t CO2e) ","Emisiones (t CO2e)"))</f>
        <v>Emisiones (t CO2e)</v>
      </c>
      <c r="G51" s="39"/>
      <c r="H51" s="1"/>
      <c r="I51" s="1"/>
      <c r="J51" s="1"/>
      <c r="K51" s="1"/>
      <c r="L51" s="1"/>
      <c r="M51" s="4"/>
      <c r="N51" s="1"/>
      <c r="O51" s="39"/>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2:41">
      <c r="B52" s="355"/>
      <c r="C52" s="230" t="str">
        <f>M_Datos!L38</f>
        <v>Equipamientos - Sin especificar</v>
      </c>
      <c r="D52" s="551">
        <f>M_Cálculos!N78</f>
        <v>0</v>
      </c>
      <c r="E52" s="312" t="e">
        <f>M_Cálculos!O78</f>
        <v>#N/A</v>
      </c>
      <c r="F52" s="313" t="e">
        <f>M_Cálculos!P78</f>
        <v>#N/A</v>
      </c>
      <c r="G52" s="39"/>
      <c r="H52" s="1"/>
      <c r="I52" s="1"/>
      <c r="J52" s="1"/>
      <c r="K52" s="1"/>
      <c r="L52" s="1"/>
      <c r="M52" s="4"/>
      <c r="N52" s="1"/>
      <c r="O52" s="39"/>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2:41">
      <c r="B53" s="355"/>
      <c r="C53" s="289" t="str">
        <f>M_Datos!L41</f>
        <v>Sanitario</v>
      </c>
      <c r="D53" s="551">
        <f>M_Cálculos!N88</f>
        <v>0</v>
      </c>
      <c r="E53" s="312" t="e">
        <f>M_Cálculos!O88</f>
        <v>#N/A</v>
      </c>
      <c r="F53" s="313" t="e">
        <f>M_Cálculos!P88</f>
        <v>#N/A</v>
      </c>
      <c r="G53" s="39"/>
      <c r="H53" s="1"/>
      <c r="I53" s="1"/>
      <c r="J53" s="1"/>
      <c r="K53" s="1"/>
      <c r="L53" s="1"/>
      <c r="M53" s="4"/>
      <c r="N53" s="1"/>
      <c r="O53" s="39"/>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2:41">
      <c r="B54" s="355"/>
      <c r="C54" s="289" t="str">
        <f>M_Datos!L44</f>
        <v>Educativo</v>
      </c>
      <c r="D54" s="551">
        <f>M_Cálculos!N98</f>
        <v>0</v>
      </c>
      <c r="E54" s="312" t="e">
        <f>M_Cálculos!O98</f>
        <v>#N/A</v>
      </c>
      <c r="F54" s="313" t="e">
        <f>M_Cálculos!P98</f>
        <v>#N/A</v>
      </c>
      <c r="G54" s="39"/>
      <c r="H54" s="1"/>
      <c r="I54" s="1"/>
      <c r="J54" s="1"/>
      <c r="K54" s="1"/>
      <c r="L54" s="1"/>
      <c r="M54" s="4"/>
      <c r="N54" s="1"/>
      <c r="O54" s="39"/>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2:41">
      <c r="B55" s="355"/>
      <c r="C55" s="289" t="str">
        <f>M_Datos!L47</f>
        <v>Deportivo</v>
      </c>
      <c r="D55" s="551">
        <f>M_Cálculos!N108</f>
        <v>0</v>
      </c>
      <c r="E55" s="312" t="e">
        <f>M_Cálculos!O108</f>
        <v>#N/A</v>
      </c>
      <c r="F55" s="313" t="e">
        <f>M_Cálculos!P108</f>
        <v>#N/A</v>
      </c>
      <c r="G55" s="39"/>
      <c r="H55" s="1"/>
      <c r="I55" s="1"/>
      <c r="J55" s="1"/>
      <c r="K55" s="1"/>
      <c r="L55" s="1"/>
      <c r="M55" s="4"/>
      <c r="N55" s="1"/>
      <c r="O55" s="39"/>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2:41">
      <c r="B56" s="355"/>
      <c r="C56" s="315" t="s">
        <v>631</v>
      </c>
      <c r="D56" s="552">
        <f>SUM(D52:D55)</f>
        <v>0</v>
      </c>
      <c r="E56" s="314" t="e">
        <f>SUM(E52:E55)</f>
        <v>#N/A</v>
      </c>
      <c r="F56" s="317" t="e">
        <f>SUM(F52:F55)</f>
        <v>#N/A</v>
      </c>
      <c r="G56" s="39"/>
      <c r="H56" s="1"/>
      <c r="I56" s="1"/>
      <c r="J56" s="1"/>
      <c r="K56" s="1"/>
      <c r="L56" s="1"/>
      <c r="M56" s="4"/>
      <c r="N56" s="1"/>
      <c r="O56" s="39"/>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2:41">
      <c r="B57" s="355"/>
      <c r="C57" s="81"/>
      <c r="D57" s="85"/>
      <c r="E57" s="85"/>
      <c r="F57" s="85"/>
      <c r="G57" s="39"/>
      <c r="H57" s="1"/>
      <c r="I57" s="1"/>
      <c r="J57" s="1"/>
      <c r="K57" s="1"/>
      <c r="L57" s="1"/>
      <c r="M57" s="4"/>
      <c r="N57" s="1"/>
      <c r="O57" s="39"/>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2:41">
      <c r="B58" s="355"/>
      <c r="C58" s="246" t="s">
        <v>636</v>
      </c>
      <c r="D58" s="85"/>
      <c r="E58" s="85"/>
      <c r="F58" s="85"/>
      <c r="G58" s="39"/>
      <c r="H58" s="1"/>
      <c r="I58" s="1"/>
      <c r="J58" s="1"/>
      <c r="K58" s="1"/>
      <c r="L58" s="1"/>
      <c r="M58" s="4"/>
      <c r="N58" s="1"/>
      <c r="O58" s="39"/>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2:41">
      <c r="B59" s="355"/>
      <c r="C59" s="81"/>
      <c r="D59" s="85"/>
      <c r="E59" s="85" t="str">
        <f>IF(Idioma=Castellano,"Demanda energética (MWh/año)",IF(Idioma=Valencià,"Demanda energètica (MWh/any) ","Demanda energética (MWh/año)"))</f>
        <v>Demanda energética (MWh/año)</v>
      </c>
      <c r="F59" s="85" t="str">
        <f>IF(Idioma=Castellano,"Emisiones (t CO2e/año)",IF(Idioma=Valencià,"Emissions (t CO2e/any) ","Emisiones (t CO2e/año)"))</f>
        <v>Emisiones (t CO2e/año)</v>
      </c>
      <c r="G59" s="39"/>
      <c r="H59" s="39"/>
      <c r="I59" s="39"/>
      <c r="J59" s="39"/>
      <c r="K59" s="1"/>
      <c r="L59" s="1"/>
      <c r="M59" s="4"/>
      <c r="N59" s="1"/>
      <c r="O59" s="39"/>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2:41">
      <c r="B60" s="355"/>
      <c r="C60" s="81"/>
      <c r="D60" s="39" t="s">
        <v>602</v>
      </c>
      <c r="E60" s="527" t="e">
        <f>J22+E34+E43+E56</f>
        <v>#N/A</v>
      </c>
      <c r="F60" s="527" t="e">
        <f>K22+F34+F43+F56</f>
        <v>#N/A</v>
      </c>
      <c r="G60" s="39"/>
      <c r="H60" s="39"/>
      <c r="I60" s="39"/>
      <c r="J60" s="39"/>
      <c r="K60" s="1"/>
      <c r="L60" s="1"/>
      <c r="M60" s="4"/>
      <c r="N60" s="1"/>
      <c r="O60" s="39"/>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2:41">
      <c r="B61" s="355"/>
      <c r="C61" s="521"/>
      <c r="D61" s="355"/>
      <c r="E61" s="355"/>
      <c r="F61" s="355"/>
      <c r="G61" s="355"/>
      <c r="H61" s="39"/>
      <c r="I61" s="1"/>
      <c r="J61" s="1"/>
      <c r="K61" s="1"/>
      <c r="L61" s="1"/>
      <c r="M61" s="4"/>
      <c r="N61" s="1"/>
      <c r="O61" s="39"/>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2:41">
      <c r="B62" s="1"/>
      <c r="C62" s="1"/>
      <c r="D62" s="1"/>
      <c r="E62" s="1"/>
      <c r="F62" s="1"/>
      <c r="G62" s="1"/>
      <c r="H62" s="39"/>
      <c r="I62" s="39"/>
      <c r="J62" s="1"/>
      <c r="K62" s="1"/>
      <c r="L62" s="1"/>
      <c r="M62" s="4"/>
      <c r="N62" s="1"/>
      <c r="O62" s="39"/>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2:41">
      <c r="B63" s="1"/>
      <c r="C63" s="1"/>
      <c r="D63" s="1"/>
      <c r="E63" s="1"/>
      <c r="F63" s="1"/>
      <c r="G63" s="1"/>
      <c r="H63" s="39"/>
      <c r="I63" s="39"/>
      <c r="J63" s="1"/>
      <c r="K63" s="1"/>
      <c r="L63" s="1"/>
      <c r="M63" s="4"/>
      <c r="N63" s="1"/>
      <c r="O63" s="39"/>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2:41">
      <c r="B64" s="1"/>
      <c r="C64" s="1"/>
      <c r="D64" s="1"/>
      <c r="E64" s="1"/>
      <c r="F64" s="1"/>
      <c r="G64" s="1"/>
      <c r="H64" s="39"/>
      <c r="I64" s="39"/>
      <c r="J64" s="1"/>
      <c r="K64" s="1"/>
      <c r="L64" s="1"/>
      <c r="M64" s="4"/>
      <c r="N64" s="1"/>
      <c r="O64" s="39"/>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c r="B65" s="1"/>
      <c r="C65" s="81"/>
      <c r="D65" s="85"/>
      <c r="E65" s="85"/>
      <c r="F65" s="85"/>
      <c r="G65" s="39"/>
      <c r="H65" s="39"/>
      <c r="I65" s="39"/>
      <c r="J65" s="39"/>
      <c r="K65" s="1"/>
      <c r="L65" s="1"/>
      <c r="M65" s="4"/>
      <c r="N65" s="1"/>
      <c r="O65" s="39"/>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s="135" customFormat="1">
      <c r="A66" s="145"/>
      <c r="B66" s="240" t="str">
        <f>IF(Idioma=Castellano,"B. Transporte y movilidad",IF(Idioma=Valencià,"B. Transport i mobilitat","B. Transporte y movilidad"))</f>
        <v>B. Transporte y movilidad</v>
      </c>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row>
    <row r="67" spans="1:41">
      <c r="B67" s="1"/>
      <c r="C67" s="1"/>
      <c r="D67" s="50"/>
      <c r="E67" s="50"/>
      <c r="F67" s="51"/>
      <c r="G67" s="51"/>
      <c r="H67" s="51"/>
      <c r="I67" s="50"/>
      <c r="J67" s="50"/>
      <c r="K67" s="50"/>
      <c r="L67" s="50"/>
      <c r="M67" s="50"/>
      <c r="N67" s="50"/>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c r="B68" s="1"/>
      <c r="C68" s="11"/>
      <c r="D68" s="52" t="str">
        <f>IF(Idioma=Castellano,"Nº de viajes",IF(Idioma=Valencià,"Núm de viatges","Nº de viajes"))</f>
        <v>Nº de viajes</v>
      </c>
      <c r="E68" s="52"/>
      <c r="F68" s="51"/>
      <c r="G68" s="51"/>
      <c r="H68" s="51"/>
      <c r="I68" s="11"/>
      <c r="J68" s="11"/>
      <c r="K68" s="11"/>
      <c r="L68" s="11"/>
      <c r="M68" s="53"/>
      <c r="N68" s="50"/>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8">
      <c r="B69" s="11"/>
      <c r="C69" s="13" t="str">
        <f>IF(Idioma=Castellano,"Uso residencial",IF(Idioma=Valencià,"Ús residencial ","Uso residencial"))</f>
        <v>Uso residencial</v>
      </c>
      <c r="D69" s="553">
        <f>M_Factores!D219*(M_Datos!P26/100)*365</f>
        <v>0</v>
      </c>
      <c r="E69" s="156"/>
      <c r="F69" s="11"/>
      <c r="G69" s="11"/>
      <c r="H69" s="11"/>
      <c r="I69" s="11"/>
      <c r="J69" s="11"/>
      <c r="K69" s="11"/>
      <c r="L69" s="11"/>
      <c r="M69" s="11"/>
      <c r="N69" s="50"/>
      <c r="O69" s="11"/>
      <c r="P69" s="11"/>
      <c r="Q69" s="11"/>
      <c r="R69" s="542" t="str">
        <f>IF(Idioma=Castellano,"Emisiones asociadas a movilidad por modo de transporte",IF(Idioma=Valencià,"Emissions associades a mobilitat per manera de transport"))</f>
        <v>Emisiones asociadas a movilidad por modo de transporte</v>
      </c>
      <c r="S69" s="546"/>
      <c r="T69" s="11"/>
      <c r="U69" s="11"/>
      <c r="V69" s="11"/>
      <c r="W69" s="11"/>
      <c r="X69" s="11"/>
      <c r="Y69" s="542" t="str">
        <f>IF(Idioma=Castellano,"Emisiones asociadas a movilidad por sector",IF(Idioma=Valencià,"Emissions associades a mobilitat per sector"))</f>
        <v>Emisiones asociadas a movilidad por sector</v>
      </c>
      <c r="Z69" s="11"/>
      <c r="AA69" s="11"/>
      <c r="AB69" s="11"/>
      <c r="AC69" s="11"/>
      <c r="AD69" s="11"/>
      <c r="AE69" s="11"/>
      <c r="AF69" s="11"/>
      <c r="AG69" s="11"/>
      <c r="AH69" s="11"/>
      <c r="AI69" s="11"/>
      <c r="AJ69" s="11"/>
      <c r="AK69" s="11"/>
      <c r="AL69" s="11"/>
      <c r="AM69" s="11"/>
      <c r="AN69" s="11"/>
      <c r="AO69" s="11"/>
    </row>
    <row r="70" spans="1:41">
      <c r="B70" s="11"/>
      <c r="C70" s="13" t="str">
        <f>IF(Idioma=Castellano,"Uso comercial/terciario",IF(Idioma=Valencià,"Ús comercial/terciari","Uso comercial/terciario"))</f>
        <v>Uso comercial/terciario</v>
      </c>
      <c r="D70" s="553">
        <f>M_Factores!D220*(IF(M_Datos!J17="Sí",SUM(M_Datos!T59:T70),M_Datos!P27)/100)*365</f>
        <v>0</v>
      </c>
      <c r="E70" s="156"/>
      <c r="F70" s="11"/>
      <c r="G70" s="11"/>
      <c r="H70" s="11"/>
      <c r="I70" s="11"/>
      <c r="J70" s="11"/>
      <c r="K70" s="11"/>
      <c r="L70" s="11"/>
      <c r="M70" s="11"/>
      <c r="N70" s="50"/>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row>
    <row r="71" spans="1:41">
      <c r="B71" s="11"/>
      <c r="C71" s="13" t="str">
        <f>IF(Idioma=Castellano,"Uso de oficinas",IF(Idioma=Valencià,"Ús d'oficines","Uso de oficinas"))</f>
        <v>Uso de oficinas</v>
      </c>
      <c r="D71" s="553">
        <f>M_Factores!D221*(M_A3!D39/100)*365</f>
        <v>0</v>
      </c>
      <c r="E71" s="156"/>
      <c r="F71" s="11"/>
      <c r="G71" s="11"/>
      <c r="H71" s="11"/>
      <c r="I71" s="11"/>
      <c r="J71" s="11"/>
      <c r="K71" s="11"/>
      <c r="L71" s="11"/>
      <c r="M71" s="11"/>
      <c r="N71" s="50"/>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c r="B72" s="11"/>
      <c r="C72" s="13" t="str">
        <f>IF(Idioma=Castellano,"Uso industrial",IF(Idioma=Valencià,"Ús industrial","Uso industrial"))</f>
        <v>Uso industrial</v>
      </c>
      <c r="D72" s="553">
        <f>M_Factores!D222*(M_Datos!P28/100)*365</f>
        <v>0</v>
      </c>
      <c r="E72" s="156"/>
      <c r="F72" s="11"/>
      <c r="G72" s="11"/>
      <c r="H72" s="11"/>
      <c r="I72" s="11"/>
      <c r="J72" s="11"/>
      <c r="K72" s="11"/>
      <c r="L72" s="11"/>
      <c r="M72" s="11"/>
      <c r="N72" s="50"/>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row>
    <row r="73" spans="1:41">
      <c r="B73" s="11"/>
      <c r="C73" s="13" t="str">
        <f>IF(Idioma=Castellano,"Equipamientos",IF(Idioma=Valencià,"Equipaments ","Equipamientos"))</f>
        <v>Equipamientos</v>
      </c>
      <c r="D73" s="553">
        <f>M_Factores!D223*(M_Datos!P29/100)*365</f>
        <v>0</v>
      </c>
      <c r="E73" s="156"/>
      <c r="F73" s="11"/>
      <c r="G73" s="11"/>
      <c r="H73" s="11"/>
      <c r="I73" s="11"/>
      <c r="J73" s="11"/>
      <c r="K73" s="11"/>
      <c r="L73" s="11"/>
      <c r="M73" s="11"/>
      <c r="N73" s="50"/>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row>
    <row r="74" spans="1:41">
      <c r="B74" s="11"/>
      <c r="C74" s="13" t="str">
        <f>IF(Idioma=Castellano,"Zonas verdes",IF(Idioma=Valencià,"Zones verdes ","Zonas verdes"))</f>
        <v>Zonas verdes</v>
      </c>
      <c r="D74" s="553">
        <f>M_Factores!D224*(M_Datos!P30/100)*365</f>
        <v>0</v>
      </c>
      <c r="E74" s="156"/>
      <c r="F74" s="11"/>
      <c r="G74" s="11"/>
      <c r="H74" s="11"/>
      <c r="I74" s="11"/>
      <c r="J74" s="11"/>
      <c r="K74" s="11"/>
      <c r="L74" s="11"/>
      <c r="M74" s="11"/>
      <c r="N74" s="50"/>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c r="B75" s="11"/>
      <c r="C75" s="13" t="str">
        <f>IF(Idioma=Castellano,"Franja costera",IF(Idioma=Valencià,"Franja costanera ","Franja costera"))</f>
        <v>Franja costera</v>
      </c>
      <c r="D75" s="553">
        <f>M_Factores!D225*(M_Datos!P31/100)*365</f>
        <v>0</v>
      </c>
      <c r="E75" s="156"/>
      <c r="F75" s="11"/>
      <c r="G75" s="11"/>
      <c r="H75" s="11"/>
      <c r="I75" s="11"/>
      <c r="J75" s="11"/>
      <c r="K75" s="11"/>
      <c r="L75" s="11"/>
      <c r="M75" s="11"/>
      <c r="N75" s="50"/>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c r="B76" s="11"/>
      <c r="C76" s="11"/>
      <c r="D76" s="11"/>
      <c r="E76" s="11"/>
      <c r="F76" s="11"/>
      <c r="G76" s="11"/>
      <c r="H76" s="11"/>
      <c r="I76" s="11"/>
      <c r="J76" s="11"/>
      <c r="K76" s="11"/>
      <c r="L76" s="11"/>
      <c r="M76" s="11"/>
      <c r="N76" s="50"/>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ht="27.6">
      <c r="B77" s="11"/>
      <c r="C77" s="54" t="str">
        <f>IF(Idioma=Castellano,"Km recorridos por modo transporte",IF(Idioma=Valencià,"Km recorreguts per manera transporte"))</f>
        <v>Km recorridos por modo transporte</v>
      </c>
      <c r="D77" s="55" t="str">
        <f>IF(Idioma=Castellano,"Uso residencial",IF(Idioma=Valencià,"Ús residencial ","Uso residencial"))</f>
        <v>Uso residencial</v>
      </c>
      <c r="E77" s="55" t="str">
        <f>IF(Idioma=Castellano,"Uso comercial/terciario",IF(Idioma=Valencià,"Ús comercial/terciari","Uso comercial/terciario"))</f>
        <v>Uso comercial/terciario</v>
      </c>
      <c r="F77" s="55" t="str">
        <f>IF(Idioma=Castellano,"Uso de oficinas",IF(Idioma=Valencià,"Ús d'oficines","Uso de oficinas"))</f>
        <v>Uso de oficinas</v>
      </c>
      <c r="G77" s="55" t="str">
        <f>IF(Idioma=Castellano,"Uso industrial",IF(Idioma=Valencià,"Ús industrial","Uso industrial"))</f>
        <v>Uso industrial</v>
      </c>
      <c r="H77" s="55" t="str">
        <f>IF(Idioma=Castellano,"Equipamientos",IF(Idioma=Valencià,"Equipaments ","Equipamientos"))</f>
        <v>Equipamientos</v>
      </c>
      <c r="I77" s="55" t="str">
        <f>IF(Idioma=Castellano,"Zonas verdes",IF(Idioma=Valencià,"Zones verdes ","Zonas verdes"))</f>
        <v>Zonas verdes</v>
      </c>
      <c r="J77" s="55" t="str">
        <f>IF(Idioma=Castellano,"Franja costera",IF(Idioma=Valencià,"Franja costanera ","Franja costera"))</f>
        <v>Franja costera</v>
      </c>
      <c r="K77" s="55" t="s">
        <v>638</v>
      </c>
      <c r="L77" s="18" t="str">
        <f>IF(Idioma=Castellano,"t CO2/año",IF(Idioma=Valencià,"t CO2/any ","t CO2/año"))</f>
        <v>t CO2/año</v>
      </c>
      <c r="M77" s="18" t="str">
        <f>IF(Idioma=Castellano,"t CH4/año",IF(Idioma=Valencià,"t CH4/any ","t CH4/año"))</f>
        <v>t CH4/año</v>
      </c>
      <c r="N77" s="18" t="str">
        <f>IF(Idioma=Castellano,"t N2O/año",IF(Idioma=Valencià,"t N2O/any ","t N2O/año"))</f>
        <v>t N2O/año</v>
      </c>
      <c r="O77" s="18" t="str">
        <f>IF(Idioma=Castellano,"t CO2e/año",IF(Idioma=Valencià,"t CO2e/any ","t CO2e/año"))</f>
        <v>t CO2e/año</v>
      </c>
      <c r="P77" s="1"/>
      <c r="Q77" s="50"/>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c r="B78" s="11"/>
      <c r="C78" s="289" t="str">
        <f>IF(Idioma=Castellano,"Andando",IF(Idioma=Valencià,"Caminant","Andando"))</f>
        <v>Andando</v>
      </c>
      <c r="D78" s="554">
        <f>IF(M_Datos!$I$111=1, 2*$D$69*M_Datos!$I105*M_Datos!$I$101/1000,2*$D$69*'M_Cálculos propios'!$O118*M_Datos!$I$101/1000)</f>
        <v>0</v>
      </c>
      <c r="E78" s="554">
        <f>IF(M_Datos!$I$111=1, 2*$D$70*M_Datos!$I105*M_Datos!$I$101/1000,2*$D$70*'M_Cálculos propios'!$O118*M_Datos!$I$101/1000)</f>
        <v>0</v>
      </c>
      <c r="F78" s="554">
        <f>IF(M_Datos!$I$111=1, 2*$D$71*M_Datos!$I105*M_Datos!$I$101/1000,2*$D$71*'M_Cálculos propios'!$O118*M_Datos!$I$101/1000)</f>
        <v>0</v>
      </c>
      <c r="G78" s="554">
        <f>IF(M_Datos!$I$111=1, 2*$D$72*M_Datos!$I105*M_Datos!$I$101/1000,2*$D$72*'M_Cálculos propios'!$O118*M_Datos!$I$101/1000)</f>
        <v>0</v>
      </c>
      <c r="H78" s="554">
        <f>IF(M_Datos!$I$111=1, 2*$D$73*M_Datos!$I105*M_Datos!$I$101/1000,2*$D$73*'M_Cálculos propios'!$O118*M_Datos!$I$101/1000)</f>
        <v>0</v>
      </c>
      <c r="I78" s="554">
        <f>IF(M_Datos!$I$111=1, 2*$D$74*M_Datos!$I105*M_Datos!$I$101/1000,2*$D$74*'M_Cálculos propios'!$O118*M_Datos!$I$101/1000)</f>
        <v>0</v>
      </c>
      <c r="J78" s="554">
        <f>IF(M_Datos!$I$111=1, 2*$D$75*M_Datos!$I105*M_Datos!$I$101/1000,2*$D$75*'M_Cálculos propios'!$O118*M_Datos!$I$101/1000)</f>
        <v>0</v>
      </c>
      <c r="K78" s="554">
        <f>SUM(D78:J78)</f>
        <v>0</v>
      </c>
      <c r="L78" s="319">
        <f>$K78*M_Factores!E229/1000</f>
        <v>0</v>
      </c>
      <c r="M78" s="319">
        <f>$K78*M_Factores!G229/1000</f>
        <v>0</v>
      </c>
      <c r="N78" s="319">
        <f>$K78*M_Factores!H229/1000</f>
        <v>0</v>
      </c>
      <c r="O78" s="319">
        <f>K78*M_Factores!D229/1000</f>
        <v>0</v>
      </c>
      <c r="P78" s="1"/>
      <c r="Q78" s="50"/>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c r="B79" s="11"/>
      <c r="C79" s="289" t="s">
        <v>610</v>
      </c>
      <c r="D79" s="554">
        <f>IF(M_Datos!$I$111=1, 2*$D$69*M_Datos!$I106*M_Datos!$I$101/1000,2*$D$69*'M_Cálculos propios'!$O119*M_Datos!$I$101/1000)</f>
        <v>0</v>
      </c>
      <c r="E79" s="554">
        <f>IF(M_Datos!$I$111=1, 2*$D$70*M_Datos!$I106*M_Datos!$I$101/1000,2*$D$70*'M_Cálculos propios'!$O119*M_Datos!$I$101/1000)</f>
        <v>0</v>
      </c>
      <c r="F79" s="554">
        <f>IF(M_Datos!$I$111=1, 2*$D$71*M_Datos!$I106*M_Datos!$I$101/1000,2*$D$71*'M_Cálculos propios'!$O119*M_Datos!$I$101/1000)</f>
        <v>0</v>
      </c>
      <c r="G79" s="554">
        <f>IF(M_Datos!$I$111=1, 2*$D$72*M_Datos!$I106*M_Datos!$I$101/1000,2*$D$72*'M_Cálculos propios'!$O119*M_Datos!$I$101/1000)</f>
        <v>0</v>
      </c>
      <c r="H79" s="554">
        <f>IF(M_Datos!$I$111=1, 2*$D$73*M_Datos!$I106*M_Datos!$I$101/1000,2*$D$73*'M_Cálculos propios'!$O119*M_Datos!$I$101/1000)</f>
        <v>0</v>
      </c>
      <c r="I79" s="554">
        <f>IF(M_Datos!$I$111=1, 2*$D$74*M_Datos!$I106*M_Datos!$I$101/1000,2*$D$74*'M_Cálculos propios'!$O119*M_Datos!$I$101/1000)</f>
        <v>0</v>
      </c>
      <c r="J79" s="554">
        <f>IF(M_Datos!$I$111=1, 2*$D$75*M_Datos!$I106*M_Datos!$I$101/1000,2*$D$75*'M_Cálculos propios'!$O119*M_Datos!$I$101/1000)</f>
        <v>0</v>
      </c>
      <c r="K79" s="554">
        <f t="shared" ref="K79:K83" si="4">SUM(D79:J79)</f>
        <v>0</v>
      </c>
      <c r="L79" s="319">
        <f>$K79*M_Factores!E230/1000</f>
        <v>0</v>
      </c>
      <c r="M79" s="319">
        <f>$K79*M_Factores!G230/1000</f>
        <v>0</v>
      </c>
      <c r="N79" s="319">
        <f>$K79*M_Factores!H230/1000</f>
        <v>0</v>
      </c>
      <c r="O79" s="319">
        <f>K79*M_Factores!D230/1000</f>
        <v>0</v>
      </c>
      <c r="P79" s="1"/>
      <c r="Q79" s="50"/>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c r="B80" s="11"/>
      <c r="C80" s="289" t="str">
        <f>IF(Idioma=Castellano,"Automóvil/Vehículo privado",IF(Idioma=Valencià,"Automòbil/Vehicle privat","Automóvil/Vehículo privado"))</f>
        <v>Automóvil/Vehículo privado</v>
      </c>
      <c r="D80" s="554">
        <f>IF(M_Datos!$I$111=1, 2*$D$69*M_Datos!$I107*M_Datos!$I$101/1000,2*$D$69*'M_Cálculos propios'!$O120*M_Datos!$I$101/1000)</f>
        <v>0</v>
      </c>
      <c r="E80" s="554">
        <f>IF(M_Datos!$I$111=1, 2*$D$70*M_Datos!$I107*M_Datos!$I$101/1000,2*$D$70*'M_Cálculos propios'!$O120*M_Datos!$I$101/1000)</f>
        <v>0</v>
      </c>
      <c r="F80" s="554">
        <f>IF(M_Datos!$I$111=1, 2*$D$71*M_Datos!$I107*M_Datos!$I$101/1000,2*$D$71*'M_Cálculos propios'!$O120*M_Datos!$I$101/1000)</f>
        <v>0</v>
      </c>
      <c r="G80" s="554">
        <f>IF(M_Datos!$I$111=1, 2*$D$72*M_Datos!$I107*M_Datos!$I$101/1000,2*$D$72*'M_Cálculos propios'!$O120*M_Datos!$I$101/1000)</f>
        <v>0</v>
      </c>
      <c r="H80" s="554">
        <f>IF(M_Datos!$I$111=1, 2*$D$73*M_Datos!$I107*M_Datos!$I$101/1000,2*$D$73*'M_Cálculos propios'!$O120*M_Datos!$I$101/1000)</f>
        <v>0</v>
      </c>
      <c r="I80" s="554">
        <f>IF(M_Datos!$I$111=1, 2*$D$74*M_Datos!$I107*M_Datos!$I$101/1000,2*$D$74*'M_Cálculos propios'!$O120*M_Datos!$I$101/1000)</f>
        <v>0</v>
      </c>
      <c r="J80" s="554">
        <f>IF(M_Datos!$I$111=1, 2*$D$75*M_Datos!$I107*M_Datos!$I$101/1000,2*$D$75*'M_Cálculos propios'!$O120*M_Datos!$I$101/1000)</f>
        <v>0</v>
      </c>
      <c r="K80" s="554">
        <f t="shared" si="4"/>
        <v>0</v>
      </c>
      <c r="L80" s="319">
        <f>$K80*M_Factores!E231/1000</f>
        <v>0</v>
      </c>
      <c r="M80" s="319">
        <f>$K80*M_Factores!G231/1000</f>
        <v>0</v>
      </c>
      <c r="N80" s="319">
        <f>$K80*M_Factores!H231/1000</f>
        <v>0</v>
      </c>
      <c r="O80" s="319">
        <f>K80*M_Factores!D231/1000</f>
        <v>0</v>
      </c>
      <c r="P80" s="1"/>
      <c r="Q80" s="50"/>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B81" s="11"/>
      <c r="C81" s="289" t="s">
        <v>613</v>
      </c>
      <c r="D81" s="554">
        <f>IF(M_Datos!$I$111=1, 2*$D$69*M_Datos!$I108*M_Datos!$I$101/1000,2*$D$69*'M_Cálculos propios'!$O121*M_Datos!$I$101/1000)</f>
        <v>0</v>
      </c>
      <c r="E81" s="554">
        <f>IF(M_Datos!$I$111=1, 2*$D$70*M_Datos!$I108*M_Datos!$I$101/1000,2*$D$70*'M_Cálculos propios'!$O121*M_Datos!$I$101/1000)</f>
        <v>0</v>
      </c>
      <c r="F81" s="554">
        <f>IF(M_Datos!$I$111=1, 2*$D$71*M_Datos!$I108*M_Datos!$I$101/1000,2*$D$71*'M_Cálculos propios'!$O121*M_Datos!$I$101/1000)</f>
        <v>0</v>
      </c>
      <c r="G81" s="554">
        <f>IF(M_Datos!$I$111=1, 2*$D$72*M_Datos!$I108*M_Datos!$I$101/1000,2*$D$72*'M_Cálculos propios'!$O121*M_Datos!$I$101/1000)</f>
        <v>0</v>
      </c>
      <c r="H81" s="554">
        <f>IF(M_Datos!$I$111=1, 2*$D$73*M_Datos!$I108*M_Datos!$I$101/1000,2*$D$73*'M_Cálculos propios'!$O121*M_Datos!$I$101/1000)</f>
        <v>0</v>
      </c>
      <c r="I81" s="554">
        <f>IF(M_Datos!$I$111=1, 2*$D$74*M_Datos!$I108*M_Datos!$I$101/1000,2*$D$74*'M_Cálculos propios'!$O121*M_Datos!$I$101/1000)</f>
        <v>0</v>
      </c>
      <c r="J81" s="554">
        <f>IF(M_Datos!$I$111=1, 2*$D$75*M_Datos!$I108*M_Datos!$I$101/1000,2*$D$75*'M_Cálculos propios'!$O121*M_Datos!$I$101/1000)</f>
        <v>0</v>
      </c>
      <c r="K81" s="554">
        <f t="shared" si="4"/>
        <v>0</v>
      </c>
      <c r="L81" s="319">
        <f>$K81*M_Factores!E233/1000</f>
        <v>0</v>
      </c>
      <c r="M81" s="319">
        <f>$K81*M_Factores!G233/1000</f>
        <v>0</v>
      </c>
      <c r="N81" s="319">
        <f>$K81*M_Factores!H233/1000</f>
        <v>0</v>
      </c>
      <c r="O81" s="319">
        <f>K81*M_Factores!D233/1000</f>
        <v>0</v>
      </c>
      <c r="P81" s="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B82" s="11"/>
      <c r="C82" s="289" t="str">
        <f>IF(Idioma=Castellano,"Autobús urbano e interurbano",IF(Idioma=Valencià,"Autobús urbà i interurbà","Autobús urbano e interurbano"))</f>
        <v>Autobús urbano e interurbano</v>
      </c>
      <c r="D82" s="554">
        <f>IF(M_Datos!$I$111=1, 2*$D$69*M_Datos!$I109*M_Datos!$I$101/1000,2*$D$69*'M_Cálculos propios'!$O122*M_Datos!$I$101/1000)</f>
        <v>0</v>
      </c>
      <c r="E82" s="554">
        <f>IF(M_Datos!$I$111=1, 2*$D$70*M_Datos!$I109*M_Datos!$I$101/1000,2*$D$70*'M_Cálculos propios'!$O122*M_Datos!$I$101/1000)</f>
        <v>0</v>
      </c>
      <c r="F82" s="554">
        <f>IF(M_Datos!$I$111=1, 2*$D$71*M_Datos!$I109*M_Datos!$I$101/1000,2*$D$71*'M_Cálculos propios'!$O122*M_Datos!$I$101/1000)</f>
        <v>0</v>
      </c>
      <c r="G82" s="554">
        <f>IF(M_Datos!$I$111=1, 2*$D$72*M_Datos!$I109*M_Datos!$I$101/1000,2*$D$72*'M_Cálculos propios'!$O122*M_Datos!$I$101/1000)</f>
        <v>0</v>
      </c>
      <c r="H82" s="554">
        <f>IF(M_Datos!$I$111=1, 2*$D$73*M_Datos!$I109*M_Datos!$I$101/1000,2*$D$73*'M_Cálculos propios'!$O122*M_Datos!$I$101/1000)</f>
        <v>0</v>
      </c>
      <c r="I82" s="554">
        <f>IF(M_Datos!$I$111=1, 2*$D$74*M_Datos!$I109*M_Datos!$I$101/1000,2*$D$74*'M_Cálculos propios'!$O122*M_Datos!$I$101/1000)</f>
        <v>0</v>
      </c>
      <c r="J82" s="554">
        <f>IF(M_Datos!$I$111=1, 2*$D$75*M_Datos!$I109*M_Datos!$I$101/1000,2*$D$75*'M_Cálculos propios'!$O122*M_Datos!$I$101/1000)</f>
        <v>0</v>
      </c>
      <c r="K82" s="554">
        <f t="shared" si="4"/>
        <v>0</v>
      </c>
      <c r="L82" s="319">
        <f>$K82*M_Factores!E234/1000</f>
        <v>0</v>
      </c>
      <c r="M82" s="319">
        <f>$K82*M_Factores!G234/1000</f>
        <v>0</v>
      </c>
      <c r="N82" s="319">
        <f>$K82*M_Factores!H234/1000</f>
        <v>0</v>
      </c>
      <c r="O82" s="319">
        <f>K82*M_Factores!D234/1000</f>
        <v>0</v>
      </c>
      <c r="P82" s="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c r="B83" s="11"/>
      <c r="C83" s="289" t="s">
        <v>615</v>
      </c>
      <c r="D83" s="554">
        <f>IF(M_Datos!$I$111=1, 2*$D$69*M_Datos!$I110*M_Datos!$I$101/1000,2*$D$69*'M_Cálculos propios'!$O123*M_Datos!$I$101/1000)</f>
        <v>0</v>
      </c>
      <c r="E83" s="554">
        <f>IF(M_Datos!$I$111=1, 2*$D$70*M_Datos!$I110*M_Datos!$I$101/1000,2*$D$70*'M_Cálculos propios'!$O123*M_Datos!$I$101/1000)</f>
        <v>0</v>
      </c>
      <c r="F83" s="554">
        <f>IF(M_Datos!$I$111=1, 2*$D$71*M_Datos!$I110*M_Datos!$I$101/1000,2*$D$71*'M_Cálculos propios'!$O123*M_Datos!$I$101/1000)</f>
        <v>0</v>
      </c>
      <c r="G83" s="554">
        <f>IF(M_Datos!$I$111=1, 2*$D$72*M_Datos!$I110*M_Datos!$I$101/1000,2*$D$72*'M_Cálculos propios'!$O123*M_Datos!$I$101/1000)</f>
        <v>0</v>
      </c>
      <c r="H83" s="554">
        <f>IF(M_Datos!$I$111=1, 2*$D$73*M_Datos!$I110*M_Datos!$I$101/1000,2*$D$73*'M_Cálculos propios'!$O123*M_Datos!$I$101/1000)</f>
        <v>0</v>
      </c>
      <c r="I83" s="554">
        <f>IF(M_Datos!$I$111=1, 2*$D$74*M_Datos!$I110*M_Datos!$I$101/1000,2*$D$74*'M_Cálculos propios'!$O123*M_Datos!$I$101/1000)</f>
        <v>0</v>
      </c>
      <c r="J83" s="554">
        <f>IF(M_Datos!$I$111=1, 2*$D$75*M_Datos!$I110*M_Datos!$I$101/1000,2*$D$75*'M_Cálculos propios'!$O123*M_Datos!$I$101/1000)</f>
        <v>0</v>
      </c>
      <c r="K83" s="554">
        <f t="shared" si="4"/>
        <v>0</v>
      </c>
      <c r="L83" s="319">
        <f>$K83*M_Factores!E235/1000</f>
        <v>0</v>
      </c>
      <c r="M83" s="319">
        <f>$K83*M_Factores!G235/1000</f>
        <v>0</v>
      </c>
      <c r="N83" s="319">
        <f>$K83*M_Factores!H235/1000</f>
        <v>0</v>
      </c>
      <c r="O83" s="319">
        <f>K83*M_Factores!D235/1000</f>
        <v>0</v>
      </c>
      <c r="P83" s="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c r="B84" s="11"/>
      <c r="C84" s="12"/>
      <c r="D84" s="557">
        <f>SUM(D78:D83)</f>
        <v>0</v>
      </c>
      <c r="E84" s="557">
        <f>SUM(E78:E83)</f>
        <v>0</v>
      </c>
      <c r="F84" s="554">
        <f>SUM(F78:F83)</f>
        <v>0</v>
      </c>
      <c r="G84" s="554">
        <f>SUM(G78:G83)</f>
        <v>0</v>
      </c>
      <c r="H84" s="554">
        <f t="shared" ref="H84:J84" si="5">SUM(H78:H83)</f>
        <v>0</v>
      </c>
      <c r="I84" s="554">
        <f t="shared" si="5"/>
        <v>0</v>
      </c>
      <c r="J84" s="554">
        <f t="shared" si="5"/>
        <v>0</v>
      </c>
      <c r="K84" s="557">
        <f>SUM(K78:K83)</f>
        <v>0</v>
      </c>
      <c r="L84" s="318">
        <f>SUM(L78:L83)</f>
        <v>0</v>
      </c>
      <c r="M84" s="318">
        <f>SUM(M78:M83)</f>
        <v>0</v>
      </c>
      <c r="N84" s="318">
        <f>SUM(N78:N83)</f>
        <v>0</v>
      </c>
      <c r="O84" s="318">
        <f>SUM(O78:O83)</f>
        <v>0</v>
      </c>
      <c r="P84" s="1"/>
      <c r="Q84" s="39"/>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c r="B85" s="11"/>
      <c r="C85" s="11"/>
      <c r="D85" s="11"/>
      <c r="E85" s="11"/>
      <c r="F85" s="11"/>
      <c r="G85" s="11"/>
      <c r="H85" s="11"/>
      <c r="I85" s="11"/>
      <c r="J85" s="11"/>
      <c r="K85" s="56"/>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s="135" customFormat="1">
      <c r="A86" s="145"/>
      <c r="B86" s="240" t="str">
        <f>IF(Idioma=Castellano,"C. Consumo de agua",IF(Idioma=Valencià,"C. Consum d'aigua","C. Consumo de agua"))</f>
        <v>C. Consumo de agua</v>
      </c>
      <c r="C86" s="242"/>
      <c r="D86" s="242"/>
      <c r="E86" s="242"/>
      <c r="F86" s="242"/>
      <c r="G86" s="242"/>
      <c r="H86" s="242"/>
      <c r="I86" s="240" t="str">
        <f>IF(Idioma=Castellano,"D. Emisiones asociadas a gestión de residuos",IF(Idioma=Valencià,"D. Emissions associades a gestió de residus","D. Emisiones asociadas a gestión de residuos"))</f>
        <v>D. Emisiones asociadas a gestión de residuos</v>
      </c>
      <c r="J86" s="240"/>
      <c r="K86" s="242"/>
      <c r="L86" s="242"/>
      <c r="M86" s="242"/>
      <c r="N86" s="242"/>
      <c r="O86" s="240" t="str">
        <f>IF(Idioma=Castellano,"E. Sumideros y cambios de uso del suelo",IF(Idioma=Valencià,"E. Embornals i canvis d'ús del sòl","E. Sumideros y cambios de uso del suelo"))</f>
        <v>E. Sumideros y cambios de uso del suelo</v>
      </c>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row>
    <row r="87" spans="1:41">
      <c r="B87" s="11"/>
      <c r="C87" s="11"/>
      <c r="D87" s="11"/>
      <c r="E87" s="11"/>
      <c r="F87" s="11"/>
      <c r="G87" s="11"/>
      <c r="H87" s="11"/>
      <c r="I87" s="11"/>
      <c r="J87" s="11"/>
      <c r="K87" s="11"/>
      <c r="L87" s="11"/>
      <c r="M87" s="11"/>
      <c r="N87" s="11"/>
      <c r="O87" s="1"/>
      <c r="P87" s="1"/>
      <c r="Q87" s="1"/>
      <c r="R87" s="1"/>
      <c r="S87" s="1"/>
      <c r="T87" s="1"/>
      <c r="U87" s="11"/>
      <c r="V87" s="11"/>
      <c r="W87" s="11"/>
      <c r="X87" s="11"/>
      <c r="Y87" s="11"/>
      <c r="Z87" s="11"/>
      <c r="AA87" s="11"/>
      <c r="AB87" s="11"/>
      <c r="AC87" s="11"/>
      <c r="AD87" s="11"/>
      <c r="AE87" s="11"/>
      <c r="AF87" s="11"/>
      <c r="AG87" s="11"/>
      <c r="AH87" s="11"/>
      <c r="AI87" s="11"/>
      <c r="AJ87" s="11"/>
      <c r="AK87" s="11"/>
      <c r="AL87" s="11"/>
      <c r="AM87" s="11"/>
      <c r="AN87" s="11"/>
      <c r="AO87" s="11"/>
    </row>
    <row r="88" spans="1:41">
      <c r="B88" s="11"/>
      <c r="C88" s="14"/>
      <c r="D88" s="11"/>
      <c r="F88" s="11"/>
      <c r="G88" s="11"/>
      <c r="H88" s="11"/>
      <c r="I88" s="11"/>
      <c r="J88" s="11"/>
      <c r="K88" s="11"/>
      <c r="L88" s="11"/>
      <c r="M88" s="11"/>
      <c r="N88" s="11"/>
      <c r="O88" s="1"/>
      <c r="P88" s="249" t="str">
        <f>IF(Idioma=Castellano,"E.1. Absorción de emisiones",IF(Idioma=Valencià,"E.1. Absorció d'emissions","E.1. Absorción de emisiones"))</f>
        <v>E.1. Absorción de emisiones</v>
      </c>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c r="B89" s="11"/>
      <c r="C89" s="307" t="s">
        <v>639</v>
      </c>
      <c r="D89" s="555">
        <f>SUM(M_Datos!H42:H47)</f>
        <v>0</v>
      </c>
      <c r="E89" s="321" t="s">
        <v>640</v>
      </c>
      <c r="F89" s="322">
        <f>D89*M_Factores!D260/1000</f>
        <v>0</v>
      </c>
      <c r="G89" s="14" t="str">
        <f>IF(Idioma=Castellano,"t CO2e/año",IF(Idioma=Valencià,"t CO2e/any "))</f>
        <v>t CO2e/año</v>
      </c>
      <c r="H89" s="14"/>
      <c r="I89" s="650" t="s">
        <v>653</v>
      </c>
      <c r="J89" s="651"/>
      <c r="K89" s="322">
        <f>M_Datos!P28*M_Factores!$D$243/1000</f>
        <v>0</v>
      </c>
      <c r="L89" s="11"/>
      <c r="M89" s="1"/>
      <c r="N89" s="1"/>
      <c r="O89" s="1"/>
      <c r="P89" s="11"/>
      <c r="Q89" s="57" t="str">
        <f>IF(Idioma=Castellano,"Nº de árboles",IF(Idioma=Valencià,"Nº d'arbres","Nº de árboles"))</f>
        <v>Nº de árboles</v>
      </c>
      <c r="R89" s="555">
        <f>M_Datos!J120</f>
        <v>0</v>
      </c>
      <c r="T89" s="14"/>
      <c r="U89" s="11"/>
      <c r="V89" s="11"/>
      <c r="W89" s="11"/>
      <c r="X89" s="11"/>
      <c r="Y89" s="11"/>
      <c r="Z89" s="11"/>
      <c r="AA89" s="11"/>
      <c r="AB89" s="11"/>
      <c r="AC89" s="11"/>
      <c r="AD89" s="11"/>
      <c r="AE89" s="11"/>
      <c r="AF89" s="11"/>
      <c r="AG89" s="11"/>
      <c r="AH89" s="11"/>
      <c r="AI89" s="11"/>
      <c r="AJ89" s="11"/>
      <c r="AK89" s="11"/>
      <c r="AL89" s="11"/>
      <c r="AM89" s="11"/>
      <c r="AN89" s="11"/>
      <c r="AO89" s="11"/>
    </row>
    <row r="90" spans="1:41">
      <c r="B90" s="11"/>
      <c r="C90" s="481" t="str">
        <f>IF(Idioma=Castellano,"Actividades económicas",IF(Idioma=Valencià,"Activitats econòmiques","Actividades económicas"))</f>
        <v>Actividades económicas</v>
      </c>
      <c r="D90" s="555">
        <f>M_Datos!P32</f>
        <v>0</v>
      </c>
      <c r="E90" s="321" t="s">
        <v>599</v>
      </c>
      <c r="F90" s="322">
        <f>D90*M_Factores!D261/1000</f>
        <v>0</v>
      </c>
      <c r="G90" s="14" t="str">
        <f>IF(Idioma=Castellano,"t CO2e/año",IF(Idioma=Valencià,"t CO2e/any "))</f>
        <v>t CO2e/año</v>
      </c>
      <c r="H90" s="14"/>
      <c r="I90" s="650" t="str">
        <f>IF(Idioma=Castellano,"Residencial, Terciario y Equipamientos",IF(Idioma=Valencià,"Residencial, Terciari i Equipaments",))</f>
        <v>Residencial, Terciario y Equipamientos</v>
      </c>
      <c r="J90" s="651"/>
      <c r="K90" s="322">
        <f>(M_Datos!P26+M_Datos!P27+M_Datos!P29)*M_Factores!$D$242/1000</f>
        <v>0</v>
      </c>
      <c r="L90" s="11"/>
      <c r="M90" s="1"/>
      <c r="N90" s="1"/>
      <c r="O90" s="1"/>
      <c r="P90" s="11"/>
      <c r="Q90" s="529" t="s">
        <v>959</v>
      </c>
      <c r="R90" s="558">
        <f>SUM(M_Datos!H42:H47)</f>
        <v>0</v>
      </c>
      <c r="S90" s="322">
        <f>-IF(R89=0,R90*M_Factores!D288/1000,R89*M_Factores!D288/1000)</f>
        <v>0</v>
      </c>
      <c r="T90" s="14" t="str">
        <f>IF(Idioma=Castellano,"t CO2e/año",IF(Idioma=Valencià,"t CO2e/any "))</f>
        <v>t CO2e/año</v>
      </c>
      <c r="U90" s="11"/>
      <c r="V90" s="11"/>
      <c r="W90" s="11"/>
      <c r="X90" s="11"/>
      <c r="Y90" s="11"/>
      <c r="Z90" s="11"/>
      <c r="AA90" s="11"/>
      <c r="AB90" s="11"/>
      <c r="AC90" s="11"/>
      <c r="AD90" s="11"/>
      <c r="AE90" s="11"/>
      <c r="AF90" s="11"/>
      <c r="AG90" s="11"/>
      <c r="AH90" s="11"/>
      <c r="AI90" s="11"/>
      <c r="AJ90" s="11"/>
      <c r="AK90" s="11"/>
      <c r="AL90" s="11"/>
      <c r="AM90" s="11"/>
      <c r="AN90" s="11"/>
      <c r="AO90" s="11"/>
    </row>
    <row r="91" spans="1:41">
      <c r="B91" s="11"/>
      <c r="C91" s="481" t="s">
        <v>642</v>
      </c>
      <c r="D91" s="555">
        <f>M_Datos!P29</f>
        <v>0</v>
      </c>
      <c r="E91" s="321" t="s">
        <v>599</v>
      </c>
      <c r="F91" s="322">
        <f>D91*M_Factores!D262/1000</f>
        <v>0</v>
      </c>
      <c r="G91" s="14" t="str">
        <f>IF(Idioma=Castellano,"t CO2e/año",IF(Idioma=Valencià,"t CO2e/any "))</f>
        <v>t CO2e/año</v>
      </c>
      <c r="H91" s="11"/>
      <c r="I91" s="652" t="s">
        <v>631</v>
      </c>
      <c r="J91" s="653"/>
      <c r="K91" s="322">
        <f>K89+K90</f>
        <v>0</v>
      </c>
      <c r="L91" s="14" t="str">
        <f>IF(Idioma=Castellano,"t CO2e/año",IF(Idioma=Valencià,"t CO2e/any "))</f>
        <v>t CO2e/año</v>
      </c>
      <c r="M91" s="1"/>
      <c r="N91" s="1"/>
      <c r="O91" s="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B92" s="11"/>
      <c r="C92" s="11"/>
      <c r="F92" s="247"/>
      <c r="H92" s="14"/>
      <c r="I92" s="11"/>
      <c r="L92" s="11"/>
      <c r="M92" s="1"/>
      <c r="N92" s="1"/>
      <c r="O92" s="1"/>
      <c r="P92" s="249" t="str">
        <f>IF(Idioma=Castellano,"E.2. Cambios de uso del suelo",IF(Idioma=Valencià,"E.2. Canvis d'ús del sòl","E.2. Cambios de uso del suelo"))</f>
        <v>E.2. Cambios de uso del suelo</v>
      </c>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c r="B93" s="11"/>
      <c r="C93" s="11"/>
      <c r="D93" s="14"/>
      <c r="E93" s="549" t="s">
        <v>631</v>
      </c>
      <c r="F93" s="322">
        <f>SUM(F89:F90)</f>
        <v>0</v>
      </c>
      <c r="G93" s="14" t="str">
        <f>IF(Idioma=Castellano,"t CO2e/año",IF(Idioma=Valencià,"t CO2e/any "))</f>
        <v>t CO2e/año</v>
      </c>
      <c r="H93" s="11"/>
      <c r="I93" s="11"/>
      <c r="J93" s="11"/>
      <c r="K93" s="11"/>
      <c r="L93" s="11"/>
      <c r="M93" s="11"/>
      <c r="N93" s="11"/>
      <c r="O93" s="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row>
    <row r="94" spans="1:41">
      <c r="B94" s="11"/>
      <c r="C94" s="11"/>
      <c r="D94" s="11"/>
      <c r="E94" s="11"/>
      <c r="F94" s="11"/>
      <c r="G94" s="11"/>
      <c r="H94" s="11"/>
      <c r="I94" s="11"/>
      <c r="J94" s="11"/>
      <c r="K94" s="11"/>
      <c r="L94" s="11"/>
      <c r="M94" s="11"/>
      <c r="N94" s="11"/>
      <c r="O94" s="1"/>
      <c r="P94" s="11"/>
      <c r="Q94" s="58"/>
      <c r="R94" s="1"/>
      <c r="S94" s="1"/>
      <c r="T94" s="1"/>
      <c r="U94" s="11"/>
      <c r="V94" s="11"/>
      <c r="W94" s="11"/>
      <c r="X94" s="11"/>
      <c r="Y94" s="11"/>
      <c r="Z94" s="11"/>
      <c r="AA94" s="11"/>
      <c r="AB94" s="11"/>
      <c r="AC94" s="11"/>
      <c r="AD94" s="11"/>
      <c r="AE94" s="11"/>
      <c r="AF94" s="11"/>
      <c r="AG94" s="11"/>
      <c r="AH94" s="11"/>
      <c r="AI94" s="11"/>
      <c r="AJ94" s="11"/>
      <c r="AK94" s="11"/>
      <c r="AL94" s="11"/>
      <c r="AM94" s="11"/>
      <c r="AN94" s="11"/>
      <c r="AO94" s="11"/>
    </row>
    <row r="95" spans="1:41" ht="28.2">
      <c r="B95" s="11"/>
      <c r="C95" s="11"/>
      <c r="D95" s="11"/>
      <c r="E95" s="11"/>
      <c r="F95" s="11"/>
      <c r="G95" s="11"/>
      <c r="H95" s="11"/>
      <c r="I95" s="11"/>
      <c r="J95" s="11"/>
      <c r="K95" s="11"/>
      <c r="L95" s="11"/>
      <c r="M95" s="11"/>
      <c r="N95" s="11"/>
      <c r="O95" s="1"/>
      <c r="P95" s="11"/>
      <c r="Q95" s="338"/>
      <c r="R95" s="52" t="str">
        <f>IF(Idioma=Castellano,"Situación actual (ha)",IF(Idioma=Valencià,"Situació actual (ha)"))</f>
        <v>Situación actual (ha)</v>
      </c>
      <c r="S95" s="55" t="str">
        <f>IF(Idioma=Castellano,"Pérdida o ganancia (ha)",IF(Idioma=Valencià,"Pèrdua o guany (ha)"))</f>
        <v>Pérdida o ganancia (ha)</v>
      </c>
      <c r="T95" s="39" t="s">
        <v>957</v>
      </c>
      <c r="U95" s="1"/>
      <c r="W95" s="11"/>
      <c r="X95" s="11"/>
      <c r="Y95" s="11"/>
      <c r="Z95" s="11"/>
      <c r="AB95" s="548" t="str">
        <f>IF(Idioma=Castellano,"Emisiones por cambios de usos del en suelo",IF(Idioma=Valencià,"Emissions per canvis d'usos de l'en sòl"))</f>
        <v>Emisiones por cambios de usos del en suelo</v>
      </c>
      <c r="AC95" s="11"/>
      <c r="AD95" s="11"/>
      <c r="AE95" s="11"/>
      <c r="AF95" s="11"/>
      <c r="AG95" s="11"/>
      <c r="AH95" s="11"/>
      <c r="AI95" s="11"/>
      <c r="AJ95" s="11"/>
      <c r="AK95" s="11"/>
      <c r="AL95" s="11"/>
      <c r="AM95" s="11"/>
      <c r="AN95" s="11"/>
      <c r="AO95" s="11"/>
    </row>
    <row r="96" spans="1:41" ht="18">
      <c r="B96" s="11"/>
      <c r="C96" s="11"/>
      <c r="D96" s="542" t="str">
        <f>IF(Idioma=Castellano,"Emisiones asociadas al consumo de agua",IF(Idioma=Valencià,"Emissions associades al consum d'aigua","Emisiones asociadas al consumo de agua"))</f>
        <v>Emisiones asociadas al consumo de agua</v>
      </c>
      <c r="E96" s="11"/>
      <c r="F96" s="11"/>
      <c r="G96" s="11"/>
      <c r="H96" s="11"/>
      <c r="I96" s="11"/>
      <c r="J96" s="542" t="str">
        <f>IF(Idioma=Castellano,"Emisiones asociadas a gestión de residuos",IF(Idioma=Valencià,"Emissions associades a gestió de residus"))</f>
        <v>Emisiones asociadas a gestión de residuos</v>
      </c>
      <c r="K96" s="11"/>
      <c r="L96" s="11"/>
      <c r="M96" s="11"/>
      <c r="N96" s="11"/>
      <c r="O96" s="1"/>
      <c r="P96" s="11"/>
      <c r="Q96" s="473" t="str">
        <f>IF(Idioma=Castellano,"Bosque",IF(Idioma=Valencià,"Bosc","Bosque"))</f>
        <v>Bosque</v>
      </c>
      <c r="R96" s="556" t="str">
        <f>IF(SUM(M_Datos!$P$26:$P$33)=0, "",'M_Cálculos propios'!F259)</f>
        <v/>
      </c>
      <c r="S96" s="556" t="str">
        <f>IF(SUM(M_Datos!$P$26:$P$33)=0," ",'M_Cálculos propios'!G277)</f>
        <v xml:space="preserve"> </v>
      </c>
      <c r="T96" s="558" t="str" cm="1">
        <f t="array" ref="T96">IF(SUM(M_Datos!$P$26:$P$33)=0," ",'M_Cálculos propios'!I277:I282+'M_Cálculos propios'!J277:J282)</f>
        <v xml:space="preserve"> </v>
      </c>
      <c r="U96" s="11"/>
      <c r="V96" s="11"/>
      <c r="W96" s="11"/>
      <c r="X96" s="11"/>
      <c r="Y96" s="11"/>
      <c r="Z96" s="11"/>
      <c r="AA96" s="11"/>
      <c r="AB96" s="11"/>
      <c r="AC96" s="11"/>
      <c r="AD96" s="11"/>
      <c r="AE96" s="11"/>
      <c r="AF96" s="11"/>
      <c r="AG96" s="11"/>
      <c r="AH96" s="11"/>
      <c r="AI96" s="11"/>
      <c r="AJ96" s="11"/>
      <c r="AK96" s="11"/>
      <c r="AL96" s="11"/>
      <c r="AM96" s="11"/>
      <c r="AN96" s="11"/>
      <c r="AO96" s="11"/>
    </row>
    <row r="97" spans="2:41" ht="27.6">
      <c r="B97" s="11"/>
      <c r="C97" s="11"/>
      <c r="D97" s="11"/>
      <c r="E97" s="11"/>
      <c r="F97" s="11"/>
      <c r="G97" s="11"/>
      <c r="H97" s="11"/>
      <c r="I97" s="11"/>
      <c r="J97" s="11"/>
      <c r="K97" s="11"/>
      <c r="L97" s="11"/>
      <c r="M97" s="11"/>
      <c r="N97" s="11"/>
      <c r="O97" s="1"/>
      <c r="P97" s="11"/>
      <c r="Q97" s="473" t="str">
        <f>IF(Idioma=Castellano,"Garriga/Matorral (arbustivas)/Prado",IF(Idioma=Valencià,"Garriga/Matoll (arbustives)/Prado","Garriga/Matorral (arbustivas)/Prado"))</f>
        <v>Garriga/Matorral (arbustivas)/Prado</v>
      </c>
      <c r="R97" s="556" t="str">
        <f>IF(SUM(M_Datos!$P$26:$P$33)=0, "",'M_Cálculos propios'!F260)</f>
        <v/>
      </c>
      <c r="S97" s="556" t="str">
        <f>IF(SUM(M_Datos!$P$26:$P$33)=0," ",'M_Cálculos propios'!G278)</f>
        <v xml:space="preserve"> </v>
      </c>
      <c r="T97" s="558"/>
      <c r="U97" s="11"/>
      <c r="V97" s="11"/>
      <c r="W97" s="11"/>
      <c r="X97" s="11"/>
      <c r="Y97" s="11"/>
      <c r="Z97" s="11"/>
      <c r="AA97" s="11"/>
      <c r="AB97" s="11"/>
      <c r="AC97" s="11"/>
      <c r="AD97" s="11"/>
      <c r="AE97" s="11"/>
      <c r="AF97" s="11"/>
      <c r="AG97" s="11"/>
      <c r="AH97" s="11"/>
      <c r="AI97" s="11"/>
      <c r="AJ97" s="11"/>
      <c r="AK97" s="11"/>
      <c r="AL97" s="11"/>
      <c r="AM97" s="11"/>
      <c r="AN97" s="11"/>
      <c r="AO97" s="11"/>
    </row>
    <row r="98" spans="2:41" ht="27.6" customHeight="1">
      <c r="B98" s="11"/>
      <c r="C98" s="11"/>
      <c r="D98" s="11"/>
      <c r="E98" s="11"/>
      <c r="F98" s="11"/>
      <c r="G98" s="11"/>
      <c r="H98" s="11"/>
      <c r="I98" s="11"/>
      <c r="J98" s="11"/>
      <c r="K98" s="11"/>
      <c r="L98" s="11"/>
      <c r="M98" s="11"/>
      <c r="N98" s="11"/>
      <c r="O98" s="1"/>
      <c r="P98" s="11"/>
      <c r="Q98" s="473" t="str">
        <f>IF(Idioma=Castellano,"Cultivo",IF(Idioma=Valencià,"Cultiu","Cultivo"))</f>
        <v>Cultivo</v>
      </c>
      <c r="R98" s="556" t="str">
        <f>IF(SUM(M_Datos!$P$26:$P$33)=0, "",'M_Cálculos propios'!F261)</f>
        <v/>
      </c>
      <c r="S98" s="556" t="str">
        <f>IF(SUM(M_Datos!$P$26:$P$33)=0," ",'M_Cálculos propios'!G279)</f>
        <v xml:space="preserve"> </v>
      </c>
      <c r="T98" s="558"/>
      <c r="U98" s="11"/>
      <c r="V98" s="11"/>
      <c r="W98" s="11"/>
      <c r="X98" s="11"/>
      <c r="Y98" s="11"/>
      <c r="Z98" s="11"/>
      <c r="AA98" s="11"/>
      <c r="AB98" s="11"/>
      <c r="AC98" s="11"/>
      <c r="AD98" s="11"/>
      <c r="AE98" s="11"/>
      <c r="AF98" s="11"/>
      <c r="AG98" s="11"/>
      <c r="AH98" s="11"/>
      <c r="AI98" s="11"/>
      <c r="AJ98" s="11"/>
      <c r="AK98" s="11"/>
      <c r="AL98" s="11"/>
      <c r="AM98" s="11"/>
      <c r="AN98" s="11"/>
      <c r="AO98" s="11"/>
    </row>
    <row r="99" spans="2:41" ht="27.6">
      <c r="B99" s="11"/>
      <c r="C99" s="11"/>
      <c r="D99" s="11"/>
      <c r="E99" s="11"/>
      <c r="F99" s="11"/>
      <c r="G99" s="11"/>
      <c r="H99" s="11"/>
      <c r="I99" s="11"/>
      <c r="J99" s="11"/>
      <c r="K99" s="11"/>
      <c r="L99" s="11"/>
      <c r="M99" s="11"/>
      <c r="N99" s="11"/>
      <c r="O99" s="1"/>
      <c r="P99" s="11"/>
      <c r="Q99" s="473" t="str">
        <f>IF(Idioma=Castellano,"Marismas y humedales",IF(Idioma=Valencià,"Marenys i aiguamolls","Marismas y humedales"))</f>
        <v>Marismas y humedales</v>
      </c>
      <c r="R99" s="556" t="str">
        <f>IF(SUM(M_Datos!$P$26:$P$33)=0, "",'M_Cálculos propios'!F262)</f>
        <v/>
      </c>
      <c r="S99" s="556" t="str">
        <f>IF(SUM(M_Datos!$P$26:$P$33)=0," ",'M_Cálculos propios'!G280)</f>
        <v xml:space="preserve"> </v>
      </c>
      <c r="T99" s="558"/>
      <c r="U99" s="11"/>
      <c r="V99" s="11"/>
      <c r="W99" s="11"/>
      <c r="X99" s="11"/>
      <c r="Y99" s="11"/>
      <c r="Z99" s="11"/>
      <c r="AA99" s="11"/>
      <c r="AB99" s="11"/>
      <c r="AC99" s="11"/>
      <c r="AD99" s="11"/>
      <c r="AE99" s="11"/>
      <c r="AF99" s="11"/>
      <c r="AG99" s="11"/>
      <c r="AH99" s="11"/>
      <c r="AI99" s="11"/>
      <c r="AJ99" s="11"/>
      <c r="AK99" s="11"/>
      <c r="AL99" s="11"/>
      <c r="AM99" s="11"/>
      <c r="AN99" s="11"/>
      <c r="AO99" s="11"/>
    </row>
    <row r="100" spans="2:41">
      <c r="B100" s="11"/>
      <c r="C100" s="11"/>
      <c r="D100" s="11"/>
      <c r="E100" s="11"/>
      <c r="F100" s="11"/>
      <c r="G100" s="11"/>
      <c r="H100" s="11"/>
      <c r="I100" s="11"/>
      <c r="J100" s="11"/>
      <c r="K100" s="11"/>
      <c r="L100" s="11"/>
      <c r="M100" s="11"/>
      <c r="N100" s="11"/>
      <c r="O100" s="1"/>
      <c r="P100" s="11"/>
      <c r="Q100" s="474" t="str">
        <f>IF(Idioma=Castellano,"Otras tierras",IF(Idioma=Valencià,"Altres terres","Otras tierras"))</f>
        <v>Otras tierras</v>
      </c>
      <c r="R100" s="556" t="str">
        <f>IF(SUM(M_Datos!$P$26:$P$33)=0, "",'M_Cálculos propios'!F263)</f>
        <v/>
      </c>
      <c r="S100" s="556" t="str">
        <f>IF(SUM(M_Datos!$P$26:$P$33)=0," ",'M_Cálculos propios'!G281)</f>
        <v xml:space="preserve"> </v>
      </c>
      <c r="T100" s="558"/>
      <c r="U100" s="1"/>
      <c r="V100" s="1"/>
      <c r="W100" s="11"/>
      <c r="X100" s="11"/>
      <c r="Y100" s="11"/>
      <c r="Z100" s="11"/>
      <c r="AA100" s="11"/>
      <c r="AB100" s="11"/>
      <c r="AC100" s="11"/>
      <c r="AD100" s="11"/>
      <c r="AE100" s="11"/>
      <c r="AF100" s="11"/>
      <c r="AG100" s="11"/>
      <c r="AH100" s="11"/>
      <c r="AI100" s="11"/>
      <c r="AJ100" s="11"/>
      <c r="AK100" s="11"/>
      <c r="AL100" s="11"/>
      <c r="AM100" s="11"/>
      <c r="AN100" s="11"/>
      <c r="AO100" s="11"/>
    </row>
    <row r="101" spans="2:41">
      <c r="B101" s="11"/>
      <c r="C101" s="11"/>
      <c r="D101" s="11"/>
      <c r="E101" s="11"/>
      <c r="F101" s="11"/>
      <c r="G101" s="11"/>
      <c r="H101" s="11"/>
      <c r="I101" s="11"/>
      <c r="J101" s="11"/>
      <c r="K101" s="11"/>
      <c r="L101" s="11"/>
      <c r="M101" s="11"/>
      <c r="N101" s="11"/>
      <c r="O101" s="1"/>
      <c r="P101" s="11"/>
      <c r="Q101" s="473" t="str">
        <f>IF(Idioma=Castellano,"Asentamientos",IF(Idioma=Valencià,"Assentaments","Asentamientos"))</f>
        <v>Asentamientos</v>
      </c>
      <c r="R101" s="556" t="str">
        <f>IF(SUM(M_Datos!$P$26:$P$33)=0, "",'M_Cálculos propios'!F264)</f>
        <v/>
      </c>
      <c r="S101" s="556" t="str">
        <f>IF(SUM(M_Datos!$P$26:$P$33)=0," ",'M_Cálculos propios'!G282)</f>
        <v xml:space="preserve"> </v>
      </c>
      <c r="T101" s="558"/>
      <c r="U101" s="528">
        <f>SUM(_xlfn.ANCHORARRAY(T96))</f>
        <v>0</v>
      </c>
      <c r="V101" s="14" t="str">
        <f>IF(Idioma=Castellano,"t CO2e/año",IF(Idioma=Valencià,"t CO2e/any "))</f>
        <v>t CO2e/año</v>
      </c>
      <c r="W101" s="11"/>
      <c r="X101" s="11"/>
      <c r="Y101" s="11"/>
      <c r="Z101" s="11"/>
      <c r="AA101" s="11"/>
      <c r="AB101" s="11"/>
      <c r="AC101" s="11"/>
      <c r="AD101" s="11"/>
      <c r="AE101" s="11"/>
      <c r="AF101" s="11"/>
      <c r="AG101" s="11"/>
      <c r="AH101" s="11"/>
      <c r="AI101" s="11"/>
      <c r="AJ101" s="11"/>
      <c r="AK101" s="11"/>
      <c r="AL101" s="11"/>
      <c r="AM101" s="11"/>
      <c r="AN101" s="11"/>
      <c r="AO101" s="11"/>
    </row>
    <row r="102" spans="2:41">
      <c r="B102" s="11"/>
      <c r="C102" s="11"/>
      <c r="D102" s="11"/>
      <c r="E102" s="11"/>
      <c r="F102" s="11"/>
      <c r="G102" s="11"/>
      <c r="H102" s="11"/>
      <c r="I102" s="11"/>
      <c r="J102" s="11"/>
      <c r="K102" s="11"/>
      <c r="L102" s="11"/>
      <c r="M102" s="11"/>
      <c r="N102" s="11"/>
      <c r="O102" s="1"/>
      <c r="P102" s="11"/>
      <c r="Q102" s="1"/>
      <c r="R102" s="1"/>
      <c r="S102" s="1"/>
      <c r="T102" s="1"/>
      <c r="U102" s="1"/>
      <c r="V102" s="1"/>
      <c r="W102" s="11"/>
      <c r="X102" s="11"/>
      <c r="Y102" s="11"/>
      <c r="Z102" s="11"/>
      <c r="AA102" s="11"/>
      <c r="AB102" s="11"/>
      <c r="AC102" s="11"/>
      <c r="AD102" s="11"/>
      <c r="AE102" s="11"/>
      <c r="AF102" s="11"/>
      <c r="AG102" s="11"/>
      <c r="AH102" s="11"/>
      <c r="AI102" s="11"/>
      <c r="AJ102" s="11"/>
      <c r="AK102" s="11"/>
      <c r="AL102" s="11"/>
      <c r="AM102" s="11"/>
      <c r="AN102" s="11"/>
      <c r="AO102" s="11"/>
    </row>
    <row r="103" spans="2:4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2:4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2:4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2:4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2:4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2:41">
      <c r="B108" s="11"/>
      <c r="C108" s="11"/>
      <c r="D108" s="59"/>
      <c r="E108" s="59"/>
      <c r="F108" s="59"/>
      <c r="G108" s="59"/>
      <c r="H108" s="59"/>
      <c r="I108" s="59"/>
      <c r="J108" s="59"/>
      <c r="K108" s="59"/>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2:41">
      <c r="B109" s="11"/>
      <c r="C109" s="11"/>
      <c r="D109" s="60"/>
      <c r="E109" s="60"/>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2:41">
      <c r="B110" s="11"/>
      <c r="C110" s="11"/>
      <c r="D110" s="61"/>
      <c r="E110" s="6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2:4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2:4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s="135" customFormat="1">
      <c r="A113" s="145"/>
      <c r="B113" s="243"/>
    </row>
    <row r="114" spans="1:4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row>
    <row r="115" spans="1:4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sheetData>
  <sheetProtection algorithmName="SHA-512" hashValue="2a9mFz5LQpR/h4LTnnT8rTnCx9+Qp0PDk55KJhsD4pVrJwgsfPsw4quvLlPdklBslz6kAIuSVnzH8g9voHtx3w==" saltValue="K5d+uuH/nw+mbwTl9YMctQ==" spinCount="100000" sheet="1" objects="1" scenarios="1"/>
  <mergeCells count="10">
    <mergeCell ref="I89:J89"/>
    <mergeCell ref="I90:J90"/>
    <mergeCell ref="I91:J91"/>
    <mergeCell ref="D50:F50"/>
    <mergeCell ref="B4:G5"/>
    <mergeCell ref="D11:F11"/>
    <mergeCell ref="G11:I11"/>
    <mergeCell ref="D27:F27"/>
    <mergeCell ref="D36:F36"/>
    <mergeCell ref="D48:F48"/>
  </mergeCells>
  <hyperlinks>
    <hyperlink ref="A7" location="Instrucciones_Valencia!A1" display="Instrucciones_Valencia!A1" xr:uid="{EB7B4D5D-177C-4CA8-8457-E83C83EE7640}"/>
    <hyperlink ref="A9" location="M_Datos_Valencia!A1" display="M_Datos_Valencia!A1" xr:uid="{F7A28020-D9DD-45BC-8D1E-C4CF27E94258}"/>
    <hyperlink ref="A11" location="V_A0!A1" display="2.1. Alternativa 0 (A0)" xr:uid="{0E689F93-07FB-4194-9D48-CD99404CD4A2}"/>
    <hyperlink ref="A12" location="V_A1!A1" display="2.2. Alternativa 1 (A1)" xr:uid="{CAD56547-C09E-473A-BDE4-2D471A831FF3}"/>
    <hyperlink ref="A13" location="V_A2!A1" display="2.3. Alternativa 2 (A2)" xr:uid="{697E6C8A-1AFD-4BAA-8215-056B793FE664}"/>
    <hyperlink ref="A14" location="V_A3!A1" display="2.4. Alternativa 3 (A3)" xr:uid="{31543EB6-C8DC-4B75-BEB4-C21F64B0E8E1}"/>
    <hyperlink ref="A15" location="V_A4!A1" display="2.5. Alternativa 4 (A4)" xr:uid="{0A4C4F03-CBDC-44EF-9BBF-771543113325}"/>
    <hyperlink ref="A16" location="B_Resultados!A1" display="B_Resultados!A1" xr:uid="{A161D29C-538D-4AC1-B7B8-10A521A0D999}"/>
    <hyperlink ref="A17" location="V_Factores!A1" display="V_Factores!A1" xr:uid="{707FE720-A53A-4CFC-A0A1-B3B7B8AB69AB}"/>
    <hyperlink ref="A19" location="B_Alcance!A1" display="B_Alcance!A1" xr:uid="{C795F454-76CB-42C3-A27F-2D8DE48E0BF3}"/>
    <hyperlink ref="A20" location="B_Checklist!A1" display="2. Checklist" xr:uid="{AF4AAA76-86FF-40D7-8A2C-20CD6A4056E5}"/>
    <hyperlink ref="A21" location="B_Resultados!A1" display="B_Resultados!A1" xr:uid="{2C08373B-DAD8-4D1F-9619-0330E215A4BF}"/>
    <hyperlink ref="A22" location="Resultados_generales!A1" display="Resultados_generales!A1" xr:uid="{61B6004D-EEFF-470C-BE6A-D7A700575675}"/>
    <hyperlink ref="A23" location="Medidas_Propuestas!A1" display="Medidas_Propuestas!A1" xr:uid="{D5F9F6CD-DC7F-4558-86C4-9BC6F31DB4FE}"/>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 id="{A8658096-3499-4CB6-BAE0-0359E78B8469}">
            <xm:f>M_Datos!$J$17="No"</xm:f>
            <x14:dxf>
              <font>
                <color theme="0" tint="-0.34998626667073579"/>
              </font>
              <fill>
                <patternFill>
                  <bgColor theme="0" tint="-4.9989318521683403E-2"/>
                </patternFill>
              </fill>
            </x14:dxf>
          </x14:cfRule>
          <xm:sqref>D71 D53:D55 D39:D42 F78:F84</xm:sqref>
        </x14:conditionalFormatting>
        <x14:conditionalFormatting xmlns:xm="http://schemas.microsoft.com/office/excel/2006/main">
          <x14:cfRule type="expression" priority="11" id="{9F6496A2-BCDB-4674-9BCF-1A2988925D68}">
            <xm:f>M_Datos!$J$17="No"</xm:f>
            <x14:dxf>
              <font>
                <color theme="0" tint="-0.34998626667073579"/>
              </font>
              <fill>
                <patternFill>
                  <bgColor theme="0" tint="-4.9989318521683403E-2"/>
                </patternFill>
              </fill>
            </x14:dxf>
          </x14:cfRule>
          <xm:sqref>E39:F42</xm:sqref>
        </x14:conditionalFormatting>
        <x14:conditionalFormatting xmlns:xm="http://schemas.microsoft.com/office/excel/2006/main">
          <x14:cfRule type="expression" priority="10" id="{0B9F0B9A-92F8-4CF3-8FF2-7FC18FFC72F8}">
            <xm:f>M_Datos!$J$17="No"</xm:f>
            <x14:dxf>
              <font>
                <color theme="0" tint="-0.34998626667073579"/>
              </font>
              <fill>
                <patternFill>
                  <bgColor theme="0" tint="-4.9989318521683403E-2"/>
                </patternFill>
              </fill>
            </x14:dxf>
          </x14:cfRule>
          <xm:sqref>E53:F55</xm:sqref>
        </x14:conditionalFormatting>
        <x14:conditionalFormatting xmlns:xm="http://schemas.microsoft.com/office/excel/2006/main">
          <x14:cfRule type="expression" priority="9" id="{7C5A0D96-765F-4FB5-81A4-D5D371197922}">
            <xm:f>M_Datos!$J$17="No"</xm:f>
            <x14:dxf>
              <font>
                <color theme="0" tint="-0.34998626667073579"/>
              </font>
              <fill>
                <patternFill>
                  <bgColor theme="0" tint="-4.9989318521683403E-2"/>
                </patternFill>
              </fill>
            </x14:dxf>
          </x14:cfRule>
          <xm:sqref>C71</xm:sqref>
        </x14:conditionalFormatting>
        <x14:conditionalFormatting xmlns:xm="http://schemas.microsoft.com/office/excel/2006/main">
          <x14:cfRule type="expression" priority="8" id="{B6D92C3B-B1F0-4CB3-891F-6610508CE081}">
            <xm:f>M_Datos!$J$17="No"</xm:f>
            <x14:dxf>
              <font>
                <color theme="0" tint="-0.34998626667073579"/>
              </font>
              <fill>
                <patternFill>
                  <bgColor theme="0" tint="-4.9989318521683403E-2"/>
                </patternFill>
              </fill>
            </x14:dxf>
          </x14:cfRule>
          <xm:sqref>F77</xm:sqref>
        </x14:conditionalFormatting>
        <x14:conditionalFormatting xmlns:xm="http://schemas.microsoft.com/office/excel/2006/main">
          <x14:cfRule type="expression" priority="5" id="{FB482929-2ED1-4C78-8DDA-E4DE275C6704}">
            <xm:f>M_Datos!$J$17="No"</xm:f>
            <x14:dxf>
              <font>
                <color theme="0" tint="-0.34998626667073579"/>
              </font>
              <fill>
                <patternFill>
                  <bgColor theme="0" tint="-4.9989318521683403E-2"/>
                </patternFill>
              </fill>
            </x14:dxf>
          </x14:cfRule>
          <xm:sqref>C53:C55</xm:sqref>
        </x14:conditionalFormatting>
        <x14:conditionalFormatting xmlns:xm="http://schemas.microsoft.com/office/excel/2006/main">
          <x14:cfRule type="expression" priority="4" id="{F1F417E1-F9D3-4E48-9F9B-D1301F823DF2}">
            <xm:f>M_Datos!$J$17="No"</xm:f>
            <x14:dxf>
              <font>
                <color theme="0" tint="-0.34998626667073579"/>
              </font>
              <fill>
                <patternFill>
                  <bgColor theme="0" tint="-4.9989318521683403E-2"/>
                </patternFill>
              </fill>
            </x14:dxf>
          </x14:cfRule>
          <xm:sqref>C39:C42</xm:sqref>
        </x14:conditionalFormatting>
        <x14:conditionalFormatting xmlns:xm="http://schemas.microsoft.com/office/excel/2006/main">
          <x14:cfRule type="expression" priority="3" id="{E5EA8410-FFE7-4206-B80A-9F92632D4583}">
            <xm:f>M_Datos!$J$17="No"</xm:f>
            <x14:dxf>
              <font>
                <color theme="0" tint="-0.34998626667073579"/>
              </font>
              <fill>
                <patternFill>
                  <bgColor theme="0" tint="-4.9989318521683403E-2"/>
                </patternFill>
              </fill>
            </x14:dxf>
          </x14:cfRule>
          <xm:sqref>C30:C33</xm:sqref>
        </x14:conditionalFormatting>
        <x14:conditionalFormatting xmlns:xm="http://schemas.microsoft.com/office/excel/2006/main">
          <x14:cfRule type="expression" priority="2" id="{EFF252EC-02F1-4936-816A-A8C8BBAAE058}">
            <xm:f>M_Datos!$J$17="No"</xm:f>
            <x14:dxf>
              <font>
                <color theme="0" tint="-0.34998626667073579"/>
              </font>
              <fill>
                <patternFill>
                  <bgColor theme="0" tint="-4.9989318521683403E-2"/>
                </patternFill>
              </fill>
            </x14:dxf>
          </x14:cfRule>
          <xm:sqref>D30:D33</xm:sqref>
        </x14:conditionalFormatting>
        <x14:conditionalFormatting xmlns:xm="http://schemas.microsoft.com/office/excel/2006/main">
          <x14:cfRule type="expression" priority="1" id="{C5758EB8-6D9D-4058-9EE3-DBEC87F42752}">
            <xm:f>M_Datos!$J$17="No"</xm:f>
            <x14:dxf>
              <font>
                <color theme="0" tint="-0.34998626667073579"/>
              </font>
              <fill>
                <patternFill>
                  <bgColor theme="0" tint="-4.9989318521683403E-2"/>
                </patternFill>
              </fill>
            </x14:dxf>
          </x14:cfRule>
          <xm:sqref>E30:F33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25-EACD-4AC3-8714-58FC57052702}">
  <sheetPr>
    <tabColor theme="5" tint="0.79998168889431442"/>
  </sheetPr>
  <dimension ref="A1:AO127"/>
  <sheetViews>
    <sheetView topLeftCell="A61" workbookViewId="0">
      <selection activeCell="E94" sqref="E94"/>
    </sheetView>
  </sheetViews>
  <sheetFormatPr baseColWidth="10" defaultColWidth="11.44140625" defaultRowHeight="15.6"/>
  <cols>
    <col min="1" max="1" width="29.5546875" style="145" customWidth="1"/>
    <col min="3" max="3" width="24.33203125" customWidth="1"/>
    <col min="4" max="4" width="16" customWidth="1"/>
    <col min="5" max="5" width="31.5546875" customWidth="1"/>
    <col min="6" max="6" width="21.33203125" customWidth="1"/>
    <col min="7" max="7" width="17.6640625" customWidth="1"/>
    <col min="8" max="8" width="18.6640625" customWidth="1"/>
    <col min="9" max="9" width="18.44140625" customWidth="1"/>
    <col min="10" max="10" width="20.88671875" customWidth="1"/>
    <col min="11" max="11" width="21.6640625" customWidth="1"/>
    <col min="17" max="17" width="18.33203125" customWidth="1"/>
    <col min="18" max="18" width="15.33203125" customWidth="1"/>
    <col min="19" max="19" width="19.88671875" customWidth="1"/>
    <col min="20" max="20" width="16.33203125" bestFit="1" customWidth="1"/>
  </cols>
  <sheetData>
    <row r="1" spans="1:41" s="135" customFormat="1" ht="30" customHeight="1">
      <c r="A1" s="1"/>
      <c r="B1" s="137"/>
    </row>
    <row r="2" spans="1:41" s="135" customFormat="1" ht="30" customHeight="1">
      <c r="A2" s="1"/>
      <c r="B2" s="137"/>
      <c r="C2" s="136" t="str">
        <f>IF(Idioma=Castellano,"2. Cálculo de Alternativas",IF(Idioma=Valencià,"2. Càlcul d'alternatives ","2. Cálculo de Alternativas"))</f>
        <v>2. Cálculo de Alternativas</v>
      </c>
    </row>
    <row r="3" spans="1:41" s="135" customFormat="1" ht="30" customHeight="1">
      <c r="A3" s="1"/>
      <c r="B3" s="137"/>
    </row>
    <row r="4" spans="1:41" s="245" customFormat="1" ht="15" customHeight="1">
      <c r="A4" s="143"/>
      <c r="B4" s="655" t="s">
        <v>646</v>
      </c>
      <c r="C4" s="655"/>
      <c r="D4" s="655"/>
      <c r="E4" s="655"/>
      <c r="F4" s="655"/>
      <c r="G4" s="655"/>
      <c r="H4" s="244"/>
    </row>
    <row r="5" spans="1:41" s="245" customFormat="1" ht="15" customHeight="1">
      <c r="A5" s="143"/>
      <c r="B5" s="655"/>
      <c r="C5" s="655"/>
      <c r="D5" s="655"/>
      <c r="E5" s="655"/>
      <c r="F5" s="655"/>
      <c r="G5" s="655"/>
      <c r="H5" s="244"/>
    </row>
    <row r="6" spans="1:41" s="135" customFormat="1">
      <c r="A6" s="335" t="str">
        <f>IF(Idioma=Castellano,"Índice",IF(Idioma=Valencià,"Índex","Índice"))</f>
        <v>Índice</v>
      </c>
      <c r="B6" s="240" t="str">
        <f>IF(Idioma=Castellano,"A. Consumo energético",IF(Idioma=Valencià,"A. Consum energètic","A. Consumo energético"))</f>
        <v>A. Consumo energético</v>
      </c>
      <c r="O6" s="241"/>
      <c r="Q6" s="241"/>
      <c r="Z6" s="241"/>
    </row>
    <row r="7" spans="1:41" ht="14.4">
      <c r="A7" s="202" t="str">
        <f>IF(Idioma=Castellano,"Instrucciones",IF(Idioma=Valencià,"Instruccions","Instrucciones"))</f>
        <v>Instrucciones</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8">
      <c r="A8" s="203" t="str">
        <f>IF(Idioma=Castellano,"Sección de Mitigación",IF(Idioma=Valencià,"Secció de Mitigació", "Sección de Mitigación"))</f>
        <v>Sección de Mitigación</v>
      </c>
      <c r="B8" s="1"/>
      <c r="C8" s="1"/>
      <c r="D8" s="1"/>
      <c r="E8" s="195"/>
      <c r="F8" s="1"/>
      <c r="G8" s="1"/>
      <c r="H8" s="1"/>
      <c r="I8" s="1"/>
      <c r="J8" s="1"/>
      <c r="K8" s="1"/>
      <c r="L8" s="1"/>
      <c r="M8" s="1"/>
      <c r="N8" s="1"/>
      <c r="O8" s="246" t="str">
        <f>IF(Idioma=Castellano,"A. Resultados demanda energética",IF(Idioma=Valencià,"A. Resultats demanda energètica","A. Resultados demanda energética"))</f>
        <v>A. Resultados demanda energética</v>
      </c>
      <c r="P8" s="1"/>
      <c r="Q8" s="1"/>
      <c r="R8" s="1"/>
      <c r="S8" s="1"/>
      <c r="T8" s="1"/>
      <c r="U8" s="1"/>
      <c r="V8" s="1"/>
      <c r="W8" s="1"/>
      <c r="X8" s="1"/>
      <c r="Y8" s="1"/>
      <c r="Z8" s="246" t="str">
        <f>IF(Idioma=Castellano,"A. Resultados emisiones",IF(Idioma=Valencià,"A. Resultats emissions"))</f>
        <v>A. Resultados emisiones</v>
      </c>
      <c r="AA8" s="1"/>
      <c r="AB8" s="1"/>
      <c r="AC8" s="1"/>
      <c r="AD8" s="1"/>
      <c r="AE8" s="1"/>
      <c r="AF8" s="1"/>
      <c r="AG8" s="1"/>
      <c r="AH8" s="1"/>
      <c r="AI8" s="1"/>
      <c r="AJ8" s="1"/>
      <c r="AK8" s="1"/>
      <c r="AL8" s="1"/>
      <c r="AM8" s="1"/>
      <c r="AN8" s="1"/>
      <c r="AO8" s="1"/>
    </row>
    <row r="9" spans="1:41" ht="14.4">
      <c r="A9" s="204" t="str">
        <f>IF(Idioma=Castellano,"1. Datos de entrada",IF(Idioma=Valencià,"1.Dades d'entrada","1. Datos de entrada"))</f>
        <v>1. Datos de entrada</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18">
      <c r="A10" s="204" t="str">
        <f>IF(Idioma=Castellano,"2. Cálculo de Alternativas:",IF(Idioma=Valencià,"2. Càlcul d'alternatives :","2. Cálculo de Alternativas:"))</f>
        <v>2. Cálculo de Alternativas:</v>
      </c>
      <c r="B10" s="1"/>
      <c r="C10" s="246" t="str">
        <f>IF(Idioma=Castellano,"A.1. Uso de la vivienda",IF(Idioma=Valencià,"A.1. Ús de l'habitatge","A.1. Uso de la vivienda"))</f>
        <v>A.1. Uso de la vivienda</v>
      </c>
      <c r="D10" s="1"/>
      <c r="E10" s="1"/>
      <c r="F10" s="1"/>
      <c r="G10" s="1"/>
      <c r="H10" s="1"/>
      <c r="I10" s="1"/>
      <c r="J10" s="1"/>
      <c r="K10" s="1"/>
      <c r="L10" s="1"/>
      <c r="M10" s="1"/>
      <c r="N10" s="542" t="str">
        <f>IF(Idioma=Castellano,"Demanda asociada a usos de vivienda",IF(Idioma=Valencià,"Demanda associades a ús d'habitatge"))</f>
        <v>Demanda asociada a usos de vivienda</v>
      </c>
      <c r="O10" s="1"/>
      <c r="P10" s="1"/>
      <c r="Q10" s="1"/>
      <c r="R10" s="542" t="str">
        <f>IF(Idioma=Castellano,"Demanda energética asociadas a los tipos de viviendas",IF(Idioma=Valencià,"Demanda energètica associades als tipus d'habitatges"))</f>
        <v>Demanda energética asociadas a los tipos de viviendas</v>
      </c>
      <c r="S10" s="1"/>
      <c r="T10" s="1"/>
      <c r="U10" s="1"/>
      <c r="V10" s="1"/>
      <c r="W10" s="1"/>
      <c r="X10" s="1"/>
      <c r="Y10" s="1"/>
      <c r="Z10" s="542" t="str">
        <f>IF(Idioma=Castellano,"Emisiones asociada a usos de vivienda",IF(Idioma=Valencià,"Emissions associades a ús d'habitatge"))</f>
        <v>Emisiones asociada a usos de vivienda</v>
      </c>
      <c r="AA10" s="1"/>
      <c r="AB10" s="1"/>
      <c r="AC10" s="1"/>
      <c r="AD10" s="1"/>
      <c r="AE10" s="1"/>
      <c r="AF10" s="542" t="str">
        <f>IF(Idioma=Castellano,"Emisiones energética asociadas a los tipos de viviendas",IF(Idioma=Valencià,"Emissions energètica associades als tipus d'habitatges"))</f>
        <v>Emisiones energética asociadas a los tipos de viviendas</v>
      </c>
      <c r="AG10" s="1"/>
      <c r="AH10" s="1"/>
      <c r="AI10" s="1"/>
      <c r="AJ10" s="1"/>
      <c r="AK10" s="1"/>
      <c r="AL10" s="1"/>
      <c r="AM10" s="1"/>
      <c r="AN10" s="1"/>
      <c r="AO10" s="1"/>
    </row>
    <row r="11" spans="1:41" ht="14.4">
      <c r="A11" s="205" t="s">
        <v>1</v>
      </c>
      <c r="B11" s="1"/>
      <c r="C11" s="47"/>
      <c r="D11" s="652" t="str">
        <f>IF(Idioma=Castellano,"Vivienda Unifamiliar",IF(Idioma=Valencià,"Habitatge Unifamiliar","Vivienda Unifamiliar"))</f>
        <v>Vivienda Unifamiliar</v>
      </c>
      <c r="E11" s="654"/>
      <c r="F11" s="653"/>
      <c r="G11" s="652" t="str">
        <f>IF(Idioma=Castellano,"Vivienda Plurifamiliar",IF(Idioma=Valencià,"Habitatge Plurifamiliar","Vivienda Plurifamiliar"))</f>
        <v>Vivienda Plurifamiliar</v>
      </c>
      <c r="H11" s="654"/>
      <c r="I11" s="653"/>
      <c r="J11" s="158"/>
      <c r="K11" s="48"/>
      <c r="L11" s="1"/>
      <c r="M11" s="1"/>
      <c r="N11" s="1"/>
      <c r="O11" s="1"/>
      <c r="P11" s="1"/>
      <c r="Q11" s="1"/>
      <c r="R11" s="1"/>
      <c r="S11" s="1"/>
      <c r="T11" s="1"/>
      <c r="U11" s="1"/>
      <c r="V11" s="1"/>
      <c r="W11" s="1"/>
      <c r="X11" s="1"/>
      <c r="Y11" s="46"/>
      <c r="Z11" s="1"/>
      <c r="AA11" s="1"/>
      <c r="AB11" s="1"/>
      <c r="AC11" s="1"/>
      <c r="AD11" s="1"/>
      <c r="AE11" s="1"/>
      <c r="AF11" s="1"/>
      <c r="AG11" s="1"/>
      <c r="AH11" s="1"/>
      <c r="AI11" s="1"/>
      <c r="AJ11" s="1"/>
      <c r="AK11" s="1"/>
      <c r="AL11" s="1"/>
      <c r="AM11" s="1"/>
      <c r="AN11" s="1"/>
      <c r="AO11" s="1"/>
    </row>
    <row r="12" spans="1:41" ht="14.4">
      <c r="A12" s="205" t="s">
        <v>2</v>
      </c>
      <c r="B12" s="1"/>
      <c r="C12" s="289" t="s">
        <v>622</v>
      </c>
      <c r="D12" s="525" t="s">
        <v>623</v>
      </c>
      <c r="E12" s="525" t="s">
        <v>948</v>
      </c>
      <c r="F12" s="526" t="str">
        <f>IF(Idioma=Castellano,"Emisiones (t CO2e)",IF(Idioma=Valencià,"Emissions (t CO2e) ","Emisiones (t CO2e)"))</f>
        <v>Emisiones (t CO2e)</v>
      </c>
      <c r="G12" s="525" t="s">
        <v>623</v>
      </c>
      <c r="H12" s="525" t="s">
        <v>948</v>
      </c>
      <c r="I12" s="526" t="str">
        <f>IF(Idioma=Castellano,"Emisiones (t CO2e)",IF(Idioma=Valencià,"Emissions (t CO2e) ","Emisiones (t CO2e)"))</f>
        <v>Emisiones (t CO2e)</v>
      </c>
      <c r="J12" s="545" t="str">
        <f>IF(Idioma=Castellano,"Total Demanda (MW/año)",IF(Idioma=Valencià,"Total Demanda (MW/any)","Total Demanda (MW/año)"))</f>
        <v>Total Demanda (MW/año)</v>
      </c>
      <c r="K12" s="526" t="str">
        <f>IF(Idioma=Castellano,"Total de emisiones (t CO2e/año)",IF(Idioma=Valencià,"Total d'emissions (t CO2e/any) ","Total de emisiones (t CO2e/año)"))</f>
        <v>Total de emisiones (t CO2e/año)</v>
      </c>
      <c r="L12" s="1"/>
      <c r="M12" s="1"/>
      <c r="N12" s="7"/>
      <c r="O12" s="7"/>
      <c r="P12" s="7"/>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ht="14.4">
      <c r="A13" s="205" t="s">
        <v>3</v>
      </c>
      <c r="B13" s="1"/>
      <c r="C13" s="289" t="str">
        <f>IF(Idioma=Castellano,"Existente",IF(Idioma=Valencià,"Existent","Existente"))</f>
        <v>Existente</v>
      </c>
      <c r="D13" s="551">
        <f>SUMIF(M_Datos!$I$48:$I$50,M_Lista!G3,M_Datos!$G$48:$G$50)</f>
        <v>0</v>
      </c>
      <c r="E13" s="312" t="e">
        <f>D13*VLOOKUP($D$11&amp;M_Datos!$E$12&amp;M_A4!C13,M_Factores!$F$10:$H$207,2,FALSE)/(10^3)</f>
        <v>#N/A</v>
      </c>
      <c r="F13" s="313" t="e">
        <f>D13*VLOOKUP($D$11&amp;M_Datos!$E$12&amp;M_A4!C13,M_Factores!$F$10:$H$207,3,FALSE)/1000</f>
        <v>#N/A</v>
      </c>
      <c r="G13" s="551">
        <f>SUMIF(M_Datos!$I$51:$I$53,M_Lista!G3,M_Datos!$G$51:$G$53)</f>
        <v>0</v>
      </c>
      <c r="H13" s="312" t="e">
        <f>G13*VLOOKUP($G$11&amp;M_Datos!$E$12&amp;M_A4!C13,M_Factores!$F$10:$H$207,2,FALSE)/(10^3)</f>
        <v>#N/A</v>
      </c>
      <c r="I13" s="313" t="e">
        <f>G13*VLOOKUP($G$11&amp;M_Datos!$E$12&amp;M_A4!C13,M_Factores!$F$10:$H$207,3,FALSE)/1000</f>
        <v>#N/A</v>
      </c>
      <c r="J13" s="314" t="e">
        <f>E13+H13</f>
        <v>#N/A</v>
      </c>
      <c r="K13" s="313" t="e">
        <f t="shared" ref="K13:K21" si="0">F13+I13</f>
        <v>#N/A</v>
      </c>
      <c r="L13" s="1"/>
      <c r="M13" s="1"/>
      <c r="N13" s="7"/>
      <c r="O13" s="7"/>
      <c r="P13" s="7"/>
      <c r="Q13" s="1"/>
      <c r="R13" s="1"/>
      <c r="S13" s="1"/>
      <c r="T13" s="1"/>
      <c r="U13" s="1"/>
      <c r="V13" s="1"/>
      <c r="W13" s="1"/>
      <c r="X13" s="1"/>
      <c r="Y13" s="46"/>
      <c r="Z13" s="1"/>
      <c r="AA13" s="1"/>
      <c r="AB13" s="1"/>
      <c r="AC13" s="1"/>
      <c r="AD13" s="1"/>
      <c r="AE13" s="1"/>
      <c r="AF13" s="1"/>
      <c r="AG13" s="1"/>
      <c r="AH13" s="1"/>
      <c r="AI13" s="1"/>
      <c r="AJ13" s="1"/>
      <c r="AK13" s="1"/>
      <c r="AL13" s="1"/>
      <c r="AM13" s="1"/>
      <c r="AN13" s="1"/>
      <c r="AO13" s="1"/>
    </row>
    <row r="14" spans="1:41" ht="14.4">
      <c r="A14" s="205" t="s">
        <v>4</v>
      </c>
      <c r="B14" s="1"/>
      <c r="C14" s="289" t="s">
        <v>625</v>
      </c>
      <c r="D14" s="551">
        <f>SUMIF(M_Datos!$I$48:$I$50,M_Lista!G4,M_Datos!$G$48:$G$50)</f>
        <v>0</v>
      </c>
      <c r="E14" s="312" t="e">
        <f>D14*VLOOKUP($D$11&amp;M_Datos!$E$12&amp;M_A4!C14,M_Factores!$F$10:$H$207,2,FALSE)/(10^3)</f>
        <v>#N/A</v>
      </c>
      <c r="F14" s="313" t="e">
        <f>D14*VLOOKUP($D$11&amp;M_Datos!$E$12&amp;M_A4!C14,M_Factores!$F$10:$H$207,3,FALSE)/1000</f>
        <v>#N/A</v>
      </c>
      <c r="G14" s="551">
        <f>SUMIF(M_Datos!$I$51:$I$53,M_Lista!G4,M_Datos!$G$51:$G$53)</f>
        <v>0</v>
      </c>
      <c r="H14" s="312" t="e">
        <f>G14*VLOOKUP($G$11&amp;M_Datos!$E$12&amp;M_A4!C14,M_Factores!$F$10:$H$207,2,FALSE)/(10^3)</f>
        <v>#N/A</v>
      </c>
      <c r="I14" s="313" t="e">
        <f>G14*VLOOKUP($G$11&amp;M_Datos!$E$12&amp;M_A4!C14,M_Factores!$F$10:$H$207,3,FALSE)/1000</f>
        <v>#N/A</v>
      </c>
      <c r="J14" s="314" t="e">
        <f t="shared" ref="J14:J21" si="1">E14+H14</f>
        <v>#N/A</v>
      </c>
      <c r="K14" s="313" t="e">
        <f t="shared" si="0"/>
        <v>#N/A</v>
      </c>
      <c r="L14" s="1"/>
      <c r="M14" s="1"/>
      <c r="N14" s="49" t="e">
        <f>F22</f>
        <v>#N/A</v>
      </c>
      <c r="O14" s="49" t="e">
        <f>I22</f>
        <v>#N/A</v>
      </c>
      <c r="P14" s="7"/>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ht="14.4">
      <c r="A15" s="205" t="s">
        <v>5</v>
      </c>
      <c r="B15" s="1"/>
      <c r="C15" s="289" t="s">
        <v>626</v>
      </c>
      <c r="D15" s="551">
        <f>SUMIF(M_Datos!$I$48:$I$50,M_Lista!G5,M_Datos!$G$48:$G$50)</f>
        <v>0</v>
      </c>
      <c r="E15" s="312" t="e">
        <f>D15*VLOOKUP($D$11&amp;M_Datos!$E$12&amp;M_A4!C15,M_Factores!$F$10:$H$207,2,FALSE)/(10^3)</f>
        <v>#N/A</v>
      </c>
      <c r="F15" s="313" t="e">
        <f>D15*VLOOKUP($D$11&amp;M_Datos!$E$12&amp;M_A4!C15,M_Factores!$F$10:$H$207,3,FALSE)/1000</f>
        <v>#N/A</v>
      </c>
      <c r="G15" s="551">
        <f>SUMIF(M_Datos!$I$51:$I$53,M_Lista!G5,M_Datos!$G$51:$G$53)</f>
        <v>0</v>
      </c>
      <c r="H15" s="312" t="e">
        <f>G15*VLOOKUP($G$11&amp;M_Datos!$E$12&amp;M_A4!C15,M_Factores!$F$10:$H$207,2,FALSE)/(10^3)</f>
        <v>#N/A</v>
      </c>
      <c r="I15" s="313" t="e">
        <f>G15*VLOOKUP($G$11&amp;M_Datos!$E$12&amp;M_A4!C15,M_Factores!$F$10:$H$207,3,FALSE)/1000</f>
        <v>#N/A</v>
      </c>
      <c r="J15" s="314" t="e">
        <f t="shared" si="1"/>
        <v>#N/A</v>
      </c>
      <c r="K15" s="313" t="e">
        <f t="shared" si="0"/>
        <v>#N/A</v>
      </c>
      <c r="L15" s="1"/>
      <c r="M15" s="1"/>
      <c r="N15" s="7"/>
      <c r="O15" s="7"/>
      <c r="P15" s="7"/>
      <c r="Q15" s="1"/>
      <c r="R15" s="1"/>
      <c r="S15" s="1"/>
      <c r="T15" s="1"/>
      <c r="U15" s="1"/>
      <c r="V15" s="1"/>
      <c r="W15" s="1"/>
      <c r="X15" s="1"/>
      <c r="Y15" s="46"/>
      <c r="Z15" s="1"/>
      <c r="AA15" s="1"/>
      <c r="AB15" s="1"/>
      <c r="AC15" s="1"/>
      <c r="AD15" s="1"/>
      <c r="AE15" s="1"/>
      <c r="AF15" s="1"/>
      <c r="AG15" s="1"/>
      <c r="AH15" s="1"/>
      <c r="AI15" s="1"/>
      <c r="AJ15" s="1"/>
      <c r="AK15" s="1"/>
      <c r="AL15" s="1"/>
      <c r="AM15" s="1"/>
      <c r="AN15" s="1"/>
      <c r="AO15" s="1"/>
    </row>
    <row r="16" spans="1:41" ht="14.4">
      <c r="A16" s="204" t="str">
        <f>IF(Idioma=Castellano,"3. Resultados",IF(Idioma=Valencià,"3. Resultats","3. Resultados"))</f>
        <v>3. Resultados</v>
      </c>
      <c r="B16" s="1"/>
      <c r="C16" s="289" t="s">
        <v>627</v>
      </c>
      <c r="D16" s="551">
        <f>SUMIF(M_Datos!$I$48:$I$50,M_Lista!G6,M_Datos!$G$48:$G$50)</f>
        <v>0</v>
      </c>
      <c r="E16" s="312" t="e">
        <f>D16*VLOOKUP($D$11&amp;M_Datos!$E$12&amp;M_A4!C16,M_Factores!$F$10:$H$207,2,FALSE)/(10^3)</f>
        <v>#N/A</v>
      </c>
      <c r="F16" s="313" t="e">
        <f>D16*VLOOKUP($D$11&amp;M_Datos!$E$12&amp;M_A4!C16,M_Factores!$F$10:$H$207,3,FALSE)/1000</f>
        <v>#N/A</v>
      </c>
      <c r="G16" s="551">
        <f>SUMIF(M_Datos!$I$51:$I$53,M_Lista!G6,M_Datos!$G$51:$G$53)</f>
        <v>0</v>
      </c>
      <c r="H16" s="312" t="e">
        <f>G16*VLOOKUP($G$11&amp;M_Datos!$E$12&amp;M_A4!C16,M_Factores!$F$10:$H$207,2,FALSE)/(10^3)</f>
        <v>#N/A</v>
      </c>
      <c r="I16" s="313" t="e">
        <f>G16*VLOOKUP($G$11&amp;M_Datos!$E$12&amp;M_A4!C16,M_Factores!$F$10:$H$207,3,FALSE)/1000</f>
        <v>#N/A</v>
      </c>
      <c r="J16" s="314" t="e">
        <f t="shared" si="1"/>
        <v>#N/A</v>
      </c>
      <c r="K16" s="313" t="e">
        <f t="shared" si="0"/>
        <v>#N/A</v>
      </c>
      <c r="L16" s="1"/>
      <c r="M16" s="1"/>
      <c r="N16" s="7"/>
      <c r="O16" s="7"/>
      <c r="P16" s="7"/>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4.4">
      <c r="A17" s="204" t="str">
        <f>IF(Idioma=Castellano,"4. Factores de emisión",IF(Idioma=Valencià,"4. Factors d'emissió","4. Factores de emisión"))</f>
        <v>4. Factores de emisión</v>
      </c>
      <c r="B17" s="1"/>
      <c r="C17" s="289" t="s">
        <v>628</v>
      </c>
      <c r="D17" s="551">
        <f>SUMIF(M_Datos!$I$48:$I$50,M_Lista!G7,M_Datos!$G$48:$G$50)</f>
        <v>0</v>
      </c>
      <c r="E17" s="312" t="e">
        <f>D17*VLOOKUP($D$11&amp;M_Datos!$E$12&amp;M_A4!C17,M_Factores!$F$10:$H$207,2,FALSE)/(10^3)</f>
        <v>#N/A</v>
      </c>
      <c r="F17" s="313" t="e">
        <f>D17*VLOOKUP($D$11&amp;M_Datos!$E$12&amp;M_A4!C17,M_Factores!$F$10:$H$207,3,FALSE)/1000</f>
        <v>#N/A</v>
      </c>
      <c r="G17" s="551">
        <f>SUMIF(M_Datos!$I$51:$I$53,M_Lista!G7,M_Datos!$G$51:$G$53)</f>
        <v>0</v>
      </c>
      <c r="H17" s="312" t="e">
        <f>G17*VLOOKUP($G$11&amp;M_Datos!$E$12&amp;M_A4!C17,M_Factores!$F$10:$H$207,2,FALSE)/(10^3)</f>
        <v>#N/A</v>
      </c>
      <c r="I17" s="313" t="e">
        <f>G17*VLOOKUP($G$11&amp;M_Datos!$E$12&amp;M_A4!C17,M_Factores!$F$10:$H$207,3,FALSE)/1000</f>
        <v>#N/A</v>
      </c>
      <c r="J17" s="314" t="e">
        <f t="shared" si="1"/>
        <v>#N/A</v>
      </c>
      <c r="K17" s="313" t="e">
        <f t="shared" si="0"/>
        <v>#N/A</v>
      </c>
      <c r="L17" s="1"/>
      <c r="M17" s="1"/>
      <c r="N17" s="7"/>
      <c r="O17" s="7"/>
      <c r="P17" s="7"/>
      <c r="Q17" s="1"/>
      <c r="R17" s="1"/>
      <c r="S17" s="1"/>
      <c r="T17" s="1"/>
      <c r="U17" s="1"/>
      <c r="V17" s="1"/>
      <c r="W17" s="1"/>
      <c r="X17" s="1"/>
      <c r="Y17" s="46"/>
      <c r="Z17" s="1"/>
      <c r="AA17" s="1"/>
      <c r="AB17" s="1"/>
      <c r="AC17" s="1"/>
      <c r="AD17" s="1"/>
      <c r="AE17" s="1"/>
      <c r="AF17" s="3"/>
      <c r="AG17" s="3"/>
      <c r="AH17" s="3"/>
      <c r="AI17" s="3"/>
      <c r="AJ17" s="3"/>
      <c r="AK17" s="3"/>
      <c r="AL17" s="3"/>
      <c r="AM17" s="3"/>
      <c r="AN17" s="3"/>
      <c r="AO17" s="3"/>
    </row>
    <row r="18" spans="1:41" ht="14.4">
      <c r="A18" s="203" t="str">
        <f>IF(Idioma=Castellano,"Sección de Adaptación",IF(Idioma=Valencià,"Secció d'Adaptació","Sección de Adaptación"))</f>
        <v>Sección de Adaptación</v>
      </c>
      <c r="B18" s="3"/>
      <c r="C18" s="289" t="s">
        <v>629</v>
      </c>
      <c r="D18" s="551">
        <f>SUMIF(M_Datos!$I$48:$I$50,M_Lista!G8,M_Datos!$G$48:$G$50)</f>
        <v>0</v>
      </c>
      <c r="E18" s="312" t="e">
        <f>D18*VLOOKUP($D$11&amp;M_Datos!$E$12&amp;M_A4!C18,M_Factores!$F$10:$H$207,2,FALSE)/(10^3)</f>
        <v>#N/A</v>
      </c>
      <c r="F18" s="313" t="e">
        <f>D18*VLOOKUP($D$11&amp;M_Datos!$E$12&amp;M_A4!C18,M_Factores!$F$10:$H$207,3,FALSE)/1000</f>
        <v>#N/A</v>
      </c>
      <c r="G18" s="551">
        <f>SUMIF(M_Datos!$I$51:$I$53,M_Lista!G8,M_Datos!$G$51:$G$53)</f>
        <v>0</v>
      </c>
      <c r="H18" s="312" t="e">
        <f>G18*VLOOKUP($G$11&amp;M_Datos!$E$12&amp;M_A4!C18,M_Factores!$F$10:$H$207,2,FALSE)/(10^3)</f>
        <v>#N/A</v>
      </c>
      <c r="I18" s="313" t="e">
        <f>G18*VLOOKUP($G$11&amp;M_Datos!$E$12&amp;M_A4!C18,M_Factores!$F$10:$H$207,3,FALSE)/1000</f>
        <v>#N/A</v>
      </c>
      <c r="J18" s="314" t="e">
        <f t="shared" si="1"/>
        <v>#N/A</v>
      </c>
      <c r="K18" s="313" t="e">
        <f t="shared" si="0"/>
        <v>#N/A</v>
      </c>
      <c r="L18" s="1"/>
      <c r="M18" s="1"/>
      <c r="N18" s="7"/>
      <c r="O18" s="7"/>
      <c r="P18" s="7"/>
      <c r="Q18" s="1"/>
      <c r="R18" s="1"/>
      <c r="S18" s="1"/>
      <c r="T18" s="1"/>
      <c r="U18" s="1"/>
      <c r="V18" s="1"/>
      <c r="W18" s="1"/>
      <c r="X18" s="1"/>
      <c r="Y18" s="1"/>
      <c r="Z18" s="1"/>
      <c r="AA18" s="1"/>
      <c r="AB18" s="1"/>
      <c r="AC18" s="1"/>
      <c r="AD18" s="1"/>
      <c r="AE18" s="1"/>
      <c r="AF18" s="3"/>
      <c r="AG18" s="3"/>
      <c r="AH18" s="3"/>
      <c r="AI18" s="3"/>
      <c r="AJ18" s="3"/>
      <c r="AK18" s="3"/>
      <c r="AL18" s="3"/>
      <c r="AM18" s="3"/>
      <c r="AN18" s="3"/>
      <c r="AO18" s="3"/>
    </row>
    <row r="19" spans="1:41" ht="14.4">
      <c r="A19" s="204" t="str">
        <f>IF(Idioma=Castellano,"1. Alcance",IF(Idioma=Valencià,"1. Abast","1. Alcance"))</f>
        <v>1. Alcance</v>
      </c>
      <c r="B19" s="3"/>
      <c r="C19" s="289" t="s">
        <v>630</v>
      </c>
      <c r="D19" s="551">
        <f>SUMIF(M_Datos!$I$48:$I$50,M_Lista!G9,M_Datos!$G$48:$G$50)</f>
        <v>0</v>
      </c>
      <c r="E19" s="312" t="e">
        <f>D19*VLOOKUP($D$11&amp;M_Datos!$E$12&amp;M_A4!C19,M_Factores!$F$10:$H$207,2,FALSE)/(10^3)</f>
        <v>#N/A</v>
      </c>
      <c r="F19" s="313" t="e">
        <f>D19*VLOOKUP($D$11&amp;M_Datos!$E$12&amp;M_A4!C19,M_Factores!$F$10:$H$207,3,FALSE)/1000</f>
        <v>#N/A</v>
      </c>
      <c r="G19" s="551">
        <f>SUMIF(M_Datos!$I$51:$I$53,M_Lista!G9,M_Datos!$G$51:$G$53)</f>
        <v>0</v>
      </c>
      <c r="H19" s="312" t="e">
        <f>G19*VLOOKUP($G$11&amp;M_Datos!$E$12&amp;M_A4!C19,M_Factores!$F$10:$H$207,2,FALSE)/(10^3)</f>
        <v>#N/A</v>
      </c>
      <c r="I19" s="313" t="e">
        <f>G19*VLOOKUP($G$11&amp;M_Datos!$E$12&amp;M_A4!C19,M_Factores!$F$10:$H$207,3,FALSE)/1000</f>
        <v>#N/A</v>
      </c>
      <c r="J19" s="314" t="e">
        <f t="shared" si="1"/>
        <v>#N/A</v>
      </c>
      <c r="K19" s="313" t="e">
        <f t="shared" si="0"/>
        <v>#N/A</v>
      </c>
      <c r="L19" s="1"/>
      <c r="M19" s="1"/>
      <c r="N19" s="7"/>
      <c r="O19" s="7"/>
      <c r="P19" s="7"/>
      <c r="Q19" s="1"/>
      <c r="R19" s="1"/>
      <c r="S19" s="1"/>
      <c r="T19" s="1"/>
      <c r="U19" s="1"/>
      <c r="V19" s="1"/>
      <c r="W19" s="1"/>
      <c r="X19" s="1"/>
      <c r="Y19" s="46"/>
      <c r="Z19" s="1"/>
      <c r="AA19" s="1"/>
      <c r="AB19" s="1"/>
      <c r="AC19" s="1"/>
      <c r="AD19" s="1"/>
      <c r="AE19" s="1"/>
      <c r="AF19" s="1"/>
      <c r="AG19" s="1"/>
      <c r="AH19" s="1"/>
      <c r="AI19" s="1"/>
      <c r="AJ19" s="1"/>
      <c r="AK19" s="1"/>
      <c r="AL19" s="1"/>
      <c r="AM19" s="1"/>
      <c r="AN19" s="1"/>
      <c r="AO19" s="1"/>
    </row>
    <row r="20" spans="1:41" ht="14.4">
      <c r="A20" s="204" t="s">
        <v>6</v>
      </c>
      <c r="B20" s="1"/>
      <c r="C20" s="289" t="str">
        <f>IF(Idioma=Castellano,"Consumo nulo",IF(Idioma=Valencià,"Consum nul","Consumo nulo"))</f>
        <v>Consumo nulo</v>
      </c>
      <c r="D20" s="551">
        <f>SUMIF(M_Datos!$I$48:$I$50,M_Lista!G10,M_Datos!$G$48:$G$50)</f>
        <v>0</v>
      </c>
      <c r="E20" s="312" t="e">
        <f>D20*VLOOKUP($D$11&amp;M_Datos!$E$12&amp;M_A4!C20,M_Factores!$F$10:$H$207,2,FALSE)/(10^3)</f>
        <v>#N/A</v>
      </c>
      <c r="F20" s="313" t="e">
        <f>D20*VLOOKUP($D$11&amp;M_Datos!$E$12&amp;M_A4!C20,M_Factores!$F$10:$H$207,3,FALSE)/1000</f>
        <v>#N/A</v>
      </c>
      <c r="G20" s="551">
        <f>SUMIF(M_Datos!$I$51:$I$53,M_Lista!G10,M_Datos!$G$51:$G$53)</f>
        <v>0</v>
      </c>
      <c r="H20" s="312" t="e">
        <f>G20*VLOOKUP($G$11&amp;M_Datos!$E$12&amp;M_A4!C20,M_Factores!$F$10:$H$207,2,FALSE)/(10^3)</f>
        <v>#N/A</v>
      </c>
      <c r="I20" s="313" t="e">
        <f>G20*VLOOKUP($G$11&amp;M_Datos!$E$12&amp;M_A4!C20,M_Factores!$F$10:$H$207,3,FALSE)/1000</f>
        <v>#N/A</v>
      </c>
      <c r="J20" s="314" t="e">
        <f t="shared" si="1"/>
        <v>#N/A</v>
      </c>
      <c r="K20" s="313" t="e">
        <f t="shared" si="0"/>
        <v>#N/A</v>
      </c>
      <c r="L20" s="1"/>
      <c r="M20" s="1"/>
      <c r="N20" s="7"/>
      <c r="O20" s="7"/>
      <c r="P20" s="7"/>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41" ht="14.4">
      <c r="A21" s="204" t="str">
        <f>IF(Idioma=Castellano,"3. Resultados",IF(Idioma=Valencià,"3. Resultats","3. Resultados"))</f>
        <v>3. Resultados</v>
      </c>
      <c r="B21" s="1"/>
      <c r="C21" s="289" t="str">
        <f>IF(Idioma=Castellano,"Sin definir",IF(Idioma=Valencià,"Sense definir","Sin definir"))</f>
        <v>Sin definir</v>
      </c>
      <c r="D21" s="551">
        <f>SUMIF(M_Datos!$I$48:$I$50,M_Lista!G11,M_Datos!$G$48:$G$50)</f>
        <v>0</v>
      </c>
      <c r="E21" s="312" t="e">
        <f>D21*VLOOKUP($D$11&amp;M_Datos!$E$12&amp;M_A4!C21,M_Factores!$F$10:$H$207,2,FALSE)/(10^3)</f>
        <v>#N/A</v>
      </c>
      <c r="F21" s="313" t="e">
        <f>D21*VLOOKUP($D$11&amp;M_Datos!$E$12&amp;M_A4!C21,M_Factores!$F$10:$H$207,3,FALSE)/1000</f>
        <v>#N/A</v>
      </c>
      <c r="G21" s="551">
        <f>SUMIF(M_Datos!$I$51:$I$53,M_Lista!G11,M_Datos!$G$51:$G$53)</f>
        <v>0</v>
      </c>
      <c r="H21" s="312" t="e">
        <f>G21*VLOOKUP($G$11&amp;M_Datos!$E$12&amp;M_A4!C21,M_Factores!$F$10:$H$207,2,FALSE)/(10^3)</f>
        <v>#N/A</v>
      </c>
      <c r="I21" s="313" t="e">
        <f>G21*VLOOKUP($G$11&amp;M_Datos!$E$12&amp;M_A4!C21,M_Factores!$F$10:$H$207,3,FALSE)/1000</f>
        <v>#N/A</v>
      </c>
      <c r="J21" s="314" t="e">
        <f t="shared" si="1"/>
        <v>#N/A</v>
      </c>
      <c r="K21" s="313" t="e">
        <f t="shared" si="0"/>
        <v>#N/A</v>
      </c>
      <c r="L21" s="1"/>
      <c r="M21" s="1"/>
      <c r="N21" s="1"/>
      <c r="O21" s="1"/>
      <c r="P21" s="1"/>
      <c r="Q21" s="1"/>
      <c r="R21" s="1"/>
      <c r="S21" s="1"/>
      <c r="T21" s="1"/>
      <c r="U21" s="1"/>
      <c r="V21" s="1"/>
      <c r="W21" s="1"/>
      <c r="X21" s="1"/>
      <c r="Y21" s="46"/>
      <c r="Z21" s="1"/>
      <c r="AA21" s="1"/>
      <c r="AB21" s="1"/>
      <c r="AC21" s="1"/>
      <c r="AD21" s="1"/>
      <c r="AE21" s="1"/>
      <c r="AF21" s="1"/>
      <c r="AG21" s="1"/>
      <c r="AH21" s="1"/>
      <c r="AI21" s="1"/>
      <c r="AJ21" s="1"/>
      <c r="AK21" s="1"/>
      <c r="AL21" s="1"/>
      <c r="AM21" s="1"/>
      <c r="AN21" s="1"/>
      <c r="AO21" s="1"/>
    </row>
    <row r="22" spans="1:41" ht="14.4">
      <c r="A22" s="203" t="str">
        <f>IF(Idioma=Castellano,"Resultados generales",IF(Idioma=Valencià,"Resultats generals","Resultados generales"))</f>
        <v>Resultados generales</v>
      </c>
      <c r="B22" s="1"/>
      <c r="C22" s="315" t="s">
        <v>631</v>
      </c>
      <c r="D22" s="552">
        <f t="shared" ref="D22:I22" si="2">SUM(D13:D21)</f>
        <v>0</v>
      </c>
      <c r="E22" s="314" t="e">
        <f t="shared" si="2"/>
        <v>#N/A</v>
      </c>
      <c r="F22" s="317" t="e">
        <f t="shared" si="2"/>
        <v>#N/A</v>
      </c>
      <c r="G22" s="552">
        <f t="shared" si="2"/>
        <v>0</v>
      </c>
      <c r="H22" s="314" t="e">
        <f t="shared" si="2"/>
        <v>#N/A</v>
      </c>
      <c r="I22" s="317" t="e">
        <f t="shared" si="2"/>
        <v>#N/A</v>
      </c>
      <c r="J22" s="314" t="e">
        <f>E22+H22</f>
        <v>#N/A</v>
      </c>
      <c r="K22" s="506" t="e">
        <f>F22+I22</f>
        <v>#N/A</v>
      </c>
      <c r="L22" s="39"/>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1" ht="22.95" customHeight="1">
      <c r="A23" s="203" t="str">
        <f>IF(Idioma=Castellano,"Medidas Propuestas",IF(Idioma=Valencià,"Mesures Proposades","Medidas Propuestas"))</f>
        <v>Medidas Propuestas</v>
      </c>
      <c r="B23" s="1"/>
      <c r="C23" s="1"/>
      <c r="D23" s="1"/>
      <c r="E23" s="1"/>
      <c r="F23" s="1"/>
      <c r="G23" s="1"/>
      <c r="H23" s="1"/>
      <c r="I23" s="1"/>
      <c r="J23" s="1"/>
      <c r="K23" s="1"/>
      <c r="L23" s="1"/>
      <c r="M23" s="1"/>
      <c r="N23" s="1"/>
      <c r="O23" s="1"/>
      <c r="P23" s="1"/>
      <c r="Q23" s="1"/>
      <c r="R23" s="1"/>
      <c r="S23" s="1"/>
      <c r="T23" s="1"/>
      <c r="U23" s="1"/>
      <c r="V23" s="1"/>
      <c r="W23" s="1"/>
      <c r="X23" s="1"/>
      <c r="Y23" s="46"/>
      <c r="Z23" s="1"/>
      <c r="AA23" s="1"/>
      <c r="AB23" s="1"/>
      <c r="AC23" s="1"/>
      <c r="AD23" s="1"/>
      <c r="AE23" s="1"/>
      <c r="AF23" s="1"/>
      <c r="AG23" s="1"/>
      <c r="AH23" s="1"/>
      <c r="AI23" s="1"/>
      <c r="AJ23" s="1"/>
      <c r="AK23" s="1"/>
      <c r="AL23" s="1"/>
      <c r="AM23" s="1"/>
      <c r="AN23" s="1"/>
      <c r="AO23" s="1"/>
    </row>
    <row r="24" spans="1:41">
      <c r="B24" s="1"/>
      <c r="C24" s="246" t="str">
        <f>IF(Idioma=Castellano,"A.2. Actividades económicas",IF(Idioma=Valencià,"A.2. Activitats econòmiques","A.2. Actividades económicas"))</f>
        <v>A.2. Actividades económicas</v>
      </c>
      <c r="D24" s="1"/>
      <c r="E24" s="1"/>
      <c r="F24" s="1"/>
      <c r="G24" s="1"/>
      <c r="H24" s="1"/>
      <c r="I24" s="1"/>
      <c r="J24" s="1"/>
      <c r="K24" s="1"/>
      <c r="L24" s="1"/>
      <c r="M24" s="1"/>
      <c r="N24" s="1"/>
      <c r="O24" s="39"/>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3.95" customHeight="1">
      <c r="A25" s="157"/>
      <c r="B25" s="1"/>
      <c r="C25" s="46"/>
      <c r="D25" s="1"/>
      <c r="E25" s="1"/>
      <c r="F25" s="1"/>
      <c r="G25" s="1"/>
      <c r="H25" s="1"/>
      <c r="I25" s="1"/>
      <c r="J25" s="1"/>
      <c r="K25" s="1"/>
      <c r="L25" s="1"/>
      <c r="M25" s="1"/>
      <c r="N25" s="1"/>
      <c r="O25" s="39"/>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0.199999999999999" customHeight="1">
      <c r="B26" s="1"/>
      <c r="C26" s="1"/>
      <c r="D26" s="1"/>
      <c r="E26" s="1"/>
      <c r="F26" s="1"/>
      <c r="G26" s="1"/>
      <c r="H26" s="1"/>
      <c r="I26" s="1"/>
      <c r="J26" s="1"/>
      <c r="K26" s="39"/>
      <c r="L26" s="1"/>
      <c r="M26" s="4"/>
      <c r="N26" s="1"/>
      <c r="O26" s="39"/>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c r="B27" s="1"/>
      <c r="C27" s="1"/>
      <c r="D27" s="652" t="s">
        <v>632</v>
      </c>
      <c r="E27" s="654"/>
      <c r="F27" s="653"/>
      <c r="G27" s="1"/>
      <c r="H27" s="1"/>
      <c r="I27" s="1"/>
      <c r="J27" s="1"/>
      <c r="K27" s="39"/>
      <c r="L27" s="1"/>
      <c r="M27" s="4"/>
      <c r="N27" s="1"/>
      <c r="O27" s="39"/>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c r="B28" s="1"/>
      <c r="C28" s="230" t="s">
        <v>633</v>
      </c>
      <c r="D28" s="525" t="s">
        <v>623</v>
      </c>
      <c r="E28" s="525" t="s">
        <v>948</v>
      </c>
      <c r="F28" s="526" t="str">
        <f>IF(Idioma=Castellano,"Emisiones (t CO2e)",IF(Idioma=Valencià,"Emissions (t CO2e) ","Emisiones (t CO2e)"))</f>
        <v>Emisiones (t CO2e)</v>
      </c>
      <c r="G28" s="1"/>
      <c r="H28" s="1"/>
      <c r="I28" s="1"/>
      <c r="J28" s="1"/>
      <c r="K28" s="39"/>
      <c r="L28" s="1"/>
      <c r="M28" s="4"/>
      <c r="N28" s="1"/>
      <c r="O28" s="39"/>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c r="B29" s="1"/>
      <c r="C29" s="230" t="s">
        <v>607</v>
      </c>
      <c r="D29" s="551">
        <f>M_Cálculos!Q118</f>
        <v>0</v>
      </c>
      <c r="E29" s="312">
        <f>M_Cálculos!R118</f>
        <v>0</v>
      </c>
      <c r="F29" s="313">
        <f>M_Cálculos!S118</f>
        <v>0</v>
      </c>
      <c r="G29" s="1"/>
      <c r="H29" s="1"/>
      <c r="I29" s="1"/>
      <c r="J29" s="1"/>
      <c r="K29" s="39"/>
      <c r="L29" s="1"/>
      <c r="M29" s="4"/>
      <c r="N29" s="1"/>
      <c r="O29" s="39"/>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c r="B30" s="1"/>
      <c r="C30" s="230" t="str">
        <f>M_Datos!L81</f>
        <v>Cerámica</v>
      </c>
      <c r="D30" s="551">
        <f>M_Cálculos!Q119</f>
        <v>0</v>
      </c>
      <c r="E30" s="312">
        <f>M_Cálculos!R119</f>
        <v>0</v>
      </c>
      <c r="F30" s="313">
        <f>M_Cálculos!S119</f>
        <v>0</v>
      </c>
      <c r="G30" s="1"/>
      <c r="H30" s="1"/>
      <c r="I30" s="1"/>
      <c r="J30" s="1"/>
      <c r="K30" s="39"/>
      <c r="L30" s="1"/>
      <c r="M30" s="4"/>
      <c r="N30" s="1"/>
      <c r="O30" s="39"/>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8">
      <c r="B31" s="1"/>
      <c r="C31" s="230" t="str">
        <f>M_Datos!L84</f>
        <v>Agroalimentaria</v>
      </c>
      <c r="D31" s="551">
        <f>M_Cálculos!Q120</f>
        <v>0</v>
      </c>
      <c r="E31" s="312">
        <f>M_Cálculos!R120</f>
        <v>0</v>
      </c>
      <c r="F31" s="313">
        <f>M_Cálculos!S120</f>
        <v>0</v>
      </c>
      <c r="G31" s="1"/>
      <c r="H31" s="1"/>
      <c r="I31" s="1"/>
      <c r="J31" s="1"/>
      <c r="K31" s="39"/>
      <c r="L31" s="1"/>
      <c r="M31" s="4"/>
      <c r="N31" s="542" t="str">
        <f>IF(Idioma=Castellano,"Demanda asociada  actividades económicas",IF(Idioma=Valencià,"Demanda associada activitats econòmiques"))</f>
        <v>Demanda asociada  actividades económicas</v>
      </c>
      <c r="P31" s="1"/>
      <c r="Q31" s="1"/>
      <c r="R31" s="1"/>
      <c r="S31" s="1"/>
      <c r="T31" s="542" t="str">
        <f>IF(Idioma=Castellano,"Demanda asociada a  terciario",IF(Idioma=Valencià,"Demanda associada  a terciari"))</f>
        <v>Demanda asociada a  terciario</v>
      </c>
      <c r="U31" s="1"/>
      <c r="V31" s="1"/>
      <c r="W31" s="1"/>
      <c r="X31" s="1"/>
      <c r="Y31" s="1"/>
      <c r="Z31" s="542" t="str">
        <f>IF(Idioma=Castellano,"Emisiones asociadas  actividades económicas",IF(Idioma=Valencià,"Emissions associades activitats econòmiques"))</f>
        <v>Emisiones asociadas  actividades económicas</v>
      </c>
      <c r="AA31" s="1"/>
      <c r="AB31" s="1"/>
      <c r="AC31" s="1"/>
      <c r="AD31" s="1"/>
      <c r="AE31" s="1"/>
      <c r="AF31" s="1"/>
      <c r="AG31" s="542" t="str">
        <f>IF(Idioma=Castellano,"Emisiones asociadas a  terciario",IF(Idioma=Valencià,"Emissions associades  a terciari"))</f>
        <v>Emisiones asociadas a  terciario</v>
      </c>
      <c r="AH31" s="1"/>
      <c r="AI31" s="1"/>
      <c r="AJ31" s="1"/>
      <c r="AK31" s="1"/>
      <c r="AL31" s="1"/>
      <c r="AM31" s="1"/>
      <c r="AN31" s="1"/>
      <c r="AO31" s="1"/>
    </row>
    <row r="32" spans="1:41">
      <c r="B32" s="1"/>
      <c r="C32" s="230" t="str">
        <f>M_Datos!L87</f>
        <v>Logística</v>
      </c>
      <c r="D32" s="551">
        <f>M_Cálculos!Q121</f>
        <v>0</v>
      </c>
      <c r="E32" s="312">
        <f>M_Cálculos!R121</f>
        <v>0</v>
      </c>
      <c r="F32" s="313">
        <f>M_Cálculos!S121</f>
        <v>0</v>
      </c>
      <c r="G32" s="1"/>
      <c r="H32" s="1"/>
      <c r="I32" s="1"/>
      <c r="J32" s="1"/>
      <c r="K32" s="39"/>
      <c r="L32" s="1"/>
      <c r="M32" s="4"/>
      <c r="N32" s="1"/>
      <c r="O32" s="39"/>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2:41">
      <c r="B33" s="1"/>
      <c r="C33" s="230" t="str">
        <f>M_Datos!L90</f>
        <v>Textil</v>
      </c>
      <c r="D33" s="551">
        <f>M_Cálculos!Q122</f>
        <v>0</v>
      </c>
      <c r="E33" s="312">
        <f>M_Cálculos!R122</f>
        <v>0</v>
      </c>
      <c r="F33" s="313">
        <f>M_Cálculos!S122</f>
        <v>0</v>
      </c>
      <c r="G33" s="1"/>
      <c r="H33" s="1"/>
      <c r="I33" s="1"/>
      <c r="J33" s="1"/>
      <c r="K33" s="39"/>
      <c r="L33" s="1"/>
      <c r="M33" s="4"/>
      <c r="N33" s="1"/>
      <c r="O33" s="39"/>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2:41">
      <c r="B34" s="1"/>
      <c r="C34" s="315" t="s">
        <v>631</v>
      </c>
      <c r="D34" s="552">
        <f>SUM(D29:D33)</f>
        <v>0</v>
      </c>
      <c r="E34" s="314">
        <f t="shared" ref="E34:F34" si="3">SUM(E29:E33)</f>
        <v>0</v>
      </c>
      <c r="F34" s="317">
        <f t="shared" si="3"/>
        <v>0</v>
      </c>
      <c r="G34" s="1"/>
      <c r="H34" s="1"/>
      <c r="I34" s="1"/>
      <c r="J34" s="1"/>
      <c r="K34" s="39"/>
      <c r="L34" s="1"/>
      <c r="M34" s="4"/>
      <c r="N34" s="1"/>
      <c r="O34" s="39"/>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2:41">
      <c r="B35" s="1"/>
      <c r="C35" s="1"/>
      <c r="D35" s="1"/>
      <c r="E35" s="1"/>
      <c r="F35" s="1"/>
      <c r="G35" s="1"/>
      <c r="H35" s="1"/>
      <c r="I35" s="1"/>
      <c r="J35" s="1"/>
      <c r="K35" s="39"/>
      <c r="L35" s="1"/>
      <c r="M35" s="4"/>
      <c r="N35" s="1"/>
      <c r="O35" s="39"/>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2:41">
      <c r="B36" s="1"/>
      <c r="C36" s="47"/>
      <c r="D36" s="652" t="str">
        <f>IF(Idioma=Castellano,"Terciario",IF(Idioma=Valencià,"Terciari","Terciario"))</f>
        <v>Terciario</v>
      </c>
      <c r="E36" s="654"/>
      <c r="F36" s="653"/>
      <c r="G36" s="183"/>
      <c r="H36" s="184"/>
      <c r="I36" s="159"/>
      <c r="J36" s="159"/>
      <c r="K36" s="39"/>
      <c r="L36" s="1"/>
      <c r="M36" s="4"/>
      <c r="N36" s="1"/>
      <c r="O36" s="39"/>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2:41">
      <c r="B37" s="1"/>
      <c r="C37" s="289" t="s">
        <v>633</v>
      </c>
      <c r="D37" s="525" t="s">
        <v>623</v>
      </c>
      <c r="E37" s="525" t="s">
        <v>948</v>
      </c>
      <c r="F37" s="526" t="str">
        <f>IF(Idioma=Castellano,"Emisiones (t CO2e)",IF(Idioma=Valencià,"Emissions (t CO2e) ","Emisiones (t CO2e)"))</f>
        <v>Emisiones (t CO2e)</v>
      </c>
      <c r="G37" s="183"/>
      <c r="H37" s="184"/>
      <c r="I37" s="159"/>
      <c r="J37" s="159"/>
      <c r="K37" s="39"/>
      <c r="L37" s="1"/>
      <c r="M37" s="4"/>
      <c r="N37" s="1"/>
      <c r="O37" s="39"/>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2:41">
      <c r="B38" s="1"/>
      <c r="C38" s="289" t="str">
        <f>M_Datos!L56</f>
        <v>Sin especificar</v>
      </c>
      <c r="D38" s="551">
        <f>M_Cálculos!Q21</f>
        <v>0</v>
      </c>
      <c r="E38" s="312">
        <f>M_Cálculos!R21</f>
        <v>0</v>
      </c>
      <c r="F38" s="313">
        <f>M_Cálculos!S21</f>
        <v>0</v>
      </c>
      <c r="G38" s="183"/>
      <c r="H38" s="184"/>
      <c r="I38" s="159"/>
      <c r="J38" s="159"/>
      <c r="K38" s="39"/>
      <c r="L38" s="1"/>
      <c r="M38" s="4"/>
      <c r="N38" s="1"/>
      <c r="O38" s="39"/>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2:41">
      <c r="B39" s="1"/>
      <c r="C39" s="289" t="str">
        <f>M_Datos!L59</f>
        <v>Oficinas</v>
      </c>
      <c r="D39" s="551">
        <f>M_Cálculos!Q31</f>
        <v>0</v>
      </c>
      <c r="E39" s="312">
        <f>M_Cálculos!R31</f>
        <v>0</v>
      </c>
      <c r="F39" s="313">
        <f>M_Cálculos!S31</f>
        <v>0</v>
      </c>
      <c r="G39" s="183"/>
      <c r="H39" s="184"/>
      <c r="I39" s="159"/>
      <c r="J39" s="159"/>
      <c r="K39" s="39"/>
      <c r="L39" s="1"/>
      <c r="M39" s="4"/>
      <c r="N39" s="1"/>
      <c r="O39" s="39"/>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2:41">
      <c r="B40" s="1"/>
      <c r="C40" s="289" t="str">
        <f>M_Datos!L62</f>
        <v>Comercio</v>
      </c>
      <c r="D40" s="551">
        <f>M_Cálculos!Q41</f>
        <v>0</v>
      </c>
      <c r="E40" s="312">
        <f>M_Cálculos!R41</f>
        <v>0</v>
      </c>
      <c r="F40" s="313">
        <f>M_Cálculos!S41</f>
        <v>0</v>
      </c>
      <c r="G40" s="183"/>
      <c r="H40" s="184"/>
      <c r="I40" s="159"/>
      <c r="J40" s="159"/>
      <c r="K40" s="39"/>
      <c r="L40" s="1"/>
      <c r="M40" s="4"/>
      <c r="N40" s="1"/>
      <c r="O40" s="39"/>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2:41">
      <c r="B41" s="1"/>
      <c r="C41" s="289" t="str">
        <f>M_Datos!L65</f>
        <v>Hotel</v>
      </c>
      <c r="D41" s="551">
        <f>M_Cálculos!Q51</f>
        <v>0</v>
      </c>
      <c r="E41" s="312">
        <f>M_Cálculos!R51</f>
        <v>0</v>
      </c>
      <c r="F41" s="313">
        <f>M_Cálculos!S51</f>
        <v>0</v>
      </c>
      <c r="G41" s="183"/>
      <c r="H41" s="184"/>
      <c r="I41" s="159"/>
      <c r="J41" s="159"/>
      <c r="K41" s="39"/>
      <c r="L41" s="1"/>
      <c r="M41" s="4"/>
      <c r="N41" s="1"/>
      <c r="O41" s="39"/>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2:41">
      <c r="B42" s="1"/>
      <c r="C42" s="289" t="str">
        <f>M_Datos!L68</f>
        <v>Restauración</v>
      </c>
      <c r="D42" s="551">
        <f>M_Cálculos!Q61</f>
        <v>0</v>
      </c>
      <c r="E42" s="312">
        <f>M_Cálculos!R61</f>
        <v>0</v>
      </c>
      <c r="F42" s="313">
        <f>M_Cálculos!S61</f>
        <v>0</v>
      </c>
      <c r="G42" s="183"/>
      <c r="H42" s="184"/>
      <c r="I42" s="159"/>
      <c r="J42" s="159"/>
      <c r="K42" s="39"/>
      <c r="L42" s="1"/>
      <c r="M42" s="4"/>
      <c r="N42" s="1"/>
      <c r="O42" s="39"/>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2:41">
      <c r="B43" s="1"/>
      <c r="C43" s="315" t="s">
        <v>631</v>
      </c>
      <c r="D43" s="552">
        <f>SUM(D38:D42)</f>
        <v>0</v>
      </c>
      <c r="E43" s="314">
        <f>SUM(E38:E42)</f>
        <v>0</v>
      </c>
      <c r="F43" s="317">
        <f>SUM(F38:F42)</f>
        <v>0</v>
      </c>
      <c r="G43" s="183"/>
      <c r="H43" s="184"/>
      <c r="I43" s="159"/>
      <c r="J43" s="159"/>
      <c r="K43" s="39"/>
      <c r="L43" s="1"/>
      <c r="M43" s="4"/>
      <c r="N43" s="1"/>
      <c r="O43" s="39"/>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2:41" ht="21.6" customHeight="1">
      <c r="B44" s="1"/>
      <c r="C44" s="1"/>
      <c r="D44" s="1"/>
      <c r="E44" s="1"/>
      <c r="F44" s="1"/>
      <c r="G44" s="183"/>
      <c r="H44" s="184"/>
      <c r="I44" s="159"/>
      <c r="J44" s="159"/>
      <c r="K44" s="39"/>
      <c r="L44" s="1"/>
      <c r="M44" s="4"/>
      <c r="N44" s="1"/>
      <c r="O44" s="39"/>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2:41">
      <c r="B45" s="1"/>
      <c r="C45" s="1"/>
      <c r="D45" s="1"/>
      <c r="E45" s="1"/>
      <c r="F45" s="1"/>
      <c r="G45" s="1"/>
      <c r="H45" s="1"/>
      <c r="I45" s="1"/>
      <c r="J45" s="1"/>
      <c r="K45" s="1"/>
      <c r="L45" s="1"/>
      <c r="M45" s="1"/>
      <c r="N45" s="1"/>
      <c r="O45" s="39"/>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2:41">
      <c r="B46" s="1"/>
      <c r="C46" s="246" t="str">
        <f>IF(Idioma=Castellano,"A.3.Equipamientos",IF(Idioma=Valencià,"A.3.Equipaments ","A.3.Equipamientos"))</f>
        <v>A.3.Equipamientos</v>
      </c>
      <c r="D46" s="1"/>
      <c r="E46" s="1"/>
      <c r="F46" s="1"/>
      <c r="G46" s="1"/>
      <c r="H46" s="1"/>
      <c r="I46" s="1"/>
      <c r="J46" s="1"/>
      <c r="K46" s="1"/>
      <c r="L46" s="1"/>
      <c r="M46" s="4"/>
      <c r="N46" s="1"/>
      <c r="O46" s="39"/>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2:41" ht="18">
      <c r="B47" s="1"/>
      <c r="C47" s="46"/>
      <c r="D47" s="1"/>
      <c r="E47" s="1"/>
      <c r="F47" s="1"/>
      <c r="G47" s="1"/>
      <c r="H47" s="1"/>
      <c r="I47" s="1"/>
      <c r="J47" s="1"/>
      <c r="K47" s="1"/>
      <c r="L47" s="1"/>
      <c r="M47" s="4"/>
      <c r="N47" s="1"/>
      <c r="O47" s="542" t="str">
        <f>IF(Idioma=Castellano,"Demanda asociada  a equipamientos",IF(Idioma=Valencià,"Demanda associada  a equipaments"))</f>
        <v>Demanda asociada  a equipamientos</v>
      </c>
      <c r="P47" s="1"/>
      <c r="Q47" s="1"/>
      <c r="R47" s="1"/>
      <c r="S47" s="1"/>
      <c r="T47" s="1"/>
      <c r="U47" s="542" t="str">
        <f>IF(Idioma=Castellano,"Demanda asociada  a industria",IF(Idioma=Valencià,"Demanda associada  a industria"))</f>
        <v>Demanda asociada  a industria</v>
      </c>
      <c r="V47" s="1"/>
      <c r="W47" s="1"/>
      <c r="X47" s="1"/>
      <c r="Y47" s="1"/>
      <c r="Z47" s="1"/>
      <c r="AA47" s="1"/>
      <c r="AB47" s="542" t="str">
        <f>IF(Idioma=Castellano,"Emisiones asociadas  a equipamientos",IF(Idioma=Valencià,"Emissions associades a equipaments"))</f>
        <v>Emisiones asociadas  a equipamientos</v>
      </c>
      <c r="AC47" s="1"/>
      <c r="AD47" s="1"/>
      <c r="AE47" s="1"/>
      <c r="AF47" s="1"/>
      <c r="AG47" s="1"/>
      <c r="AH47" s="1"/>
      <c r="AI47" s="542" t="str">
        <f>IF(Idioma=Castellano,"Emisiones asociadas  a industria",IF(Idioma=Valencià,"Emissions associades  a industria"))</f>
        <v>Emisiones asociadas  a industria</v>
      </c>
      <c r="AJ47" s="1"/>
      <c r="AK47" s="1"/>
      <c r="AL47" s="1"/>
      <c r="AM47" s="1"/>
      <c r="AN47" s="1"/>
      <c r="AO47" s="1"/>
    </row>
    <row r="48" spans="2:41">
      <c r="B48" s="355"/>
      <c r="C48" s="519"/>
      <c r="D48" s="656"/>
      <c r="E48" s="656"/>
      <c r="F48" s="656"/>
      <c r="G48" s="520"/>
      <c r="H48" s="1"/>
      <c r="I48" s="1"/>
      <c r="J48" s="1"/>
      <c r="K48" s="1"/>
      <c r="L48" s="1"/>
      <c r="M48" s="4"/>
      <c r="N48" s="1"/>
      <c r="O48" s="39"/>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2:41">
      <c r="B49" s="355"/>
      <c r="C49" s="81"/>
      <c r="D49" s="85"/>
      <c r="E49" s="85"/>
      <c r="F49" s="85"/>
      <c r="G49" s="39"/>
      <c r="H49" s="1"/>
      <c r="I49" s="1"/>
      <c r="J49" s="1"/>
      <c r="K49" s="1"/>
      <c r="L49" s="1"/>
      <c r="M49" s="4"/>
      <c r="N49" s="1"/>
      <c r="O49" s="39"/>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2:41">
      <c r="B50" s="355"/>
      <c r="C50" s="47"/>
      <c r="D50" s="652" t="str">
        <f>IF(Idioma=Castellano,"Equipamientos - Resumen",IF(Idioma=Valencià,"Equipaments - Resum","Equipamientos - Resumen"))</f>
        <v>Equipamientos - Resumen</v>
      </c>
      <c r="E50" s="654"/>
      <c r="F50" s="653"/>
      <c r="G50" s="39"/>
      <c r="H50" s="1"/>
      <c r="I50" s="1"/>
      <c r="J50" s="1"/>
      <c r="K50" s="1"/>
      <c r="L50" s="1"/>
      <c r="M50" s="4"/>
      <c r="N50" s="1"/>
      <c r="O50" s="39"/>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2:41">
      <c r="B51" s="355"/>
      <c r="C51" s="289" t="s">
        <v>633</v>
      </c>
      <c r="D51" s="525" t="s">
        <v>623</v>
      </c>
      <c r="E51" s="525" t="s">
        <v>948</v>
      </c>
      <c r="F51" s="526" t="str">
        <f>IF(Idioma=Castellano,"Emisiones (t CO2e)",IF(Idioma=Valencià,"Emissions (t CO2e) ","Emisiones (t CO2e)"))</f>
        <v>Emisiones (t CO2e)</v>
      </c>
      <c r="G51" s="39"/>
      <c r="H51" s="1"/>
      <c r="I51" s="1"/>
      <c r="J51" s="1"/>
      <c r="K51" s="1"/>
      <c r="L51" s="1"/>
      <c r="M51" s="4"/>
      <c r="N51" s="1"/>
      <c r="O51" s="39"/>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2:41">
      <c r="B52" s="355"/>
      <c r="C52" s="230" t="str">
        <f>M_Datos!L38</f>
        <v>Equipamientos - Sin especificar</v>
      </c>
      <c r="D52" s="551">
        <f>M_Cálculos!Q78</f>
        <v>0</v>
      </c>
      <c r="E52" s="312" t="e">
        <f>M_Cálculos!R78</f>
        <v>#N/A</v>
      </c>
      <c r="F52" s="313" t="e">
        <f>M_Cálculos!S78</f>
        <v>#N/A</v>
      </c>
      <c r="G52" s="39"/>
      <c r="H52" s="1"/>
      <c r="I52" s="1"/>
      <c r="J52" s="1"/>
      <c r="K52" s="1"/>
      <c r="L52" s="1"/>
      <c r="M52" s="4"/>
      <c r="N52" s="1"/>
      <c r="O52" s="39"/>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2:41">
      <c r="B53" s="355"/>
      <c r="C53" s="289" t="str">
        <f>M_Datos!L41</f>
        <v>Sanitario</v>
      </c>
      <c r="D53" s="551">
        <f>M_Cálculos!Q88</f>
        <v>0</v>
      </c>
      <c r="E53" s="312" t="e">
        <f>M_Cálculos!R88</f>
        <v>#N/A</v>
      </c>
      <c r="F53" s="313" t="e">
        <f>M_Cálculos!S88</f>
        <v>#N/A</v>
      </c>
      <c r="G53" s="39"/>
      <c r="H53" s="1"/>
      <c r="I53" s="1"/>
      <c r="J53" s="1"/>
      <c r="K53" s="1"/>
      <c r="L53" s="1"/>
      <c r="M53" s="4"/>
      <c r="N53" s="1"/>
      <c r="O53" s="39"/>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2:41">
      <c r="B54" s="355"/>
      <c r="C54" s="289" t="str">
        <f>M_Datos!L44</f>
        <v>Educativo</v>
      </c>
      <c r="D54" s="551">
        <f>M_Cálculos!Q98</f>
        <v>0</v>
      </c>
      <c r="E54" s="312" t="e">
        <f>M_Cálculos!R98</f>
        <v>#N/A</v>
      </c>
      <c r="F54" s="313" t="e">
        <f>M_Cálculos!S98</f>
        <v>#N/A</v>
      </c>
      <c r="G54" s="39"/>
      <c r="H54" s="1"/>
      <c r="I54" s="1"/>
      <c r="J54" s="1"/>
      <c r="K54" s="1"/>
      <c r="L54" s="1"/>
      <c r="M54" s="4"/>
      <c r="N54" s="1"/>
      <c r="O54" s="39"/>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2:41">
      <c r="B55" s="355"/>
      <c r="C55" s="289" t="str">
        <f>M_Datos!L47</f>
        <v>Deportivo</v>
      </c>
      <c r="D55" s="551">
        <f>M_Cálculos!Q108</f>
        <v>0</v>
      </c>
      <c r="E55" s="312" t="e">
        <f>M_Cálculos!R108</f>
        <v>#N/A</v>
      </c>
      <c r="F55" s="313" t="e">
        <f>M_Cálculos!S108</f>
        <v>#N/A</v>
      </c>
      <c r="G55" s="39"/>
      <c r="H55" s="1"/>
      <c r="I55" s="1"/>
      <c r="J55" s="1"/>
      <c r="K55" s="1"/>
      <c r="L55" s="1"/>
      <c r="M55" s="4"/>
      <c r="N55" s="1"/>
      <c r="O55" s="39"/>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2:41">
      <c r="B56" s="355"/>
      <c r="C56" s="315" t="s">
        <v>631</v>
      </c>
      <c r="D56" s="552">
        <f>SUM(D52:D55)</f>
        <v>0</v>
      </c>
      <c r="E56" s="314" t="e">
        <f>SUM(E52:E55)</f>
        <v>#N/A</v>
      </c>
      <c r="F56" s="317" t="e">
        <f>SUM(F52:F55)</f>
        <v>#N/A</v>
      </c>
      <c r="G56" s="39"/>
      <c r="H56" s="1"/>
      <c r="I56" s="1"/>
      <c r="J56" s="1"/>
      <c r="K56" s="1"/>
      <c r="L56" s="1"/>
      <c r="M56" s="4"/>
      <c r="N56" s="1"/>
      <c r="O56" s="39"/>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2:41">
      <c r="B57" s="355"/>
      <c r="C57" s="81"/>
      <c r="D57" s="85"/>
      <c r="E57" s="85"/>
      <c r="F57" s="85"/>
      <c r="G57" s="39"/>
      <c r="H57" s="1"/>
      <c r="I57" s="1"/>
      <c r="J57" s="1"/>
      <c r="K57" s="1"/>
      <c r="L57" s="1"/>
      <c r="M57" s="4"/>
      <c r="N57" s="1"/>
      <c r="O57" s="39"/>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2:41">
      <c r="B58" s="355"/>
      <c r="C58" s="246" t="s">
        <v>636</v>
      </c>
      <c r="D58" s="85"/>
      <c r="E58" s="85"/>
      <c r="F58" s="85"/>
      <c r="G58" s="39"/>
      <c r="H58" s="1"/>
      <c r="I58" s="1"/>
      <c r="J58" s="1"/>
      <c r="K58" s="1"/>
      <c r="L58" s="1"/>
      <c r="M58" s="4"/>
      <c r="N58" s="1"/>
      <c r="O58" s="39"/>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2:41">
      <c r="B59" s="355"/>
      <c r="C59" s="81"/>
      <c r="D59" s="85"/>
      <c r="E59" s="85" t="s">
        <v>949</v>
      </c>
      <c r="F59" s="85" t="s">
        <v>637</v>
      </c>
      <c r="G59" s="39"/>
      <c r="H59" s="39"/>
      <c r="I59" s="39"/>
      <c r="J59" s="39"/>
      <c r="K59" s="1"/>
      <c r="L59" s="1"/>
      <c r="M59" s="4"/>
      <c r="N59" s="1"/>
      <c r="O59" s="39"/>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2:41">
      <c r="B60" s="355"/>
      <c r="C60" s="81"/>
      <c r="D60" s="39" t="s">
        <v>602</v>
      </c>
      <c r="E60" s="527" t="e">
        <f>J22+E34+E43+E56</f>
        <v>#N/A</v>
      </c>
      <c r="F60" s="527" t="e">
        <f>K22+F34+F43+F56</f>
        <v>#N/A</v>
      </c>
      <c r="G60" s="39"/>
      <c r="H60" s="39"/>
      <c r="I60" s="39"/>
      <c r="J60" s="39"/>
      <c r="K60" s="1"/>
      <c r="L60" s="1"/>
      <c r="M60" s="4"/>
      <c r="N60" s="1"/>
      <c r="O60" s="39"/>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2:41">
      <c r="B61" s="355"/>
      <c r="C61" s="521"/>
      <c r="D61" s="355"/>
      <c r="E61" s="355"/>
      <c r="F61" s="355"/>
      <c r="G61" s="355"/>
      <c r="H61" s="39"/>
      <c r="I61" s="1"/>
      <c r="J61" s="1"/>
      <c r="K61" s="1"/>
      <c r="L61" s="1"/>
      <c r="M61" s="4"/>
      <c r="N61" s="1"/>
      <c r="O61" s="39"/>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2:41">
      <c r="B62" s="1"/>
      <c r="C62" s="1"/>
      <c r="D62" s="1"/>
      <c r="E62" s="1"/>
      <c r="F62" s="1"/>
      <c r="G62" s="1"/>
      <c r="H62" s="39"/>
      <c r="I62" s="39"/>
      <c r="J62" s="1"/>
      <c r="K62" s="1"/>
      <c r="L62" s="1"/>
      <c r="M62" s="4"/>
      <c r="N62" s="1"/>
      <c r="O62" s="39"/>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2:41">
      <c r="B63" s="1"/>
      <c r="C63" s="1"/>
      <c r="D63" s="1"/>
      <c r="E63" s="1"/>
      <c r="F63" s="1"/>
      <c r="G63" s="1"/>
      <c r="H63" s="39"/>
      <c r="I63" s="39"/>
      <c r="J63" s="1"/>
      <c r="K63" s="1"/>
      <c r="L63" s="1"/>
      <c r="M63" s="4"/>
      <c r="N63" s="1"/>
      <c r="O63" s="39"/>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2:41">
      <c r="B64" s="1"/>
      <c r="C64" s="1"/>
      <c r="D64" s="1"/>
      <c r="E64" s="1"/>
      <c r="F64" s="1"/>
      <c r="G64" s="1"/>
      <c r="H64" s="39"/>
      <c r="I64" s="39"/>
      <c r="J64" s="1"/>
      <c r="K64" s="1"/>
      <c r="L64" s="1"/>
      <c r="M64" s="4"/>
      <c r="N64" s="1"/>
      <c r="O64" s="39"/>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c r="B65" s="1"/>
      <c r="C65" s="81"/>
      <c r="D65" s="85"/>
      <c r="E65" s="85"/>
      <c r="F65" s="85"/>
      <c r="G65" s="39"/>
      <c r="H65" s="39"/>
      <c r="I65" s="39"/>
      <c r="J65" s="39"/>
      <c r="K65" s="1"/>
      <c r="L65" s="1"/>
      <c r="M65" s="4"/>
      <c r="N65" s="1"/>
      <c r="O65" s="39"/>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s="135" customFormat="1">
      <c r="A66" s="145"/>
      <c r="B66" s="240" t="str">
        <f>IF(Idioma=Castellano,"B. Transporte y movilidad",IF(Idioma=Valencià,"B. Transport i mobilitat","B. Transporte y movilidad"))</f>
        <v>B. Transporte y movilidad</v>
      </c>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row>
    <row r="67" spans="1:41">
      <c r="B67" s="1"/>
      <c r="C67" s="1"/>
      <c r="D67" s="50"/>
      <c r="E67" s="50"/>
      <c r="F67" s="51"/>
      <c r="G67" s="51"/>
      <c r="H67" s="51"/>
      <c r="I67" s="50"/>
      <c r="J67" s="50"/>
      <c r="K67" s="50"/>
      <c r="L67" s="50"/>
      <c r="M67" s="50"/>
      <c r="N67" s="50"/>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c r="B68" s="1"/>
      <c r="C68" s="11"/>
      <c r="D68" s="52" t="str">
        <f>IF(Idioma=Castellano,"Nº de viajes",IF(Idioma=Valencià,"Núm de viatges","Nº de viajes"))</f>
        <v>Nº de viajes</v>
      </c>
      <c r="E68" s="52"/>
      <c r="F68" s="51"/>
      <c r="G68" s="51"/>
      <c r="H68" s="51"/>
      <c r="I68" s="11"/>
      <c r="J68" s="11"/>
      <c r="K68" s="11"/>
      <c r="L68" s="11"/>
      <c r="M68" s="53"/>
      <c r="N68" s="50"/>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8">
      <c r="B69" s="11"/>
      <c r="C69" s="13" t="str">
        <f>IF(Idioma=Castellano,"Uso residencial",IF(Idioma=Valencià,"Ús residencial ","Uso residencial"))</f>
        <v>Uso residencial</v>
      </c>
      <c r="D69" s="553">
        <f>M_Factores!D219*(M_Datos!Q26/100)*365</f>
        <v>0</v>
      </c>
      <c r="E69" s="156"/>
      <c r="F69" s="11"/>
      <c r="G69" s="11"/>
      <c r="H69" s="11"/>
      <c r="I69" s="11"/>
      <c r="J69" s="11"/>
      <c r="K69" s="11"/>
      <c r="L69" s="11"/>
      <c r="M69" s="11"/>
      <c r="N69" s="50"/>
      <c r="O69" s="11"/>
      <c r="P69" s="11"/>
      <c r="Q69" s="11"/>
      <c r="R69" s="542" t="str">
        <f>IF(Idioma=Castellano,"Emisiones asociadas a movilidad por modo de transporte",IF(Idioma=Valencià,"Emissions associades a mobilitat per manera de transport"))</f>
        <v>Emisiones asociadas a movilidad por modo de transporte</v>
      </c>
      <c r="S69" s="546"/>
      <c r="T69" s="11"/>
      <c r="U69" s="11"/>
      <c r="V69" s="11"/>
      <c r="W69" s="11"/>
      <c r="X69" s="11"/>
      <c r="Y69" s="542" t="str">
        <f>IF(Idioma=Castellano,"Emisiones asociadas a movilidad por sector",IF(Idioma=Valencià,"Emissions associades a mobilitat per sector"))</f>
        <v>Emisiones asociadas a movilidad por sector</v>
      </c>
      <c r="Z69" s="11"/>
      <c r="AA69" s="11"/>
      <c r="AB69" s="11"/>
      <c r="AC69" s="11"/>
      <c r="AD69" s="11"/>
      <c r="AE69" s="11"/>
      <c r="AF69" s="11"/>
      <c r="AG69" s="11"/>
      <c r="AH69" s="11"/>
      <c r="AI69" s="11"/>
      <c r="AJ69" s="11"/>
      <c r="AK69" s="11"/>
      <c r="AL69" s="11"/>
      <c r="AM69" s="11"/>
      <c r="AN69" s="11"/>
      <c r="AO69" s="11"/>
    </row>
    <row r="70" spans="1:41">
      <c r="B70" s="11"/>
      <c r="C70" s="13" t="str">
        <f>IF(Idioma=Castellano,"Uso comercial/terciario",IF(Idioma=Valencià,"Ús comercial/terciari","Uso comercial/terciario"))</f>
        <v>Uso comercial/terciario</v>
      </c>
      <c r="D70" s="553">
        <f>M_Factores!D220*(IF(M_Datos!J17="Sí",SUM(M_Datos!V59:V70),M_Datos!Q27)/100)*365</f>
        <v>0</v>
      </c>
      <c r="E70" s="156"/>
      <c r="F70" s="11"/>
      <c r="G70" s="11"/>
      <c r="H70" s="11"/>
      <c r="I70" s="11"/>
      <c r="J70" s="11"/>
      <c r="K70" s="11"/>
      <c r="L70" s="11"/>
      <c r="M70" s="11"/>
      <c r="N70" s="50"/>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row>
    <row r="71" spans="1:41">
      <c r="B71" s="11"/>
      <c r="C71" s="13" t="str">
        <f>IF(Idioma=Castellano,"Uso de oficinas",IF(Idioma=Valencià,"Ús d'oficines","Uso de oficinas"))</f>
        <v>Uso de oficinas</v>
      </c>
      <c r="D71" s="553">
        <f>M_Factores!D221*(M_A4!D39/100)*365</f>
        <v>0</v>
      </c>
      <c r="E71" s="156"/>
      <c r="F71" s="11"/>
      <c r="G71" s="11"/>
      <c r="H71" s="11"/>
      <c r="I71" s="11"/>
      <c r="J71" s="11"/>
      <c r="K71" s="11"/>
      <c r="L71" s="11"/>
      <c r="M71" s="11"/>
      <c r="N71" s="50"/>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c r="B72" s="11"/>
      <c r="C72" s="13" t="str">
        <f>IF(Idioma=Castellano,"Uso industrial",IF(Idioma=Valencià,"Ús industrial","Uso industrial"))</f>
        <v>Uso industrial</v>
      </c>
      <c r="D72" s="553">
        <f>M_Factores!D222*(M_Datos!Q28/100)*365</f>
        <v>0</v>
      </c>
      <c r="E72" s="156"/>
      <c r="F72" s="11"/>
      <c r="G72" s="11"/>
      <c r="H72" s="11"/>
      <c r="I72" s="11"/>
      <c r="J72" s="11"/>
      <c r="K72" s="11"/>
      <c r="L72" s="11"/>
      <c r="M72" s="11"/>
      <c r="N72" s="50"/>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row>
    <row r="73" spans="1:41">
      <c r="B73" s="11"/>
      <c r="C73" s="13" t="str">
        <f>IF(Idioma=Castellano,"Equipamientos",IF(Idioma=Valencià,"Equipaments ","Equipamientos"))</f>
        <v>Equipamientos</v>
      </c>
      <c r="D73" s="553">
        <f>M_Factores!D223*(M_Datos!Q29/100)*365</f>
        <v>0</v>
      </c>
      <c r="E73" s="156"/>
      <c r="F73" s="11"/>
      <c r="G73" s="11"/>
      <c r="H73" s="11"/>
      <c r="I73" s="11"/>
      <c r="J73" s="11"/>
      <c r="K73" s="11"/>
      <c r="L73" s="11"/>
      <c r="M73" s="11"/>
      <c r="N73" s="50"/>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row>
    <row r="74" spans="1:41">
      <c r="B74" s="11"/>
      <c r="C74" s="13" t="str">
        <f>IF(Idioma=Castellano,"Zonas verdes",IF(Idioma=Valencià,"Zones verdes ","Zonas verdes"))</f>
        <v>Zonas verdes</v>
      </c>
      <c r="D74" s="553">
        <f>M_Factores!D224*(M_Datos!Q30/100)*365</f>
        <v>0</v>
      </c>
      <c r="E74" s="156"/>
      <c r="F74" s="11"/>
      <c r="G74" s="11"/>
      <c r="H74" s="11"/>
      <c r="I74" s="11"/>
      <c r="J74" s="11"/>
      <c r="K74" s="11"/>
      <c r="L74" s="11"/>
      <c r="M74" s="11"/>
      <c r="N74" s="50"/>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c r="B75" s="11"/>
      <c r="C75" s="13" t="str">
        <f>IF(Idioma=Castellano,"Franja costera",IF(Idioma=Valencià,"Franja costanera ","Franja costera"))</f>
        <v>Franja costera</v>
      </c>
      <c r="D75" s="553">
        <f>M_Factores!D225*(M_Datos!Q31/100)*365</f>
        <v>0</v>
      </c>
      <c r="E75" s="156"/>
      <c r="F75" s="11"/>
      <c r="G75" s="11"/>
      <c r="H75" s="11"/>
      <c r="I75" s="11"/>
      <c r="J75" s="11"/>
      <c r="K75" s="11"/>
      <c r="L75" s="11"/>
      <c r="M75" s="11"/>
      <c r="N75" s="50"/>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c r="B76" s="11"/>
      <c r="C76" s="11"/>
      <c r="D76" s="11"/>
      <c r="E76" s="11"/>
      <c r="F76" s="11"/>
      <c r="G76" s="11"/>
      <c r="H76" s="11"/>
      <c r="I76" s="11"/>
      <c r="J76" s="11"/>
      <c r="K76" s="11"/>
      <c r="L76" s="11"/>
      <c r="M76" s="11"/>
      <c r="N76" s="50"/>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ht="27.6">
      <c r="B77" s="11"/>
      <c r="C77" s="54" t="str">
        <f>IF(Idioma=Castellano,"Km recorridos por modo transporte",IF(Idioma=Valencià,"Km recorreguts per manera transporte"))</f>
        <v>Km recorridos por modo transporte</v>
      </c>
      <c r="D77" s="55" t="str">
        <f>IF(Idioma=Castellano,"Uso residencial",IF(Idioma=Valencià,"Ús residencial ","Uso residencial"))</f>
        <v>Uso residencial</v>
      </c>
      <c r="E77" s="55" t="str">
        <f>IF(Idioma=Castellano,"Uso comercial/terciario",IF(Idioma=Valencià,"Ús comercial/terciari","Uso comercial/terciario"))</f>
        <v>Uso comercial/terciario</v>
      </c>
      <c r="F77" s="55" t="str">
        <f>IF(Idioma=Castellano,"Uso de oficinas",IF(Idioma=Valencià,"Ús d'oficines","Uso de oficinas"))</f>
        <v>Uso de oficinas</v>
      </c>
      <c r="G77" s="55" t="str">
        <f>IF(Idioma=Castellano,"Uso industrial",IF(Idioma=Valencià,"Ús industrial","Uso industrial"))</f>
        <v>Uso industrial</v>
      </c>
      <c r="H77" s="55" t="str">
        <f>IF(Idioma=Castellano,"Equipamientos",IF(Idioma=Valencià,"Equipaments ","Equipamientos"))</f>
        <v>Equipamientos</v>
      </c>
      <c r="I77" s="55" t="str">
        <f>IF(Idioma=Castellano,"Zonas verdes",IF(Idioma=Valencià,"Zones verdes ","Zonas verdes"))</f>
        <v>Zonas verdes</v>
      </c>
      <c r="J77" s="55" t="str">
        <f>IF(Idioma=Castellano,"Franja costera",IF(Idioma=Valencià,"Franja costanera ","Franja costera"))</f>
        <v>Franja costera</v>
      </c>
      <c r="K77" s="55" t="s">
        <v>638</v>
      </c>
      <c r="L77" s="18" t="str">
        <f>IF(Idioma=Castellano,"t CO2/año",IF(Idioma=Valencià,"t CO2/any ","t CO2/año"))</f>
        <v>t CO2/año</v>
      </c>
      <c r="M77" s="18" t="str">
        <f>IF(Idioma=Castellano,"t CH4/año",IF(Idioma=Valencià,"t CH4/any ","t CH4/año"))</f>
        <v>t CH4/año</v>
      </c>
      <c r="N77" s="18" t="str">
        <f>IF(Idioma=Castellano,"t N2O/año",IF(Idioma=Valencià,"t N2O/any ","t N2O/año"))</f>
        <v>t N2O/año</v>
      </c>
      <c r="O77" s="18" t="str">
        <f>IF(Idioma=Castellano,"t CO2e/año",IF(Idioma=Valencià,"t CO2e/any ","t CO2e/año"))</f>
        <v>t CO2e/año</v>
      </c>
      <c r="P77" s="1"/>
      <c r="Q77" s="50"/>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c r="B78" s="11"/>
      <c r="C78" s="289" t="str">
        <f>IF(Idioma=Castellano,"Andando",IF(Idioma=Valencià,"Caminant","Andando"))</f>
        <v>Andando</v>
      </c>
      <c r="D78" s="554">
        <f>IF(M_Datos!$J$111=1, 2*$D$69*M_Datos!$J105*M_Datos!$I$101/1000,2*$D$69*'M_Cálculos propios'!$R118*M_Datos!$I$101/1000)</f>
        <v>0</v>
      </c>
      <c r="E78" s="554">
        <f>IF(M_Datos!$J$111=1, 2*$D$70*M_Datos!$J105*M_Datos!$I$101/1000,2*$D$70*'M_Cálculos propios'!$R118*M_Datos!$I$101/1000)</f>
        <v>0</v>
      </c>
      <c r="F78" s="554">
        <f>IF(M_Datos!$J$111=1, 2*$D$71*M_Datos!$J105*M_Datos!$I$101/1000,2*$D$71*'M_Cálculos propios'!$R118*M_Datos!$I$101/1000)</f>
        <v>0</v>
      </c>
      <c r="G78" s="554">
        <f>IF(M_Datos!$J$111=1, 2*$D$72*M_Datos!$J105*M_Datos!$I$101/1000,2*$D$72*'M_Cálculos propios'!$R118*M_Datos!$I$101/1000)</f>
        <v>0</v>
      </c>
      <c r="H78" s="554">
        <f>IF(M_Datos!$J$111=1, 2*$D$73*M_Datos!$J105*M_Datos!$I$101/1000,2*$D$73*'M_Cálculos propios'!$R118*M_Datos!$I$101/1000)</f>
        <v>0</v>
      </c>
      <c r="I78" s="554">
        <f>IF(M_Datos!$J$111=1, 2*$D$74*M_Datos!$J105*M_Datos!$I$101/1000,2*$D$74*'M_Cálculos propios'!$R118*M_Datos!$I$101/1000)</f>
        <v>0</v>
      </c>
      <c r="J78" s="554">
        <f>IF(M_Datos!$J$111=1, 2*$D$75*M_Datos!$J105*M_Datos!$I$101/1000,2*$D$75*'M_Cálculos propios'!$R118*M_Datos!$I$101/1000)</f>
        <v>0</v>
      </c>
      <c r="K78" s="554">
        <f>SUM(D78:J78)</f>
        <v>0</v>
      </c>
      <c r="L78" s="319">
        <f>$K78*M_Factores!E229/1000</f>
        <v>0</v>
      </c>
      <c r="M78" s="319">
        <f>$K78*M_Factores!G229/1000</f>
        <v>0</v>
      </c>
      <c r="N78" s="319">
        <f>$K78*M_Factores!H229/1000</f>
        <v>0</v>
      </c>
      <c r="O78" s="319">
        <f>K78*M_Factores!D229/1000</f>
        <v>0</v>
      </c>
      <c r="P78" s="1"/>
      <c r="Q78" s="50"/>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c r="B79" s="11"/>
      <c r="C79" s="289" t="s">
        <v>610</v>
      </c>
      <c r="D79" s="554">
        <f>IF(M_Datos!$J$111=1, 2*$D$69*M_Datos!$J106*M_Datos!$I$101/1000,2*$D$69*'M_Cálculos propios'!$R119*M_Datos!$I$101/1000)</f>
        <v>0</v>
      </c>
      <c r="E79" s="554">
        <f>IF(M_Datos!$J$111=1, 2*$D$70*M_Datos!$J106*M_Datos!$I$101/1000,2*$D$70*'M_Cálculos propios'!$R119*M_Datos!$I$101/1000)</f>
        <v>0</v>
      </c>
      <c r="F79" s="554">
        <f>IF(M_Datos!$J$111=1, 2*$D$71*M_Datos!$J106*M_Datos!$I$101/1000,2*$D$71*'M_Cálculos propios'!$R119*M_Datos!$I$101/1000)</f>
        <v>0</v>
      </c>
      <c r="G79" s="554">
        <f>IF(M_Datos!$J$111=1, 2*$D$72*M_Datos!$J106*M_Datos!$I$101/1000,2*$D$72*'M_Cálculos propios'!$R119*M_Datos!$I$101/1000)</f>
        <v>0</v>
      </c>
      <c r="H79" s="554">
        <f>IF(M_Datos!$J$111=1, 2*$D$73*M_Datos!$J106*M_Datos!$I$101/1000,2*$D$73*'M_Cálculos propios'!$R119*M_Datos!$I$101/1000)</f>
        <v>0</v>
      </c>
      <c r="I79" s="554">
        <f>IF(M_Datos!$J$111=1, 2*$D$74*M_Datos!$J106*M_Datos!$I$101/1000,2*$D$74*'M_Cálculos propios'!$R119*M_Datos!$I$101/1000)</f>
        <v>0</v>
      </c>
      <c r="J79" s="554">
        <f>IF(M_Datos!$J$111=1, 2*$D$75*M_Datos!$J106*M_Datos!$I$101/1000,2*$D$75*'M_Cálculos propios'!$R119*M_Datos!$I$101/1000)</f>
        <v>0</v>
      </c>
      <c r="K79" s="554">
        <f t="shared" ref="K79:K83" si="4">SUM(D79:J79)</f>
        <v>0</v>
      </c>
      <c r="L79" s="319">
        <f>$K79*M_Factores!E230/1000</f>
        <v>0</v>
      </c>
      <c r="M79" s="319">
        <f>$K79*M_Factores!G230/1000</f>
        <v>0</v>
      </c>
      <c r="N79" s="319">
        <f>$K79*M_Factores!H230/1000</f>
        <v>0</v>
      </c>
      <c r="O79" s="319">
        <f>K79*M_Factores!D230/1000</f>
        <v>0</v>
      </c>
      <c r="P79" s="1"/>
      <c r="Q79" s="50"/>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c r="B80" s="11"/>
      <c r="C80" s="289" t="str">
        <f>IF(Idioma=Castellano,"Automóvil/Vehículo privado",IF(Idioma=Valencià,"Automòbil/Vehicle privat","Automóvil/Vehículo privado"))</f>
        <v>Automóvil/Vehículo privado</v>
      </c>
      <c r="D80" s="554">
        <f>IF(M_Datos!$J$111=1, 2*$D$69*M_Datos!$J107*M_Datos!$I$101/1000,2*$D$69*'M_Cálculos propios'!$R120*M_Datos!$I$101/1000)</f>
        <v>0</v>
      </c>
      <c r="E80" s="554">
        <f>IF(M_Datos!$J$111=1, 2*$D$70*M_Datos!$J107*M_Datos!$I$101/1000,2*$D$70*'M_Cálculos propios'!$R120*M_Datos!$I$101/1000)</f>
        <v>0</v>
      </c>
      <c r="F80" s="554">
        <f>IF(M_Datos!$J$111=1, 2*$D$71*M_Datos!$J107*M_Datos!$I$101/1000,2*$D$71*'M_Cálculos propios'!$R120*M_Datos!$I$101/1000)</f>
        <v>0</v>
      </c>
      <c r="G80" s="554">
        <f>IF(M_Datos!$J$111=1, 2*$D$72*M_Datos!$J107*M_Datos!$I$101/1000,2*$D$72*'M_Cálculos propios'!$R120*M_Datos!$I$101/1000)</f>
        <v>0</v>
      </c>
      <c r="H80" s="554">
        <f>IF(M_Datos!$J$111=1, 2*$D$73*M_Datos!$J107*M_Datos!$I$101/1000,2*$D$73*'M_Cálculos propios'!$R120*M_Datos!$I$101/1000)</f>
        <v>0</v>
      </c>
      <c r="I80" s="554">
        <f>IF(M_Datos!$J$111=1, 2*$D$74*M_Datos!$J107*M_Datos!$I$101/1000,2*$D$74*'M_Cálculos propios'!$R120*M_Datos!$I$101/1000)</f>
        <v>0</v>
      </c>
      <c r="J80" s="554">
        <f>IF(M_Datos!$J$111=1, 2*$D$75*M_Datos!$J107*M_Datos!$I$101/1000,2*$D$75*'M_Cálculos propios'!$R120*M_Datos!$I$101/1000)</f>
        <v>0</v>
      </c>
      <c r="K80" s="554">
        <f t="shared" si="4"/>
        <v>0</v>
      </c>
      <c r="L80" s="319">
        <f>$K80*M_Factores!E231/1000</f>
        <v>0</v>
      </c>
      <c r="M80" s="319">
        <f>$K80*M_Factores!G231/1000</f>
        <v>0</v>
      </c>
      <c r="N80" s="319">
        <f>$K80*M_Factores!H231/1000</f>
        <v>0</v>
      </c>
      <c r="O80" s="319">
        <f>K80*M_Factores!D231/1000</f>
        <v>0</v>
      </c>
      <c r="P80" s="1"/>
      <c r="Q80" s="50"/>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B81" s="11"/>
      <c r="C81" s="289" t="s">
        <v>613</v>
      </c>
      <c r="D81" s="554">
        <f>IF(M_Datos!$J$111=1, 2*$D$69*M_Datos!$J108*M_Datos!$I$101/1000,2*$D$69*'M_Cálculos propios'!$R121*M_Datos!$I$101/1000)</f>
        <v>0</v>
      </c>
      <c r="E81" s="554">
        <f>IF(M_Datos!$J$111=1, 2*$D$70*M_Datos!$J108*M_Datos!$I$101/1000,2*$D$70*'M_Cálculos propios'!$R121*M_Datos!$I$101/1000)</f>
        <v>0</v>
      </c>
      <c r="F81" s="554">
        <f>IF(M_Datos!$J$111=1, 2*$D$71*M_Datos!$J108*M_Datos!$I$101/1000,2*$D$71*'M_Cálculos propios'!$R121*M_Datos!$I$101/1000)</f>
        <v>0</v>
      </c>
      <c r="G81" s="554">
        <f>IF(M_Datos!$J$111=1, 2*$D$72*M_Datos!$J108*M_Datos!$I$101/1000,2*$D$72*'M_Cálculos propios'!$R121*M_Datos!$I$101/1000)</f>
        <v>0</v>
      </c>
      <c r="H81" s="554">
        <f>IF(M_Datos!$J$111=1, 2*$D$73*M_Datos!$J108*M_Datos!$I$101/1000,2*$D$73*'M_Cálculos propios'!$R121*M_Datos!$I$101/1000)</f>
        <v>0</v>
      </c>
      <c r="I81" s="554">
        <f>IF(M_Datos!$J$111=1, 2*$D$74*M_Datos!$J108*M_Datos!$I$101/1000,2*$D$74*'M_Cálculos propios'!$R121*M_Datos!$I$101/1000)</f>
        <v>0</v>
      </c>
      <c r="J81" s="554">
        <f>IF(M_Datos!$J$111=1, 2*$D$75*M_Datos!$J108*M_Datos!$I$101/1000,2*$D$75*'M_Cálculos propios'!$R121*M_Datos!$I$101/1000)</f>
        <v>0</v>
      </c>
      <c r="K81" s="554">
        <f t="shared" si="4"/>
        <v>0</v>
      </c>
      <c r="L81" s="319">
        <f>$K81*M_Factores!E233/1000</f>
        <v>0</v>
      </c>
      <c r="M81" s="319">
        <f>$K81*M_Factores!G233/1000</f>
        <v>0</v>
      </c>
      <c r="N81" s="319">
        <f>$K81*M_Factores!H233/1000</f>
        <v>0</v>
      </c>
      <c r="O81" s="319">
        <f>K81*M_Factores!D233/1000</f>
        <v>0</v>
      </c>
      <c r="P81" s="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B82" s="11"/>
      <c r="C82" s="289" t="str">
        <f>IF(Idioma=Castellano,"Autobús urbano e interurbano",IF(Idioma=Valencià,"Autobús urbà i interurbà","Autobús urbano e interurbano"))</f>
        <v>Autobús urbano e interurbano</v>
      </c>
      <c r="D82" s="554">
        <f>IF(M_Datos!$J$111=1, 2*$D$69*M_Datos!$J109*M_Datos!$I$101/1000,2*$D$69*'M_Cálculos propios'!$R122*M_Datos!$I$101/1000)</f>
        <v>0</v>
      </c>
      <c r="E82" s="554">
        <f>IF(M_Datos!$J$111=1, 2*$D$70*M_Datos!$J109*M_Datos!$I$101/1000,2*$D$70*'M_Cálculos propios'!$R122*M_Datos!$I$101/1000)</f>
        <v>0</v>
      </c>
      <c r="F82" s="554">
        <f>IF(M_Datos!$J$111=1, 2*$D$71*M_Datos!$J109*M_Datos!$I$101/1000,2*$D$71*'M_Cálculos propios'!$R122*M_Datos!$I$101/1000)</f>
        <v>0</v>
      </c>
      <c r="G82" s="554">
        <f>IF(M_Datos!$J$111=1, 2*$D$72*M_Datos!$J109*M_Datos!$I$101/1000,2*$D$72*'M_Cálculos propios'!$R122*M_Datos!$I$101/1000)</f>
        <v>0</v>
      </c>
      <c r="H82" s="554">
        <f>IF(M_Datos!$J$111=1, 2*$D$73*M_Datos!$J109*M_Datos!$I$101/1000,2*$D$73*'M_Cálculos propios'!$R122*M_Datos!$I$101/1000)</f>
        <v>0</v>
      </c>
      <c r="I82" s="554">
        <f>IF(M_Datos!$J$111=1, 2*$D$74*M_Datos!$J109*M_Datos!$I$101/1000,2*$D$74*'M_Cálculos propios'!$R122*M_Datos!$I$101/1000)</f>
        <v>0</v>
      </c>
      <c r="J82" s="554">
        <f>IF(M_Datos!$J$111=1, 2*$D$75*M_Datos!$J109*M_Datos!$I$101/1000,2*$D$75*'M_Cálculos propios'!$R122*M_Datos!$I$101/1000)</f>
        <v>0</v>
      </c>
      <c r="K82" s="554">
        <f t="shared" si="4"/>
        <v>0</v>
      </c>
      <c r="L82" s="319">
        <f>$K82*M_Factores!E234/1000</f>
        <v>0</v>
      </c>
      <c r="M82" s="319">
        <f>$K82*M_Factores!G234/1000</f>
        <v>0</v>
      </c>
      <c r="N82" s="319">
        <f>$K82*M_Factores!H234/1000</f>
        <v>0</v>
      </c>
      <c r="O82" s="319">
        <f>K82*M_Factores!D234/1000</f>
        <v>0</v>
      </c>
      <c r="P82" s="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c r="B83" s="11"/>
      <c r="C83" s="289" t="s">
        <v>615</v>
      </c>
      <c r="D83" s="554">
        <f>IF(M_Datos!$J$111=1, 2*$D$69*M_Datos!$J110*M_Datos!$I$101/1000,2*$D$69*'M_Cálculos propios'!$R123*M_Datos!$I$101/1000)</f>
        <v>0</v>
      </c>
      <c r="E83" s="554">
        <f>IF(M_Datos!$J$111=1, 2*$D$70*M_Datos!$J110*M_Datos!$I$101/1000,2*$D$70*'M_Cálculos propios'!$R123*M_Datos!$I$101/1000)</f>
        <v>0</v>
      </c>
      <c r="F83" s="554">
        <f>IF(M_Datos!$J$111=1, 2*$D$71*M_Datos!$J110*M_Datos!$I$101/1000,2*$D$71*'M_Cálculos propios'!$R123*M_Datos!$I$101/1000)</f>
        <v>0</v>
      </c>
      <c r="G83" s="554">
        <f>IF(M_Datos!$J$111=1, 2*$D$72*M_Datos!$J110*M_Datos!$I$101/1000,2*$D$72*'M_Cálculos propios'!$R123*M_Datos!$I$101/1000)</f>
        <v>0</v>
      </c>
      <c r="H83" s="554">
        <f>IF(M_Datos!$J$111=1, 2*$D$73*M_Datos!$J110*M_Datos!$I$101/1000,2*$D$73*'M_Cálculos propios'!$R123*M_Datos!$I$101/1000)</f>
        <v>0</v>
      </c>
      <c r="I83" s="554">
        <f>IF(M_Datos!$J$111=1, 2*$D$74*M_Datos!$J110*M_Datos!$I$101/1000,2*$D$74*'M_Cálculos propios'!$R123*M_Datos!$I$101/1000)</f>
        <v>0</v>
      </c>
      <c r="J83" s="554">
        <f>IF(M_Datos!$J$111=1, 2*$D$75*M_Datos!$J110*M_Datos!$I$101/1000,2*$D$75*'M_Cálculos propios'!$R123*M_Datos!$I$101/1000)</f>
        <v>0</v>
      </c>
      <c r="K83" s="554">
        <f t="shared" si="4"/>
        <v>0</v>
      </c>
      <c r="L83" s="319">
        <f>$K83*M_Factores!E235/1000</f>
        <v>0</v>
      </c>
      <c r="M83" s="319">
        <f>$K83*M_Factores!G235/1000</f>
        <v>0</v>
      </c>
      <c r="N83" s="319">
        <f>$K83*M_Factores!H235/1000</f>
        <v>0</v>
      </c>
      <c r="O83" s="319">
        <f>K83*M_Factores!D235/1000</f>
        <v>0</v>
      </c>
      <c r="P83" s="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c r="B84" s="11"/>
      <c r="C84" s="12"/>
      <c r="D84" s="557">
        <f>SUM(D78:D83)</f>
        <v>0</v>
      </c>
      <c r="E84" s="557">
        <f>SUM(E78:E83)</f>
        <v>0</v>
      </c>
      <c r="F84" s="554">
        <f>SUM(F78:F83)</f>
        <v>0</v>
      </c>
      <c r="G84" s="554">
        <f>SUM(G78:G83)</f>
        <v>0</v>
      </c>
      <c r="H84" s="554">
        <f t="shared" ref="H84:J84" si="5">SUM(H78:H83)</f>
        <v>0</v>
      </c>
      <c r="I84" s="554">
        <f t="shared" si="5"/>
        <v>0</v>
      </c>
      <c r="J84" s="554">
        <f t="shared" si="5"/>
        <v>0</v>
      </c>
      <c r="K84" s="557">
        <f>SUM(K78:K83)</f>
        <v>0</v>
      </c>
      <c r="L84" s="318">
        <f>SUM(L78:L83)</f>
        <v>0</v>
      </c>
      <c r="M84" s="318">
        <f>SUM(M78:M83)</f>
        <v>0</v>
      </c>
      <c r="N84" s="318">
        <f>SUM(N78:N83)</f>
        <v>0</v>
      </c>
      <c r="O84" s="318">
        <f>SUM(O78:O83)</f>
        <v>0</v>
      </c>
      <c r="P84" s="1"/>
      <c r="Q84" s="39"/>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c r="B85" s="11"/>
      <c r="C85" s="11"/>
      <c r="D85" s="11"/>
      <c r="E85" s="11"/>
      <c r="F85" s="11"/>
      <c r="G85" s="11"/>
      <c r="H85" s="11"/>
      <c r="I85" s="11"/>
      <c r="J85" s="11"/>
      <c r="K85" s="56"/>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s="135" customFormat="1">
      <c r="A86" s="145"/>
      <c r="B86" s="240" t="str">
        <f>IF(Idioma=Castellano,"C. Consumo de agua",IF(Idioma=Valencià,"C. Consum d'aigua","C. Consumo de agua"))</f>
        <v>C. Consumo de agua</v>
      </c>
      <c r="C86" s="242"/>
      <c r="D86" s="242"/>
      <c r="E86" s="242"/>
      <c r="F86" s="242"/>
      <c r="G86" s="242"/>
      <c r="H86" s="242"/>
      <c r="I86" s="240" t="str">
        <f>IF(Idioma=Castellano,"D. Emisiones asociadas a gestión de residuos",IF(Idioma=Valencià,"D. Emissions associades a gestió de residus","D. Emisiones asociadas a gestión de residuos"))</f>
        <v>D. Emisiones asociadas a gestión de residuos</v>
      </c>
      <c r="J86" s="240"/>
      <c r="K86" s="242"/>
      <c r="L86" s="242"/>
      <c r="M86" s="242"/>
      <c r="N86" s="242"/>
      <c r="O86" s="240" t="str">
        <f>IF(Idioma=Castellano,"E. Sumideros y cambios de uso del suelo",IF(Idioma=Valencià,"E. Embornals i canvis d'ús del sòl","E. Sumideros y cambios de uso del suelo"))</f>
        <v>E. Sumideros y cambios de uso del suelo</v>
      </c>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row>
    <row r="87" spans="1:41">
      <c r="B87" s="11"/>
      <c r="C87" s="11"/>
      <c r="D87" s="11"/>
      <c r="E87" s="11"/>
      <c r="F87" s="11"/>
      <c r="G87" s="11"/>
      <c r="H87" s="11"/>
      <c r="I87" s="11"/>
      <c r="J87" s="11"/>
      <c r="K87" s="11"/>
      <c r="L87" s="11"/>
      <c r="M87" s="11"/>
      <c r="N87" s="11"/>
      <c r="O87" s="1"/>
      <c r="P87" s="1"/>
      <c r="Q87" s="1"/>
      <c r="R87" s="1"/>
      <c r="S87" s="1"/>
      <c r="T87" s="1"/>
      <c r="U87" s="11"/>
      <c r="V87" s="11"/>
      <c r="W87" s="11"/>
      <c r="X87" s="11"/>
      <c r="Y87" s="11"/>
      <c r="Z87" s="11"/>
      <c r="AA87" s="11"/>
      <c r="AB87" s="11"/>
      <c r="AC87" s="11"/>
      <c r="AD87" s="11"/>
      <c r="AE87" s="11"/>
      <c r="AF87" s="11"/>
      <c r="AG87" s="11"/>
      <c r="AH87" s="11"/>
      <c r="AI87" s="11"/>
      <c r="AJ87" s="11"/>
      <c r="AK87" s="11"/>
      <c r="AL87" s="11"/>
      <c r="AM87" s="11"/>
      <c r="AN87" s="11"/>
      <c r="AO87" s="11"/>
    </row>
    <row r="88" spans="1:41">
      <c r="B88" s="11"/>
      <c r="C88" s="14"/>
      <c r="D88" s="11"/>
      <c r="F88" s="11"/>
      <c r="G88" s="11"/>
      <c r="H88" s="11"/>
      <c r="I88" s="11"/>
      <c r="J88" s="11"/>
      <c r="K88" s="11"/>
      <c r="L88" s="11"/>
      <c r="M88" s="11"/>
      <c r="N88" s="11"/>
      <c r="O88" s="1"/>
      <c r="P88" s="249" t="str">
        <f>IF(Idioma=Castellano,"E.1. Absorción de emisiones",IF(Idioma=Valencià,"E.1. Absorció d'emissions","E.1. Absorción de emisiones"))</f>
        <v>E.1. Absorción de emisiones</v>
      </c>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c r="B89" s="11"/>
      <c r="C89" s="307" t="s">
        <v>639</v>
      </c>
      <c r="D89" s="555">
        <f>SUM(M_Datos!H48:H53)</f>
        <v>0</v>
      </c>
      <c r="E89" s="321" t="s">
        <v>640</v>
      </c>
      <c r="F89" s="322">
        <f>D89*M_Factores!D260/1000</f>
        <v>0</v>
      </c>
      <c r="G89" s="14" t="str">
        <f>IF(Idioma=Castellano,"t CO2e/año",IF(Idioma=Valencià,"t CO2e/any "))</f>
        <v>t CO2e/año</v>
      </c>
      <c r="H89" s="14"/>
      <c r="I89" s="650" t="s">
        <v>653</v>
      </c>
      <c r="J89" s="651"/>
      <c r="K89" s="322">
        <f>M_Datos!Q28*M_Factores!$D$243/1000</f>
        <v>0</v>
      </c>
      <c r="L89" s="11"/>
      <c r="M89" s="1"/>
      <c r="N89" s="1"/>
      <c r="O89" s="1"/>
      <c r="P89" s="11"/>
      <c r="Q89" s="57" t="str">
        <f>IF(Idioma=Castellano,"Nº de árboles",IF(Idioma=Valencià,"Nº d'arbres","Nº de árboles"))</f>
        <v>Nº de árboles</v>
      </c>
      <c r="R89" s="555">
        <f>M_Datos!J121</f>
        <v>0</v>
      </c>
      <c r="T89" s="14"/>
      <c r="U89" s="11"/>
      <c r="V89" s="11"/>
      <c r="W89" s="11"/>
      <c r="X89" s="11"/>
      <c r="Y89" s="11"/>
      <c r="Z89" s="11"/>
      <c r="AA89" s="11"/>
      <c r="AB89" s="11"/>
      <c r="AC89" s="11"/>
      <c r="AD89" s="11"/>
      <c r="AE89" s="11"/>
      <c r="AF89" s="11"/>
      <c r="AG89" s="11"/>
      <c r="AH89" s="11"/>
      <c r="AI89" s="11"/>
      <c r="AJ89" s="11"/>
      <c r="AK89" s="11"/>
      <c r="AL89" s="11"/>
      <c r="AM89" s="11"/>
      <c r="AN89" s="11"/>
      <c r="AO89" s="11"/>
    </row>
    <row r="90" spans="1:41">
      <c r="B90" s="11"/>
      <c r="C90" s="481" t="str">
        <f>IF(Idioma=Castellano,"Actividades económicas",IF(Idioma=Valencià,"Activitats econòmiques","Actividades económicas"))</f>
        <v>Actividades económicas</v>
      </c>
      <c r="D90" s="555">
        <f>M_Datos!Q32</f>
        <v>0</v>
      </c>
      <c r="E90" s="321" t="s">
        <v>599</v>
      </c>
      <c r="F90" s="322">
        <f>D90*M_Factores!D261/1000</f>
        <v>0</v>
      </c>
      <c r="G90" s="14" t="str">
        <f>IF(Idioma=Castellano,"t CO2e/año",IF(Idioma=Valencià,"t CO2e/any "))</f>
        <v>t CO2e/año</v>
      </c>
      <c r="H90" s="14"/>
      <c r="I90" s="650" t="str">
        <f>IF(Idioma=Castellano,"Residencial, Terciario y Equipamientos",IF(Idioma=Valencià,"Residencial, Terciari i Equipaments",))</f>
        <v>Residencial, Terciario y Equipamientos</v>
      </c>
      <c r="J90" s="651"/>
      <c r="K90" s="322">
        <f>(M_Datos!Q26+M_Datos!Q27+M_Datos!Q29)*M_Factores!$D$242/1000</f>
        <v>0</v>
      </c>
      <c r="L90" s="11"/>
      <c r="M90" s="1"/>
      <c r="N90" s="1"/>
      <c r="O90" s="1"/>
      <c r="P90" s="11"/>
      <c r="Q90" s="529" t="s">
        <v>959</v>
      </c>
      <c r="R90" s="558">
        <f>SUM(M_Datos!H48:H53)</f>
        <v>0</v>
      </c>
      <c r="S90" s="322">
        <f>-IF(R89=0,R90*M_Factores!D288/1000,R89*M_Factores!D288/1000)</f>
        <v>0</v>
      </c>
      <c r="T90" s="14" t="str">
        <f>IF(Idioma=Castellano,"t CO2e/año",IF(Idioma=Valencià,"t CO2e/any "))</f>
        <v>t CO2e/año</v>
      </c>
      <c r="U90" s="11"/>
      <c r="V90" s="11"/>
      <c r="W90" s="11"/>
      <c r="X90" s="11"/>
      <c r="Y90" s="11"/>
      <c r="Z90" s="11"/>
      <c r="AA90" s="11"/>
      <c r="AB90" s="11"/>
      <c r="AC90" s="11"/>
      <c r="AD90" s="11"/>
      <c r="AE90" s="11"/>
      <c r="AF90" s="11"/>
      <c r="AG90" s="11"/>
      <c r="AH90" s="11"/>
      <c r="AI90" s="11"/>
      <c r="AJ90" s="11"/>
      <c r="AK90" s="11"/>
      <c r="AL90" s="11"/>
      <c r="AM90" s="11"/>
      <c r="AN90" s="11"/>
      <c r="AO90" s="11"/>
    </row>
    <row r="91" spans="1:41">
      <c r="B91" s="11"/>
      <c r="C91" s="481" t="s">
        <v>642</v>
      </c>
      <c r="D91" s="555">
        <f>M_Datos!Q29</f>
        <v>0</v>
      </c>
      <c r="E91" s="321" t="s">
        <v>599</v>
      </c>
      <c r="F91" s="322">
        <f>D91*M_Factores!D262/1000</f>
        <v>0</v>
      </c>
      <c r="G91" s="14" t="str">
        <f>IF(Idioma=Castellano,"t CO2e/año",IF(Idioma=Valencià,"t CO2e/any "))</f>
        <v>t CO2e/año</v>
      </c>
      <c r="H91" s="11"/>
      <c r="I91" s="652" t="s">
        <v>631</v>
      </c>
      <c r="J91" s="653"/>
      <c r="K91" s="322">
        <f>K89+K90</f>
        <v>0</v>
      </c>
      <c r="L91" s="14" t="str">
        <f>IF(Idioma=Castellano,"t CO2e/año",IF(Idioma=Valencià,"t CO2e/any "))</f>
        <v>t CO2e/año</v>
      </c>
      <c r="M91" s="1"/>
      <c r="N91" s="1"/>
      <c r="O91" s="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B92" s="11"/>
      <c r="C92" s="11"/>
      <c r="F92" s="247"/>
      <c r="H92" s="14"/>
      <c r="I92" s="11"/>
      <c r="L92" s="11"/>
      <c r="M92" s="1"/>
      <c r="N92" s="1"/>
      <c r="O92" s="1"/>
      <c r="P92" s="249" t="str">
        <f>IF(Idioma=Castellano,"E.2. Cambios de uso del suelo",IF(Idioma=Valencià,"E.2. Canvis d'ús del sòl","E.2. Cambios de uso del suelo"))</f>
        <v>E.2. Cambios de uso del suelo</v>
      </c>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c r="B93" s="11"/>
      <c r="C93" s="11"/>
      <c r="D93" s="14"/>
      <c r="E93" s="549" t="s">
        <v>631</v>
      </c>
      <c r="F93" s="322">
        <f>SUM(F89:F90)</f>
        <v>0</v>
      </c>
      <c r="G93" s="14" t="str">
        <f>IF(Idioma=Castellano,"t CO2e/año",IF(Idioma=Valencià,"t CO2e/any "))</f>
        <v>t CO2e/año</v>
      </c>
      <c r="H93" s="11"/>
      <c r="I93" s="11"/>
      <c r="J93" s="11"/>
      <c r="K93" s="11"/>
      <c r="L93" s="11"/>
      <c r="M93" s="11"/>
      <c r="N93" s="11"/>
      <c r="O93" s="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row>
    <row r="94" spans="1:41" ht="18">
      <c r="B94" s="11"/>
      <c r="C94" s="11"/>
      <c r="D94" s="11"/>
      <c r="E94" s="11"/>
      <c r="F94" s="11"/>
      <c r="G94" s="11"/>
      <c r="H94" s="11"/>
      <c r="I94" s="11"/>
      <c r="J94" s="11"/>
      <c r="K94" s="11"/>
      <c r="L94" s="11"/>
      <c r="M94" s="11"/>
      <c r="N94" s="11"/>
      <c r="O94" s="1"/>
      <c r="P94" s="11"/>
      <c r="Q94" s="58"/>
      <c r="R94" s="1"/>
      <c r="S94" s="1"/>
      <c r="T94" s="1"/>
      <c r="U94" s="11"/>
      <c r="V94" s="11"/>
      <c r="W94" s="11"/>
      <c r="X94" s="11"/>
      <c r="Y94" s="11"/>
      <c r="Z94" s="11"/>
      <c r="AB94" s="548" t="str">
        <f>IF(Idioma=Castellano,"Emisiones por cambios de usos del en suelo",IF(Idioma=Valencià,"Emissions per canvis d'usos de l'en sòl"))</f>
        <v>Emisiones por cambios de usos del en suelo</v>
      </c>
      <c r="AC94" s="11"/>
      <c r="AD94" s="11"/>
      <c r="AE94" s="11"/>
      <c r="AF94" s="11"/>
      <c r="AG94" s="11"/>
      <c r="AH94" s="11"/>
      <c r="AI94" s="11"/>
      <c r="AJ94" s="11"/>
      <c r="AK94" s="11"/>
      <c r="AL94" s="11"/>
      <c r="AM94" s="11"/>
      <c r="AN94" s="11"/>
      <c r="AO94" s="11"/>
    </row>
    <row r="95" spans="1:41" ht="27.6">
      <c r="B95" s="11"/>
      <c r="C95" s="11"/>
      <c r="D95" s="11"/>
      <c r="E95" s="11"/>
      <c r="F95" s="11"/>
      <c r="G95" s="11"/>
      <c r="H95" s="11"/>
      <c r="I95" s="11"/>
      <c r="J95" s="11"/>
      <c r="K95" s="11"/>
      <c r="L95" s="11"/>
      <c r="M95" s="11"/>
      <c r="N95" s="11"/>
      <c r="O95" s="1"/>
      <c r="P95" s="11"/>
      <c r="Q95" s="338"/>
      <c r="R95" s="52" t="str">
        <f>IF(Idioma=Castellano,"Situación actual (ha)",IF(Idioma=Valencià,"Situació actual (ha)"))</f>
        <v>Situación actual (ha)</v>
      </c>
      <c r="S95" s="55" t="str">
        <f>IF(Idioma=Castellano,"Pérdida o ganancia (ha)",IF(Idioma=Valencià,"Pèrdua o guany (ha)"))</f>
        <v>Pérdida o ganancia (ha)</v>
      </c>
      <c r="T95" s="39" t="s">
        <v>957</v>
      </c>
      <c r="U95" s="1"/>
      <c r="W95" s="11"/>
      <c r="X95" s="11"/>
      <c r="Y95" s="11"/>
      <c r="Z95" s="11"/>
      <c r="AA95" s="11"/>
      <c r="AB95" s="11"/>
      <c r="AC95" s="11"/>
      <c r="AD95" s="11"/>
      <c r="AE95" s="11"/>
      <c r="AF95" s="11"/>
      <c r="AG95" s="11"/>
      <c r="AH95" s="11"/>
      <c r="AI95" s="11"/>
      <c r="AJ95" s="11"/>
      <c r="AK95" s="11"/>
      <c r="AL95" s="11"/>
      <c r="AM95" s="11"/>
      <c r="AN95" s="11"/>
      <c r="AO95" s="11"/>
    </row>
    <row r="96" spans="1:41" ht="18">
      <c r="B96" s="11"/>
      <c r="C96" s="11"/>
      <c r="D96" s="542" t="str">
        <f>IF(Idioma=Castellano,"Emisiones asociadas al consumo de agua",IF(Idioma=Valencià,"Emissions associades al consum d'aigua","Emisiones asociadas al consumo de agua"))</f>
        <v>Emisiones asociadas al consumo de agua</v>
      </c>
      <c r="E96" s="11"/>
      <c r="F96" s="11"/>
      <c r="G96" s="11"/>
      <c r="H96" s="11"/>
      <c r="I96" s="11"/>
      <c r="J96" s="542" t="str">
        <f>IF(Idioma=Castellano,"Emisiones asociadas a gestión de residuos",IF(Idioma=Valencià,"Emissions associades a gestió de residus"))</f>
        <v>Emisiones asociadas a gestión de residuos</v>
      </c>
      <c r="K96" s="11"/>
      <c r="L96" s="11"/>
      <c r="M96" s="11"/>
      <c r="N96" s="11"/>
      <c r="O96" s="1"/>
      <c r="P96" s="11"/>
      <c r="Q96" s="473" t="str">
        <f>IF(Idioma=Castellano,"Bosque",IF(Idioma=Valencià,"Bosc","Bosque"))</f>
        <v>Bosque</v>
      </c>
      <c r="R96" s="556" t="str">
        <f>IF(SUM(M_Datos!$Q$26:$Q$33)=0, " ", 'M_Cálculos propios'!F259)</f>
        <v xml:space="preserve"> </v>
      </c>
      <c r="S96" s="556" t="str">
        <f>IF(SUM(M_Datos!$Q$26:$Q$33)=0, " ",'M_Cálculos propios'!G283)</f>
        <v xml:space="preserve"> </v>
      </c>
      <c r="T96" s="558" t="str" cm="1">
        <f t="array" ref="T96">IF(SUM(M_Datos!$Q$26:$Q$33)=0, " ",'M_Cálculos propios'!I283:I288+'M_Cálculos propios'!J283:J288)</f>
        <v xml:space="preserve"> </v>
      </c>
      <c r="U96" s="11"/>
      <c r="V96" s="11"/>
      <c r="W96" s="11"/>
      <c r="X96" s="11"/>
      <c r="Y96" s="11"/>
      <c r="Z96" s="11"/>
      <c r="AA96" s="11"/>
      <c r="AB96" s="11"/>
      <c r="AC96" s="11"/>
      <c r="AD96" s="11"/>
      <c r="AE96" s="11"/>
      <c r="AF96" s="11"/>
      <c r="AG96" s="11"/>
      <c r="AH96" s="11"/>
      <c r="AI96" s="11"/>
      <c r="AJ96" s="11"/>
      <c r="AK96" s="11"/>
      <c r="AL96" s="11"/>
      <c r="AM96" s="11"/>
      <c r="AN96" s="11"/>
      <c r="AO96" s="11"/>
    </row>
    <row r="97" spans="2:41" ht="27.6">
      <c r="B97" s="11"/>
      <c r="C97" s="11"/>
      <c r="D97" s="11"/>
      <c r="E97" s="11"/>
      <c r="F97" s="11"/>
      <c r="G97" s="11"/>
      <c r="H97" s="11"/>
      <c r="I97" s="11"/>
      <c r="J97" s="11"/>
      <c r="K97" s="11"/>
      <c r="L97" s="11"/>
      <c r="M97" s="11"/>
      <c r="N97" s="11"/>
      <c r="O97" s="1"/>
      <c r="P97" s="11"/>
      <c r="Q97" s="473" t="str">
        <f>IF(Idioma=Castellano,"Garriga/Matorral (arbustivas)/Prado",IF(Idioma=Valencià,"Garriga/Matoll (arbustives)/Prado","Garriga/Matorral (arbustivas)/Prado"))</f>
        <v>Garriga/Matorral (arbustivas)/Prado</v>
      </c>
      <c r="R97" s="556" t="str">
        <f>IF(SUM(M_Datos!$Q$26:$Q$33)=0, " ", 'M_Cálculos propios'!F260)</f>
        <v xml:space="preserve"> </v>
      </c>
      <c r="S97" s="556" t="str">
        <f>IF(SUM(M_Datos!$Q$26:$Q$33)=0, " ",'M_Cálculos propios'!G284)</f>
        <v xml:space="preserve"> </v>
      </c>
      <c r="T97" s="558"/>
      <c r="U97" s="11"/>
      <c r="V97" s="11"/>
      <c r="W97" s="11"/>
      <c r="X97" s="11"/>
      <c r="Y97" s="11"/>
      <c r="Z97" s="11"/>
      <c r="AA97" s="11"/>
      <c r="AB97" s="11"/>
      <c r="AC97" s="11"/>
      <c r="AD97" s="11"/>
      <c r="AE97" s="11"/>
      <c r="AF97" s="11"/>
      <c r="AG97" s="11"/>
      <c r="AH97" s="11"/>
      <c r="AI97" s="11"/>
      <c r="AJ97" s="11"/>
      <c r="AK97" s="11"/>
      <c r="AL97" s="11"/>
      <c r="AM97" s="11"/>
      <c r="AN97" s="11"/>
      <c r="AO97" s="11"/>
    </row>
    <row r="98" spans="2:41" ht="27.6" customHeight="1">
      <c r="B98" s="11"/>
      <c r="C98" s="11"/>
      <c r="D98" s="11"/>
      <c r="E98" s="11"/>
      <c r="F98" s="11"/>
      <c r="G98" s="11"/>
      <c r="H98" s="11"/>
      <c r="I98" s="11"/>
      <c r="J98" s="11"/>
      <c r="K98" s="11"/>
      <c r="L98" s="11"/>
      <c r="M98" s="11"/>
      <c r="N98" s="11"/>
      <c r="O98" s="1"/>
      <c r="P98" s="11"/>
      <c r="Q98" s="473" t="str">
        <f>IF(Idioma=Castellano,"Cultivo",IF(Idioma=Valencià,"Cultiu","Cultivo"))</f>
        <v>Cultivo</v>
      </c>
      <c r="R98" s="556" t="str">
        <f>IF(SUM(M_Datos!$Q$26:$Q$33)=0, " ", 'M_Cálculos propios'!F261)</f>
        <v xml:space="preserve"> </v>
      </c>
      <c r="S98" s="556" t="str">
        <f>IF(SUM(M_Datos!$Q$26:$Q$33)=0, " ",'M_Cálculos propios'!G285)</f>
        <v xml:space="preserve"> </v>
      </c>
      <c r="T98" s="558"/>
      <c r="U98" s="11"/>
      <c r="V98" s="11"/>
      <c r="W98" s="11"/>
      <c r="X98" s="11"/>
      <c r="Y98" s="11"/>
      <c r="Z98" s="11"/>
      <c r="AA98" s="11"/>
      <c r="AB98" s="11"/>
      <c r="AC98" s="11"/>
      <c r="AD98" s="11"/>
      <c r="AE98" s="11"/>
      <c r="AF98" s="11"/>
      <c r="AG98" s="11"/>
      <c r="AH98" s="11"/>
      <c r="AI98" s="11"/>
      <c r="AJ98" s="11"/>
      <c r="AK98" s="11"/>
      <c r="AL98" s="11"/>
      <c r="AM98" s="11"/>
      <c r="AN98" s="11"/>
      <c r="AO98" s="11"/>
    </row>
    <row r="99" spans="2:41" ht="27.6">
      <c r="B99" s="11"/>
      <c r="C99" s="11"/>
      <c r="D99" s="11"/>
      <c r="E99" s="11"/>
      <c r="F99" s="11"/>
      <c r="G99" s="11"/>
      <c r="H99" s="11"/>
      <c r="I99" s="11"/>
      <c r="J99" s="11"/>
      <c r="K99" s="11"/>
      <c r="L99" s="11"/>
      <c r="M99" s="11"/>
      <c r="N99" s="11"/>
      <c r="O99" s="1"/>
      <c r="P99" s="11"/>
      <c r="Q99" s="473" t="str">
        <f>IF(Idioma=Castellano,"Marismas y humedales",IF(Idioma=Valencià,"Marenys i aiguamolls","Marismas y humedales"))</f>
        <v>Marismas y humedales</v>
      </c>
      <c r="R99" s="556" t="str">
        <f>IF(SUM(M_Datos!$Q$26:$Q$33)=0, " ", 'M_Cálculos propios'!F262)</f>
        <v xml:space="preserve"> </v>
      </c>
      <c r="S99" s="556" t="str">
        <f>IF(SUM(M_Datos!$Q$26:$Q$33)=0, " ",'M_Cálculos propios'!G286)</f>
        <v xml:space="preserve"> </v>
      </c>
      <c r="T99" s="558"/>
      <c r="U99" s="11"/>
      <c r="V99" s="11"/>
      <c r="W99" s="11"/>
      <c r="X99" s="11"/>
      <c r="Y99" s="11"/>
      <c r="Z99" s="11"/>
      <c r="AA99" s="11"/>
      <c r="AB99" s="11"/>
      <c r="AC99" s="11"/>
      <c r="AD99" s="11"/>
      <c r="AE99" s="11"/>
      <c r="AF99" s="11"/>
      <c r="AG99" s="11"/>
      <c r="AH99" s="11"/>
      <c r="AI99" s="11"/>
      <c r="AJ99" s="11"/>
      <c r="AK99" s="11"/>
      <c r="AL99" s="11"/>
      <c r="AM99" s="11"/>
      <c r="AN99" s="11"/>
      <c r="AO99" s="11"/>
    </row>
    <row r="100" spans="2:41">
      <c r="B100" s="11"/>
      <c r="C100" s="11"/>
      <c r="D100" s="11"/>
      <c r="E100" s="11"/>
      <c r="F100" s="11"/>
      <c r="G100" s="11"/>
      <c r="H100" s="11"/>
      <c r="I100" s="11"/>
      <c r="J100" s="11"/>
      <c r="K100" s="11"/>
      <c r="L100" s="11"/>
      <c r="M100" s="11"/>
      <c r="N100" s="11"/>
      <c r="O100" s="1"/>
      <c r="P100" s="11"/>
      <c r="Q100" s="474" t="str">
        <f>IF(Idioma=Castellano,"Otras tierras",IF(Idioma=Valencià,"Altres terres","Otras tierras"))</f>
        <v>Otras tierras</v>
      </c>
      <c r="R100" s="556" t="str">
        <f>IF(SUM(M_Datos!$Q$26:$Q$33)=0, " ", 'M_Cálculos propios'!F263)</f>
        <v xml:space="preserve"> </v>
      </c>
      <c r="S100" s="556" t="str">
        <f>IF(SUM(M_Datos!$Q$26:$Q$33)=0, " ",'M_Cálculos propios'!G287)</f>
        <v xml:space="preserve"> </v>
      </c>
      <c r="T100" s="558"/>
      <c r="U100" s="1"/>
      <c r="V100" s="1"/>
      <c r="W100" s="11"/>
      <c r="X100" s="11"/>
      <c r="Y100" s="11"/>
      <c r="Z100" s="11"/>
      <c r="AA100" s="11"/>
      <c r="AB100" s="11"/>
      <c r="AC100" s="11"/>
      <c r="AD100" s="11"/>
      <c r="AE100" s="11"/>
      <c r="AF100" s="11"/>
      <c r="AG100" s="11"/>
      <c r="AH100" s="11"/>
      <c r="AI100" s="11"/>
      <c r="AJ100" s="11"/>
      <c r="AK100" s="11"/>
      <c r="AL100" s="11"/>
      <c r="AM100" s="11"/>
      <c r="AN100" s="11"/>
      <c r="AO100" s="11"/>
    </row>
    <row r="101" spans="2:41">
      <c r="B101" s="11"/>
      <c r="C101" s="11"/>
      <c r="D101" s="11"/>
      <c r="E101" s="11"/>
      <c r="F101" s="11"/>
      <c r="G101" s="11"/>
      <c r="H101" s="11"/>
      <c r="I101" s="11"/>
      <c r="J101" s="11"/>
      <c r="K101" s="11"/>
      <c r="L101" s="11"/>
      <c r="M101" s="11"/>
      <c r="N101" s="11"/>
      <c r="O101" s="1"/>
      <c r="P101" s="11"/>
      <c r="Q101" s="473" t="str">
        <f>IF(Idioma=Castellano,"Asentamientos",IF(Idioma=Valencià,"Assentaments","Asentamientos"))</f>
        <v>Asentamientos</v>
      </c>
      <c r="R101" s="556" t="str">
        <f>IF(SUM(M_Datos!$Q$26:$Q$33)=0, " ", 'M_Cálculos propios'!F264)</f>
        <v xml:space="preserve"> </v>
      </c>
      <c r="S101" s="556" t="str">
        <f>IF(SUM(M_Datos!$Q$26:$Q$33)=0, " ",'M_Cálculos propios'!G288)</f>
        <v xml:space="preserve"> </v>
      </c>
      <c r="T101" s="558"/>
      <c r="U101" s="528">
        <f>SUM(_xlfn.ANCHORARRAY(T96))</f>
        <v>0</v>
      </c>
      <c r="V101" s="14" t="str">
        <f>IF(Idioma=Castellano,"t CO2e/año",IF(Idioma=Valencià,"t CO2e/any "))</f>
        <v>t CO2e/año</v>
      </c>
      <c r="W101" s="11"/>
      <c r="X101" s="11"/>
      <c r="Y101" s="11"/>
      <c r="Z101" s="11"/>
      <c r="AA101" s="11"/>
      <c r="AB101" s="11"/>
      <c r="AC101" s="11"/>
      <c r="AD101" s="11"/>
      <c r="AE101" s="11"/>
      <c r="AF101" s="11"/>
      <c r="AG101" s="11"/>
      <c r="AH101" s="11"/>
      <c r="AI101" s="11"/>
      <c r="AJ101" s="11"/>
      <c r="AK101" s="11"/>
      <c r="AL101" s="11"/>
      <c r="AM101" s="11"/>
      <c r="AN101" s="11"/>
      <c r="AO101" s="11"/>
    </row>
    <row r="102" spans="2:41">
      <c r="B102" s="11"/>
      <c r="C102" s="11"/>
      <c r="D102" s="11"/>
      <c r="E102" s="11"/>
      <c r="F102" s="11"/>
      <c r="G102" s="11"/>
      <c r="H102" s="11"/>
      <c r="I102" s="11"/>
      <c r="J102" s="11"/>
      <c r="K102" s="11"/>
      <c r="L102" s="11"/>
      <c r="M102" s="11"/>
      <c r="N102" s="11"/>
      <c r="O102" s="1"/>
      <c r="P102" s="11"/>
      <c r="Q102" s="1"/>
      <c r="R102" s="1"/>
      <c r="S102" s="1"/>
      <c r="T102" s="1"/>
      <c r="U102" s="1"/>
      <c r="V102" s="1"/>
      <c r="W102" s="11"/>
      <c r="X102" s="11"/>
      <c r="Y102" s="11"/>
      <c r="Z102" s="11"/>
      <c r="AA102" s="11"/>
      <c r="AB102" s="11"/>
      <c r="AC102" s="11"/>
      <c r="AD102" s="11"/>
      <c r="AE102" s="11"/>
      <c r="AF102" s="11"/>
      <c r="AG102" s="11"/>
      <c r="AH102" s="11"/>
      <c r="AI102" s="11"/>
      <c r="AJ102" s="11"/>
      <c r="AK102" s="11"/>
      <c r="AL102" s="11"/>
      <c r="AM102" s="11"/>
      <c r="AN102" s="11"/>
      <c r="AO102" s="11"/>
    </row>
    <row r="103" spans="2:4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2:4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2:4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2:4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2:4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2:41">
      <c r="B108" s="11"/>
      <c r="C108" s="11"/>
      <c r="D108" s="59"/>
      <c r="E108" s="59"/>
      <c r="F108" s="59"/>
      <c r="G108" s="59"/>
      <c r="H108" s="59"/>
      <c r="I108" s="59"/>
      <c r="J108" s="59"/>
      <c r="K108" s="59"/>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2:41">
      <c r="B109" s="11"/>
      <c r="C109" s="11"/>
      <c r="D109" s="60"/>
      <c r="E109" s="60"/>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2:41">
      <c r="B110" s="11"/>
      <c r="C110" s="11"/>
      <c r="D110" s="61"/>
      <c r="E110" s="6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2:4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2:4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s="135" customFormat="1">
      <c r="A113" s="145"/>
      <c r="B113" s="243"/>
    </row>
    <row r="114" spans="1:4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row>
    <row r="115" spans="1:4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sheetData>
  <sheetProtection algorithmName="SHA-512" hashValue="xKUBd03yfsfumTGBnsS1X/TWwGvCAt4iomHI2U4UknhifCVkZMyKuS9EORHVNOwDCVW/OpIe7oSQ/SAbY2pFxA==" saltValue="0sd/6ZnddbeSVwAOHr0f9g==" spinCount="100000" sheet="1" objects="1" scenarios="1"/>
  <mergeCells count="10">
    <mergeCell ref="I89:J89"/>
    <mergeCell ref="I90:J90"/>
    <mergeCell ref="I91:J91"/>
    <mergeCell ref="D50:F50"/>
    <mergeCell ref="B4:G5"/>
    <mergeCell ref="D11:F11"/>
    <mergeCell ref="G11:I11"/>
    <mergeCell ref="D27:F27"/>
    <mergeCell ref="D36:F36"/>
    <mergeCell ref="D48:F48"/>
  </mergeCells>
  <hyperlinks>
    <hyperlink ref="A7" location="Instrucciones_Valencia!A1" display="Instrucciones_Valencia!A1" xr:uid="{1E71FE0D-9A67-4F82-A226-743BAD838634}"/>
    <hyperlink ref="A9" location="M_Datos_Valencia!A1" display="M_Datos_Valencia!A1" xr:uid="{9715B074-7115-4A58-9E60-49E59CE7D470}"/>
    <hyperlink ref="A11" location="V_A0!A1" display="2.1. Alternativa 0 (A0)" xr:uid="{9560C0E0-DA7C-4DDA-BBCE-AFB36A9EB7A9}"/>
    <hyperlink ref="A12" location="V_A1!A1" display="2.2. Alternativa 1 (A1)" xr:uid="{92202DD6-4948-4F54-8DD2-6F0EC1511984}"/>
    <hyperlink ref="A13" location="V_A2!A1" display="2.3. Alternativa 2 (A2)" xr:uid="{194AD338-FE90-4766-88FC-F8293C7BF39C}"/>
    <hyperlink ref="A14" location="V_A3!A1" display="2.4. Alternativa 3 (A3)" xr:uid="{DB4ABADF-6050-4C95-9410-6811DE98185F}"/>
    <hyperlink ref="A15" location="V_A4!A1" display="2.5. Alternativa 4 (A4)" xr:uid="{DCE3B703-46E8-42D8-A551-C09EC10EF7FD}"/>
    <hyperlink ref="A16" location="B_Resultados!A1" display="B_Resultados!A1" xr:uid="{C7857A0E-89FC-4312-AD73-B8324A868D59}"/>
    <hyperlink ref="A17" location="V_Factores!A1" display="V_Factores!A1" xr:uid="{AE7E9987-915C-4193-A5AF-68E682BAC74D}"/>
    <hyperlink ref="A19" location="B_Alcance!A1" display="B_Alcance!A1" xr:uid="{1F9B6619-7956-4BA7-B4E4-82F909ADCB29}"/>
    <hyperlink ref="A20" location="B_Checklist!A1" display="2. Checklist" xr:uid="{DA0273D2-BD9A-49E1-AE91-504129F04054}"/>
    <hyperlink ref="A21" location="B_Resultados!A1" display="B_Resultados!A1" xr:uid="{B098F42A-3262-4497-9C2F-93FDE4390FA1}"/>
    <hyperlink ref="A22" location="Resultados_generales!A1" display="Resultados_generales!A1" xr:uid="{61FFA724-7C11-4950-AEFE-8AD9DD13CBFA}"/>
    <hyperlink ref="A23" location="Medidas_Propuestas!A1" display="Medidas_Propuestas!A1" xr:uid="{F679F146-213E-4D11-9308-9314EDC11F92}"/>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6" id="{AE2AB078-C3BA-4423-BE0E-A89E22115799}">
            <xm:f>M_Datos!$J$17="No"</xm:f>
            <x14:dxf>
              <font>
                <color theme="0" tint="-0.34998626667073579"/>
              </font>
              <fill>
                <patternFill>
                  <bgColor theme="0" tint="-4.9989318521683403E-2"/>
                </patternFill>
              </fill>
            </x14:dxf>
          </x14:cfRule>
          <xm:sqref>D71 C30:C33 D53:F55 C39:F42 F78:F84</xm:sqref>
        </x14:conditionalFormatting>
        <x14:conditionalFormatting xmlns:xm="http://schemas.microsoft.com/office/excel/2006/main">
          <x14:cfRule type="expression" priority="4" id="{3DFC8E77-276C-4A8C-8209-20E4536E9A3E}">
            <xm:f>M_Datos!$J$17="No"</xm:f>
            <x14:dxf>
              <font>
                <color theme="0" tint="-0.34998626667073579"/>
              </font>
              <fill>
                <patternFill>
                  <bgColor theme="0" tint="-4.9989318521683403E-2"/>
                </patternFill>
              </fill>
            </x14:dxf>
          </x14:cfRule>
          <xm:sqref>C71</xm:sqref>
        </x14:conditionalFormatting>
        <x14:conditionalFormatting xmlns:xm="http://schemas.microsoft.com/office/excel/2006/main">
          <x14:cfRule type="expression" priority="3" id="{D9B22F0A-4565-45B6-BD79-C11118F18383}">
            <xm:f>M_Datos!$J$17="No"</xm:f>
            <x14:dxf>
              <font>
                <color theme="0" tint="-0.34998626667073579"/>
              </font>
              <fill>
                <patternFill>
                  <bgColor theme="0" tint="-4.9989318521683403E-2"/>
                </patternFill>
              </fill>
            </x14:dxf>
          </x14:cfRule>
          <xm:sqref>F77</xm:sqref>
        </x14:conditionalFormatting>
        <x14:conditionalFormatting xmlns:xm="http://schemas.microsoft.com/office/excel/2006/main">
          <x14:cfRule type="expression" priority="2" id="{284D326A-B641-4E2D-9F5A-85A695B6F50D}">
            <xm:f>M_Datos!$J$17="No"</xm:f>
            <x14:dxf>
              <font>
                <color theme="0" tint="-0.34998626667073579"/>
              </font>
              <fill>
                <patternFill>
                  <bgColor theme="0" tint="-4.9989318521683403E-2"/>
                </patternFill>
              </fill>
            </x14:dxf>
          </x14:cfRule>
          <xm:sqref>C53:C55</xm:sqref>
        </x14:conditionalFormatting>
        <x14:conditionalFormatting xmlns:xm="http://schemas.microsoft.com/office/excel/2006/main">
          <x14:cfRule type="expression" priority="1" id="{9DC35494-C1B7-4BB1-A7E4-1F1EF24DE081}">
            <xm:f>M_Datos!$J$17="No"</xm:f>
            <x14:dxf>
              <font>
                <color theme="0" tint="-0.34998626667073579"/>
              </font>
              <fill>
                <patternFill>
                  <bgColor theme="0" tint="-4.9989318521683403E-2"/>
                </patternFill>
              </fill>
            </x14:dxf>
          </x14:cfRule>
          <xm:sqref>D30:F33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49052-F968-4D70-AAC5-325906D5F894}">
  <sheetPr>
    <tabColor theme="5" tint="0.79998168889431442"/>
  </sheetPr>
  <dimension ref="A1:AFI194"/>
  <sheetViews>
    <sheetView topLeftCell="B1" zoomScale="80" zoomScaleNormal="80" workbookViewId="0">
      <selection activeCell="F70" sqref="F70"/>
    </sheetView>
  </sheetViews>
  <sheetFormatPr baseColWidth="10" defaultColWidth="11.5546875" defaultRowHeight="15.6"/>
  <cols>
    <col min="1" max="1" width="29.5546875" style="145" customWidth="1"/>
    <col min="2" max="2" width="11.5546875" style="1"/>
    <col min="3" max="3" width="25.33203125" style="1" customWidth="1"/>
    <col min="4" max="4" width="25.109375" style="1" customWidth="1"/>
    <col min="5" max="5" width="30.33203125" style="1" customWidth="1"/>
    <col min="6" max="6" width="22.109375" style="1" customWidth="1"/>
    <col min="7" max="7" width="21.6640625" style="1" customWidth="1"/>
    <col min="8" max="8" width="17" style="1" customWidth="1"/>
    <col min="9" max="9" width="16.33203125" style="1" customWidth="1"/>
    <col min="10" max="10" width="28.44140625" style="1" bestFit="1" customWidth="1"/>
    <col min="11" max="11" width="17" style="1" customWidth="1"/>
    <col min="12" max="12" width="20" style="1" customWidth="1"/>
    <col min="13" max="13" width="13.5546875" style="1" customWidth="1"/>
    <col min="14" max="14" width="19.5546875" style="1" customWidth="1"/>
    <col min="15" max="15" width="18.109375" style="1" customWidth="1"/>
    <col min="16" max="16" width="11.6640625" style="1" bestFit="1" customWidth="1"/>
    <col min="17" max="17" width="16" style="1" customWidth="1"/>
    <col min="18" max="18" width="19.109375" style="1" customWidth="1"/>
    <col min="19" max="19" width="18.44140625" style="1" customWidth="1"/>
    <col min="20" max="20" width="11.6640625" style="1" bestFit="1" customWidth="1"/>
    <col min="21" max="21" width="16.5546875" style="1" bestFit="1" customWidth="1"/>
    <col min="22" max="16384" width="11.5546875" style="1"/>
  </cols>
  <sheetData>
    <row r="1" spans="1:841" s="136" customFormat="1" ht="30" customHeight="1">
      <c r="A1" s="1"/>
      <c r="B1" s="135"/>
    </row>
    <row r="2" spans="1:841" s="136" customFormat="1" ht="30" customHeight="1">
      <c r="A2" s="1"/>
      <c r="B2" s="135"/>
      <c r="C2" s="136" t="str">
        <f>IF(Idioma=Castellano,"2. Cálculos",IF(Idioma=Valencià,"2. Calculs"))</f>
        <v>2. Cálculos</v>
      </c>
    </row>
    <row r="3" spans="1:841" s="136" customFormat="1" ht="30" customHeight="1">
      <c r="A3" s="1"/>
      <c r="B3" s="135"/>
    </row>
    <row r="4" spans="1:841" s="257" customFormat="1" ht="14.4">
      <c r="A4" s="143"/>
      <c r="B4" s="254"/>
      <c r="C4" s="255"/>
      <c r="D4" s="256"/>
      <c r="E4" s="256"/>
      <c r="F4" s="256"/>
      <c r="G4" s="256"/>
      <c r="H4" s="256"/>
      <c r="I4" s="256"/>
      <c r="J4" s="254"/>
      <c r="K4" s="254"/>
      <c r="L4" s="254"/>
      <c r="M4" s="254"/>
      <c r="N4" s="254"/>
      <c r="O4" s="254"/>
      <c r="P4" s="254"/>
      <c r="Q4" s="254"/>
      <c r="R4" s="254"/>
      <c r="S4" s="254"/>
      <c r="T4" s="254"/>
      <c r="U4" s="254"/>
      <c r="V4" s="254"/>
    </row>
    <row r="5" spans="1:841" ht="14.4">
      <c r="A5" s="143"/>
      <c r="B5" s="11"/>
      <c r="C5" s="73"/>
      <c r="D5" s="12"/>
      <c r="E5" s="12"/>
      <c r="F5" s="12"/>
      <c r="G5" s="12"/>
      <c r="H5" s="12"/>
      <c r="I5" s="12"/>
      <c r="J5" s="11"/>
      <c r="K5" s="11"/>
      <c r="L5" s="11"/>
      <c r="M5" s="11"/>
      <c r="N5" s="11"/>
      <c r="O5" s="11"/>
      <c r="P5" s="11"/>
      <c r="Q5" s="11"/>
      <c r="R5" s="11"/>
      <c r="S5" s="11"/>
      <c r="T5" s="11"/>
      <c r="U5" s="11"/>
      <c r="V5" s="11"/>
    </row>
    <row r="6" spans="1:841">
      <c r="A6" s="201" t="str">
        <f>IF(Idioma=Castellano,"Índice",IF(Idioma=Valencià,"Índex","Índice"))</f>
        <v>Índice</v>
      </c>
      <c r="B6" s="11"/>
      <c r="C6" s="12"/>
      <c r="D6" s="12"/>
      <c r="E6" s="12"/>
      <c r="F6" s="12"/>
      <c r="G6" s="12"/>
      <c r="H6" s="12"/>
      <c r="I6" s="12"/>
      <c r="J6" s="12"/>
      <c r="K6" s="12"/>
      <c r="L6" s="12"/>
      <c r="M6" s="12"/>
      <c r="N6" s="12"/>
      <c r="O6" s="12"/>
      <c r="P6" s="12"/>
      <c r="Q6" s="12"/>
      <c r="R6" s="12"/>
      <c r="S6" s="12"/>
      <c r="T6" s="12"/>
      <c r="U6" s="12"/>
      <c r="V6" s="12"/>
    </row>
    <row r="7" spans="1:841" ht="14.4">
      <c r="A7" s="202" t="str">
        <f>IF(Idioma=Castellano,"Instrucciones",IF(Idioma=Valencià,"Instruccions","Instrucciones"))</f>
        <v>Instrucciones</v>
      </c>
      <c r="B7" s="11"/>
      <c r="C7" s="176"/>
      <c r="D7" s="486"/>
      <c r="E7" s="486"/>
      <c r="F7" s="486"/>
      <c r="G7" s="486"/>
      <c r="H7" s="486"/>
      <c r="I7" s="12"/>
      <c r="J7" s="176"/>
      <c r="K7" s="486"/>
      <c r="L7" s="486"/>
      <c r="M7" s="486"/>
      <c r="N7" s="486"/>
      <c r="O7" s="12"/>
      <c r="P7" s="12"/>
      <c r="Q7" s="12"/>
      <c r="R7" s="12"/>
      <c r="S7" s="12"/>
      <c r="T7" s="12"/>
      <c r="U7" s="12"/>
      <c r="V7" s="12"/>
    </row>
    <row r="8" spans="1:841" ht="14.4">
      <c r="A8" s="202" t="str">
        <f>IF(Idioma=Castellano,"Sección de Mitigación",IF(Idioma=Valencià,"Secció de Mitigació", "Sección de Mitigación"))</f>
        <v>Sección de Mitigación</v>
      </c>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row>
    <row r="9" spans="1:841" ht="14.4">
      <c r="A9" s="204" t="str">
        <f>IF(Idioma=Castellano,"1. Datos de entrada",IF(Idioma=Valencià,"1.Dades d'entrada","1. Datos de entrada"))</f>
        <v>1. Datos de entrada</v>
      </c>
      <c r="B9" s="11"/>
      <c r="C9" s="246" t="s">
        <v>890</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row>
    <row r="10" spans="1:841" ht="14.4">
      <c r="A10" s="204" t="str">
        <f>IF(Idioma=Castellano,"2. Cálculo de Alternativas:",IF(Idioma=Valencià,"2. Càlcul d'alternatives :","2. Cálculo de Alternativas:"))</f>
        <v>2. Cálculo de Alternativas:</v>
      </c>
      <c r="B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row>
    <row r="11" spans="1:841" ht="14.4">
      <c r="A11" s="205" t="s">
        <v>1</v>
      </c>
      <c r="B11" s="11"/>
      <c r="D11" s="47"/>
      <c r="E11" s="482" t="s">
        <v>23</v>
      </c>
      <c r="F11" s="483"/>
      <c r="G11" s="484"/>
      <c r="H11" s="496" t="s">
        <v>31</v>
      </c>
      <c r="I11" s="497"/>
      <c r="J11" s="498"/>
      <c r="K11" s="496" t="s">
        <v>36</v>
      </c>
      <c r="L11" s="497"/>
      <c r="M11" s="498"/>
      <c r="N11" s="496" t="s">
        <v>39</v>
      </c>
      <c r="O11" s="497"/>
      <c r="P11" s="498"/>
      <c r="Q11" s="496" t="s">
        <v>42</v>
      </c>
      <c r="R11" s="497"/>
      <c r="S11" s="498"/>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row>
    <row r="12" spans="1:841" ht="14.4">
      <c r="A12" s="205" t="s">
        <v>2</v>
      </c>
      <c r="B12" s="11"/>
      <c r="C12" s="657" t="s">
        <v>607</v>
      </c>
      <c r="D12" s="289" t="s">
        <v>622</v>
      </c>
      <c r="E12" s="488" t="s">
        <v>623</v>
      </c>
      <c r="F12" s="488" t="s">
        <v>948</v>
      </c>
      <c r="G12" s="488" t="s">
        <v>624</v>
      </c>
      <c r="H12" s="488" t="s">
        <v>623</v>
      </c>
      <c r="I12" s="503" t="s">
        <v>948</v>
      </c>
      <c r="J12" s="488" t="s">
        <v>624</v>
      </c>
      <c r="K12" s="488" t="s">
        <v>623</v>
      </c>
      <c r="L12" s="488" t="s">
        <v>948</v>
      </c>
      <c r="M12" s="488" t="s">
        <v>624</v>
      </c>
      <c r="N12" s="488" t="s">
        <v>623</v>
      </c>
      <c r="O12" s="488" t="s">
        <v>919</v>
      </c>
      <c r="P12" s="488" t="s">
        <v>624</v>
      </c>
      <c r="Q12" s="488" t="s">
        <v>623</v>
      </c>
      <c r="R12" s="488" t="s">
        <v>948</v>
      </c>
      <c r="S12" s="488" t="s">
        <v>624</v>
      </c>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row>
    <row r="13" spans="1:841" ht="14.4">
      <c r="A13" s="205" t="s">
        <v>3</v>
      </c>
      <c r="B13" s="11"/>
      <c r="C13" s="657"/>
      <c r="D13" s="289" t="str">
        <f>IF(Idioma=Castellano,"Existente",IF(Idioma=Valencià,"Existent","Existente"))</f>
        <v>Existente</v>
      </c>
      <c r="E13" s="551">
        <f>SUMIFS(M_Datos!$N$56:$N$58,M_Datos!$O$56:$O$58,M_Lista!G17)</f>
        <v>0</v>
      </c>
      <c r="F13" s="312">
        <f>IF(AND(M_FactoresComplement!$G$6="No",M_FactoresComplement!$G$8="No"),M_Cálculos!E13*M_Factores!$D$213/(10^3),IF(AND(M_FactoresComplement!$G$6="Sí",M_FactoresComplement!$G$8="No"),E13*M_FactoresComplement!$G43/(10^3),E13*VLOOKUP(M_FactoresComplement!$C$43&amp;M_Datos!$E$12&amp;M_Lista!G17,M_FactoresComplement!$F$15:$I$434,2,FALSE)/(10^3)))</f>
        <v>0</v>
      </c>
      <c r="G13" s="313">
        <f>IF(AND(M_FactoresComplement!$G$6="No",M_FactoresComplement!$G$8="No"),M_Cálculos!E13*M_Factores!$E$213/(10^3),IF(AND(M_FactoresComplement!$G$6="Sí",M_FactoresComplement!$G$8="No"),E13*M_FactoresComplement!$H$43/(10^3),E13*VLOOKUP(M_FactoresComplement!$C$43&amp;M_Datos!$E$12&amp;M_Lista!G17,M_FactoresComplement!$F$15:$I$434,3,FALSE)/(10^3)))</f>
        <v>0</v>
      </c>
      <c r="H13" s="551">
        <f>SUMIFS(M_Datos!$P$56:$P$58,M_Datos!$Q$56:$Q$58,M_Lista!G17)</f>
        <v>0</v>
      </c>
      <c r="I13" s="312">
        <f>IF(AND(M_FactoresComplement!$G$6="No",M_FactoresComplement!$G$8="No"),M_Cálculos!H13*M_Factores!$D$213/(10^3),IF(AND(M_FactoresComplement!$G$6="Sí",M_FactoresComplement!$G$8="No"),H13*M_FactoresComplement!$G$43/(10^3),H13*VLOOKUP(M_FactoresComplement!$C$43&amp;M_Datos!$E$12&amp;M_Lista!G17,M_FactoresComplement!$F$15:$I$434,2,FALSE)/(10^3)))</f>
        <v>0</v>
      </c>
      <c r="J13" s="313">
        <f>IF(AND(M_FactoresComplement!$G$6="No",M_FactoresComplement!$G$8="No"),M_Cálculos!H13*M_Factores!$E$213/(10^3),IF(AND(M_FactoresComplement!$G$6="Sí",M_FactoresComplement!$G$8="No"),H13*M_FactoresComplement!$H$43/(10^3),H13*VLOOKUP(M_FactoresComplement!$C$43&amp;M_Datos!$E$12&amp;M_Lista!G17,M_FactoresComplement!$F$15:$I$434,3,FALSE)/(10^3)))</f>
        <v>0</v>
      </c>
      <c r="K13" s="551">
        <f>SUMIFS(M_Datos!$R$56:$R$58,M_Datos!$S$56:$S$58,M_Lista!G17)</f>
        <v>0</v>
      </c>
      <c r="L13" s="312">
        <f>IF(AND(M_FactoresComplement!$G$6="No",M_FactoresComplement!$G$8="No"),M_Cálculos!K13*M_Factores!$D$213/(10^3),IF(AND(M_FactoresComplement!$G$6="Sí",M_FactoresComplement!$G$8="No"),K13*M_FactoresComplement!$G$43/(10^3),K13*VLOOKUP(M_FactoresComplement!$C$43&amp;M_Datos!$E$12&amp;M_Lista!G17,M_FactoresComplement!$F$15:$I$434,2,FALSE)/(10^3)))</f>
        <v>0</v>
      </c>
      <c r="M13" s="313">
        <f>IF(AND(M_FactoresComplement!$G$6="No",M_FactoresComplement!$G$8="No"),M_Cálculos!K13*M_Factores!$E$213/(10^3),IF(AND(M_FactoresComplement!$G$6="Sí",M_FactoresComplement!$G$8="No"),K13*M_FactoresComplement!$H$43/(10^3),K13*VLOOKUP(M_FactoresComplement!$C$43&amp;M_Datos!$E$12&amp;M_Lista!G17,M_FactoresComplement!$F$15:$I$434,3,FALSE)/(10^3)))</f>
        <v>0</v>
      </c>
      <c r="N13" s="551">
        <f>SUMIFS(M_Datos!$T$56:$T$58,M_Datos!$U$56:$U$58,M_Lista!G17)</f>
        <v>0</v>
      </c>
      <c r="O13" s="312">
        <f>IF(AND(M_FactoresComplement!$G$6="No",M_FactoresComplement!$G$8="No"),M_Cálculos!N13*M_Factores!$D$213/(10^3),IF(AND(M_FactoresComplement!$G$6="Sí",M_FactoresComplement!$G$8="No"),N13*M_FactoresComplement!$G$43/(10^3),N13*VLOOKUP(M_FactoresComplement!$C$43&amp;M_Datos!$E$12&amp;M_Lista!G17,M_FactoresComplement!$F$15:$I$434,2,FALSE)/(10^3)))</f>
        <v>0</v>
      </c>
      <c r="P13" s="313">
        <f>IF(AND(M_FactoresComplement!$G$6="No",M_FactoresComplement!$G$8="No"),M_Cálculos!N13*M_Factores!$D$213/(10^3),IF(AND(M_FactoresComplement!$G$6="Sí",M_FactoresComplement!$G$8="No"),N13*M_FactoresComplement!$H$43/(10^3),N13*VLOOKUP(M_FactoresComplement!$C$43&amp;M_Datos!$E$12&amp;M_Lista!G17,M_FactoresComplement!$F$15:$I$434,3,FALSE)/(10^3)))</f>
        <v>0</v>
      </c>
      <c r="Q13" s="551">
        <f>SUMIFS(M_Datos!$V$56:$V$58,M_Datos!$W$56:$W$58,M_Lista!G17)</f>
        <v>0</v>
      </c>
      <c r="R13" s="312">
        <f>IF(AND(M_FactoresComplement!$G$6="No",M_FactoresComplement!$G$8="No"),M_Cálculos!Q13*M_Factores!$D$213/(10^3),IF(AND(M_FactoresComplement!$G$6="Sí",M_FactoresComplement!$G$8="No"),Q13*M_FactoresComplement!$G$43/(10^3),Q13*VLOOKUP(M_FactoresComplement!$C$43&amp;M_Datos!$E$12&amp;M_Lista!G17,M_FactoresComplement!$F$15:$I$434,2,FALSE)/(10^3)))</f>
        <v>0</v>
      </c>
      <c r="S13" s="313">
        <f>IF(AND(M_FactoresComplement!$G$6="No",M_FactoresComplement!$G$8="No"),M_Cálculos!Q13*M_Factores!$D$213/(10^3),IF(AND(M_FactoresComplement!$G$6="Sí",M_FactoresComplement!$G$8="No"),Q13*M_FactoresComplement!$H$43/(10^3),Q13*VLOOKUP(M_FactoresComplement!$C$43&amp;M_Datos!$E$12&amp;M_Lista!G17,M_FactoresComplement!$F$15:$I$434,3,FALSE)/(10^3)))</f>
        <v>0</v>
      </c>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row>
    <row r="14" spans="1:841" ht="14.4">
      <c r="A14" s="205" t="s">
        <v>4</v>
      </c>
      <c r="B14" s="11"/>
      <c r="C14" s="657"/>
      <c r="D14" s="289" t="s">
        <v>625</v>
      </c>
      <c r="E14" s="551">
        <f>SUMIFS(M_Datos!$N$56:$N$58,M_Datos!$O$56:$O$58,M_Lista!G18)</f>
        <v>0</v>
      </c>
      <c r="F14" s="312">
        <f>IF(AND(M_FactoresComplement!$G$6="No",M_FactoresComplement!$G$8="No"),M_Cálculos!E14*M_Factores!$D$213/(10^3),IF(AND(M_FactoresComplement!$G$6="Sí",M_FactoresComplement!$G$8="No"),E14*M_FactoresComplement!$G44/(10^3),E14*VLOOKUP(M_FactoresComplement!$C$43&amp;M_Datos!$E$12&amp;M_Lista!G18,M_FactoresComplement!$F$15:$I$434,2,FALSE)/(10^3)))</f>
        <v>0</v>
      </c>
      <c r="G14" s="313">
        <f>IF(AND(M_FactoresComplement!$G$6="No",M_FactoresComplement!$G$8="No"),M_Cálculos!E14*M_Factores!$E$213/(10^3),IF(AND(M_FactoresComplement!$G$6="Sí",M_FactoresComplement!$G$8="No"),E14*M_FactoresComplement!$H$43/(10^3),E14*VLOOKUP(M_FactoresComplement!$C$43&amp;M_Datos!$E$12&amp;M_Lista!G18,M_FactoresComplement!$F$15:$I$434,3,FALSE)/(10^3)))</f>
        <v>0</v>
      </c>
      <c r="H14" s="551">
        <f>SUMIFS(M_Datos!$P$56:$P$58,M_Datos!$Q$56:$Q$58,M_Lista!G18)</f>
        <v>0</v>
      </c>
      <c r="I14" s="312">
        <f>IF(AND(M_FactoresComplement!$G$6="No",M_FactoresComplement!$G$8="No"),M_Cálculos!H14*M_Factores!$D$213/(10^3),IF(AND(M_FactoresComplement!$G$6="Sí",M_FactoresComplement!$G$8="No"),H14*M_FactoresComplement!$G$43/(10^3),H14*VLOOKUP(M_FactoresComplement!$C$43&amp;M_Datos!$E$12&amp;M_Lista!G18,M_FactoresComplement!$F$15:$I$434,2,FALSE)/(10^3)))</f>
        <v>0</v>
      </c>
      <c r="J14" s="313">
        <f>IF(AND(M_FactoresComplement!$G$6="No",M_FactoresComplement!$G$8="No"),M_Cálculos!H14*M_Factores!$E$213/(10^3),IF(AND(M_FactoresComplement!$G$6="Sí",M_FactoresComplement!$G$8="No"),H14*M_FactoresComplement!$H$43/(10^3),H14*VLOOKUP(M_FactoresComplement!$C$43&amp;M_Datos!$E$12&amp;M_Lista!G18,M_FactoresComplement!$F$15:$I$434,3,FALSE)/(10^3)))</f>
        <v>0</v>
      </c>
      <c r="K14" s="551">
        <f>SUMIFS(M_Datos!$R$56:$R$58,M_Datos!$S$56:$S$58,M_Lista!G18)</f>
        <v>0</v>
      </c>
      <c r="L14" s="312">
        <f>IF(AND(M_FactoresComplement!$G$6="No",M_FactoresComplement!$G$8="No"),M_Cálculos!K14*M_Factores!$D$213/(10^3),IF(AND(M_FactoresComplement!$G$6="Sí",M_FactoresComplement!$G$8="No"),K14*M_FactoresComplement!$G$43/(10^3),K14*VLOOKUP(M_FactoresComplement!$C$43&amp;M_Datos!$E$12&amp;M_Lista!G18,M_FactoresComplement!$F$15:$I$434,2,FALSE)/(10^3)))</f>
        <v>0</v>
      </c>
      <c r="M14" s="313">
        <f>IF(AND(M_FactoresComplement!$G$6="No",M_FactoresComplement!$G$8="No"),M_Cálculos!K14*M_Factores!$E$213/(10^3),IF(AND(M_FactoresComplement!$G$6="Sí",M_FactoresComplement!$G$8="No"),K14*M_FactoresComplement!$H$43/(10^3),K14*VLOOKUP(M_FactoresComplement!$C$43&amp;M_Datos!$E$12&amp;M_Lista!G18,M_FactoresComplement!$F$15:$I$434,3,FALSE)/(10^3)))</f>
        <v>0</v>
      </c>
      <c r="N14" s="551">
        <f>SUMIFS(M_Datos!$T$56:$T$58,M_Datos!$U$56:$U$58,M_Lista!G18)</f>
        <v>0</v>
      </c>
      <c r="O14" s="312">
        <f>IF(AND(M_FactoresComplement!$G$6="No",M_FactoresComplement!$G$8="No"),M_Cálculos!N14*M_Factores!$D$213/(10^3),IF(AND(M_FactoresComplement!$G$6="Sí",M_FactoresComplement!$G$8="No"),N14*M_FactoresComplement!$G$43/(10^3),N14*VLOOKUP(M_FactoresComplement!$C$43&amp;M_Datos!$E$12&amp;M_Lista!G18,M_FactoresComplement!$F$15:$I$434,2,FALSE)/(10^3)))</f>
        <v>0</v>
      </c>
      <c r="P14" s="313">
        <f>IF(AND(M_FactoresComplement!$G$6="No",M_FactoresComplement!$G$8="No"),M_Cálculos!N14*M_Factores!$D$213/(10^3),IF(AND(M_FactoresComplement!$G$6="Sí",M_FactoresComplement!$G$8="No"),N14*M_FactoresComplement!$H$43/(10^3),N14*VLOOKUP(M_FactoresComplement!$C$43&amp;M_Datos!$E$12&amp;M_Lista!G18,M_FactoresComplement!$F$15:$I$434,3,FALSE)/(10^3)))</f>
        <v>0</v>
      </c>
      <c r="Q14" s="551">
        <f>SUMIFS(M_Datos!$V$56:$V$58,M_Datos!$W$56:$W$58,M_Lista!G18)</f>
        <v>0</v>
      </c>
      <c r="R14" s="312">
        <f>IF(AND(M_FactoresComplement!$G$6="No",M_FactoresComplement!$G$8="No"),M_Cálculos!Q14*M_Factores!$D$213/(10^3),IF(AND(M_FactoresComplement!$G$6="Sí",M_FactoresComplement!$G$8="No"),Q14*M_FactoresComplement!$G$43/(10^3),Q14*VLOOKUP(M_FactoresComplement!$C$43&amp;M_Datos!$E$12&amp;M_Lista!G18,M_FactoresComplement!$F$15:$I$434,2,FALSE)/(10^3)))</f>
        <v>0</v>
      </c>
      <c r="S14" s="313">
        <f>IF(AND(M_FactoresComplement!$G$6="No",M_FactoresComplement!$G$8="No"),M_Cálculos!Q14*M_Factores!$D$213/(10^3),IF(AND(M_FactoresComplement!$G$6="Sí",M_FactoresComplement!$G$8="No"),Q14*M_FactoresComplement!$H$43/(10^3),Q14*VLOOKUP(M_FactoresComplement!$C$43&amp;M_Datos!$E$12&amp;M_Lista!G18,M_FactoresComplement!$F$15:$I$434,3,FALSE)/(10^3)))</f>
        <v>0</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row>
    <row r="15" spans="1:841" ht="14.4">
      <c r="A15" s="205" t="s">
        <v>5</v>
      </c>
      <c r="B15" s="11"/>
      <c r="C15" s="657"/>
      <c r="D15" s="289" t="s">
        <v>626</v>
      </c>
      <c r="E15" s="551">
        <f>SUMIFS(M_Datos!$N$56:$N$58,M_Datos!$O$56:$O$58,M_Lista!G19)</f>
        <v>0</v>
      </c>
      <c r="F15" s="312">
        <f>IF(AND(M_FactoresComplement!$G$6="No",M_FactoresComplement!$G$8="No"),M_Cálculos!E15*M_Factores!$D$213/(10^3),IF(AND(M_FactoresComplement!$G$6="Sí",M_FactoresComplement!$G$8="No"),E15*M_FactoresComplement!$G45/(10^3),E15*VLOOKUP(M_FactoresComplement!$C$43&amp;M_Datos!$E$12&amp;M_Lista!G19,M_FactoresComplement!$F$15:$I$434,2,FALSE)/(10^3)))</f>
        <v>0</v>
      </c>
      <c r="G15" s="313">
        <f>IF(AND(M_FactoresComplement!$G$6="No",M_FactoresComplement!$G$8="No"),M_Cálculos!E15*M_Factores!$E$213/(10^3),IF(AND(M_FactoresComplement!$G$6="Sí",M_FactoresComplement!$G$8="No"),E15*M_FactoresComplement!$H$43/(10^3),E15*VLOOKUP(M_FactoresComplement!$C$43&amp;M_Datos!$E$12&amp;M_Lista!G19,M_FactoresComplement!$F$15:$I$434,3,FALSE)/(10^3)))</f>
        <v>0</v>
      </c>
      <c r="H15" s="551">
        <f>SUMIFS(M_Datos!$P$56:$P$58,M_Datos!$Q$56:$Q$58,M_Lista!G19)</f>
        <v>0</v>
      </c>
      <c r="I15" s="312">
        <f>IF(AND(M_FactoresComplement!$G$6="No",M_FactoresComplement!$G$8="No"),M_Cálculos!H15*M_Factores!$D$213/(10^3),IF(AND(M_FactoresComplement!$G$6="Sí",M_FactoresComplement!$G$8="No"),H15*M_FactoresComplement!$G$43/(10^3),H15*VLOOKUP(M_FactoresComplement!$C$43&amp;M_Datos!$E$12&amp;M_Lista!G19,M_FactoresComplement!$F$15:$I$434,2,FALSE)/(10^3)))</f>
        <v>0</v>
      </c>
      <c r="J15" s="313">
        <f>IF(AND(M_FactoresComplement!$G$6="No",M_FactoresComplement!$G$8="No"),M_Cálculos!H15*M_Factores!$E$213/(10^3),IF(AND(M_FactoresComplement!$G$6="Sí",M_FactoresComplement!$G$8="No"),H15*M_FactoresComplement!$H$43/(10^3),H15*VLOOKUP(M_FactoresComplement!$C$43&amp;M_Datos!$E$12&amp;M_Lista!G19,M_FactoresComplement!$F$15:$I$434,3,FALSE)/(10^3)))</f>
        <v>0</v>
      </c>
      <c r="K15" s="551">
        <f>SUMIFS(M_Datos!$R$56:$R$58,M_Datos!$S$56:$S$58,M_Lista!G19)</f>
        <v>0</v>
      </c>
      <c r="L15" s="312">
        <f>IF(AND(M_FactoresComplement!$G$6="No",M_FactoresComplement!$G$8="No"),M_Cálculos!K15*M_Factores!$D$213/(10^3),IF(AND(M_FactoresComplement!$G$6="Sí",M_FactoresComplement!$G$8="No"),K15*M_FactoresComplement!$G$43/(10^3),K15*VLOOKUP(M_FactoresComplement!$C$43&amp;M_Datos!$E$12&amp;M_Lista!G19,M_FactoresComplement!$F$15:$I$434,2,FALSE)/(10^3)))</f>
        <v>0</v>
      </c>
      <c r="M15" s="313">
        <f>IF(AND(M_FactoresComplement!$G$6="No",M_FactoresComplement!$G$8="No"),M_Cálculos!K15*M_Factores!$E$213/(10^3),IF(AND(M_FactoresComplement!$G$6="Sí",M_FactoresComplement!$G$8="No"),K15*M_FactoresComplement!$H$43/(10^3),K15*VLOOKUP(M_FactoresComplement!$C$43&amp;M_Datos!$E$12&amp;M_Lista!G19,M_FactoresComplement!$F$15:$I$434,3,FALSE)/(10^3)))</f>
        <v>0</v>
      </c>
      <c r="N15" s="551">
        <f>SUMIFS(M_Datos!$T$56:$T$58,M_Datos!$U$56:$U$58,M_Lista!G19)</f>
        <v>0</v>
      </c>
      <c r="O15" s="312">
        <f>IF(AND(M_FactoresComplement!$G$6="No",M_FactoresComplement!$G$8="No"),M_Cálculos!N15*M_Factores!$D$213/(10^3),IF(AND(M_FactoresComplement!$G$6="Sí",M_FactoresComplement!$G$8="No"),N15*M_FactoresComplement!$G$43/(10^3),N15*VLOOKUP(M_FactoresComplement!$C$43&amp;M_Datos!$E$12&amp;M_Lista!G19,M_FactoresComplement!$F$15:$I$434,2,FALSE)/(10^3)))</f>
        <v>0</v>
      </c>
      <c r="P15" s="313">
        <f>IF(AND(M_FactoresComplement!$G$6="No",M_FactoresComplement!$G$8="No"),M_Cálculos!N15*M_Factores!$D$213/(10^3),IF(AND(M_FactoresComplement!$G$6="Sí",M_FactoresComplement!$G$8="No"),N15*M_FactoresComplement!$H$43/(10^3),N15*VLOOKUP(M_FactoresComplement!$C$43&amp;M_Datos!$E$12&amp;M_Lista!G19,M_FactoresComplement!$F$15:$I$434,3,FALSE)/(10^3)))</f>
        <v>0</v>
      </c>
      <c r="Q15" s="551">
        <f>SUMIFS(M_Datos!$V$56:$V$58,M_Datos!$W$56:$W$58,M_Lista!G19)</f>
        <v>0</v>
      </c>
      <c r="R15" s="312">
        <f>IF(AND(M_FactoresComplement!$G$6="No",M_FactoresComplement!$G$8="No"),M_Cálculos!Q15*M_Factores!$D$213/(10^3),IF(AND(M_FactoresComplement!$G$6="Sí",M_FactoresComplement!$G$8="No"),Q15*M_FactoresComplement!$G$43/(10^3),Q15*VLOOKUP(M_FactoresComplement!$C$43&amp;M_Datos!$E$12&amp;M_Lista!G19,M_FactoresComplement!$F$15:$I$434,2,FALSE)/(10^3)))</f>
        <v>0</v>
      </c>
      <c r="S15" s="313">
        <f>IF(AND(M_FactoresComplement!$G$6="No",M_FactoresComplement!$G$8="No"),M_Cálculos!Q15*M_Factores!$D$213/(10^3),IF(AND(M_FactoresComplement!$G$6="Sí",M_FactoresComplement!$G$8="No"),Q15*M_FactoresComplement!$H$43/(10^3),Q15*VLOOKUP(M_FactoresComplement!$C$43&amp;M_Datos!$E$12&amp;M_Lista!G19,M_FactoresComplement!$F$15:$I$434,3,FALSE)/(10^3)))</f>
        <v>0</v>
      </c>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row>
    <row r="16" spans="1:841" ht="14.4">
      <c r="A16" s="204" t="str">
        <f>IF(Idioma=Castellano,"3. Resultados",IF(Idioma=Valencià,"3. Resultats","3. Resultados"))</f>
        <v>3. Resultados</v>
      </c>
      <c r="B16" s="11"/>
      <c r="C16" s="657"/>
      <c r="D16" s="289" t="s">
        <v>627</v>
      </c>
      <c r="E16" s="551">
        <f>SUMIFS(M_Datos!$N$56:$N$58,M_Datos!$O$56:$O$58,M_Lista!G20)</f>
        <v>0</v>
      </c>
      <c r="F16" s="312">
        <f>IF(AND(M_FactoresComplement!$G$6="No",M_FactoresComplement!$G$8="No"),M_Cálculos!E16*M_Factores!$D$213/(10^3),IF(AND(M_FactoresComplement!$G$6="Sí",M_FactoresComplement!$G$8="No"),E16*M_FactoresComplement!$G46/(10^3),E16*VLOOKUP(M_FactoresComplement!$C$43&amp;M_Datos!$E$12&amp;M_Lista!G20,M_FactoresComplement!$F$15:$I$434,2,FALSE)/(10^3)))</f>
        <v>0</v>
      </c>
      <c r="G16" s="313">
        <f>IF(AND(M_FactoresComplement!$G$6="No",M_FactoresComplement!$G$8="No"),M_Cálculos!E16*M_Factores!$E$213/(10^3),IF(AND(M_FactoresComplement!$G$6="Sí",M_FactoresComplement!$G$8="No"),E16*M_FactoresComplement!$H$43/(10^3),E16*VLOOKUP(M_FactoresComplement!$C$43&amp;M_Datos!$E$12&amp;M_Lista!G20,M_FactoresComplement!$F$15:$I$434,3,FALSE)/(10^3)))</f>
        <v>0</v>
      </c>
      <c r="H16" s="551">
        <f>SUMIFS(M_Datos!$P$56:$P$58,M_Datos!$Q$56:$Q$58,M_Lista!G20)</f>
        <v>0</v>
      </c>
      <c r="I16" s="312">
        <f>IF(AND(M_FactoresComplement!$G$6="No",M_FactoresComplement!$G$8="No"),M_Cálculos!H16*M_Factores!$D$213/(10^3),IF(AND(M_FactoresComplement!$G$6="Sí",M_FactoresComplement!$G$8="No"),H16*M_FactoresComplement!$G$43/(10^3),H16*VLOOKUP(M_FactoresComplement!$C$43&amp;M_Datos!$E$12&amp;M_Lista!G20,M_FactoresComplement!$F$15:$I$434,2,FALSE)/(10^3)))</f>
        <v>0</v>
      </c>
      <c r="J16" s="313">
        <f>IF(AND(M_FactoresComplement!$G$6="No",M_FactoresComplement!$G$8="No"),M_Cálculos!H16*M_Factores!$E$213/(10^3),IF(AND(M_FactoresComplement!$G$6="Sí",M_FactoresComplement!$G$8="No"),H16*M_FactoresComplement!$H$43/(10^3),H16*VLOOKUP(M_FactoresComplement!$C$43&amp;M_Datos!$E$12&amp;M_Lista!G20,M_FactoresComplement!$F$15:$I$434,3,FALSE)/(10^3)))</f>
        <v>0</v>
      </c>
      <c r="K16" s="551">
        <f>SUMIFS(M_Datos!$R$56:$R$58,M_Datos!$S$56:$S$58,M_Lista!G20)</f>
        <v>0</v>
      </c>
      <c r="L16" s="312">
        <f>IF(AND(M_FactoresComplement!$G$6="No",M_FactoresComplement!$G$8="No"),M_Cálculos!K16*M_Factores!$D$213/(10^3),IF(AND(M_FactoresComplement!$G$6="Sí",M_FactoresComplement!$G$8="No"),K16*M_FactoresComplement!$G$43/(10^3),K16*VLOOKUP(M_FactoresComplement!$C$43&amp;M_Datos!$E$12&amp;M_Lista!G20,M_FactoresComplement!$F$15:$I$434,2,FALSE)/(10^3)))</f>
        <v>0</v>
      </c>
      <c r="M16" s="313">
        <f>IF(AND(M_FactoresComplement!$G$6="No",M_FactoresComplement!$G$8="No"),M_Cálculos!K16*M_Factores!$E$213/(10^3),IF(AND(M_FactoresComplement!$G$6="Sí",M_FactoresComplement!$G$8="No"),K16*M_FactoresComplement!$H$43/(10^3),K16*VLOOKUP(M_FactoresComplement!$C$43&amp;M_Datos!$E$12&amp;M_Lista!G20,M_FactoresComplement!$F$15:$I$434,3,FALSE)/(10^3)))</f>
        <v>0</v>
      </c>
      <c r="N16" s="551">
        <f>SUMIFS(M_Datos!$T$56:$T$58,M_Datos!$U$56:$U$58,M_Lista!G20)</f>
        <v>0</v>
      </c>
      <c r="O16" s="312">
        <f>IF(AND(M_FactoresComplement!$G$6="No",M_FactoresComplement!$G$8="No"),M_Cálculos!N16*M_Factores!$D$213/(10^3),IF(AND(M_FactoresComplement!$G$6="Sí",M_FactoresComplement!$G$8="No"),N16*M_FactoresComplement!$G$43/(10^3),N16*VLOOKUP(M_FactoresComplement!$C$43&amp;M_Datos!$E$12&amp;M_Lista!G20,M_FactoresComplement!$F$15:$I$434,2,FALSE)/(10^3)))</f>
        <v>0</v>
      </c>
      <c r="P16" s="313">
        <f>IF(AND(M_FactoresComplement!$G$6="No",M_FactoresComplement!$G$8="No"),M_Cálculos!N16*M_Factores!$D$213/(10^3),IF(AND(M_FactoresComplement!$G$6="Sí",M_FactoresComplement!$G$8="No"),N16*M_FactoresComplement!$H$43/(10^3),N16*VLOOKUP(M_FactoresComplement!$C$43&amp;M_Datos!$E$12&amp;M_Lista!G20,M_FactoresComplement!$F$15:$I$434,3,FALSE)/(10^3)))</f>
        <v>0</v>
      </c>
      <c r="Q16" s="551">
        <f>SUMIFS(M_Datos!$V$56:$V$58,M_Datos!$W$56:$W$58,M_Lista!G20)</f>
        <v>0</v>
      </c>
      <c r="R16" s="312">
        <f>IF(AND(M_FactoresComplement!$G$6="No",M_FactoresComplement!$G$8="No"),M_Cálculos!Q16*M_Factores!$D$213/(10^3),IF(AND(M_FactoresComplement!$G$6="Sí",M_FactoresComplement!$G$8="No"),Q16*M_FactoresComplement!$G$43/(10^3),Q16*VLOOKUP(M_FactoresComplement!$C$43&amp;M_Datos!$E$12&amp;M_Lista!G20,M_FactoresComplement!$F$15:$I$434,2,FALSE)/(10^3)))</f>
        <v>0</v>
      </c>
      <c r="S16" s="313">
        <f>IF(AND(M_FactoresComplement!$G$6="No",M_FactoresComplement!$G$8="No"),M_Cálculos!Q16*M_Factores!$D$213/(10^3),IF(AND(M_FactoresComplement!$G$6="Sí",M_FactoresComplement!$G$8="No"),Q16*M_FactoresComplement!$H$43/(10^3),Q16*VLOOKUP(M_FactoresComplement!$C$43&amp;M_Datos!$E$12&amp;M_Lista!G20,M_FactoresComplement!$F$15:$I$434,3,FALSE)/(10^3)))</f>
        <v>0</v>
      </c>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row>
    <row r="17" spans="1:841" ht="14.4">
      <c r="A17" s="204" t="str">
        <f>IF(Idioma=Castellano,"4. Factores de emisión",IF(Idioma=Valencià,"4. Factors d'emissió","4. Factores de emisión"))</f>
        <v>4. Factores de emisión</v>
      </c>
      <c r="B17" s="11"/>
      <c r="C17" s="657"/>
      <c r="D17" s="289" t="s">
        <v>628</v>
      </c>
      <c r="E17" s="551">
        <f>SUMIFS(M_Datos!$N$56:$N$58,M_Datos!$O$56:$O$58,M_Lista!G21)</f>
        <v>0</v>
      </c>
      <c r="F17" s="312">
        <f>IF(AND(M_FactoresComplement!$G$6="No",M_FactoresComplement!$G$8="No"),M_Cálculos!E17*M_Factores!$D$213/(10^3),IF(AND(M_FactoresComplement!$G$6="Sí",M_FactoresComplement!$G$8="No"),E17*M_FactoresComplement!$G47/(10^3),E17*VLOOKUP(M_FactoresComplement!$C$43&amp;M_Datos!$E$12&amp;M_Lista!G21,M_FactoresComplement!$F$15:$I$434,2,FALSE)/(10^3)))</f>
        <v>0</v>
      </c>
      <c r="G17" s="313">
        <f>IF(AND(M_FactoresComplement!$G$6="No",M_FactoresComplement!$G$8="No"),M_Cálculos!E17*M_Factores!$E$213/(10^3),IF(AND(M_FactoresComplement!$G$6="Sí",M_FactoresComplement!$G$8="No"),E17*M_FactoresComplement!$H$43/(10^3),E17*VLOOKUP(M_FactoresComplement!$C$43&amp;M_Datos!$E$12&amp;M_Lista!G21,M_FactoresComplement!$F$15:$I$434,3,FALSE)/(10^3)))</f>
        <v>0</v>
      </c>
      <c r="H17" s="551">
        <f>SUMIFS(M_Datos!$P$56:$P$58,M_Datos!$Q$56:$Q$58,M_Lista!G21)</f>
        <v>0</v>
      </c>
      <c r="I17" s="312">
        <f>IF(AND(M_FactoresComplement!$G$6="No",M_FactoresComplement!$G$8="No"),M_Cálculos!H17*M_Factores!$D$213/(10^3),IF(AND(M_FactoresComplement!$G$6="Sí",M_FactoresComplement!$G$8="No"),H17*M_FactoresComplement!$G$43/(10^3),H17*VLOOKUP(M_FactoresComplement!$C$43&amp;M_Datos!$E$12&amp;M_Lista!G21,M_FactoresComplement!$F$15:$I$434,2,FALSE)/(10^3)))</f>
        <v>0</v>
      </c>
      <c r="J17" s="313">
        <f>IF(AND(M_FactoresComplement!$G$6="No",M_FactoresComplement!$G$8="No"),M_Cálculos!H17*M_Factores!$E$213/(10^3),IF(AND(M_FactoresComplement!$G$6="Sí",M_FactoresComplement!$G$8="No"),H17*M_FactoresComplement!$H$43/(10^3),H17*VLOOKUP(M_FactoresComplement!$C$43&amp;M_Datos!$E$12&amp;M_Lista!G21,M_FactoresComplement!$F$15:$I$434,3,FALSE)/(10^3)))</f>
        <v>0</v>
      </c>
      <c r="K17" s="551">
        <f>SUMIFS(M_Datos!$R$56:$R$58,M_Datos!$S$56:$S$58,M_Lista!G21)</f>
        <v>0</v>
      </c>
      <c r="L17" s="312">
        <f>IF(AND(M_FactoresComplement!$G$6="No",M_FactoresComplement!$G$8="No"),M_Cálculos!K17*M_Factores!$D$213/(10^3),IF(AND(M_FactoresComplement!$G$6="Sí",M_FactoresComplement!$G$8="No"),K17*M_FactoresComplement!$G$43/(10^3),K17*VLOOKUP(M_FactoresComplement!$C$43&amp;M_Datos!$E$12&amp;M_Lista!G21,M_FactoresComplement!$F$15:$I$434,2,FALSE)/(10^3)))</f>
        <v>0</v>
      </c>
      <c r="M17" s="313">
        <f>IF(AND(M_FactoresComplement!$G$6="No",M_FactoresComplement!$G$8="No"),M_Cálculos!K17*M_Factores!$E$213/(10^3),IF(AND(M_FactoresComplement!$G$6="Sí",M_FactoresComplement!$G$8="No"),K17*M_FactoresComplement!$H$43/(10^3),K17*VLOOKUP(M_FactoresComplement!$C$43&amp;M_Datos!$E$12&amp;M_Lista!G21,M_FactoresComplement!$F$15:$I$434,3,FALSE)/(10^3)))</f>
        <v>0</v>
      </c>
      <c r="N17" s="551">
        <f>SUMIFS(M_Datos!$T$56:$T$58,M_Datos!$U$56:$U$58,M_Lista!G21)</f>
        <v>0</v>
      </c>
      <c r="O17" s="312">
        <f>IF(AND(M_FactoresComplement!$G$6="No",M_FactoresComplement!$G$8="No"),M_Cálculos!N17*M_Factores!$D$213/(10^3),IF(AND(M_FactoresComplement!$G$6="Sí",M_FactoresComplement!$G$8="No"),N17*M_FactoresComplement!$G$43/(10^3),N17*VLOOKUP(M_FactoresComplement!$C$43&amp;M_Datos!$E$12&amp;M_Lista!G21,M_FactoresComplement!$F$15:$I$434,2,FALSE)/(10^3)))</f>
        <v>0</v>
      </c>
      <c r="P17" s="313">
        <f>IF(AND(M_FactoresComplement!$G$6="No",M_FactoresComplement!$G$8="No"),M_Cálculos!N17*M_Factores!$D$213/(10^3),IF(AND(M_FactoresComplement!$G$6="Sí",M_FactoresComplement!$G$8="No"),N17*M_FactoresComplement!$H$43/(10^3),N17*VLOOKUP(M_FactoresComplement!$C$43&amp;M_Datos!$E$12&amp;M_Lista!G21,M_FactoresComplement!$F$15:$I$434,3,FALSE)/(10^3)))</f>
        <v>0</v>
      </c>
      <c r="Q17" s="551">
        <f>SUMIFS(M_Datos!$V$56:$V$58,M_Datos!$W$56:$W$58,M_Lista!G21)</f>
        <v>0</v>
      </c>
      <c r="R17" s="312">
        <f>IF(AND(M_FactoresComplement!$G$6="No",M_FactoresComplement!$G$8="No"),M_Cálculos!Q17*M_Factores!$D$213/(10^3),IF(AND(M_FactoresComplement!$G$6="Sí",M_FactoresComplement!$G$8="No"),Q17*M_FactoresComplement!$G$43/(10^3),Q17*VLOOKUP(M_FactoresComplement!$C$43&amp;M_Datos!$E$12&amp;M_Lista!G21,M_FactoresComplement!$F$15:$I$434,2,FALSE)/(10^3)))</f>
        <v>0</v>
      </c>
      <c r="S17" s="313">
        <f>IF(AND(M_FactoresComplement!$G$6="No",M_FactoresComplement!$G$8="No"),M_Cálculos!Q17*M_Factores!$D$213/(10^3),IF(AND(M_FactoresComplement!$G$6="Sí",M_FactoresComplement!$G$8="No"),Q17*M_FactoresComplement!$H$43/(10^3),Q17*VLOOKUP(M_FactoresComplement!$C$43&amp;M_Datos!$E$12&amp;M_Lista!G21,M_FactoresComplement!$F$15:$I$434,3,FALSE)/(10^3)))</f>
        <v>0</v>
      </c>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row>
    <row r="18" spans="1:841" ht="14.4">
      <c r="A18" s="203" t="str">
        <f>IF(Idioma=Castellano,"Sección de Adaptación",IF(Idioma=Valencià,"Secció d'Adaptació","Sección de Adaptación"))</f>
        <v>Sección de Adaptación</v>
      </c>
      <c r="B18" s="11"/>
      <c r="C18" s="657"/>
      <c r="D18" s="289" t="s">
        <v>629</v>
      </c>
      <c r="E18" s="551">
        <f>SUMIFS(M_Datos!$N$56:$N$58,M_Datos!$O$56:$O$58,M_Lista!G22)</f>
        <v>0</v>
      </c>
      <c r="F18" s="312">
        <f>IF(AND(M_FactoresComplement!$G$6="No",M_FactoresComplement!$G$8="No"),M_Cálculos!E18*M_Factores!$D$213/(10^3),IF(AND(M_FactoresComplement!$G$6="Sí",M_FactoresComplement!$G$8="No"),E18*M_FactoresComplement!$G48/(10^3),E18*VLOOKUP(M_FactoresComplement!$C$43&amp;M_Datos!$E$12&amp;M_Lista!G22,M_FactoresComplement!$F$15:$I$434,2,FALSE)/(10^3)))</f>
        <v>0</v>
      </c>
      <c r="G18" s="313">
        <f>IF(AND(M_FactoresComplement!$G$6="No",M_FactoresComplement!$G$8="No"),M_Cálculos!E18*M_Factores!$E$213/(10^3),IF(AND(M_FactoresComplement!$G$6="Sí",M_FactoresComplement!$G$8="No"),E18*M_FactoresComplement!$H$43/(10^3),E18*VLOOKUP(M_FactoresComplement!$C$43&amp;M_Datos!$E$12&amp;M_Lista!G22,M_FactoresComplement!$F$15:$I$434,3,FALSE)/(10^3)))</f>
        <v>0</v>
      </c>
      <c r="H18" s="551">
        <f>SUMIFS(M_Datos!$P$56:$P$58,M_Datos!$Q$56:$Q$58,M_Lista!G22)</f>
        <v>0</v>
      </c>
      <c r="I18" s="312">
        <f>IF(AND(M_FactoresComplement!$G$6="No",M_FactoresComplement!$G$8="No"),M_Cálculos!H18*M_Factores!$D$213/(10^3),IF(AND(M_FactoresComplement!$G$6="Sí",M_FactoresComplement!$G$8="No"),H18*M_FactoresComplement!$G$43/(10^3),H18*VLOOKUP(M_FactoresComplement!$C$43&amp;M_Datos!$E$12&amp;M_Lista!G22,M_FactoresComplement!$F$15:$I$434,2,FALSE)/(10^3)))</f>
        <v>0</v>
      </c>
      <c r="J18" s="313">
        <f>IF(AND(M_FactoresComplement!$G$6="No",M_FactoresComplement!$G$8="No"),M_Cálculos!H18*M_Factores!$E$213/(10^3),IF(AND(M_FactoresComplement!$G$6="Sí",M_FactoresComplement!$G$8="No"),H18*M_FactoresComplement!$H$43/(10^3),H18*VLOOKUP(M_FactoresComplement!$C$43&amp;M_Datos!$E$12&amp;M_Lista!G22,M_FactoresComplement!$F$15:$I$434,3,FALSE)/(10^3)))</f>
        <v>0</v>
      </c>
      <c r="K18" s="551">
        <f>SUMIFS(M_Datos!$R$56:$R$58,M_Datos!$S$56:$S$58,M_Lista!G22)</f>
        <v>0</v>
      </c>
      <c r="L18" s="312">
        <f>IF(AND(M_FactoresComplement!$G$6="No",M_FactoresComplement!$G$8="No"),M_Cálculos!K18*M_Factores!$D$213/(10^3),IF(AND(M_FactoresComplement!$G$6="Sí",M_FactoresComplement!$G$8="No"),K18*M_FactoresComplement!$G$43/(10^3),K18*VLOOKUP(M_FactoresComplement!$C$43&amp;M_Datos!$E$12&amp;M_Lista!G22,M_FactoresComplement!$F$15:$I$434,2,FALSE)/(10^3)))</f>
        <v>0</v>
      </c>
      <c r="M18" s="313">
        <f>IF(AND(M_FactoresComplement!$G$6="No",M_FactoresComplement!$G$8="No"),M_Cálculos!K18*M_Factores!$E$213/(10^3),IF(AND(M_FactoresComplement!$G$6="Sí",M_FactoresComplement!$G$8="No"),K18*M_FactoresComplement!$H$43/(10^3),K18*VLOOKUP(M_FactoresComplement!$C$43&amp;M_Datos!$E$12&amp;M_Lista!G22,M_FactoresComplement!$F$15:$I$434,3,FALSE)/(10^3)))</f>
        <v>0</v>
      </c>
      <c r="N18" s="551">
        <f>SUMIFS(M_Datos!$T$56:$T$58,M_Datos!$U$56:$U$58,M_Lista!G22)</f>
        <v>0</v>
      </c>
      <c r="O18" s="312">
        <f>IF(AND(M_FactoresComplement!$G$6="No",M_FactoresComplement!$G$8="No"),M_Cálculos!N18*M_Factores!$D$213/(10^3),IF(AND(M_FactoresComplement!$G$6="Sí",M_FactoresComplement!$G$8="No"),N18*M_FactoresComplement!$G$43/(10^3),N18*VLOOKUP(M_FactoresComplement!$C$43&amp;M_Datos!$E$12&amp;M_Lista!G22,M_FactoresComplement!$F$15:$I$434,2,FALSE)/(10^3)))</f>
        <v>0</v>
      </c>
      <c r="P18" s="313">
        <f>IF(AND(M_FactoresComplement!$G$6="No",M_FactoresComplement!$G$8="No"),M_Cálculos!N18*M_Factores!$D$213/(10^3),IF(AND(M_FactoresComplement!$G$6="Sí",M_FactoresComplement!$G$8="No"),N18*M_FactoresComplement!$H$43/(10^3),N18*VLOOKUP(M_FactoresComplement!$C$43&amp;M_Datos!$E$12&amp;M_Lista!G22,M_FactoresComplement!$F$15:$I$434,3,FALSE)/(10^3)))</f>
        <v>0</v>
      </c>
      <c r="Q18" s="551">
        <f>SUMIFS(M_Datos!$V$56:$V$58,M_Datos!$W$56:$W$58,M_Lista!G22)</f>
        <v>0</v>
      </c>
      <c r="R18" s="312">
        <f>IF(AND(M_FactoresComplement!$G$6="No",M_FactoresComplement!$G$8="No"),M_Cálculos!Q18*M_Factores!$D$213/(10^3),IF(AND(M_FactoresComplement!$G$6="Sí",M_FactoresComplement!$G$8="No"),Q18*M_FactoresComplement!$G$43/(10^3),Q18*VLOOKUP(M_FactoresComplement!$C$43&amp;M_Datos!$E$12&amp;M_Lista!G22,M_FactoresComplement!$F$15:$I$434,2,FALSE)/(10^3)))</f>
        <v>0</v>
      </c>
      <c r="S18" s="313">
        <f>IF(AND(M_FactoresComplement!$G$6="No",M_FactoresComplement!$G$8="No"),M_Cálculos!Q18*M_Factores!$D$213/(10^3),IF(AND(M_FactoresComplement!$G$6="Sí",M_FactoresComplement!$G$8="No"),Q18*M_FactoresComplement!$H$43/(10^3),Q18*VLOOKUP(M_FactoresComplement!$C$43&amp;M_Datos!$E$12&amp;M_Lista!G22,M_FactoresComplement!$F$15:$I$434,3,FALSE)/(10^3)))</f>
        <v>0</v>
      </c>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row>
    <row r="19" spans="1:841" ht="14.4">
      <c r="A19" s="203"/>
      <c r="B19" s="11"/>
      <c r="C19" s="657"/>
      <c r="D19" s="289" t="str">
        <f>IF(Idioma=Castellano,"Consumo nulo",IF(Idioma=Valencià,"Consum nul","Consumo nulo"))</f>
        <v>Consumo nulo</v>
      </c>
      <c r="E19" s="551">
        <f>SUMIFS(M_Datos!$N$56:$N$58,M_Datos!$O$56:$O$58,M_Lista!G23)</f>
        <v>0</v>
      </c>
      <c r="F19" s="312">
        <f>IF(AND(M_FactoresComplement!$G$6="No",M_FactoresComplement!$G$8="No"),M_Cálculos!E19*M_Factores!$D$213/(10^3),IF(AND(M_FactoresComplement!$G$6="Sí",M_FactoresComplement!$G$8="No"),E19*M_FactoresComplement!$G49/(10^3),E19*VLOOKUP(M_FactoresComplement!$C$43&amp;M_Datos!$E$12&amp;M_Lista!G23,M_FactoresComplement!$F$15:$I$434,2,FALSE)/(10^3)))</f>
        <v>0</v>
      </c>
      <c r="G19" s="313">
        <f>IF(AND(M_FactoresComplement!$G$6="No",M_FactoresComplement!$G$8="No"),M_Cálculos!E19*M_Factores!$E$213/(10^3),IF(AND(M_FactoresComplement!$G$6="Sí",M_FactoresComplement!$G$8="No"),E19*M_FactoresComplement!$H$43/(10^3),E19*VLOOKUP(M_FactoresComplement!$C$43&amp;M_Datos!$E$12&amp;M_Lista!G23,M_FactoresComplement!$F$15:$I$434,3,FALSE)/(10^3)))</f>
        <v>0</v>
      </c>
      <c r="H19" s="551">
        <f>SUMIFS(M_Datos!$P$56:$P$58,M_Datos!$Q$56:$Q$58,M_Lista!G23)</f>
        <v>0</v>
      </c>
      <c r="I19" s="312">
        <f>IF(AND(M_FactoresComplement!$G$6="No",M_FactoresComplement!$G$8="No"),M_Cálculos!H19*M_Factores!$D$213/(10^3),IF(AND(M_FactoresComplement!$G$6="Sí",M_FactoresComplement!$G$8="No"),H19*M_FactoresComplement!$G$43/(10^3),H19*VLOOKUP(M_FactoresComplement!$C$43&amp;M_Datos!$E$12&amp;M_Lista!G23,M_FactoresComplement!$F$15:$I$434,2,FALSE)/(10^3)))</f>
        <v>0</v>
      </c>
      <c r="J19" s="313">
        <f>IF(AND(M_FactoresComplement!$G$6="No",M_FactoresComplement!$G$8="No"),M_Cálculos!H19*M_Factores!$E$213/(10^3),IF(AND(M_FactoresComplement!$G$6="Sí",M_FactoresComplement!$G$8="No"),H19*M_FactoresComplement!$H$43/(10^3),H19*VLOOKUP(M_FactoresComplement!$C$43&amp;M_Datos!$E$12&amp;M_Lista!G23,M_FactoresComplement!$F$15:$I$434,3,FALSE)/(10^3)))</f>
        <v>0</v>
      </c>
      <c r="K19" s="551">
        <f>SUMIFS(M_Datos!$R$56:$R$58,M_Datos!$S$56:$S$58,M_Lista!G23)</f>
        <v>0</v>
      </c>
      <c r="L19" s="312">
        <f>IF(AND(M_FactoresComplement!$G$6="No",M_FactoresComplement!$G$8="No"),M_Cálculos!K19*M_Factores!$D$213/(10^3),IF(AND(M_FactoresComplement!$G$6="Sí",M_FactoresComplement!$G$8="No"),K19*M_FactoresComplement!$G$43/(10^3),K19*VLOOKUP(M_FactoresComplement!$C$43&amp;M_Datos!$E$12&amp;M_Lista!G23,M_FactoresComplement!$F$15:$I$434,2,FALSE)/(10^3)))</f>
        <v>0</v>
      </c>
      <c r="M19" s="313">
        <f>IF(AND(M_FactoresComplement!$G$6="No",M_FactoresComplement!$G$8="No"),M_Cálculos!K19*M_Factores!$E$213/(10^3),IF(AND(M_FactoresComplement!$G$6="Sí",M_FactoresComplement!$G$8="No"),K19*M_FactoresComplement!$H$43/(10^3),K19*VLOOKUP(M_FactoresComplement!$C$43&amp;M_Datos!$E$12&amp;M_Lista!G23,M_FactoresComplement!$F$15:$I$434,3,FALSE)/(10^3)))</f>
        <v>0</v>
      </c>
      <c r="N19" s="551">
        <f>SUMIFS(M_Datos!$T$56:$T$58,M_Datos!$U$56:$U$58,M_Lista!G23)</f>
        <v>0</v>
      </c>
      <c r="O19" s="312">
        <f>IF(AND(M_FactoresComplement!$G$6="No",M_FactoresComplement!$G$8="No"),M_Cálculos!N19*M_Factores!$D$213/(10^3),IF(AND(M_FactoresComplement!$G$6="Sí",M_FactoresComplement!$G$8="No"),N19*M_FactoresComplement!$G$43/(10^3),N19*VLOOKUP(M_FactoresComplement!$C$43&amp;M_Datos!$E$12&amp;M_Lista!G23,M_FactoresComplement!$F$15:$I$434,2,FALSE)/(10^3)))</f>
        <v>0</v>
      </c>
      <c r="P19" s="313">
        <f>IF(AND(M_FactoresComplement!$G$6="No",M_FactoresComplement!$G$8="No"),M_Cálculos!N19*M_Factores!$D$213/(10^3),IF(AND(M_FactoresComplement!$G$6="Sí",M_FactoresComplement!$G$8="No"),N19*M_FactoresComplement!$H$43/(10^3),N19*VLOOKUP(M_FactoresComplement!$C$43&amp;M_Datos!$E$12&amp;M_Lista!G23,M_FactoresComplement!$F$15:$I$434,3,FALSE)/(10^3)))</f>
        <v>0</v>
      </c>
      <c r="Q19" s="551">
        <f>SUMIFS(M_Datos!$V$56:$V$58,M_Datos!$W$56:$W$58,M_Lista!G23)</f>
        <v>0</v>
      </c>
      <c r="R19" s="312">
        <f>IF(AND(M_FactoresComplement!$G$6="No",M_FactoresComplement!$G$8="No"),M_Cálculos!Q19*M_Factores!$D$213/(10^3),IF(AND(M_FactoresComplement!$G$6="Sí",M_FactoresComplement!$G$8="No"),Q19*M_FactoresComplement!$G$43/(10^3),Q19*VLOOKUP(M_FactoresComplement!$C$43&amp;M_Datos!$E$12&amp;M_Lista!G23,M_FactoresComplement!$F$15:$I$434,2,FALSE)/(10^3)))</f>
        <v>0</v>
      </c>
      <c r="S19" s="313">
        <f>IF(AND(M_FactoresComplement!$G$6="No",M_FactoresComplement!$G$8="No"),M_Cálculos!Q19*M_Factores!$D$213/(10^3),IF(AND(M_FactoresComplement!$G$6="Sí",M_FactoresComplement!$G$8="No"),Q19*M_FactoresComplement!$H$43/(10^3),Q19*VLOOKUP(M_FactoresComplement!$C$43&amp;M_Datos!$E$12&amp;M_Lista!G23,M_FactoresComplement!$F$15:$I$434,3,FALSE)/(10^3)))</f>
        <v>0</v>
      </c>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row>
    <row r="20" spans="1:841" ht="14.4">
      <c r="A20" s="204" t="s">
        <v>6</v>
      </c>
      <c r="B20" s="11"/>
      <c r="C20" s="657"/>
      <c r="D20" s="289" t="str">
        <f>IF(Idioma=Castellano,"Sin definir",IF(Idioma=Valencià,"Sense definir","Sin definir"))</f>
        <v>Sin definir</v>
      </c>
      <c r="E20" s="551">
        <f>SUMIFS(M_Datos!$N$56:$N$58,M_Datos!$O$56:$O$58,M_Lista!G24)</f>
        <v>0</v>
      </c>
      <c r="F20" s="312">
        <v>0</v>
      </c>
      <c r="G20" s="313">
        <v>0</v>
      </c>
      <c r="H20" s="551">
        <f>SUMIFS(M_Datos!$P$56:$P$58,M_Datos!$Q$56:$Q$58,M_Lista!G24)</f>
        <v>0</v>
      </c>
      <c r="I20" s="312">
        <v>0</v>
      </c>
      <c r="J20" s="313">
        <v>0</v>
      </c>
      <c r="K20" s="551">
        <f>SUMIFS(M_Datos!$R$56:$R$58,M_Datos!$S$56:$S$58,M_Lista!G24)</f>
        <v>0</v>
      </c>
      <c r="L20" s="312">
        <v>0</v>
      </c>
      <c r="M20" s="313">
        <v>0</v>
      </c>
      <c r="N20" s="551">
        <f>SUMIFS(M_Datos!$T$56:$T$58,M_Datos!$U$56:$U$58,M_Lista!G24)</f>
        <v>0</v>
      </c>
      <c r="O20" s="312">
        <v>0</v>
      </c>
      <c r="P20" s="313">
        <v>0</v>
      </c>
      <c r="Q20" s="551">
        <f>SUMIFS(M_Datos!$V$56:$V$58,M_Datos!$W$56:$W$58,M_Lista!G24)</f>
        <v>0</v>
      </c>
      <c r="R20" s="312">
        <v>0</v>
      </c>
      <c r="S20" s="313">
        <v>0</v>
      </c>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row>
    <row r="21" spans="1:841" ht="14.4">
      <c r="A21" s="203" t="str">
        <f>IF(Idioma=Castellano,"Resultados generales",IF(Idioma=Valencià,"Resultats generals","Resultados generales"))</f>
        <v>Resultados generales</v>
      </c>
      <c r="B21" s="11"/>
      <c r="C21" s="657"/>
      <c r="D21" s="315" t="s">
        <v>925</v>
      </c>
      <c r="E21" s="316">
        <f t="shared" ref="E21:S21" si="0">SUM(E13:E20)</f>
        <v>0</v>
      </c>
      <c r="F21" s="316">
        <f t="shared" si="0"/>
        <v>0</v>
      </c>
      <c r="G21" s="316">
        <f t="shared" si="0"/>
        <v>0</v>
      </c>
      <c r="H21" s="316">
        <f t="shared" si="0"/>
        <v>0</v>
      </c>
      <c r="I21" s="316">
        <f t="shared" si="0"/>
        <v>0</v>
      </c>
      <c r="J21" s="316">
        <f t="shared" si="0"/>
        <v>0</v>
      </c>
      <c r="K21" s="316">
        <f t="shared" si="0"/>
        <v>0</v>
      </c>
      <c r="L21" s="316">
        <f t="shared" si="0"/>
        <v>0</v>
      </c>
      <c r="M21" s="316">
        <f t="shared" si="0"/>
        <v>0</v>
      </c>
      <c r="N21" s="316">
        <f t="shared" si="0"/>
        <v>0</v>
      </c>
      <c r="O21" s="316">
        <f t="shared" si="0"/>
        <v>0</v>
      </c>
      <c r="P21" s="316">
        <f t="shared" si="0"/>
        <v>0</v>
      </c>
      <c r="Q21" s="316">
        <f t="shared" si="0"/>
        <v>0</v>
      </c>
      <c r="R21" s="316">
        <f t="shared" si="0"/>
        <v>0</v>
      </c>
      <c r="S21" s="316">
        <f t="shared" si="0"/>
        <v>0</v>
      </c>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row>
    <row r="22" spans="1:841" ht="14.4">
      <c r="A22" s="203" t="str">
        <f>IF(Idioma=Castellano,"Medidas Propuestas",IF(Idioma=Valencià,"Mesures Proposades","Medidas Propuestas"))</f>
        <v>Medidas Propuestas</v>
      </c>
      <c r="B22" s="11"/>
      <c r="C22" s="657" t="str">
        <f>M_Datos!L59</f>
        <v>Oficinas</v>
      </c>
      <c r="D22" s="289" t="s">
        <v>622</v>
      </c>
      <c r="E22" s="488" t="s">
        <v>623</v>
      </c>
      <c r="F22" s="488" t="s">
        <v>948</v>
      </c>
      <c r="G22" s="488" t="s">
        <v>624</v>
      </c>
      <c r="H22" s="488" t="s">
        <v>623</v>
      </c>
      <c r="I22" s="488" t="s">
        <v>948</v>
      </c>
      <c r="J22" s="488" t="s">
        <v>624</v>
      </c>
      <c r="K22" s="488" t="s">
        <v>623</v>
      </c>
      <c r="L22" s="488" t="s">
        <v>948</v>
      </c>
      <c r="M22" s="488" t="s">
        <v>624</v>
      </c>
      <c r="N22" s="488" t="s">
        <v>623</v>
      </c>
      <c r="O22" s="488" t="s">
        <v>948</v>
      </c>
      <c r="P22" s="488" t="s">
        <v>624</v>
      </c>
      <c r="Q22" s="488" t="s">
        <v>623</v>
      </c>
      <c r="R22" s="488" t="s">
        <v>948</v>
      </c>
      <c r="S22" s="488" t="s">
        <v>624</v>
      </c>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row>
    <row r="23" spans="1:841">
      <c r="B23" s="11"/>
      <c r="C23" s="657"/>
      <c r="D23" s="289" t="str">
        <f>IF(Idioma=Castellano,"Existente",IF(Idioma=Valencià,"Existent","Existente"))</f>
        <v>Existente</v>
      </c>
      <c r="E23" s="551">
        <f>SUMIFS(M_Datos!$N$59:$N$61,M_Datos!$O$59:$O$61,M_Lista!G18)</f>
        <v>0</v>
      </c>
      <c r="F23" s="312">
        <f>IF(AND(M_FactoresComplement!$G$6="No",M_FactoresComplement!$G$8="No"),M_Cálculos!E23*M_Factores!$D$213/(10^3),IF(AND(M_FactoresComplement!$G$6="Sí",M_FactoresComplement!$G$8="No"),E23*M_FactoresComplement!G15/(10^3),E23*VLOOKUP(M_FactoresComplement!$C$15&amp;M_Datos!$E$12&amp;M_Lista!G17,M_FactoresComplement!$F$15:$I$434,2,FALSE)/(10^3)))</f>
        <v>0</v>
      </c>
      <c r="G23" s="313">
        <f>IF(AND(M_FactoresComplement!$G$6="No",M_FactoresComplement!$G$8="No"),M_Cálculos!E23*M_Factores!$E$213/(10^3),IF(AND(M_FactoresComplement!$G$6="Sí",M_FactoresComplement!$G$8="No"),E23*M_FactoresComplement!H15/(10^3),E23*VLOOKUP(M_FactoresComplement!$C$15&amp;M_Datos!$E$12&amp;M_Lista!G17,M_FactoresComplement!$F$15:$I$434,3,FALSE)/(10^3)))</f>
        <v>0</v>
      </c>
      <c r="H23" s="551">
        <f>SUMIFS(M_Datos!$P$59:$P$61,M_Datos!$Q$59:$Q$61,M_Lista!J18)</f>
        <v>0</v>
      </c>
      <c r="I23" s="312">
        <f>IF(AND(M_FactoresComplement!$G$6="No",M_FactoresComplement!$G$8="No"),M_Cálculos!H23*M_Factores!$D$213/(10^3),IF(AND(M_FactoresComplement!$G$6="Sí",M_FactoresComplement!$G$8="No"),H23*M_FactoresComplement!G15/(10^3),H23*VLOOKUP(M_FactoresComplement!$C$15&amp;M_Datos!$E$12&amp;M_Lista!G17,M_FactoresComplement!$F$15:$I$434,2,FALSE)/(10^3)))</f>
        <v>0</v>
      </c>
      <c r="J23" s="313">
        <f>IF(AND(M_FactoresComplement!$G$6="No",M_FactoresComplement!$G$8="No"),M_Cálculos!H23*M_Factores!$E$213/(10^3),IF(AND(M_FactoresComplement!$G$6="Sí",M_FactoresComplement!$G$8="No"),H23*M_FactoresComplement!H15/(10^3),H23*VLOOKUP(M_FactoresComplement!$C$15&amp;M_Datos!$E$12&amp;M_Lista!G17,M_FactoresComplement!$F$15:$I$434,3,FALSE)/(10^3)))</f>
        <v>0</v>
      </c>
      <c r="K23" s="551">
        <f>SUMIFS(M_Datos!$R$59:$R$61,M_Datos!$S$59:$S$61,M_Lista!J18)</f>
        <v>0</v>
      </c>
      <c r="L23" s="312">
        <f>IF(AND(M_FactoresComplement!$G$6="No",M_FactoresComplement!$G$8="No"),M_Cálculos!K23*M_Factores!$D$213/(10^3),IF(AND(M_FactoresComplement!$G$6="Sí",M_FactoresComplement!$G$8="No"),K23*M_FactoresComplement!G15/(10^3),K23*VLOOKUP(M_FactoresComplement!$C$15&amp;M_Datos!$E$12&amp;M_Lista!G17,M_FactoresComplement!$F$15:$I$434,2,FALSE)/(10^3)))</f>
        <v>0</v>
      </c>
      <c r="M23" s="313">
        <f>IF(AND(M_FactoresComplement!$G$6="No",M_FactoresComplement!$G$8="No"),M_Cálculos!K23*M_Factores!$E$213/(10^3),IF(AND(M_FactoresComplement!$G$6="Sí",M_FactoresComplement!$G$8="No"),K23*M_FactoresComplement!H15/(10^3),K23*VLOOKUP(M_FactoresComplement!$C$15&amp;M_Datos!$E$12&amp;M_Lista!G17,M_FactoresComplement!$F$15:$I$434,3,FALSE)/(10^3)))</f>
        <v>0</v>
      </c>
      <c r="N23" s="551">
        <f>SUMIFS(M_Datos!$T$59:$T$61,M_Datos!$U$59:$U$61,M_Lista!J18)</f>
        <v>0</v>
      </c>
      <c r="O23" s="312">
        <f>IF(AND(M_FactoresComplement!$G$6="No",M_FactoresComplement!$G$8="No"),M_Cálculos!N23*M_Factores!$D$213/(10^3),IF(AND(M_FactoresComplement!$G$6="Sí",M_FactoresComplement!$G$8="No"),N23*M_FactoresComplement!G15/(10^3),N23*VLOOKUP(M_FactoresComplement!$C$15&amp;M_Datos!$E$12&amp;M_Lista!G17,M_FactoresComplement!$F$15:$I$434,2,FALSE)/(10^3)))</f>
        <v>0</v>
      </c>
      <c r="P23" s="313">
        <f>IF(AND(M_FactoresComplement!$G$6="No",M_FactoresComplement!$G$8="No"),M_Cálculos!N23*M_Factores!$E$213/(10^3),IF(AND(M_FactoresComplement!$G$6="Sí",M_FactoresComplement!$G$8="No"),N23*M_FactoresComplement!H15/(10^3),N23*VLOOKUP(M_FactoresComplement!$C$15&amp;M_Datos!$E$12&amp;M_Lista!G17,M_FactoresComplement!$F$15:$I$434,3,FALSE)/(10^3)))</f>
        <v>0</v>
      </c>
      <c r="Q23" s="551">
        <f>SUMIFS(M_Datos!$V$59:$V$61,M_Datos!$W$59:$W$61,M_Lista!J18)</f>
        <v>0</v>
      </c>
      <c r="R23" s="312">
        <f>IF(AND(M_FactoresComplement!$G$6="No",M_FactoresComplement!$G$8="No"),M_Cálculos!Q23*M_Factores!$D$213/(10^3),IF(AND(M_FactoresComplement!$G$6="Sí",M_FactoresComplement!$G$8="No"),Q23*M_FactoresComplement!G15/(10^3),Q23*VLOOKUP(M_FactoresComplement!$C$15&amp;M_Datos!$E$12&amp;M_Lista!G17,M_FactoresComplement!$F$15:$I$434,2,FALSE)/(10^3)))</f>
        <v>0</v>
      </c>
      <c r="S23" s="313">
        <f>IF(AND(M_FactoresComplement!$G$6="No",M_FactoresComplement!$G$8="No"),M_Cálculos!Q23*M_Factores!$E$213/(10^3),IF(AND(M_FactoresComplement!$G$6="Sí",M_FactoresComplement!$G$8="No"),Q23*M_FactoresComplement!H15/(10^3),Q23*VLOOKUP(M_FactoresComplement!$C$15&amp;M_Datos!$E$12&amp;M_Lista!G17,M_FactoresComplement!$F$15:$I$434,3,FALSE)/(10^3)))</f>
        <v>0</v>
      </c>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row>
    <row r="24" spans="1:841">
      <c r="B24" s="11"/>
      <c r="C24" s="657"/>
      <c r="D24" s="289" t="s">
        <v>625</v>
      </c>
      <c r="E24" s="551">
        <f>SUMIFS(M_Datos!$N$59:$N$61,M_Datos!$O$59:$O$61,M_Lista!G19)</f>
        <v>0</v>
      </c>
      <c r="F24" s="312">
        <f>IF(AND(M_FactoresComplement!$G$6="No",M_FactoresComplement!$G$8="No"),M_Cálculos!E24*M_Factores!$D$213/(10^3),IF(AND(M_FactoresComplement!$G$6="Sí",M_FactoresComplement!$G$8="No"),E24*M_FactoresComplement!G16/(10^3),E24*VLOOKUP(M_FactoresComplement!$C$15&amp;M_Datos!$E$12&amp;M_Lista!G18,M_FactoresComplement!$F$15:$I$434,2,FALSE)/(10^3)))</f>
        <v>0</v>
      </c>
      <c r="G24" s="313">
        <f>IF(AND(M_FactoresComplement!$G$6="No",M_FactoresComplement!$G$8="No"),M_Cálculos!E24*M_Factores!$E$213/(10^3),IF(AND(M_FactoresComplement!$G$6="Sí",M_FactoresComplement!$G$8="No"),E24*M_FactoresComplement!H16/(10^3),E24*VLOOKUP(M_FactoresComplement!$C$15&amp;M_Datos!$E$12&amp;M_Lista!G18,M_FactoresComplement!$F$15:$I$434,3,FALSE)/(10^3)))</f>
        <v>0</v>
      </c>
      <c r="H24" s="551">
        <f>SUMIFS(M_Datos!$P$59:$P$61,M_Datos!$Q$59:$Q$61,M_Lista!J19)</f>
        <v>0</v>
      </c>
      <c r="I24" s="312">
        <f>IF(AND(M_FactoresComplement!$G$6="No",M_FactoresComplement!$G$8="No"),M_Cálculos!H24*M_Factores!$D$213/(10^3),IF(AND(M_FactoresComplement!$G$6="Sí",M_FactoresComplement!$G$8="No"),H24*M_FactoresComplement!G16/(10^3),H24*VLOOKUP(M_FactoresComplement!$C$15&amp;M_Datos!$E$12&amp;M_Lista!G18,M_FactoresComplement!$F$15:$I$434,2,FALSE)/(10^3)))</f>
        <v>0</v>
      </c>
      <c r="J24" s="313">
        <f>IF(AND(M_FactoresComplement!$G$6="No",M_FactoresComplement!$G$8="No"),M_Cálculos!H24*M_Factores!$E$213/(10^3),IF(AND(M_FactoresComplement!$G$6="Sí",M_FactoresComplement!$G$8="No"),H24*M_FactoresComplement!H16/(10^3),H24*VLOOKUP(M_FactoresComplement!$C$15&amp;M_Datos!$E$12&amp;M_Lista!G18,M_FactoresComplement!$F$15:$I$434,3,FALSE)/(10^3)))</f>
        <v>0</v>
      </c>
      <c r="K24" s="551">
        <f>SUMIFS(M_Datos!$R$59:$R$61,M_Datos!$S$59:$S$61,M_Lista!J19)</f>
        <v>0</v>
      </c>
      <c r="L24" s="312">
        <f>IF(AND(M_FactoresComplement!$G$6="No",M_FactoresComplement!$G$8="No"),M_Cálculos!K24*M_Factores!$D$213/(10^3),IF(AND(M_FactoresComplement!$G$6="Sí",M_FactoresComplement!$G$8="No"),K24*M_FactoresComplement!G16/(10^3),K24*VLOOKUP(M_FactoresComplement!$C$15&amp;M_Datos!$E$12&amp;M_Lista!G18,M_FactoresComplement!$F$15:$I$434,2,FALSE)/(10^3)))</f>
        <v>0</v>
      </c>
      <c r="M24" s="313">
        <f>IF(AND(M_FactoresComplement!$G$6="No",M_FactoresComplement!$G$8="No"),M_Cálculos!K24*M_Factores!$E$213/(10^3),IF(AND(M_FactoresComplement!$G$6="Sí",M_FactoresComplement!$G$8="No"),K24*M_FactoresComplement!H16/(10^3),K24*VLOOKUP(M_FactoresComplement!$C$15&amp;M_Datos!$E$12&amp;M_Lista!G18,M_FactoresComplement!$F$15:$I$434,3,FALSE)/(10^3)))</f>
        <v>0</v>
      </c>
      <c r="N24" s="551">
        <f>SUMIFS(M_Datos!$T$59:$T$61,M_Datos!$U$59:$U$61,M_Lista!J19)</f>
        <v>0</v>
      </c>
      <c r="O24" s="312">
        <f>IF(AND(M_FactoresComplement!$G$6="No",M_FactoresComplement!$G$8="No"),M_Cálculos!N24*M_Factores!$D$213/(10^3),IF(AND(M_FactoresComplement!$G$6="Sí",M_FactoresComplement!$G$8="No"),N24*M_FactoresComplement!G16/(10^3),N24*VLOOKUP(M_FactoresComplement!$C$15&amp;M_Datos!$E$12&amp;M_Lista!G18,M_FactoresComplement!$F$15:$I$434,2,FALSE)/(10^3)))</f>
        <v>0</v>
      </c>
      <c r="P24" s="313">
        <f>IF(AND(M_FactoresComplement!$G$6="No",M_FactoresComplement!$G$8="No"),M_Cálculos!N24*M_Factores!$E$213/(10^3),IF(AND(M_FactoresComplement!$G$6="Sí",M_FactoresComplement!$G$8="No"),N24*M_FactoresComplement!H16/(10^3),N24*VLOOKUP(M_FactoresComplement!$C$15&amp;M_Datos!$E$12&amp;M_Lista!G18,M_FactoresComplement!$F$15:$I$434,3,FALSE)/(10^3)))</f>
        <v>0</v>
      </c>
      <c r="Q24" s="551">
        <f>SUMIFS(M_Datos!$V$59:$V$61,M_Datos!$W$59:$W$61,M_Lista!J19)</f>
        <v>0</v>
      </c>
      <c r="R24" s="312">
        <f>IF(AND(M_FactoresComplement!$G$6="No",M_FactoresComplement!$G$8="No"),M_Cálculos!Q24*M_Factores!$D$213/(10^3),IF(AND(M_FactoresComplement!$G$6="Sí",M_FactoresComplement!$G$8="No"),Q24*M_FactoresComplement!G16/(10^3),Q24*VLOOKUP(M_FactoresComplement!$C$15&amp;M_Datos!$E$12&amp;M_Lista!G18,M_FactoresComplement!$F$15:$I$434,2,FALSE)/(10^3)))</f>
        <v>0</v>
      </c>
      <c r="S24" s="313">
        <f>IF(AND(M_FactoresComplement!$G$6="No",M_FactoresComplement!$G$8="No"),M_Cálculos!Q24*M_Factores!$E$213/(10^3),IF(AND(M_FactoresComplement!$G$6="Sí",M_FactoresComplement!$G$8="No"),Q24*M_FactoresComplement!H16/(10^3),Q24*VLOOKUP(M_FactoresComplement!$C$15&amp;M_Datos!$E$12&amp;M_Lista!G18,M_FactoresComplement!$F$15:$I$434,3,FALSE)/(10^3)))</f>
        <v>0</v>
      </c>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row>
    <row r="25" spans="1:841">
      <c r="B25" s="11"/>
      <c r="C25" s="657"/>
      <c r="D25" s="289" t="s">
        <v>626</v>
      </c>
      <c r="E25" s="551">
        <f>SUMIFS(M_Datos!$N$59:$N$61,M_Datos!$O$59:$O$61,M_Lista!G20)</f>
        <v>0</v>
      </c>
      <c r="F25" s="312">
        <f>IF(AND(M_FactoresComplement!$G$6="No",M_FactoresComplement!$G$8="No"),M_Cálculos!E25*M_Factores!$D$213/(10^3),IF(AND(M_FactoresComplement!$G$6="Sí",M_FactoresComplement!$G$8="No"),E25*M_FactoresComplement!G17/(10^3),E25*VLOOKUP(M_FactoresComplement!$C$15&amp;M_Datos!$E$12&amp;M_Lista!G19,M_FactoresComplement!$F$15:$I$434,2,FALSE)/(10^3)))</f>
        <v>0</v>
      </c>
      <c r="G25" s="313">
        <f>IF(AND(M_FactoresComplement!$G$6="No",M_FactoresComplement!$G$8="No"),M_Cálculos!E25*M_Factores!$E$213/(10^3),IF(AND(M_FactoresComplement!$G$6="Sí",M_FactoresComplement!$G$8="No"),E25*M_FactoresComplement!H17/(10^3),E25*VLOOKUP(M_FactoresComplement!$C$15&amp;M_Datos!$E$12&amp;M_Lista!G19,M_FactoresComplement!$F$15:$I$434,3,FALSE)/(10^3)))</f>
        <v>0</v>
      </c>
      <c r="H25" s="551">
        <f>SUMIFS(M_Datos!$P$59:$P$61,M_Datos!$Q$59:$Q$61,M_Lista!J20)</f>
        <v>0</v>
      </c>
      <c r="I25" s="312">
        <f>IF(AND(M_FactoresComplement!$G$6="No",M_FactoresComplement!$G$8="No"),M_Cálculos!H25*M_Factores!$D$213/(10^3),IF(AND(M_FactoresComplement!$G$6="Sí",M_FactoresComplement!$G$8="No"),H25*M_FactoresComplement!G17/(10^3),H25*VLOOKUP(M_FactoresComplement!$C$15&amp;M_Datos!$E$12&amp;M_Lista!G19,M_FactoresComplement!$F$15:$I$434,2,FALSE)/(10^3)))</f>
        <v>0</v>
      </c>
      <c r="J25" s="313">
        <f>IF(AND(M_FactoresComplement!$G$6="No",M_FactoresComplement!$G$8="No"),M_Cálculos!H25*M_Factores!$E$213/(10^3),IF(AND(M_FactoresComplement!$G$6="Sí",M_FactoresComplement!$G$8="No"),H25*M_FactoresComplement!H17/(10^3),H25*VLOOKUP(M_FactoresComplement!$C$15&amp;M_Datos!$E$12&amp;M_Lista!G19,M_FactoresComplement!$F$15:$I$434,3,FALSE)/(10^3)))</f>
        <v>0</v>
      </c>
      <c r="K25" s="551">
        <f>SUMIFS(M_Datos!$R$59:$R$61,M_Datos!$S$59:$S$61,M_Lista!J20)</f>
        <v>0</v>
      </c>
      <c r="L25" s="312">
        <f>IF(AND(M_FactoresComplement!$G$6="No",M_FactoresComplement!$G$8="No"),M_Cálculos!K25*M_Factores!$D$213/(10^3),IF(AND(M_FactoresComplement!$G$6="Sí",M_FactoresComplement!$G$8="No"),K25*M_FactoresComplement!G17/(10^3),K25*VLOOKUP(M_FactoresComplement!$C$15&amp;M_Datos!$E$12&amp;M_Lista!G19,M_FactoresComplement!$F$15:$I$434,2,FALSE)/(10^3)))</f>
        <v>0</v>
      </c>
      <c r="M25" s="313">
        <f>IF(AND(M_FactoresComplement!$G$6="No",M_FactoresComplement!$G$8="No"),M_Cálculos!K25*M_Factores!$E$213/(10^3),IF(AND(M_FactoresComplement!$G$6="Sí",M_FactoresComplement!$G$8="No"),K25*M_FactoresComplement!H17/(10^3),K25*VLOOKUP(M_FactoresComplement!$C$15&amp;M_Datos!$E$12&amp;M_Lista!G19,M_FactoresComplement!$F$15:$I$434,3,FALSE)/(10^3)))</f>
        <v>0</v>
      </c>
      <c r="N25" s="551">
        <f>SUMIFS(M_Datos!$T$59:$T$61,M_Datos!$U$59:$U$61,M_Lista!J20)</f>
        <v>0</v>
      </c>
      <c r="O25" s="312">
        <f>IF(AND(M_FactoresComplement!$G$6="No",M_FactoresComplement!$G$8="No"),M_Cálculos!N25*M_Factores!$D$213/(10^3),IF(AND(M_FactoresComplement!$G$6="Sí",M_FactoresComplement!$G$8="No"),N25*M_FactoresComplement!G17/(10^3),N25*VLOOKUP(M_FactoresComplement!$C$15&amp;M_Datos!$E$12&amp;M_Lista!G19,M_FactoresComplement!$F$15:$I$434,2,FALSE)/(10^3)))</f>
        <v>0</v>
      </c>
      <c r="P25" s="313">
        <f>IF(AND(M_FactoresComplement!$G$6="No",M_FactoresComplement!$G$8="No"),M_Cálculos!N25*M_Factores!$E$213/(10^3),IF(AND(M_FactoresComplement!$G$6="Sí",M_FactoresComplement!$G$8="No"),N25*M_FactoresComplement!H17/(10^3),N25*VLOOKUP(M_FactoresComplement!$C$15&amp;M_Datos!$E$12&amp;M_Lista!G19,M_FactoresComplement!$F$15:$I$434,3,FALSE)/(10^3)))</f>
        <v>0</v>
      </c>
      <c r="Q25" s="551">
        <f>SUMIFS(M_Datos!$V$59:$V$61,M_Datos!$W$59:$W$61,M_Lista!J20)</f>
        <v>0</v>
      </c>
      <c r="R25" s="312">
        <f>IF(AND(M_FactoresComplement!$G$6="No",M_FactoresComplement!$G$8="No"),M_Cálculos!Q25*M_Factores!$D$213/(10^3),IF(AND(M_FactoresComplement!$G$6="Sí",M_FactoresComplement!$G$8="No"),Q25*M_FactoresComplement!G17/(10^3),Q25*VLOOKUP(M_FactoresComplement!$C$15&amp;M_Datos!$E$12&amp;M_Lista!G19,M_FactoresComplement!$F$15:$I$434,2,FALSE)/(10^3)))</f>
        <v>0</v>
      </c>
      <c r="S25" s="313">
        <f>IF(AND(M_FactoresComplement!$G$6="No",M_FactoresComplement!$G$8="No"),M_Cálculos!Q25*M_Factores!$E$213/(10^3),IF(AND(M_FactoresComplement!$G$6="Sí",M_FactoresComplement!$G$8="No"),Q25*M_FactoresComplement!H17/(10^3),Q25*VLOOKUP(M_FactoresComplement!$C$15&amp;M_Datos!$E$12&amp;M_Lista!G19,M_FactoresComplement!$F$15:$I$434,3,FALSE)/(10^3)))</f>
        <v>0</v>
      </c>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row>
    <row r="26" spans="1:841">
      <c r="B26" s="11"/>
      <c r="C26" s="657"/>
      <c r="D26" s="289" t="s">
        <v>627</v>
      </c>
      <c r="E26" s="551">
        <f>SUMIFS(M_Datos!$N$59:$N$61,M_Datos!$O$59:$O$61,M_Lista!G21)</f>
        <v>0</v>
      </c>
      <c r="F26" s="312">
        <f>IF(AND(M_FactoresComplement!$G$6="No",M_FactoresComplement!$G$8="No"),M_Cálculos!E26*M_Factores!$D$213/(10^3),IF(AND(M_FactoresComplement!$G$6="Sí",M_FactoresComplement!$G$8="No"),E26*M_FactoresComplement!G18/(10^3),E26*VLOOKUP(M_FactoresComplement!$C$15&amp;M_Datos!$E$12&amp;M_Lista!G20,M_FactoresComplement!$F$15:$I$434,2,FALSE)/(10^3)))</f>
        <v>0</v>
      </c>
      <c r="G26" s="313">
        <f>IF(AND(M_FactoresComplement!$G$6="No",M_FactoresComplement!$G$8="No"),M_Cálculos!E26*M_Factores!$E$213/(10^3),IF(AND(M_FactoresComplement!$G$6="Sí",M_FactoresComplement!$G$8="No"),E26*M_FactoresComplement!H18/(10^3),E26*VLOOKUP(M_FactoresComplement!$C$15&amp;M_Datos!$E$12&amp;M_Lista!G20,M_FactoresComplement!$F$15:$I$434,3,FALSE)/(10^3)))</f>
        <v>0</v>
      </c>
      <c r="H26" s="551">
        <f>SUMIFS(M_Datos!$P$59:$P$61,M_Datos!$Q$59:$Q$61,M_Lista!J21)</f>
        <v>0</v>
      </c>
      <c r="I26" s="312">
        <f>IF(AND(M_FactoresComplement!$G$6="No",M_FactoresComplement!$G$8="No"),M_Cálculos!H26*M_Factores!$D$213/(10^3),IF(AND(M_FactoresComplement!$G$6="Sí",M_FactoresComplement!$G$8="No"),H26*M_FactoresComplement!G18/(10^3),H26*VLOOKUP(M_FactoresComplement!$C$15&amp;M_Datos!$E$12&amp;M_Lista!G20,M_FactoresComplement!$F$15:$I$434,2,FALSE)/(10^3)))</f>
        <v>0</v>
      </c>
      <c r="J26" s="313">
        <f>IF(AND(M_FactoresComplement!$G$6="No",M_FactoresComplement!$G$8="No"),M_Cálculos!H26*M_Factores!$E$213/(10^3),IF(AND(M_FactoresComplement!$G$6="Sí",M_FactoresComplement!$G$8="No"),H26*M_FactoresComplement!H18/(10^3),H26*VLOOKUP(M_FactoresComplement!$C$15&amp;M_Datos!$E$12&amp;M_Lista!G20,M_FactoresComplement!$F$15:$I$434,3,FALSE)/(10^3)))</f>
        <v>0</v>
      </c>
      <c r="K26" s="551">
        <f>SUMIFS(M_Datos!$R$59:$R$61,M_Datos!$S$59:$S$61,M_Lista!J21)</f>
        <v>0</v>
      </c>
      <c r="L26" s="312">
        <f>IF(AND(M_FactoresComplement!$G$6="No",M_FactoresComplement!$G$8="No"),M_Cálculos!K26*M_Factores!$D$213/(10^3),IF(AND(M_FactoresComplement!$G$6="Sí",M_FactoresComplement!$G$8="No"),K26*M_FactoresComplement!G18/(10^3),K26*VLOOKUP(M_FactoresComplement!$C$15&amp;M_Datos!$E$12&amp;M_Lista!G20,M_FactoresComplement!$F$15:$I$434,2,FALSE)/(10^3)))</f>
        <v>0</v>
      </c>
      <c r="M26" s="313">
        <f>IF(AND(M_FactoresComplement!$G$6="No",M_FactoresComplement!$G$8="No"),M_Cálculos!K26*M_Factores!$E$213/(10^3),IF(AND(M_FactoresComplement!$G$6="Sí",M_FactoresComplement!$G$8="No"),K26*M_FactoresComplement!H18/(10^3),K26*VLOOKUP(M_FactoresComplement!$C$15&amp;M_Datos!$E$12&amp;M_Lista!G20,M_FactoresComplement!$F$15:$I$434,3,FALSE)/(10^3)))</f>
        <v>0</v>
      </c>
      <c r="N26" s="551">
        <f>SUMIFS(M_Datos!$T$59:$T$61,M_Datos!$U$59:$U$61,M_Lista!J21)</f>
        <v>0</v>
      </c>
      <c r="O26" s="312">
        <f>IF(AND(M_FactoresComplement!$G$6="No",M_FactoresComplement!$G$8="No"),M_Cálculos!N26*M_Factores!$D$213/(10^3),IF(AND(M_FactoresComplement!$G$6="Sí",M_FactoresComplement!$G$8="No"),N26*M_FactoresComplement!G18/(10^3),N26*VLOOKUP(M_FactoresComplement!$C$15&amp;M_Datos!$E$12&amp;M_Lista!G20,M_FactoresComplement!$F$15:$I$434,2,FALSE)/(10^3)))</f>
        <v>0</v>
      </c>
      <c r="P26" s="313">
        <f>IF(AND(M_FactoresComplement!$G$6="No",M_FactoresComplement!$G$8="No"),M_Cálculos!N26*M_Factores!$E$213/(10^3),IF(AND(M_FactoresComplement!$G$6="Sí",M_FactoresComplement!$G$8="No"),N26*M_FactoresComplement!H18/(10^3),N26*VLOOKUP(M_FactoresComplement!$C$15&amp;M_Datos!$E$12&amp;M_Lista!G20,M_FactoresComplement!$F$15:$I$434,3,FALSE)/(10^3)))</f>
        <v>0</v>
      </c>
      <c r="Q26" s="551">
        <f>SUMIFS(M_Datos!$V$59:$V$61,M_Datos!$W$59:$W$61,M_Lista!J21)</f>
        <v>0</v>
      </c>
      <c r="R26" s="312">
        <f>IF(AND(M_FactoresComplement!$G$6="No",M_FactoresComplement!$G$8="No"),M_Cálculos!Q26*M_Factores!$D$213/(10^3),IF(AND(M_FactoresComplement!$G$6="Sí",M_FactoresComplement!$G$8="No"),Q26*M_FactoresComplement!G18/(10^3),Q26*VLOOKUP(M_FactoresComplement!$C$15&amp;M_Datos!$E$12&amp;M_Lista!G20,M_FactoresComplement!$F$15:$I$434,2,FALSE)/(10^3)))</f>
        <v>0</v>
      </c>
      <c r="S26" s="313">
        <f>IF(AND(M_FactoresComplement!$G$6="No",M_FactoresComplement!$G$8="No"),M_Cálculos!Q26*M_Factores!$E$213/(10^3),IF(AND(M_FactoresComplement!$G$6="Sí",M_FactoresComplement!$G$8="No"),Q26*M_FactoresComplement!H18/(10^3),Q26*VLOOKUP(M_FactoresComplement!$C$15&amp;M_Datos!$E$12&amp;M_Lista!G20,M_FactoresComplement!$F$15:$I$434,3,FALSE)/(10^3)))</f>
        <v>0</v>
      </c>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row>
    <row r="27" spans="1:841">
      <c r="B27" s="11"/>
      <c r="C27" s="657"/>
      <c r="D27" s="289" t="s">
        <v>628</v>
      </c>
      <c r="E27" s="551">
        <f>SUMIFS(M_Datos!$N$59:$N$61,M_Datos!$O$59:$O$61,M_Lista!G22)</f>
        <v>0</v>
      </c>
      <c r="F27" s="312">
        <f>IF(AND(M_FactoresComplement!$G$6="No",M_FactoresComplement!$G$8="No"),M_Cálculos!E27*M_Factores!$D$213/(10^3),IF(AND(M_FactoresComplement!$G$6="Sí",M_FactoresComplement!$G$8="No"),E27*M_FactoresComplement!G19/(10^3),E27*VLOOKUP(M_FactoresComplement!$C$15&amp;M_Datos!$E$12&amp;M_Lista!G21,M_FactoresComplement!$F$15:$I$434,2,FALSE)/(10^3)))</f>
        <v>0</v>
      </c>
      <c r="G27" s="313">
        <f>IF(AND(M_FactoresComplement!$G$6="No",M_FactoresComplement!$G$8="No"),M_Cálculos!E27*M_Factores!$E$213/(10^3),IF(AND(M_FactoresComplement!$G$6="Sí",M_FactoresComplement!$G$8="No"),E27*M_FactoresComplement!H19/(10^3),E27*VLOOKUP(M_FactoresComplement!$C$15&amp;M_Datos!$E$12&amp;M_Lista!G21,M_FactoresComplement!$F$15:$I$434,3,FALSE)/(10^3)))</f>
        <v>0</v>
      </c>
      <c r="H27" s="551">
        <f>SUMIFS(M_Datos!$P$59:$P$61,M_Datos!$Q$59:$Q$61,M_Lista!J22)</f>
        <v>0</v>
      </c>
      <c r="I27" s="312">
        <f>IF(AND(M_FactoresComplement!$G$6="No",M_FactoresComplement!$G$8="No"),M_Cálculos!H27*M_Factores!$D$213/(10^3),IF(AND(M_FactoresComplement!$G$6="Sí",M_FactoresComplement!$G$8="No"),H27*M_FactoresComplement!G19/(10^3),H27*VLOOKUP(M_FactoresComplement!$C$15&amp;M_Datos!$E$12&amp;M_Lista!G21,M_FactoresComplement!$F$15:$I$434,2,FALSE)/(10^3)))</f>
        <v>0</v>
      </c>
      <c r="J27" s="313">
        <f>IF(AND(M_FactoresComplement!$G$6="No",M_FactoresComplement!$G$8="No"),M_Cálculos!H27*M_Factores!$E$213/(10^3),IF(AND(M_FactoresComplement!$G$6="Sí",M_FactoresComplement!$G$8="No"),H27*M_FactoresComplement!H19/(10^3),H27*VLOOKUP(M_FactoresComplement!$C$15&amp;M_Datos!$E$12&amp;M_Lista!G21,M_FactoresComplement!$F$15:$I$434,3,FALSE)/(10^3)))</f>
        <v>0</v>
      </c>
      <c r="K27" s="551">
        <f>SUMIFS(M_Datos!$R$59:$R$61,M_Datos!$S$59:$S$61,M_Lista!J22)</f>
        <v>0</v>
      </c>
      <c r="L27" s="312">
        <f>IF(AND(M_FactoresComplement!$G$6="No",M_FactoresComplement!$G$8="No"),M_Cálculos!K27*M_Factores!$D$213/(10^3),IF(AND(M_FactoresComplement!$G$6="Sí",M_FactoresComplement!$G$8="No"),K27*M_FactoresComplement!G19/(10^3),K27*VLOOKUP(M_FactoresComplement!$C$15&amp;M_Datos!$E$12&amp;M_Lista!G21,M_FactoresComplement!$F$15:$I$434,2,FALSE)/(10^3)))</f>
        <v>0</v>
      </c>
      <c r="M27" s="313">
        <f>IF(AND(M_FactoresComplement!$G$6="No",M_FactoresComplement!$G$8="No"),M_Cálculos!K27*M_Factores!$E$213/(10^3),IF(AND(M_FactoresComplement!$G$6="Sí",M_FactoresComplement!$G$8="No"),K27*M_FactoresComplement!H19/(10^3),K27*VLOOKUP(M_FactoresComplement!$C$15&amp;M_Datos!$E$12&amp;M_Lista!G21,M_FactoresComplement!$F$15:$I$434,3,FALSE)/(10^3)))</f>
        <v>0</v>
      </c>
      <c r="N27" s="551">
        <f>SUMIFS(M_Datos!$T$59:$T$61,M_Datos!$U$59:$U$61,M_Lista!J22)</f>
        <v>0</v>
      </c>
      <c r="O27" s="312">
        <f>IF(AND(M_FactoresComplement!$G$6="No",M_FactoresComplement!$G$8="No"),M_Cálculos!N27*M_Factores!$D$213/(10^3),IF(AND(M_FactoresComplement!$G$6="Sí",M_FactoresComplement!$G$8="No"),N27*M_FactoresComplement!G19/(10^3),N27*VLOOKUP(M_FactoresComplement!$C$15&amp;M_Datos!$E$12&amp;M_Lista!G21,M_FactoresComplement!$F$15:$I$434,2,FALSE)/(10^3)))</f>
        <v>0</v>
      </c>
      <c r="P27" s="313">
        <f>IF(AND(M_FactoresComplement!$G$6="No",M_FactoresComplement!$G$8="No"),M_Cálculos!N27*M_Factores!$E$213/(10^3),IF(AND(M_FactoresComplement!$G$6="Sí",M_FactoresComplement!$G$8="No"),N27*M_FactoresComplement!H19/(10^3),N27*VLOOKUP(M_FactoresComplement!$C$15&amp;M_Datos!$E$12&amp;M_Lista!G21,M_FactoresComplement!$F$15:$I$434,3,FALSE)/(10^3)))</f>
        <v>0</v>
      </c>
      <c r="Q27" s="551">
        <f>SUMIFS(M_Datos!$V$59:$V$61,M_Datos!$W$59:$W$61,M_Lista!J22)</f>
        <v>0</v>
      </c>
      <c r="R27" s="312">
        <f>IF(AND(M_FactoresComplement!$G$6="No",M_FactoresComplement!$G$8="No"),M_Cálculos!Q27*M_Factores!$D$213/(10^3),IF(AND(M_FactoresComplement!$G$6="Sí",M_FactoresComplement!$G$8="No"),Q27*M_FactoresComplement!G19/(10^3),Q27*VLOOKUP(M_FactoresComplement!$C$15&amp;M_Datos!$E$12&amp;M_Lista!G21,M_FactoresComplement!$F$15:$I$434,2,FALSE)/(10^3)))</f>
        <v>0</v>
      </c>
      <c r="S27" s="313">
        <f>IF(AND(M_FactoresComplement!$G$6="No",M_FactoresComplement!$G$8="No"),M_Cálculos!Q27*M_Factores!$E$213/(10^3),IF(AND(M_FactoresComplement!$G$6="Sí",M_FactoresComplement!$G$8="No"),Q27*M_FactoresComplement!H19/(10^3),Q27*VLOOKUP(M_FactoresComplement!$C$15&amp;M_Datos!$E$12&amp;M_Lista!G21,M_FactoresComplement!$F$15:$I$434,3,FALSE)/(10^3)))</f>
        <v>0</v>
      </c>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row>
    <row r="28" spans="1:841">
      <c r="B28" s="11"/>
      <c r="C28" s="657"/>
      <c r="D28" s="289" t="s">
        <v>629</v>
      </c>
      <c r="E28" s="551">
        <f>SUMIFS(M_Datos!$N$59:$N$61,M_Datos!$O$59:$O$61,M_Lista!G24)</f>
        <v>0</v>
      </c>
      <c r="F28" s="312">
        <f>IF(AND(M_FactoresComplement!$G$6="No",M_FactoresComplement!$G$8="No"),M_Cálculos!E28*M_Factores!$D$213/(10^3),IF(AND(M_FactoresComplement!$G$6="Sí",M_FactoresComplement!$G$8="No"),E28*M_FactoresComplement!G20/(10^3),E28*VLOOKUP(M_FactoresComplement!$C$15&amp;M_Datos!$E$12&amp;M_Lista!G22,M_FactoresComplement!$F$15:$I$434,2,FALSE)/(10^3)))</f>
        <v>0</v>
      </c>
      <c r="G28" s="313">
        <f>IF(AND(M_FactoresComplement!$G$6="No",M_FactoresComplement!$G$8="No"),M_Cálculos!E28*M_Factores!$E$213/(10^3),IF(AND(M_FactoresComplement!$G$6="Sí",M_FactoresComplement!$G$8="No"),E28*M_FactoresComplement!H20/(10^3),E28*VLOOKUP(M_FactoresComplement!$C$15&amp;M_Datos!$E$12&amp;M_Lista!G22,M_FactoresComplement!$F$15:$I$434,3,FALSE)/(10^3)))</f>
        <v>0</v>
      </c>
      <c r="H28" s="551">
        <f>SUMIFS(M_Datos!$P$59:$P$61,M_Datos!$Q$59:$Q$61,M_Lista!J23)</f>
        <v>0</v>
      </c>
      <c r="I28" s="312">
        <f>IF(AND(M_FactoresComplement!$G$6="No",M_FactoresComplement!$G$8="No"),M_Cálculos!H28*M_Factores!$D$213/(10^3),IF(AND(M_FactoresComplement!$G$6="Sí",M_FactoresComplement!$G$8="No"),H28*M_FactoresComplement!G20/(10^3),H28*VLOOKUP(M_FactoresComplement!$C$15&amp;M_Datos!$E$12&amp;M_Lista!G22,M_FactoresComplement!$F$15:$I$434,2,FALSE)/(10^3)))</f>
        <v>0</v>
      </c>
      <c r="J28" s="313">
        <f>IF(AND(M_FactoresComplement!$G$6="No",M_FactoresComplement!$G$8="No"),M_Cálculos!H28*M_Factores!$E$213/(10^3),IF(AND(M_FactoresComplement!$G$6="Sí",M_FactoresComplement!$G$8="No"),H28*M_FactoresComplement!H20/(10^3),H28*VLOOKUP(M_FactoresComplement!$C$15&amp;M_Datos!$E$12&amp;M_Lista!G22,M_FactoresComplement!$F$15:$I$434,3,FALSE)/(10^3)))</f>
        <v>0</v>
      </c>
      <c r="K28" s="551">
        <f>SUMIFS(M_Datos!$R$59:$R$61,M_Datos!$S$59:$S$61,M_Lista!J23)</f>
        <v>0</v>
      </c>
      <c r="L28" s="312">
        <f>IF(AND(M_FactoresComplement!$G$6="No",M_FactoresComplement!$G$8="No"),M_Cálculos!K28*M_Factores!$D$213/(10^3),IF(AND(M_FactoresComplement!$G$6="Sí",M_FactoresComplement!$G$8="No"),K28*M_FactoresComplement!G20/(10^3),K28*VLOOKUP(M_FactoresComplement!$C$15&amp;M_Datos!$E$12&amp;M_Lista!G22,M_FactoresComplement!$F$15:$I$434,2,FALSE)/(10^3)))</f>
        <v>0</v>
      </c>
      <c r="M28" s="313">
        <f>IF(AND(M_FactoresComplement!$G$6="No",M_FactoresComplement!$G$8="No"),M_Cálculos!K28*M_Factores!$E$213/(10^3),IF(AND(M_FactoresComplement!$G$6="Sí",M_FactoresComplement!$G$8="No"),K28*M_FactoresComplement!H20/(10^3),K28*VLOOKUP(M_FactoresComplement!$C$15&amp;M_Datos!$E$12&amp;M_Lista!G22,M_FactoresComplement!$F$15:$I$434,3,FALSE)/(10^3)))</f>
        <v>0</v>
      </c>
      <c r="N28" s="551">
        <f>SUMIFS(M_Datos!$T$59:$T$61,M_Datos!$U$59:$U$61,M_Lista!J23)</f>
        <v>0</v>
      </c>
      <c r="O28" s="312">
        <f>IF(AND(M_FactoresComplement!$G$6="No",M_FactoresComplement!$G$8="No"),M_Cálculos!N28*M_Factores!$D$213/(10^3),IF(AND(M_FactoresComplement!$G$6="Sí",M_FactoresComplement!$G$8="No"),N28*M_FactoresComplement!G20/(10^3),N28*VLOOKUP(M_FactoresComplement!$C$15&amp;M_Datos!$E$12&amp;M_Lista!G22,M_FactoresComplement!$F$15:$I$434,2,FALSE)/(10^3)))</f>
        <v>0</v>
      </c>
      <c r="P28" s="313">
        <f>IF(AND(M_FactoresComplement!$G$6="No",M_FactoresComplement!$G$8="No"),M_Cálculos!N28*M_Factores!$E$213/(10^3),IF(AND(M_FactoresComplement!$G$6="Sí",M_FactoresComplement!$G$8="No"),N28*M_FactoresComplement!H20/(10^3),N28*VLOOKUP(M_FactoresComplement!$C$15&amp;M_Datos!$E$12&amp;M_Lista!G22,M_FactoresComplement!$F$15:$I$434,3,FALSE)/(10^3)))</f>
        <v>0</v>
      </c>
      <c r="Q28" s="551">
        <f>SUMIFS(M_Datos!$V$59:$V$61,M_Datos!$W$59:$W$61,M_Lista!J23)</f>
        <v>0</v>
      </c>
      <c r="R28" s="312">
        <f>IF(AND(M_FactoresComplement!$G$6="No",M_FactoresComplement!$G$8="No"),M_Cálculos!Q28*M_Factores!$D$213/(10^3),IF(AND(M_FactoresComplement!$G$6="Sí",M_FactoresComplement!$G$8="No"),Q28*M_FactoresComplement!G20/(10^3),Q28*VLOOKUP(M_FactoresComplement!$C$15&amp;M_Datos!$E$12&amp;M_Lista!G22,M_FactoresComplement!$F$15:$I$434,2,FALSE)/(10^3)))</f>
        <v>0</v>
      </c>
      <c r="S28" s="313">
        <f>IF(AND(M_FactoresComplement!$G$6="No",M_FactoresComplement!$G$8="No"),M_Cálculos!Q28*M_Factores!$E$213/(10^3),IF(AND(M_FactoresComplement!$G$6="Sí",M_FactoresComplement!$G$8="No"),Q28*M_FactoresComplement!H20/(10^3),Q28*VLOOKUP(M_FactoresComplement!$C$15&amp;M_Datos!$E$12&amp;M_Lista!G22,M_FactoresComplement!$F$15:$I$434,3,FALSE)/(10^3)))</f>
        <v>0</v>
      </c>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row>
    <row r="29" spans="1:841">
      <c r="B29" s="11"/>
      <c r="C29" s="657"/>
      <c r="D29" s="289" t="str">
        <f>IF(Idioma=Castellano,"Consumo nulo",IF(Idioma=Valencià,"Consum nul","Consumo nulo"))</f>
        <v>Consumo nulo</v>
      </c>
      <c r="E29" s="551">
        <f>SUMIFS(M_Datos!$N$59:$N$61,M_Datos!$O$59:$O$61,M_Lista!G23)</f>
        <v>0</v>
      </c>
      <c r="F29" s="312">
        <f>IF(AND(M_FactoresComplement!$G$6="No",M_FactoresComplement!$G$8="No"),M_Cálculos!E29*M_Factores!$D$213/(10^3),IF(AND(M_FactoresComplement!$G$6="Sí",M_FactoresComplement!$G$8="No"),E29*M_FactoresComplement!G21/(10^3),E29*VLOOKUP(M_FactoresComplement!$C$15&amp;M_Datos!$E$12&amp;M_Lista!G23,M_FactoresComplement!$F$15:$I$434,2,FALSE)/(10^3)))</f>
        <v>0</v>
      </c>
      <c r="G29" s="313">
        <f>IF(AND(M_FactoresComplement!$G$6="No",M_FactoresComplement!$G$8="No"),M_Cálculos!E29*M_Factores!$E$213/(10^3),IF(AND(M_FactoresComplement!$G$6="Sí",M_FactoresComplement!$G$8="No"),E29*M_FactoresComplement!H21/(10^3),E29*VLOOKUP(M_FactoresComplement!$C$15&amp;M_Datos!$E$12&amp;M_Lista!G23,M_FactoresComplement!$F$15:$I$434,3,FALSE)/(10^3)))</f>
        <v>0</v>
      </c>
      <c r="H29" s="551">
        <f>SUMIFS(M_Datos!$P$59:$P$61,M_Datos!$Q$59:$Q$61,M_Lista!J24)</f>
        <v>0</v>
      </c>
      <c r="I29" s="312">
        <f>IF(AND(M_FactoresComplement!$G$6="No",M_FactoresComplement!$G$8="No"),M_Cálculos!H29*M_Factores!$D$213/(10^3),IF(AND(M_FactoresComplement!$G$6="Sí",M_FactoresComplement!$G$8="No"),H29*M_FactoresComplement!G21/(10^3),H29*VLOOKUP(M_FactoresComplement!$C$15&amp;M_Datos!$E$12&amp;M_Lista!G23,M_FactoresComplement!$F$15:$I$434,2,FALSE)/(10^3)))</f>
        <v>0</v>
      </c>
      <c r="J29" s="313">
        <f>IF(AND(M_FactoresComplement!$G$6="No",M_FactoresComplement!$G$8="No"),M_Cálculos!H29*M_Factores!$E$213/(10^3),IF(AND(M_FactoresComplement!$G$6="Sí",M_FactoresComplement!$G$8="No"),H29*M_FactoresComplement!H21/(10^3),H29*VLOOKUP(M_FactoresComplement!$C$15&amp;M_Datos!$E$12&amp;M_Lista!G23,M_FactoresComplement!$F$15:$I$434,3,FALSE)/(10^3)))</f>
        <v>0</v>
      </c>
      <c r="K29" s="551">
        <f>SUMIFS(M_Datos!$R$59:$R$61,M_Datos!$S$59:$S$61,M_Lista!J24)</f>
        <v>0</v>
      </c>
      <c r="L29" s="312">
        <f>IF(AND(M_FactoresComplement!$G$6="No",M_FactoresComplement!$G$8="No"),M_Cálculos!K29*M_Factores!$D$213/(10^3),IF(AND(M_FactoresComplement!$G$6="Sí",M_FactoresComplement!$G$8="No"),K29*M_FactoresComplement!G21/(10^3),K29*VLOOKUP(M_FactoresComplement!$C$15&amp;M_Datos!$E$12&amp;M_Lista!G23,M_FactoresComplement!$F$15:$I$434,2,FALSE)/(10^3)))</f>
        <v>0</v>
      </c>
      <c r="M29" s="313">
        <f>IF(AND(M_FactoresComplement!$G$6="No",M_FactoresComplement!$G$8="No"),M_Cálculos!K29*M_Factores!$E$213/(10^3),IF(AND(M_FactoresComplement!$G$6="Sí",M_FactoresComplement!$G$8="No"),K29*M_FactoresComplement!H21/(10^3),K29*VLOOKUP(M_FactoresComplement!$C$15&amp;M_Datos!$E$12&amp;M_Lista!G23,M_FactoresComplement!$F$15:$I$434,3,FALSE)/(10^3)))</f>
        <v>0</v>
      </c>
      <c r="N29" s="551">
        <f>SUMIFS(M_Datos!$T$59:$T$61,M_Datos!$U$59:$U$61,M_Lista!J24)</f>
        <v>0</v>
      </c>
      <c r="O29" s="312">
        <f>IF(AND(M_FactoresComplement!$G$6="No",M_FactoresComplement!$G$8="No"),M_Cálculos!N29*M_Factores!$D$213/(10^3),IF(AND(M_FactoresComplement!$G$6="Sí",M_FactoresComplement!$G$8="No"),N29*M_FactoresComplement!G21/(10^3),N29*VLOOKUP(M_FactoresComplement!$C$15&amp;M_Datos!$E$12&amp;M_Lista!G23,M_FactoresComplement!$F$15:$I$434,2,FALSE)/(10^3)))</f>
        <v>0</v>
      </c>
      <c r="P29" s="313">
        <f>IF(AND(M_FactoresComplement!$G$6="No",M_FactoresComplement!$G$8="No"),M_Cálculos!N29*M_Factores!$E$213/(10^3),IF(AND(M_FactoresComplement!$G$6="Sí",M_FactoresComplement!$G$8="No"),N29*M_FactoresComplement!H21/(10^3),N29*VLOOKUP(M_FactoresComplement!$C$15&amp;M_Datos!$E$12&amp;M_Lista!G23,M_FactoresComplement!$F$15:$I$434,3,FALSE)/(10^3)))</f>
        <v>0</v>
      </c>
      <c r="Q29" s="551">
        <f>SUMIFS(M_Datos!$V$59:$V$61,M_Datos!$W$59:$W$61,M_Lista!J24)</f>
        <v>0</v>
      </c>
      <c r="R29" s="312">
        <f>IF(AND(M_FactoresComplement!$G$6="No",M_FactoresComplement!$G$8="No"),M_Cálculos!Q29*M_Factores!$D$213/(10^3),IF(AND(M_FactoresComplement!$G$6="Sí",M_FactoresComplement!$G$8="No"),Q29*M_FactoresComplement!G21/(10^3),Q29*VLOOKUP(M_FactoresComplement!$C$15&amp;M_Datos!$E$12&amp;M_Lista!G23,M_FactoresComplement!$F$15:$I$434,2,FALSE)/(10^3)))</f>
        <v>0</v>
      </c>
      <c r="S29" s="313">
        <f>IF(AND(M_FactoresComplement!$G$6="No",M_FactoresComplement!$G$8="No"),M_Cálculos!Q29*M_Factores!$E$213/(10^3),IF(AND(M_FactoresComplement!$G$6="Sí",M_FactoresComplement!$G$8="No"),Q29*M_FactoresComplement!H21/(10^3),Q29*VLOOKUP(M_FactoresComplement!$C$15&amp;M_Datos!$E$12&amp;M_Lista!G23,M_FactoresComplement!$F$15:$I$434,3,FALSE)/(10^3)))</f>
        <v>0</v>
      </c>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row>
    <row r="30" spans="1:841">
      <c r="B30" s="11"/>
      <c r="C30" s="657"/>
      <c r="D30" s="289" t="str">
        <f>IF(Idioma=Castellano,"Sin definir",IF(Idioma=Valencià,"Sense definir","Sin definir"))</f>
        <v>Sin definir</v>
      </c>
      <c r="E30" s="551">
        <f>SUMIFS(M_Datos!$N$59:$N$61,M_Datos!$O$59:$O$61,M_Lista!#REF!)</f>
        <v>0</v>
      </c>
      <c r="F30" s="312">
        <v>0</v>
      </c>
      <c r="G30" s="313">
        <v>0</v>
      </c>
      <c r="H30" s="551">
        <f>SUMIFS(M_Datos!$P$59:$P$61,M_Datos!$Q$59:$Q$61,M_Lista!J25)</f>
        <v>0</v>
      </c>
      <c r="I30" s="312">
        <v>0</v>
      </c>
      <c r="J30" s="313">
        <v>0</v>
      </c>
      <c r="K30" s="551">
        <f>SUMIFS(M_Datos!$R$59:$R$61,M_Datos!$S$59:$S$61,M_Lista!J25)</f>
        <v>0</v>
      </c>
      <c r="L30" s="312">
        <v>0</v>
      </c>
      <c r="M30" s="313">
        <v>0</v>
      </c>
      <c r="N30" s="551">
        <f>SUMIFS(M_Datos!$T$59:$T$61,M_Datos!$U$59:$U$61,M_Lista!J25)</f>
        <v>0</v>
      </c>
      <c r="O30" s="312">
        <v>0</v>
      </c>
      <c r="P30" s="313">
        <v>0</v>
      </c>
      <c r="Q30" s="551">
        <f>SUMIFS(M_Datos!$V$59:$V$61,M_Datos!$W$59:$W$61,M_Lista!J25)</f>
        <v>0</v>
      </c>
      <c r="R30" s="312">
        <v>0</v>
      </c>
      <c r="S30" s="313">
        <v>0</v>
      </c>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row>
    <row r="31" spans="1:841">
      <c r="B31" s="11"/>
      <c r="C31" s="657"/>
      <c r="D31" s="315" t="s">
        <v>925</v>
      </c>
      <c r="E31" s="552">
        <f t="shared" ref="E31:M31" si="1">SUM(E23:E30)</f>
        <v>0</v>
      </c>
      <c r="F31" s="314">
        <f t="shared" si="1"/>
        <v>0</v>
      </c>
      <c r="G31" s="317">
        <f t="shared" si="1"/>
        <v>0</v>
      </c>
      <c r="H31" s="552">
        <f t="shared" si="1"/>
        <v>0</v>
      </c>
      <c r="I31" s="314">
        <f t="shared" si="1"/>
        <v>0</v>
      </c>
      <c r="J31" s="317">
        <f t="shared" si="1"/>
        <v>0</v>
      </c>
      <c r="K31" s="552">
        <f t="shared" si="1"/>
        <v>0</v>
      </c>
      <c r="L31" s="314">
        <f t="shared" si="1"/>
        <v>0</v>
      </c>
      <c r="M31" s="317">
        <f t="shared" si="1"/>
        <v>0</v>
      </c>
      <c r="N31" s="551">
        <f>SUMIFS(M_Datos!$T$59:$T$61,M_Datos!$U$59:$U$61,M_Lista!J26)</f>
        <v>0</v>
      </c>
      <c r="O31" s="314">
        <f>SUM(O23:O30)</f>
        <v>0</v>
      </c>
      <c r="P31" s="317">
        <f>SUM(P23:P30)</f>
        <v>0</v>
      </c>
      <c r="Q31" s="552">
        <f>SUM(Q23:Q30)</f>
        <v>0</v>
      </c>
      <c r="R31" s="314">
        <f>SUM(R23:R30)</f>
        <v>0</v>
      </c>
      <c r="S31" s="317">
        <f>SUM(S23:S30)</f>
        <v>0</v>
      </c>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row>
    <row r="32" spans="1:841">
      <c r="B32" s="11"/>
      <c r="C32" s="657" t="str">
        <f>M_Datos!L62</f>
        <v>Comercio</v>
      </c>
      <c r="D32" s="289" t="s">
        <v>622</v>
      </c>
      <c r="E32" s="488" t="s">
        <v>623</v>
      </c>
      <c r="F32" s="488" t="s">
        <v>948</v>
      </c>
      <c r="G32" s="488" t="s">
        <v>624</v>
      </c>
      <c r="H32" s="488" t="s">
        <v>623</v>
      </c>
      <c r="I32" s="488" t="s">
        <v>948</v>
      </c>
      <c r="J32" s="488" t="s">
        <v>624</v>
      </c>
      <c r="K32" s="488" t="s">
        <v>623</v>
      </c>
      <c r="L32" s="488" t="s">
        <v>948</v>
      </c>
      <c r="M32" s="488" t="s">
        <v>624</v>
      </c>
      <c r="N32" s="488" t="s">
        <v>623</v>
      </c>
      <c r="O32" s="488" t="s">
        <v>948</v>
      </c>
      <c r="P32" s="488" t="s">
        <v>624</v>
      </c>
      <c r="Q32" s="488" t="s">
        <v>623</v>
      </c>
      <c r="R32" s="488" t="s">
        <v>948</v>
      </c>
      <c r="S32" s="488" t="s">
        <v>624</v>
      </c>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row>
    <row r="33" spans="2:841">
      <c r="B33" s="11"/>
      <c r="C33" s="657"/>
      <c r="D33" s="289" t="str">
        <f>IF(Idioma=Castellano,"Existente",IF(Idioma=Valencià,"Existent","Existente"))</f>
        <v>Existente</v>
      </c>
      <c r="E33" s="551">
        <f>SUMIFS(M_Datos!$N$62:$N$64,M_Datos!$O$62:$O$64,M_Lista!G18)</f>
        <v>0</v>
      </c>
      <c r="F33" s="312">
        <f>IF(AND(M_FactoresComplement!$G$6="No",M_FactoresComplement!$G$8="No"),M_Cálculos!E33*M_Factores!$D$213/(10^3),IF(AND(M_FactoresComplement!$G$6="Sí",M_FactoresComplement!$G$8="No"),E33*M_FactoresComplement!G22/(10^3),E33*VLOOKUP(M_FactoresComplement!$C$24&amp;M_Datos!$E$12&amp;M_Lista!G17,M_FactoresComplement!$F$15:$I$434,2,FALSE)/(10^3)))</f>
        <v>0</v>
      </c>
      <c r="G33" s="313">
        <f>IF(AND(M_FactoresComplement!$G$6="No",M_FactoresComplement!$G$8="No"),M_Cálculos!E33*M_Factores!$E$213/(10^3),IF(AND(M_FactoresComplement!$G$6="Sí",M_FactoresComplement!$G$8="No"),E33*M_FactoresComplement!H22/(10^3),E33*VLOOKUP(M_FactoresComplement!$C$24&amp;M_Datos!$E$12&amp;M_Lista!G17,M_FactoresComplement!$F$15:$I$434,3,FALSE)/(10^3)))</f>
        <v>0</v>
      </c>
      <c r="H33" s="551">
        <f>SUMIFS(M_Datos!$P$62:$P$64,M_Datos!$Q$62:$Q$64,M_Lista!G18)</f>
        <v>0</v>
      </c>
      <c r="I33" s="312">
        <f>IF(AND(M_FactoresComplement!$G$6="No",M_FactoresComplement!$G$8="No"),M_Cálculos!H33*M_Factores!$D$213/(10^3),IF(AND(M_FactoresComplement!$G$6="Sí",M_FactoresComplement!$G$8="No"),H33*M_FactoresComplement!G22/(10^3),H33*VLOOKUP(M_FactoresComplement!$C$24&amp;M_Datos!$E$12&amp;M_Lista!G17,M_FactoresComplement!$F$15:$I$434,2,FALSE)/(10^3)))</f>
        <v>0</v>
      </c>
      <c r="J33" s="313">
        <f>IF(AND(M_FactoresComplement!$G$6="No",M_FactoresComplement!$G$8="No"),M_Cálculos!H33*M_Factores!$E$213/(10^3),IF(AND(M_FactoresComplement!$G$6="Sí",M_FactoresComplement!$G$8="No"),H33*M_FactoresComplement!H22/(10^3),H33*VLOOKUP(M_FactoresComplement!$C$24&amp;M_Datos!$E$12&amp;M_Lista!G17,M_FactoresComplement!$F$15:$I$434,3,FALSE)/(10^3)))</f>
        <v>0</v>
      </c>
      <c r="K33" s="551">
        <f>SUMIFS(M_Datos!$R$62:$R$64,M_Datos!$S$62:$S$64,M_Lista!G18)</f>
        <v>0</v>
      </c>
      <c r="L33" s="312">
        <f>IF(AND(M_FactoresComplement!$G$6="No",M_FactoresComplement!$G$8="No"),M_Cálculos!K33*M_Factores!$D$213/(10^3),IF(AND(M_FactoresComplement!$G$6="Sí",M_FactoresComplement!$G$8="No"),K33*M_FactoresComplement!G22/(10^3),K33*VLOOKUP(M_FactoresComplement!$C$24&amp;M_Datos!$E$12&amp;M_Lista!G17,M_FactoresComplement!$F$15:$I$434,2,FALSE)/(10^3)))</f>
        <v>0</v>
      </c>
      <c r="M33" s="313">
        <f>IF(AND(M_FactoresComplement!$G$6="No",M_FactoresComplement!$G$8="No"),M_Cálculos!K33*M_Factores!$E$213/(10^3),IF(AND(M_FactoresComplement!$G$6="Sí",M_FactoresComplement!$G$8="No"),K33*M_FactoresComplement!H22/(10^3),K33*VLOOKUP(M_FactoresComplement!$C$24&amp;M_Datos!$E$12&amp;M_Lista!G17,M_FactoresComplement!$F$15:$I$434,3,FALSE)/(10^3)))</f>
        <v>0</v>
      </c>
      <c r="N33" s="551">
        <f>SUMIFS(M_Datos!$T$62:$T$64,M_Datos!$U$62:$U$64,M_Lista!G18)</f>
        <v>0</v>
      </c>
      <c r="O33" s="312">
        <f>IF(AND(M_FactoresComplement!$G$6="No",M_FactoresComplement!$G$8="No"),M_Cálculos!N33*M_Factores!$D$213/(10^3),IF(AND(M_FactoresComplement!$G$6="Sí",M_FactoresComplement!$G$8="No"),N33*M_FactoresComplement!G22/(10^3),N33*VLOOKUP(M_FactoresComplement!$C$24&amp;M_Datos!$E$12&amp;M_Lista!G17,M_FactoresComplement!$F$15:$I$434,2,FALSE)/(10^3)))</f>
        <v>0</v>
      </c>
      <c r="P33" s="313">
        <f>IF(AND(M_FactoresComplement!$G$6="No",M_FactoresComplement!$G$8="No"),M_Cálculos!N33*M_Factores!$E$213/(10^3),IF(AND(M_FactoresComplement!$G$6="Sí",M_FactoresComplement!$G$8="No"),N33*M_FactoresComplement!H22/(10^3),N33*VLOOKUP(M_FactoresComplement!$C$24&amp;M_Datos!$E$12&amp;M_Lista!G17,M_FactoresComplement!$F$15:$I$434,3,FALSE)/(10^3)))</f>
        <v>0</v>
      </c>
      <c r="Q33" s="551">
        <f>SUMIFS(M_Datos!$V$62:$W$64,M_Datos!$V$62:$W$64,M_Lista!G18)</f>
        <v>0</v>
      </c>
      <c r="R33" s="312">
        <f>IF(AND(M_FactoresComplement!$G$6="No",M_FactoresComplement!$G$8="No"),M_Cálculos!Q33*M_Factores!$D$213/(10^3),IF(AND(M_FactoresComplement!$G$6="Sí",M_FactoresComplement!$G$8="No"),Q33*M_FactoresComplement!G22/(10^3),Q33*VLOOKUP(M_FactoresComplement!$C$24&amp;M_Datos!$E$12&amp;M_Lista!G17,M_FactoresComplement!$F$15:$I$434,2,FALSE)/(10^3)))</f>
        <v>0</v>
      </c>
      <c r="S33" s="313">
        <f>IF(AND(M_FactoresComplement!$G$6="No",M_FactoresComplement!$G$8="No"),M_Cálculos!Q33*M_Factores!$E$213/(10^3),IF(AND(M_FactoresComplement!$G$6="Sí",M_FactoresComplement!$G$8="No"),Q33*M_FactoresComplement!H22/(10^3),Q33*VLOOKUP(M_FactoresComplement!$C$24&amp;M_Datos!$E$12&amp;M_Lista!G17,M_FactoresComplement!$F$15:$I$434,3,FALSE)/(10^3)))</f>
        <v>0</v>
      </c>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row>
    <row r="34" spans="2:841">
      <c r="B34" s="11"/>
      <c r="C34" s="657"/>
      <c r="D34" s="289" t="s">
        <v>625</v>
      </c>
      <c r="E34" s="551">
        <f>SUMIFS(M_Datos!$N$62:$N$64,M_Datos!$O$62:$O$64,M_Lista!G19)</f>
        <v>0</v>
      </c>
      <c r="F34" s="312">
        <f>IF(AND(M_FactoresComplement!$G$6="No",M_FactoresComplement!$G$8="No"),M_Cálculos!E34*M_Factores!$D$213/(10^3),IF(AND(M_FactoresComplement!$G$6="Sí",M_FactoresComplement!$G$8="No"),E34*M_FactoresComplement!G23/(10^3),E34*VLOOKUP(M_FactoresComplement!$C$24&amp;M_Datos!$E$12&amp;M_Lista!G18,M_FactoresComplement!$F$15:$I$434,2,FALSE)/(10^3)))</f>
        <v>0</v>
      </c>
      <c r="G34" s="313">
        <f>IF(AND(M_FactoresComplement!$G$6="No",M_FactoresComplement!$G$8="No"),M_Cálculos!E34*M_Factores!$E$213/(10^3),IF(AND(M_FactoresComplement!$G$6="Sí",M_FactoresComplement!$G$8="No"),E34*M_FactoresComplement!H23/(10^3),E34*VLOOKUP(M_FactoresComplement!$C$24&amp;M_Datos!$E$12&amp;M_Lista!G18,M_FactoresComplement!$F$15:$I$434,3,FALSE)/(10^3)))</f>
        <v>0</v>
      </c>
      <c r="H34" s="551">
        <f>SUMIFS(M_Datos!$P$62:$P$64,M_Datos!$Q$62:$Q$64,M_Lista!G19)</f>
        <v>0</v>
      </c>
      <c r="I34" s="312">
        <f>IF(AND(M_FactoresComplement!$G$6="No",M_FactoresComplement!$G$8="No"),M_Cálculos!H34*M_Factores!$D$213/(10^3),IF(AND(M_FactoresComplement!$G$6="Sí",M_FactoresComplement!$G$8="No"),H34*M_FactoresComplement!G23/(10^3),H34*VLOOKUP(M_FactoresComplement!$C$24&amp;M_Datos!$E$12&amp;M_Lista!G18,M_FactoresComplement!$F$15:$I$434,2,FALSE)/(10^3)))</f>
        <v>0</v>
      </c>
      <c r="J34" s="313">
        <f>IF(AND(M_FactoresComplement!$G$6="No",M_FactoresComplement!$G$8="No"),M_Cálculos!H34*M_Factores!$E$213/(10^3),IF(AND(M_FactoresComplement!$G$6="Sí",M_FactoresComplement!$G$8="No"),H34*M_FactoresComplement!H23/(10^3),H34*VLOOKUP(M_FactoresComplement!$C$24&amp;M_Datos!$E$12&amp;M_Lista!G18,M_FactoresComplement!$F$15:$I$434,3,FALSE)/(10^3)))</f>
        <v>0</v>
      </c>
      <c r="K34" s="551">
        <f>SUMIFS(M_Datos!$R$62:$R$64,M_Datos!$S$62:$S$64,M_Lista!G19)</f>
        <v>0</v>
      </c>
      <c r="L34" s="312">
        <f>IF(AND(M_FactoresComplement!$G$6="No",M_FactoresComplement!$G$8="No"),M_Cálculos!K34*M_Factores!$D$213/(10^3),IF(AND(M_FactoresComplement!$G$6="Sí",M_FactoresComplement!$G$8="No"),K34*M_FactoresComplement!G23/(10^3),K34*VLOOKUP(M_FactoresComplement!$C$24&amp;M_Datos!$E$12&amp;M_Lista!G18,M_FactoresComplement!$F$15:$I$434,2,FALSE)/(10^3)))</f>
        <v>0</v>
      </c>
      <c r="M34" s="313">
        <f>IF(AND(M_FactoresComplement!$G$6="No",M_FactoresComplement!$G$8="No"),M_Cálculos!K34*M_Factores!$E$213/(10^3),IF(AND(M_FactoresComplement!$G$6="Sí",M_FactoresComplement!$G$8="No"),K34*M_FactoresComplement!H23/(10^3),K34*VLOOKUP(M_FactoresComplement!$C$24&amp;M_Datos!$E$12&amp;M_Lista!G18,M_FactoresComplement!$F$15:$I$434,3,FALSE)/(10^3)))</f>
        <v>0</v>
      </c>
      <c r="N34" s="551">
        <f>SUMIFS(M_Datos!$T$62:$T$64,M_Datos!$U$62:$U$64,M_Lista!G19)</f>
        <v>0</v>
      </c>
      <c r="O34" s="312">
        <f>IF(AND(M_FactoresComplement!$G$6="No",M_FactoresComplement!$G$8="No"),M_Cálculos!N34*M_Factores!$D$213/(10^3),IF(AND(M_FactoresComplement!$G$6="Sí",M_FactoresComplement!$G$8="No"),N34*M_FactoresComplement!G23/(10^3),N34*VLOOKUP(M_FactoresComplement!$C$24&amp;M_Datos!$E$12&amp;M_Lista!G18,M_FactoresComplement!$F$15:$I$434,2,FALSE)/(10^3)))</f>
        <v>0</v>
      </c>
      <c r="P34" s="313">
        <f>IF(AND(M_FactoresComplement!$G$6="No",M_FactoresComplement!$G$8="No"),M_Cálculos!N34*M_Factores!$E$213/(10^3),IF(AND(M_FactoresComplement!$G$6="Sí",M_FactoresComplement!$G$8="No"),N34*M_FactoresComplement!H23/(10^3),N34*VLOOKUP(M_FactoresComplement!$C$24&amp;M_Datos!$E$12&amp;M_Lista!G18,M_FactoresComplement!$F$15:$I$434,3,FALSE)/(10^3)))</f>
        <v>0</v>
      </c>
      <c r="Q34" s="551">
        <f>SUMIFS(M_Datos!$V$62:$W$64,M_Datos!$V$62:$W$64,M_Lista!G19)</f>
        <v>0</v>
      </c>
      <c r="R34" s="312">
        <f>IF(AND(M_FactoresComplement!$G$6="No",M_FactoresComplement!$G$8="No"),M_Cálculos!Q34*M_Factores!$D$213/(10^3),IF(AND(M_FactoresComplement!$G$6="Sí",M_FactoresComplement!$G$8="No"),Q34*M_FactoresComplement!G23/(10^3),Q34*VLOOKUP(M_FactoresComplement!$C$24&amp;M_Datos!$E$12&amp;M_Lista!G18,M_FactoresComplement!$F$15:$I$434,2,FALSE)/(10^3)))</f>
        <v>0</v>
      </c>
      <c r="S34" s="313">
        <f>IF(AND(M_FactoresComplement!$G$6="No",M_FactoresComplement!$G$8="No"),M_Cálculos!Q34*M_Factores!$E$213/(10^3),IF(AND(M_FactoresComplement!$G$6="Sí",M_FactoresComplement!$G$8="No"),Q34*M_FactoresComplement!H23/(10^3),Q34*VLOOKUP(M_FactoresComplement!$C$24&amp;M_Datos!$E$12&amp;M_Lista!G18,M_FactoresComplement!$F$15:$I$434,3,FALSE)/(10^3)))</f>
        <v>0</v>
      </c>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row>
    <row r="35" spans="2:841">
      <c r="B35" s="11"/>
      <c r="C35" s="657"/>
      <c r="D35" s="289" t="s">
        <v>626</v>
      </c>
      <c r="E35" s="551">
        <f>SUMIFS(M_Datos!$N$62:$N$64,M_Datos!$O$62:$O$64,M_Lista!G20)</f>
        <v>0</v>
      </c>
      <c r="F35" s="312">
        <f>IF(AND(M_FactoresComplement!$G$6="No",M_FactoresComplement!$G$8="No"),M_Cálculos!E35*M_Factores!$D$213/(10^3),IF(AND(M_FactoresComplement!$G$6="Sí",M_FactoresComplement!$G$8="No"),E35*M_FactoresComplement!G24/(10^3),E35*VLOOKUP(M_FactoresComplement!$C$24&amp;M_Datos!$E$12&amp;M_Lista!G19,M_FactoresComplement!$F$15:$I$434,2,FALSE)/(10^3)))</f>
        <v>0</v>
      </c>
      <c r="G35" s="313">
        <f>IF(AND(M_FactoresComplement!$G$6="No",M_FactoresComplement!$G$8="No"),M_Cálculos!E35*M_Factores!$E$213/(10^3),IF(AND(M_FactoresComplement!$G$6="Sí",M_FactoresComplement!$G$8="No"),E35*M_FactoresComplement!H24/(10^3),E35*VLOOKUP(M_FactoresComplement!$C$24&amp;M_Datos!$E$12&amp;M_Lista!G19,M_FactoresComplement!$F$15:$I$434,3,FALSE)/(10^3)))</f>
        <v>0</v>
      </c>
      <c r="H35" s="551">
        <f>SUMIFS(M_Datos!$P$62:$P$64,M_Datos!$Q$62:$Q$64,M_Lista!G20)</f>
        <v>0</v>
      </c>
      <c r="I35" s="312">
        <f>IF(AND(M_FactoresComplement!$G$6="No",M_FactoresComplement!$G$8="No"),M_Cálculos!H35*M_Factores!$D$213/(10^3),IF(AND(M_FactoresComplement!$G$6="Sí",M_FactoresComplement!$G$8="No"),H35*M_FactoresComplement!G24/(10^3),H35*VLOOKUP(M_FactoresComplement!$C$24&amp;M_Datos!$E$12&amp;M_Lista!G19,M_FactoresComplement!$F$15:$I$434,2,FALSE)/(10^3)))</f>
        <v>0</v>
      </c>
      <c r="J35" s="313">
        <f>IF(AND(M_FactoresComplement!$G$6="No",M_FactoresComplement!$G$8="No"),M_Cálculos!H35*M_Factores!$E$213/(10^3),IF(AND(M_FactoresComplement!$G$6="Sí",M_FactoresComplement!$G$8="No"),H35*M_FactoresComplement!H24/(10^3),H35*VLOOKUP(M_FactoresComplement!$C$24&amp;M_Datos!$E$12&amp;M_Lista!G19,M_FactoresComplement!$F$15:$I$434,3,FALSE)/(10^3)))</f>
        <v>0</v>
      </c>
      <c r="K35" s="551">
        <f>SUMIFS(M_Datos!$R$62:$R$64,M_Datos!$S$62:$S$64,M_Lista!G20)</f>
        <v>0</v>
      </c>
      <c r="L35" s="312">
        <f>IF(AND(M_FactoresComplement!$G$6="No",M_FactoresComplement!$G$8="No"),M_Cálculos!K35*M_Factores!$D$213/(10^3),IF(AND(M_FactoresComplement!$G$6="Sí",M_FactoresComplement!$G$8="No"),K35*M_FactoresComplement!G24/(10^3),K35*VLOOKUP(M_FactoresComplement!$C$24&amp;M_Datos!$E$12&amp;M_Lista!G19,M_FactoresComplement!$F$15:$I$434,2,FALSE)/(10^3)))</f>
        <v>0</v>
      </c>
      <c r="M35" s="313">
        <f>IF(AND(M_FactoresComplement!$G$6="No",M_FactoresComplement!$G$8="No"),M_Cálculos!K35*M_Factores!$E$213/(10^3),IF(AND(M_FactoresComplement!$G$6="Sí",M_FactoresComplement!$G$8="No"),K35*M_FactoresComplement!H24/(10^3),K35*VLOOKUP(M_FactoresComplement!$C$24&amp;M_Datos!$E$12&amp;M_Lista!G19,M_FactoresComplement!$F$15:$I$434,3,FALSE)/(10^3)))</f>
        <v>0</v>
      </c>
      <c r="N35" s="551">
        <f>SUMIFS(M_Datos!$T$62:$T$64,M_Datos!$U$62:$U$64,M_Lista!G20)</f>
        <v>0</v>
      </c>
      <c r="O35" s="312">
        <f>IF(AND(M_FactoresComplement!$G$6="No",M_FactoresComplement!$G$8="No"),M_Cálculos!N35*M_Factores!$D$213/(10^3),IF(AND(M_FactoresComplement!$G$6="Sí",M_FactoresComplement!$G$8="No"),N35*M_FactoresComplement!G24/(10^3),N35*VLOOKUP(M_FactoresComplement!$C$24&amp;M_Datos!$E$12&amp;M_Lista!G19,M_FactoresComplement!$F$15:$I$434,2,FALSE)/(10^3)))</f>
        <v>0</v>
      </c>
      <c r="P35" s="313">
        <f>IF(AND(M_FactoresComplement!$G$6="No",M_FactoresComplement!$G$8="No"),M_Cálculos!N35*M_Factores!$E$213/(10^3),IF(AND(M_FactoresComplement!$G$6="Sí",M_FactoresComplement!$G$8="No"),N35*M_FactoresComplement!H24/(10^3),N35*VLOOKUP(M_FactoresComplement!$C$24&amp;M_Datos!$E$12&amp;M_Lista!G19,M_FactoresComplement!$F$15:$I$434,3,FALSE)/(10^3)))</f>
        <v>0</v>
      </c>
      <c r="Q35" s="551">
        <f>SUMIFS(M_Datos!$V$62:$W$64,M_Datos!$V$62:$W$64,M_Lista!G20)</f>
        <v>0</v>
      </c>
      <c r="R35" s="312">
        <f>IF(AND(M_FactoresComplement!$G$6="No",M_FactoresComplement!$G$8="No"),M_Cálculos!Q35*M_Factores!$D$213/(10^3),IF(AND(M_FactoresComplement!$G$6="Sí",M_FactoresComplement!$G$8="No"),Q35*M_FactoresComplement!G24/(10^3),Q35*VLOOKUP(M_FactoresComplement!$C$24&amp;M_Datos!$E$12&amp;M_Lista!G19,M_FactoresComplement!$F$15:$I$434,2,FALSE)/(10^3)))</f>
        <v>0</v>
      </c>
      <c r="S35" s="313">
        <f>IF(AND(M_FactoresComplement!$G$6="No",M_FactoresComplement!$G$8="No"),M_Cálculos!Q35*M_Factores!$E$213/(10^3),IF(AND(M_FactoresComplement!$G$6="Sí",M_FactoresComplement!$G$8="No"),Q35*M_FactoresComplement!H24/(10^3),Q35*VLOOKUP(M_FactoresComplement!$C$24&amp;M_Datos!$E$12&amp;M_Lista!G19,M_FactoresComplement!$F$15:$I$434,3,FALSE)/(10^3)))</f>
        <v>0</v>
      </c>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row>
    <row r="36" spans="2:841">
      <c r="B36" s="11"/>
      <c r="C36" s="657"/>
      <c r="D36" s="289" t="s">
        <v>627</v>
      </c>
      <c r="E36" s="551">
        <f>SUMIFS(M_Datos!$N$62:$N$64,M_Datos!$O$62:$O$64,M_Lista!G21)</f>
        <v>0</v>
      </c>
      <c r="F36" s="312">
        <f>IF(AND(M_FactoresComplement!$G$6="No",M_FactoresComplement!$G$8="No"),M_Cálculos!E36*M_Factores!$D$213/(10^3),IF(AND(M_FactoresComplement!$G$6="Sí",M_FactoresComplement!$G$8="No"),E36*M_FactoresComplement!G25/(10^3),E36*VLOOKUP(M_FactoresComplement!$C$24&amp;M_Datos!$E$12&amp;M_Lista!G20,M_FactoresComplement!$F$15:$I$434,2,FALSE)/(10^3)))</f>
        <v>0</v>
      </c>
      <c r="G36" s="313">
        <f>IF(AND(M_FactoresComplement!$G$6="No",M_FactoresComplement!$G$8="No"),M_Cálculos!E36*M_Factores!$E$213/(10^3),IF(AND(M_FactoresComplement!$G$6="Sí",M_FactoresComplement!$G$8="No"),E36*M_FactoresComplement!H25/(10^3),E36*VLOOKUP(M_FactoresComplement!$C$24&amp;M_Datos!$E$12&amp;M_Lista!G20,M_FactoresComplement!$F$15:$I$434,3,FALSE)/(10^3)))</f>
        <v>0</v>
      </c>
      <c r="H36" s="551">
        <f>SUMIFS(M_Datos!$P$62:$P$64,M_Datos!$Q$62:$Q$64,M_Lista!G21)</f>
        <v>0</v>
      </c>
      <c r="I36" s="312">
        <f>IF(AND(M_FactoresComplement!$G$6="No",M_FactoresComplement!$G$8="No"),M_Cálculos!H36*M_Factores!$D$213/(10^3),IF(AND(M_FactoresComplement!$G$6="Sí",M_FactoresComplement!$G$8="No"),H36*M_FactoresComplement!G25/(10^3),H36*VLOOKUP(M_FactoresComplement!$C$24&amp;M_Datos!$E$12&amp;M_Lista!G20,M_FactoresComplement!$F$15:$I$434,2,FALSE)/(10^3)))</f>
        <v>0</v>
      </c>
      <c r="J36" s="313">
        <f>IF(AND(M_FactoresComplement!$G$6="No",M_FactoresComplement!$G$8="No"),M_Cálculos!H36*M_Factores!$E$213/(10^3),IF(AND(M_FactoresComplement!$G$6="Sí",M_FactoresComplement!$G$8="No"),H36*M_FactoresComplement!H25/(10^3),H36*VLOOKUP(M_FactoresComplement!$C$24&amp;M_Datos!$E$12&amp;M_Lista!G20,M_FactoresComplement!$F$15:$I$434,3,FALSE)/(10^3)))</f>
        <v>0</v>
      </c>
      <c r="K36" s="551">
        <f>SUMIFS(M_Datos!$R$62:$R$64,M_Datos!$S$62:$S$64,M_Lista!G21)</f>
        <v>0</v>
      </c>
      <c r="L36" s="312">
        <f>IF(AND(M_FactoresComplement!$G$6="No",M_FactoresComplement!$G$8="No"),M_Cálculos!K36*M_Factores!$D$213/(10^3),IF(AND(M_FactoresComplement!$G$6="Sí",M_FactoresComplement!$G$8="No"),K36*M_FactoresComplement!G25/(10^3),K36*VLOOKUP(M_FactoresComplement!$C$24&amp;M_Datos!$E$12&amp;M_Lista!G20,M_FactoresComplement!$F$15:$I$434,2,FALSE)/(10^3)))</f>
        <v>0</v>
      </c>
      <c r="M36" s="313">
        <f>IF(AND(M_FactoresComplement!$G$6="No",M_FactoresComplement!$G$8="No"),M_Cálculos!K36*M_Factores!$E$213/(10^3),IF(AND(M_FactoresComplement!$G$6="Sí",M_FactoresComplement!$G$8="No"),K36*M_FactoresComplement!H25/(10^3),K36*VLOOKUP(M_FactoresComplement!$C$24&amp;M_Datos!$E$12&amp;M_Lista!G20,M_FactoresComplement!$F$15:$I$434,3,FALSE)/(10^3)))</f>
        <v>0</v>
      </c>
      <c r="N36" s="551">
        <f>SUMIFS(M_Datos!$T$62:$T$64,M_Datos!$U$62:$U$64,M_Lista!G21)</f>
        <v>0</v>
      </c>
      <c r="O36" s="312">
        <f>IF(AND(M_FactoresComplement!$G$6="No",M_FactoresComplement!$G$8="No"),M_Cálculos!N36*M_Factores!$D$213/(10^3),IF(AND(M_FactoresComplement!$G$6="Sí",M_FactoresComplement!$G$8="No"),N36*M_FactoresComplement!G25/(10^3),N36*VLOOKUP(M_FactoresComplement!$C$24&amp;M_Datos!$E$12&amp;M_Lista!G20,M_FactoresComplement!$F$15:$I$434,2,FALSE)/(10^3)))</f>
        <v>0</v>
      </c>
      <c r="P36" s="313">
        <f>IF(AND(M_FactoresComplement!$G$6="No",M_FactoresComplement!$G$8="No"),M_Cálculos!N36*M_Factores!$E$213/(10^3),IF(AND(M_FactoresComplement!$G$6="Sí",M_FactoresComplement!$G$8="No"),N36*M_FactoresComplement!H25/(10^3),N36*VLOOKUP(M_FactoresComplement!$C$24&amp;M_Datos!$E$12&amp;M_Lista!G20,M_FactoresComplement!$F$15:$I$434,3,FALSE)/(10^3)))</f>
        <v>0</v>
      </c>
      <c r="Q36" s="551">
        <f>SUMIFS(M_Datos!$V$62:$W$64,M_Datos!$V$62:$W$64,M_Lista!G21)</f>
        <v>0</v>
      </c>
      <c r="R36" s="312">
        <f>IF(AND(M_FactoresComplement!$G$6="No",M_FactoresComplement!$G$8="No"),M_Cálculos!Q36*M_Factores!$D$213/(10^3),IF(AND(M_FactoresComplement!$G$6="Sí",M_FactoresComplement!$G$8="No"),Q36*M_FactoresComplement!G25/(10^3),Q36*VLOOKUP(M_FactoresComplement!$C$24&amp;M_Datos!$E$12&amp;M_Lista!G20,M_FactoresComplement!$F$15:$I$434,2,FALSE)/(10^3)))</f>
        <v>0</v>
      </c>
      <c r="S36" s="313">
        <f>IF(AND(M_FactoresComplement!$G$6="No",M_FactoresComplement!$G$8="No"),M_Cálculos!Q36*M_Factores!$E$213/(10^3),IF(AND(M_FactoresComplement!$G$6="Sí",M_FactoresComplement!$G$8="No"),Q36*M_FactoresComplement!H25/(10^3),Q36*VLOOKUP(M_FactoresComplement!$C$24&amp;M_Datos!$E$12&amp;M_Lista!G20,M_FactoresComplement!$F$15:$I$434,3,FALSE)/(10^3)))</f>
        <v>0</v>
      </c>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row>
    <row r="37" spans="2:841">
      <c r="B37" s="11"/>
      <c r="C37" s="657"/>
      <c r="D37" s="289" t="s">
        <v>628</v>
      </c>
      <c r="E37" s="551">
        <f>SUMIFS(M_Datos!$N$62:$N$64,M_Datos!$O$62:$O$64,M_Lista!G22)</f>
        <v>0</v>
      </c>
      <c r="F37" s="312">
        <f>IF(AND(M_FactoresComplement!$G$6="No",M_FactoresComplement!$G$8="No"),M_Cálculos!E37*M_Factores!$D$213/(10^3),IF(AND(M_FactoresComplement!$G$6="Sí",M_FactoresComplement!$G$8="No"),E37*M_FactoresComplement!G26/(10^3),E37*VLOOKUP(M_FactoresComplement!$C$24&amp;M_Datos!$E$12&amp;M_Lista!G21,M_FactoresComplement!$F$15:$I$434,2,FALSE)/(10^3)))</f>
        <v>0</v>
      </c>
      <c r="G37" s="313">
        <f>IF(AND(M_FactoresComplement!$G$6="No",M_FactoresComplement!$G$8="No"),M_Cálculos!E37*M_Factores!$E$213/(10^3),IF(AND(M_FactoresComplement!$G$6="Sí",M_FactoresComplement!$G$8="No"),E37*M_FactoresComplement!H26/(10^3),E37*VLOOKUP(M_FactoresComplement!$C$24&amp;M_Datos!$E$12&amp;M_Lista!G21,M_FactoresComplement!$F$15:$I$434,3,FALSE)/(10^3)))</f>
        <v>0</v>
      </c>
      <c r="H37" s="551">
        <f>SUMIFS(M_Datos!$P$62:$P$64,M_Datos!$Q$62:$Q$64,M_Lista!G22)</f>
        <v>0</v>
      </c>
      <c r="I37" s="312">
        <f>IF(AND(M_FactoresComplement!$G$6="No",M_FactoresComplement!$G$8="No"),M_Cálculos!H37*M_Factores!$D$213/(10^3),IF(AND(M_FactoresComplement!$G$6="Sí",M_FactoresComplement!$G$8="No"),H37*M_FactoresComplement!G26/(10^3),H37*VLOOKUP(M_FactoresComplement!$C$24&amp;M_Datos!$E$12&amp;M_Lista!G21,M_FactoresComplement!$F$15:$I$434,2,FALSE)/(10^3)))</f>
        <v>0</v>
      </c>
      <c r="J37" s="313">
        <f>IF(AND(M_FactoresComplement!$G$6="No",M_FactoresComplement!$G$8="No"),M_Cálculos!H37*M_Factores!$E$213/(10^3),IF(AND(M_FactoresComplement!$G$6="Sí",M_FactoresComplement!$G$8="No"),H37*M_FactoresComplement!H26/(10^3),H37*VLOOKUP(M_FactoresComplement!$C$24&amp;M_Datos!$E$12&amp;M_Lista!G21,M_FactoresComplement!$F$15:$I$434,3,FALSE)/(10^3)))</f>
        <v>0</v>
      </c>
      <c r="K37" s="551">
        <f>SUMIFS(M_Datos!$R$62:$R$64,M_Datos!$S$62:$S$64,M_Lista!G22)</f>
        <v>0</v>
      </c>
      <c r="L37" s="312">
        <f>IF(AND(M_FactoresComplement!$G$6="No",M_FactoresComplement!$G$8="No"),M_Cálculos!K37*M_Factores!$D$213/(10^3),IF(AND(M_FactoresComplement!$G$6="Sí",M_FactoresComplement!$G$8="No"),K37*M_FactoresComplement!G26/(10^3),K37*VLOOKUP(M_FactoresComplement!$C$24&amp;M_Datos!$E$12&amp;M_Lista!G21,M_FactoresComplement!$F$15:$I$434,2,FALSE)/(10^3)))</f>
        <v>0</v>
      </c>
      <c r="M37" s="313">
        <f>IF(AND(M_FactoresComplement!$G$6="No",M_FactoresComplement!$G$8="No"),M_Cálculos!K37*M_Factores!$E$213/(10^3),IF(AND(M_FactoresComplement!$G$6="Sí",M_FactoresComplement!$G$8="No"),K37*M_FactoresComplement!H26/(10^3),K37*VLOOKUP(M_FactoresComplement!$C$24&amp;M_Datos!$E$12&amp;M_Lista!G21,M_FactoresComplement!$F$15:$I$434,3,FALSE)/(10^3)))</f>
        <v>0</v>
      </c>
      <c r="N37" s="551">
        <f>SUMIFS(M_Datos!$T$62:$T$64,M_Datos!$U$62:$U$64,M_Lista!G22)</f>
        <v>0</v>
      </c>
      <c r="O37" s="312">
        <f>IF(AND(M_FactoresComplement!$G$6="No",M_FactoresComplement!$G$8="No"),M_Cálculos!N37*M_Factores!$D$213/(10^3),IF(AND(M_FactoresComplement!$G$6="Sí",M_FactoresComplement!$G$8="No"),N37*M_FactoresComplement!G26/(10^3),N37*VLOOKUP(M_FactoresComplement!$C$24&amp;M_Datos!$E$12&amp;M_Lista!G21,M_FactoresComplement!$F$15:$I$434,2,FALSE)/(10^3)))</f>
        <v>0</v>
      </c>
      <c r="P37" s="313">
        <f>IF(AND(M_FactoresComplement!$G$6="No",M_FactoresComplement!$G$8="No"),M_Cálculos!N37*M_Factores!$E$213/(10^3),IF(AND(M_FactoresComplement!$G$6="Sí",M_FactoresComplement!$G$8="No"),N37*M_FactoresComplement!H26/(10^3),N37*VLOOKUP(M_FactoresComplement!$C$24&amp;M_Datos!$E$12&amp;M_Lista!G21,M_FactoresComplement!$F$15:$I$434,3,FALSE)/(10^3)))</f>
        <v>0</v>
      </c>
      <c r="Q37" s="551">
        <f>SUMIFS(M_Datos!$V$62:$W$64,M_Datos!$V$62:$W$64,M_Lista!G22)</f>
        <v>0</v>
      </c>
      <c r="R37" s="312">
        <f>IF(AND(M_FactoresComplement!$G$6="No",M_FactoresComplement!$G$8="No"),M_Cálculos!Q37*M_Factores!$D$213/(10^3),IF(AND(M_FactoresComplement!$G$6="Sí",M_FactoresComplement!$G$8="No"),Q37*M_FactoresComplement!G26/(10^3),Q37*VLOOKUP(M_FactoresComplement!$C$24&amp;M_Datos!$E$12&amp;M_Lista!G21,M_FactoresComplement!$F$15:$I$434,2,FALSE)/(10^3)))</f>
        <v>0</v>
      </c>
      <c r="S37" s="313">
        <f>IF(AND(M_FactoresComplement!$G$6="No",M_FactoresComplement!$G$8="No"),M_Cálculos!Q37*M_Factores!$E$213/(10^3),IF(AND(M_FactoresComplement!$G$6="Sí",M_FactoresComplement!$G$8="No"),Q37*M_FactoresComplement!H26/(10^3),Q37*VLOOKUP(M_FactoresComplement!$C$24&amp;M_Datos!$E$12&amp;M_Lista!G21,M_FactoresComplement!$F$15:$I$434,3,FALSE)/(10^3)))</f>
        <v>0</v>
      </c>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row>
    <row r="38" spans="2:841">
      <c r="B38" s="11"/>
      <c r="C38" s="657"/>
      <c r="D38" s="289" t="s">
        <v>629</v>
      </c>
      <c r="E38" s="551">
        <f>SUMIFS(M_Datos!$N$62:$N$64,M_Datos!$O$62:$O$64,M_Lista!G23)</f>
        <v>0</v>
      </c>
      <c r="F38" s="312">
        <f>IF(AND(M_FactoresComplement!$G$6="No",M_FactoresComplement!$G$8="No"),M_Cálculos!E38*M_Factores!$D$213/(10^3),IF(AND(M_FactoresComplement!$G$6="Sí",M_FactoresComplement!$G$8="No"),E38*M_FactoresComplement!G27/(10^3),E38*VLOOKUP(M_FactoresComplement!$C$24&amp;M_Datos!$E$12&amp;M_Lista!G22,M_FactoresComplement!$F$15:$I$434,2,FALSE)/(10^3)))</f>
        <v>0</v>
      </c>
      <c r="G38" s="313">
        <f>IF(AND(M_FactoresComplement!$G$6="No",M_FactoresComplement!$G$8="No"),M_Cálculos!E38*M_Factores!$E$213/(10^3),IF(AND(M_FactoresComplement!$G$6="Sí",M_FactoresComplement!$G$8="No"),E38*M_FactoresComplement!H27/(10^3),E38*VLOOKUP(M_FactoresComplement!$C$24&amp;M_Datos!$E$12&amp;M_Lista!G22,M_FactoresComplement!$F$15:$I$434,3,FALSE)/(10^3)))</f>
        <v>0</v>
      </c>
      <c r="H38" s="551">
        <f>SUMIFS(M_Datos!$P$62:$P$64,M_Datos!$Q$62:$Q$64,M_Lista!G23)</f>
        <v>0</v>
      </c>
      <c r="I38" s="312">
        <f>IF(AND(M_FactoresComplement!$G$6="No",M_FactoresComplement!$G$8="No"),M_Cálculos!H38*M_Factores!$D$213/(10^3),IF(AND(M_FactoresComplement!$G$6="Sí",M_FactoresComplement!$G$8="No"),H38*M_FactoresComplement!G27/(10^3),H38*VLOOKUP(M_FactoresComplement!$C$24&amp;M_Datos!$E$12&amp;M_Lista!G22,M_FactoresComplement!$F$15:$I$434,2,FALSE)/(10^3)))</f>
        <v>0</v>
      </c>
      <c r="J38" s="313">
        <f>IF(AND(M_FactoresComplement!$G$6="No",M_FactoresComplement!$G$8="No"),M_Cálculos!H38*M_Factores!$E$213/(10^3),IF(AND(M_FactoresComplement!$G$6="Sí",M_FactoresComplement!$G$8="No"),H38*M_FactoresComplement!H27/(10^3),H38*VLOOKUP(M_FactoresComplement!$C$24&amp;M_Datos!$E$12&amp;M_Lista!G22,M_FactoresComplement!$F$15:$I$434,3,FALSE)/(10^3)))</f>
        <v>0</v>
      </c>
      <c r="K38" s="551">
        <f>SUMIFS(M_Datos!$R$62:$R$64,M_Datos!$S$62:$S$64,M_Lista!G23)</f>
        <v>0</v>
      </c>
      <c r="L38" s="312">
        <f>IF(AND(M_FactoresComplement!$G$6="No",M_FactoresComplement!$G$8="No"),M_Cálculos!K38*M_Factores!$D$213/(10^3),IF(AND(M_FactoresComplement!$G$6="Sí",M_FactoresComplement!$G$8="No"),K38*M_FactoresComplement!G27/(10^3),K38*VLOOKUP(M_FactoresComplement!$C$24&amp;M_Datos!$E$12&amp;M_Lista!G22,M_FactoresComplement!$F$15:$I$434,2,FALSE)/(10^3)))</f>
        <v>0</v>
      </c>
      <c r="M38" s="313">
        <f>IF(AND(M_FactoresComplement!$G$6="No",M_FactoresComplement!$G$8="No"),M_Cálculos!K38*M_Factores!$E$213/(10^3),IF(AND(M_FactoresComplement!$G$6="Sí",M_FactoresComplement!$G$8="No"),K38*M_FactoresComplement!H27/(10^3),K38*VLOOKUP(M_FactoresComplement!$C$24&amp;M_Datos!$E$12&amp;M_Lista!G22,M_FactoresComplement!$F$15:$I$434,3,FALSE)/(10^3)))</f>
        <v>0</v>
      </c>
      <c r="N38" s="551">
        <f>SUMIFS(M_Datos!$T$62:$T$64,M_Datos!$U$62:$U$64,M_Lista!G23)</f>
        <v>0</v>
      </c>
      <c r="O38" s="312">
        <f>IF(AND(M_FactoresComplement!$G$6="No",M_FactoresComplement!$G$8="No"),M_Cálculos!N38*M_Factores!$D$213/(10^3),IF(AND(M_FactoresComplement!$G$6="Sí",M_FactoresComplement!$G$8="No"),N38*M_FactoresComplement!G27/(10^3),N38*VLOOKUP(M_FactoresComplement!$C$24&amp;M_Datos!$E$12&amp;M_Lista!G22,M_FactoresComplement!$F$15:$I$434,2,FALSE)/(10^3)))</f>
        <v>0</v>
      </c>
      <c r="P38" s="313">
        <f>IF(AND(M_FactoresComplement!$G$6="No",M_FactoresComplement!$G$8="No"),M_Cálculos!N38*M_Factores!$E$213/(10^3),IF(AND(M_FactoresComplement!$G$6="Sí",M_FactoresComplement!$G$8="No"),N38*M_FactoresComplement!H27/(10^3),N38*VLOOKUP(M_FactoresComplement!$C$24&amp;M_Datos!$E$12&amp;M_Lista!G22,M_FactoresComplement!$F$15:$I$434,3,FALSE)/(10^3)))</f>
        <v>0</v>
      </c>
      <c r="Q38" s="551">
        <f>SUMIFS(M_Datos!$V$62:$W$64,M_Datos!$V$62:$W$64,M_Lista!G23)</f>
        <v>0</v>
      </c>
      <c r="R38" s="312">
        <f>IF(AND(M_FactoresComplement!$G$6="No",M_FactoresComplement!$G$8="No"),M_Cálculos!Q38*M_Factores!$D$213/(10^3),IF(AND(M_FactoresComplement!$G$6="Sí",M_FactoresComplement!$G$8="No"),Q38*M_FactoresComplement!G27/(10^3),Q38*VLOOKUP(M_FactoresComplement!$C$24&amp;M_Datos!$E$12&amp;M_Lista!G22,M_FactoresComplement!$F$15:$I$434,2,FALSE)/(10^3)))</f>
        <v>0</v>
      </c>
      <c r="S38" s="313">
        <f>IF(AND(M_FactoresComplement!$G$6="No",M_FactoresComplement!$G$8="No"),M_Cálculos!Q38*M_Factores!$E$213/(10^3),IF(AND(M_FactoresComplement!$G$6="Sí",M_FactoresComplement!$G$8="No"),Q38*M_FactoresComplement!H27/(10^3),Q38*VLOOKUP(M_FactoresComplement!$C$24&amp;M_Datos!$E$12&amp;M_Lista!G22,M_FactoresComplement!$F$15:$I$434,3,FALSE)/(10^3)))</f>
        <v>0</v>
      </c>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row>
    <row r="39" spans="2:841">
      <c r="B39" s="11"/>
      <c r="C39" s="657"/>
      <c r="D39" s="289" t="str">
        <f>IF(Idioma=Castellano,"Consumo nulo",IF(Idioma=Valencià,"Consum nul","Consumo nulo"))</f>
        <v>Consumo nulo</v>
      </c>
      <c r="E39" s="551">
        <f>SUMIFS(M_Datos!$N$62:$N$64,M_Datos!$O$62:$O$64,M_Lista!G24)</f>
        <v>0</v>
      </c>
      <c r="F39" s="312">
        <f>IF(AND(M_FactoresComplement!$G$6="No",M_FactoresComplement!$G$8="No"),M_Cálculos!E39*M_Factores!$D$213/(10^3),IF(AND(M_FactoresComplement!$G$6="Sí",M_FactoresComplement!$G$8="No"),E39*M_FactoresComplement!G28/(10^3),E39*VLOOKUP(M_FactoresComplement!$C$24&amp;M_Datos!$E$12&amp;M_Lista!G23,M_FactoresComplement!$F$15:$I$434,2,FALSE)/(10^3)))</f>
        <v>0</v>
      </c>
      <c r="G39" s="313">
        <f>IF(AND(M_FactoresComplement!$G$6="No",M_FactoresComplement!$G$8="No"),M_Cálculos!E39*M_Factores!$E$213/(10^3),IF(AND(M_FactoresComplement!$G$6="Sí",M_FactoresComplement!$G$8="No"),E39*M_FactoresComplement!H28/(10^3),E39*VLOOKUP(M_FactoresComplement!$C$24&amp;M_Datos!$E$12&amp;M_Lista!G23,M_FactoresComplement!$F$15:$I$434,3,FALSE)/(10^3)))</f>
        <v>0</v>
      </c>
      <c r="H39" s="551">
        <f>SUMIFS(M_Datos!$P$62:$P$64,M_Datos!$Q$62:$Q$64,M_Lista!G24)</f>
        <v>0</v>
      </c>
      <c r="I39" s="312">
        <f>IF(AND(M_FactoresComplement!$G$6="No",M_FactoresComplement!$G$8="No"),M_Cálculos!H39*M_Factores!$D$213/(10^3),IF(AND(M_FactoresComplement!$G$6="Sí",M_FactoresComplement!$G$8="No"),H39*M_FactoresComplement!G28/(10^3),H39*VLOOKUP(M_FactoresComplement!$C$24&amp;M_Datos!$E$12&amp;M_Lista!G23,M_FactoresComplement!$F$15:$I$434,2,FALSE)/(10^3)))</f>
        <v>0</v>
      </c>
      <c r="J39" s="313">
        <f>IF(AND(M_FactoresComplement!$G$6="No",M_FactoresComplement!$G$8="No"),M_Cálculos!H39*M_Factores!$E$213/(10^3),IF(AND(M_FactoresComplement!$G$6="Sí",M_FactoresComplement!$G$8="No"),H39*M_FactoresComplement!H28/(10^3),H39*VLOOKUP(M_FactoresComplement!$C$24&amp;M_Datos!$E$12&amp;M_Lista!G23,M_FactoresComplement!$F$15:$I$434,3,FALSE)/(10^3)))</f>
        <v>0</v>
      </c>
      <c r="K39" s="551">
        <f>SUMIFS(M_Datos!$R$62:$R$64,M_Datos!$S$62:$S$64,M_Lista!G24)</f>
        <v>0</v>
      </c>
      <c r="L39" s="312">
        <f>IF(AND(M_FactoresComplement!$G$6="No",M_FactoresComplement!$G$8="No"),M_Cálculos!K39*M_Factores!$D$213/(10^3),IF(AND(M_FactoresComplement!$G$6="Sí",M_FactoresComplement!$G$8="No"),K39*M_FactoresComplement!G28/(10^3),K39*VLOOKUP(M_FactoresComplement!$C$24&amp;M_Datos!$E$12&amp;M_Lista!G23,M_FactoresComplement!$F$15:$I$434,2,FALSE)/(10^3)))</f>
        <v>0</v>
      </c>
      <c r="M39" s="313">
        <f>IF(AND(M_FactoresComplement!$G$6="No",M_FactoresComplement!$G$8="No"),M_Cálculos!K39*M_Factores!$E$213/(10^3),IF(AND(M_FactoresComplement!$G$6="Sí",M_FactoresComplement!$G$8="No"),K39*M_FactoresComplement!H28/(10^3),K39*VLOOKUP(M_FactoresComplement!$C$24&amp;M_Datos!$E$12&amp;M_Lista!G23,M_FactoresComplement!$F$15:$I$434,3,FALSE)/(10^3)))</f>
        <v>0</v>
      </c>
      <c r="N39" s="551">
        <f>SUMIFS(M_Datos!$T$62:$T$64,M_Datos!$U$62:$U$64,M_Lista!G24)</f>
        <v>0</v>
      </c>
      <c r="O39" s="312">
        <f>IF(AND(M_FactoresComplement!$G$6="No",M_FactoresComplement!$G$8="No"),M_Cálculos!N39*M_Factores!$D$213/(10^3),IF(AND(M_FactoresComplement!$G$6="Sí",M_FactoresComplement!$G$8="No"),N39*M_FactoresComplement!G28/(10^3),N39*VLOOKUP(M_FactoresComplement!$C$24&amp;M_Datos!$E$12&amp;M_Lista!G23,M_FactoresComplement!$F$15:$I$434,2,FALSE)/(10^3)))</f>
        <v>0</v>
      </c>
      <c r="P39" s="313">
        <f>IF(AND(M_FactoresComplement!$G$6="No",M_FactoresComplement!$G$8="No"),M_Cálculos!N39*M_Factores!$E$213/(10^3),IF(AND(M_FactoresComplement!$G$6="Sí",M_FactoresComplement!$G$8="No"),N39*M_FactoresComplement!H28/(10^3),N39*VLOOKUP(M_FactoresComplement!$C$24&amp;M_Datos!$E$12&amp;M_Lista!G23,M_FactoresComplement!$F$15:$I$434,3,FALSE)/(10^3)))</f>
        <v>0</v>
      </c>
      <c r="Q39" s="551">
        <f>SUMIFS(M_Datos!$V$62:$W$64,M_Datos!$V$62:$W$64,M_Lista!G24)</f>
        <v>0</v>
      </c>
      <c r="R39" s="312">
        <f>IF(AND(M_FactoresComplement!$G$6="No",M_FactoresComplement!$G$8="No"),M_Cálculos!Q39*M_Factores!$D$213/(10^3),IF(AND(M_FactoresComplement!$G$6="Sí",M_FactoresComplement!$G$8="No"),Q39*M_FactoresComplement!G28/(10^3),Q39*VLOOKUP(M_FactoresComplement!$C$24&amp;M_Datos!$E$12&amp;M_Lista!G23,M_FactoresComplement!$F$15:$I$434,2,FALSE)/(10^3)))</f>
        <v>0</v>
      </c>
      <c r="S39" s="313">
        <f>IF(AND(M_FactoresComplement!$G$6="No",M_FactoresComplement!$G$8="No"),M_Cálculos!Q39*M_Factores!$E$213/(10^3),IF(AND(M_FactoresComplement!$G$6="Sí",M_FactoresComplement!$G$8="No"),Q39*M_FactoresComplement!H28/(10^3),Q39*VLOOKUP(M_FactoresComplement!$C$24&amp;M_Datos!$E$12&amp;M_Lista!G23,M_FactoresComplement!$F$15:$I$434,3,FALSE)/(10^3)))</f>
        <v>0</v>
      </c>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row>
    <row r="40" spans="2:841">
      <c r="B40" s="11"/>
      <c r="C40" s="657"/>
      <c r="D40" s="289" t="str">
        <f>IF(Idioma=Castellano,"Sin definir",IF(Idioma=Valencià,"Sense definir","Sin definir"))</f>
        <v>Sin definir</v>
      </c>
      <c r="E40" s="551">
        <f>SUMIFS(M_Datos!$N$62:$N$64,M_Datos!$O$62:$O$64,M_Lista!G25)</f>
        <v>0</v>
      </c>
      <c r="F40" s="312">
        <v>0</v>
      </c>
      <c r="G40" s="313">
        <v>0</v>
      </c>
      <c r="H40" s="551">
        <f>SUMIFS(M_Datos!$P$62:$P$64,M_Datos!$Q$62:$Q$64,M_Lista!G25)</f>
        <v>0</v>
      </c>
      <c r="I40" s="312">
        <v>0</v>
      </c>
      <c r="J40" s="313">
        <v>0</v>
      </c>
      <c r="K40" s="551">
        <f>SUMIFS(M_Datos!$R$62:$R$64,M_Datos!$S$62:$S$64,M_Lista!G25)</f>
        <v>0</v>
      </c>
      <c r="L40" s="312">
        <v>0</v>
      </c>
      <c r="M40" s="313">
        <v>0</v>
      </c>
      <c r="N40" s="551">
        <f>SUMIFS(M_Datos!$T$62:$T$64,M_Datos!$U$62:$U$64,M_Lista!G25)</f>
        <v>0</v>
      </c>
      <c r="O40" s="312">
        <v>0</v>
      </c>
      <c r="P40" s="313">
        <v>0</v>
      </c>
      <c r="Q40" s="551">
        <f>SUMIFS(M_Datos!$V$62:$W$64,M_Datos!$V$62:$W$64,M_Lista!G25)</f>
        <v>0</v>
      </c>
      <c r="R40" s="312">
        <v>0</v>
      </c>
      <c r="S40" s="313">
        <v>0</v>
      </c>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row>
    <row r="41" spans="2:841">
      <c r="B41" s="11"/>
      <c r="C41" s="657"/>
      <c r="D41" s="315" t="s">
        <v>925</v>
      </c>
      <c r="E41" s="552">
        <f t="shared" ref="E41:S41" si="2">SUM(E33:E40)</f>
        <v>0</v>
      </c>
      <c r="F41" s="314">
        <f t="shared" si="2"/>
        <v>0</v>
      </c>
      <c r="G41" s="317">
        <f t="shared" si="2"/>
        <v>0</v>
      </c>
      <c r="H41" s="552">
        <f t="shared" si="2"/>
        <v>0</v>
      </c>
      <c r="I41" s="314">
        <f t="shared" si="2"/>
        <v>0</v>
      </c>
      <c r="J41" s="317">
        <f t="shared" si="2"/>
        <v>0</v>
      </c>
      <c r="K41" s="552">
        <f t="shared" si="2"/>
        <v>0</v>
      </c>
      <c r="L41" s="314">
        <f t="shared" si="2"/>
        <v>0</v>
      </c>
      <c r="M41" s="317">
        <f t="shared" si="2"/>
        <v>0</v>
      </c>
      <c r="N41" s="552">
        <f t="shared" si="2"/>
        <v>0</v>
      </c>
      <c r="O41" s="314">
        <f t="shared" si="2"/>
        <v>0</v>
      </c>
      <c r="P41" s="317">
        <f t="shared" si="2"/>
        <v>0</v>
      </c>
      <c r="Q41" s="552">
        <f t="shared" si="2"/>
        <v>0</v>
      </c>
      <c r="R41" s="314">
        <f t="shared" si="2"/>
        <v>0</v>
      </c>
      <c r="S41" s="317">
        <f t="shared" si="2"/>
        <v>0</v>
      </c>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row>
    <row r="42" spans="2:841">
      <c r="B42" s="11"/>
      <c r="C42" s="657" t="str">
        <f>M_Datos!L65</f>
        <v>Hotel</v>
      </c>
      <c r="D42" s="289" t="s">
        <v>622</v>
      </c>
      <c r="E42" s="488" t="s">
        <v>623</v>
      </c>
      <c r="F42" s="488" t="s">
        <v>948</v>
      </c>
      <c r="G42" s="488" t="s">
        <v>624</v>
      </c>
      <c r="H42" s="488" t="s">
        <v>623</v>
      </c>
      <c r="I42" s="488" t="s">
        <v>948</v>
      </c>
      <c r="J42" s="488" t="s">
        <v>624</v>
      </c>
      <c r="K42" s="488" t="s">
        <v>623</v>
      </c>
      <c r="L42" s="488" t="s">
        <v>948</v>
      </c>
      <c r="M42" s="488" t="s">
        <v>624</v>
      </c>
      <c r="N42" s="488" t="s">
        <v>623</v>
      </c>
      <c r="O42" s="488" t="s">
        <v>948</v>
      </c>
      <c r="P42" s="488" t="s">
        <v>624</v>
      </c>
      <c r="Q42" s="488" t="s">
        <v>623</v>
      </c>
      <c r="R42" s="488" t="s">
        <v>948</v>
      </c>
      <c r="S42" s="488" t="s">
        <v>624</v>
      </c>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row>
    <row r="43" spans="2:841">
      <c r="B43" s="11"/>
      <c r="C43" s="657"/>
      <c r="D43" s="289" t="str">
        <f>IF(Idioma=Castellano,"Existente",IF(Idioma=Valencià,"Existent","Existente"))</f>
        <v>Existente</v>
      </c>
      <c r="E43" s="551">
        <f>SUMIFS(M_Datos!$N$65:$N$67,M_Datos!$O$65:$O$67,M_Lista!G18)</f>
        <v>0</v>
      </c>
      <c r="F43" s="312">
        <f>IF(AND(M_FactoresComplement!$G$6="No",M_FactoresComplement!$G$8="No"),M_Cálculos!E43*M_Factores!$D$213/(10^3),IF(AND(M_FactoresComplement!$G$6="Sí",M_FactoresComplement!$G$8="No"),E43*M_FactoresComplement!G29/(10^3),E43*VLOOKUP(M_FactoresComplement!$C$30&amp;M_Datos!$E$12&amp;M_Lista!G17,M_FactoresComplement!$F$15:$I$434,2,FALSE)/(10^3)))</f>
        <v>0</v>
      </c>
      <c r="G43" s="313">
        <f>IF(AND(M_FactoresComplement!$G$6="No",M_FactoresComplement!$G$8="No"),M_Cálculos!E43*M_Factores!$E$213/(10^3),IF(AND(M_FactoresComplement!$G$6="Sí",M_FactoresComplement!$G$8="No"),E43*M_FactoresComplement!H29/(10^3),E43*VLOOKUP(M_FactoresComplement!$C$30&amp;M_Datos!$E$12&amp;M_Lista!G17,M_FactoresComplement!$F$15:$I$434,3,FALSE)/(10^3)))</f>
        <v>0</v>
      </c>
      <c r="H43" s="551">
        <f>SUMIFS(M_Datos!$P$65:$P$67,M_Datos!$Q$65:$Q$67,M_Lista!G18)</f>
        <v>0</v>
      </c>
      <c r="I43" s="312">
        <f>IF(AND(M_FactoresComplement!$G$6="No",M_FactoresComplement!$G$8="No"),M_Cálculos!H43*M_Factores!$D$213/(10^3),IF(AND(M_FactoresComplement!$G$6="Sí",M_FactoresComplement!$G$8="No"),H43*M_FactoresComplement!G29/(10^3),H43*VLOOKUP(M_FactoresComplement!$C$30&amp;M_Datos!$E$12&amp;M_Lista!G17,M_FactoresComplement!$F$15:$I$434,2,FALSE)/(10^3)))</f>
        <v>0</v>
      </c>
      <c r="J43" s="313">
        <f>IF(AND(M_FactoresComplement!$G$6="No",M_FactoresComplement!$G$8="No"),M_Cálculos!H43*M_Factores!$E$213/(10^3),IF(AND(M_FactoresComplement!$G$6="Sí",M_FactoresComplement!$G$8="No"),H43*M_FactoresComplement!H29/(10^3),H43*VLOOKUP(M_FactoresComplement!$C$30&amp;M_Datos!$E$12&amp;M_Lista!G17,M_FactoresComplement!$F$15:$I$434,3,FALSE)/(10^3)))</f>
        <v>0</v>
      </c>
      <c r="K43" s="551">
        <f>SUMIFS(M_Datos!$R$65:$R$67,M_Datos!$S$65:$S$67,M_Lista!G18)</f>
        <v>0</v>
      </c>
      <c r="L43" s="312">
        <f>IF(AND(M_FactoresComplement!$G$6="No",M_FactoresComplement!$G$8="No"),M_Cálculos!K43*M_Factores!$D$213/(10^3),IF(AND(M_FactoresComplement!$G$6="Sí",M_FactoresComplement!$G$8="No"),K43*M_FactoresComplement!G29/(10^3),K43*VLOOKUP(M_FactoresComplement!$C$30&amp;M_Datos!$E$12&amp;M_Lista!G17,M_FactoresComplement!$F$15:$I$434,2,FALSE)/(10^3)))</f>
        <v>0</v>
      </c>
      <c r="M43" s="313">
        <f>IF(AND(M_FactoresComplement!$G$6="No",M_FactoresComplement!$G$8="No"),M_Cálculos!K43*M_Factores!$E$213/(10^3),IF(AND(M_FactoresComplement!$G$6="Sí",M_FactoresComplement!$G$8="No"),K43*M_FactoresComplement!H29/(10^3),K43*VLOOKUP(M_FactoresComplement!$C$30&amp;M_Datos!$E$12&amp;M_Lista!G17,M_FactoresComplement!$F$15:$I$434,3,FALSE)/(10^3)))</f>
        <v>0</v>
      </c>
      <c r="N43" s="551">
        <f>SUMIFS(M_Datos!$T$65:$T$67,M_Datos!$U$65:$U$67,M_Lista!G18)</f>
        <v>0</v>
      </c>
      <c r="O43" s="312">
        <f>IF(AND(M_FactoresComplement!$G$6="No",M_FactoresComplement!$G$8="No"),M_Cálculos!N43*M_Factores!$D$213/(10^3),IF(AND(M_FactoresComplement!$G$6="Sí",M_FactoresComplement!$G$8="No"),N43*M_FactoresComplement!G29/(10^3),N43*VLOOKUP(M_FactoresComplement!$C$30&amp;M_Datos!$E$12&amp;M_Lista!G17,M_FactoresComplement!$F$15:$I$434,2,FALSE)/(10^3)))</f>
        <v>0</v>
      </c>
      <c r="P43" s="313">
        <f>IF(AND(M_FactoresComplement!$G$6="No",M_FactoresComplement!$G$8="No"),M_Cálculos!N43*M_Factores!$E$213/(10^3),IF(AND(M_FactoresComplement!$G$6="Sí",M_FactoresComplement!$G$8="No"),N43*M_FactoresComplement!H29/(10^3),N43*VLOOKUP(M_FactoresComplement!$C$30&amp;M_Datos!$E$12&amp;M_Lista!G17,M_FactoresComplement!$F$15:$I$434,3,FALSE)/(10^3)))</f>
        <v>0</v>
      </c>
      <c r="Q43" s="551">
        <f>SUMIFS(M_Datos!$V$65:$V$67,M_Datos!$W$65:$W$67,M_Lista!G18)</f>
        <v>0</v>
      </c>
      <c r="R43" s="312">
        <f>IF(AND(M_FactoresComplement!$G$6="No",M_FactoresComplement!$G$8="No"),M_Cálculos!Q43*M_Factores!$D$213/(10^3),IF(AND(M_FactoresComplement!$G$6="Sí",M_FactoresComplement!$G$8="No"),Q43*M_FactoresComplement!G29/(10^3),Q43*VLOOKUP(M_FactoresComplement!$C$30&amp;M_Datos!$E$12&amp;M_Lista!G17,M_FactoresComplement!$F$15:$I$434,2,FALSE)/(10^3)))</f>
        <v>0</v>
      </c>
      <c r="S43" s="313">
        <f>IF(AND(M_FactoresComplement!$G$6="No",M_FactoresComplement!$G$8="No"),M_Cálculos!Q43*M_Factores!$E$213/(10^3),IF(AND(M_FactoresComplement!$G$6="Sí",M_FactoresComplement!$G$8="No"),Q43*M_FactoresComplement!H29/(10^3),Q43*VLOOKUP(M_FactoresComplement!$C$30&amp;M_Datos!$E$12&amp;M_Lista!G17,M_FactoresComplement!$F$15:$I$434,3,FALSE)/(10^3)))</f>
        <v>0</v>
      </c>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row>
    <row r="44" spans="2:841">
      <c r="B44" s="11"/>
      <c r="C44" s="657"/>
      <c r="D44" s="289" t="s">
        <v>625</v>
      </c>
      <c r="E44" s="551">
        <f>SUMIFS(M_Datos!$N$65:$N$67,M_Datos!$O$65:$O$67,M_Lista!G19)</f>
        <v>0</v>
      </c>
      <c r="F44" s="312">
        <f>IF(AND(M_FactoresComplement!$G$6="No",M_FactoresComplement!$G$8="No"),M_Cálculos!E44*M_Factores!$D$213/(10^3),IF(AND(M_FactoresComplement!$G$6="Sí",M_FactoresComplement!$G$8="No"),E44*M_FactoresComplement!G30/(10^3),E44*VLOOKUP(M_FactoresComplement!$C$30&amp;M_Datos!$E$12&amp;M_Lista!G18,M_FactoresComplement!$F$15:$I$434,2,FALSE)/(10^3)))</f>
        <v>0</v>
      </c>
      <c r="G44" s="313">
        <f>IF(AND(M_FactoresComplement!$G$6="No",M_FactoresComplement!$G$8="No"),M_Cálculos!E44*M_Factores!$E$213/(10^3),IF(AND(M_FactoresComplement!$G$6="Sí",M_FactoresComplement!$G$8="No"),E44*M_FactoresComplement!H30/(10^3),E44*VLOOKUP(M_FactoresComplement!$C$30&amp;M_Datos!$E$12&amp;M_Lista!G18,M_FactoresComplement!$F$15:$I$434,3,FALSE)/(10^3)))</f>
        <v>0</v>
      </c>
      <c r="H44" s="551">
        <f>SUMIFS(M_Datos!$P$65:$P$67,M_Datos!$Q$65:$Q$67,M_Lista!G19)</f>
        <v>0</v>
      </c>
      <c r="I44" s="312">
        <f>IF(AND(M_FactoresComplement!$G$6="No",M_FactoresComplement!$G$8="No"),M_Cálculos!H44*M_Factores!$D$213/(10^3),IF(AND(M_FactoresComplement!$G$6="Sí",M_FactoresComplement!$G$8="No"),H44*M_FactoresComplement!G30/(10^3),H44*VLOOKUP(M_FactoresComplement!$C$30&amp;M_Datos!$E$12&amp;M_Lista!G18,M_FactoresComplement!$F$15:$I$434,2,FALSE)/(10^3)))</f>
        <v>0</v>
      </c>
      <c r="J44" s="313">
        <f>IF(AND(M_FactoresComplement!$G$6="No",M_FactoresComplement!$G$8="No"),M_Cálculos!H44*M_Factores!$E$213/(10^3),IF(AND(M_FactoresComplement!$G$6="Sí",M_FactoresComplement!$G$8="No"),H44*M_FactoresComplement!H30/(10^3),H44*VLOOKUP(M_FactoresComplement!$C$30&amp;M_Datos!$E$12&amp;M_Lista!G18,M_FactoresComplement!$F$15:$I$434,3,FALSE)/(10^3)))</f>
        <v>0</v>
      </c>
      <c r="K44" s="551">
        <f>SUMIFS(M_Datos!$R$65:$R$67,M_Datos!$S$65:$S$67,M_Lista!G19)</f>
        <v>0</v>
      </c>
      <c r="L44" s="312">
        <f>IF(AND(M_FactoresComplement!$G$6="No",M_FactoresComplement!$G$8="No"),M_Cálculos!K44*M_Factores!$D$213/(10^3),IF(AND(M_FactoresComplement!$G$6="Sí",M_FactoresComplement!$G$8="No"),K44*M_FactoresComplement!G30/(10^3),K44*VLOOKUP(M_FactoresComplement!$C$30&amp;M_Datos!$E$12&amp;M_Lista!G18,M_FactoresComplement!$F$15:$I$434,2,FALSE)/(10^3)))</f>
        <v>0</v>
      </c>
      <c r="M44" s="313">
        <f>IF(AND(M_FactoresComplement!$G$6="No",M_FactoresComplement!$G$8="No"),M_Cálculos!K44*M_Factores!$E$213/(10^3),IF(AND(M_FactoresComplement!$G$6="Sí",M_FactoresComplement!$G$8="No"),K44*M_FactoresComplement!H30/(10^3),K44*VLOOKUP(M_FactoresComplement!$C$30&amp;M_Datos!$E$12&amp;M_Lista!G18,M_FactoresComplement!$F$15:$I$434,3,FALSE)/(10^3)))</f>
        <v>0</v>
      </c>
      <c r="N44" s="551">
        <f>SUMIFS(M_Datos!$T$65:$T$67,M_Datos!$U$65:$U$67,M_Lista!G19)</f>
        <v>0</v>
      </c>
      <c r="O44" s="312">
        <f>IF(AND(M_FactoresComplement!$G$6="No",M_FactoresComplement!$G$8="No"),M_Cálculos!N44*M_Factores!$D$213/(10^3),IF(AND(M_FactoresComplement!$G$6="Sí",M_FactoresComplement!$G$8="No"),N44*M_FactoresComplement!G30/(10^3),N44*VLOOKUP(M_FactoresComplement!$C$30&amp;M_Datos!$E$12&amp;M_Lista!G18,M_FactoresComplement!$F$15:$I$434,2,FALSE)/(10^3)))</f>
        <v>0</v>
      </c>
      <c r="P44" s="313">
        <f>IF(AND(M_FactoresComplement!$G$6="No",M_FactoresComplement!$G$8="No"),M_Cálculos!N44*M_Factores!$E$213/(10^3),IF(AND(M_FactoresComplement!$G$6="Sí",M_FactoresComplement!$G$8="No"),N44*M_FactoresComplement!H30/(10^3),N44*VLOOKUP(M_FactoresComplement!$C$30&amp;M_Datos!$E$12&amp;M_Lista!G18,M_FactoresComplement!$F$15:$I$434,3,FALSE)/(10^3)))</f>
        <v>0</v>
      </c>
      <c r="Q44" s="551">
        <f>SUMIFS(M_Datos!$V$65:$V$67,M_Datos!$W$65:$W$67,M_Lista!G19)</f>
        <v>0</v>
      </c>
      <c r="R44" s="312">
        <f>IF(AND(M_FactoresComplement!$G$6="No",M_FactoresComplement!$G$8="No"),M_Cálculos!Q44*M_Factores!$D$213/(10^3),IF(AND(M_FactoresComplement!$G$6="Sí",M_FactoresComplement!$G$8="No"),Q44*M_FactoresComplement!G30/(10^3),Q44*VLOOKUP(M_FactoresComplement!$C$30&amp;M_Datos!$E$12&amp;M_Lista!G18,M_FactoresComplement!$F$15:$I$434,2,FALSE)/(10^3)))</f>
        <v>0</v>
      </c>
      <c r="S44" s="313">
        <f>IF(AND(M_FactoresComplement!$G$6="No",M_FactoresComplement!$G$8="No"),M_Cálculos!Q44*M_Factores!$E$213/(10^3),IF(AND(M_FactoresComplement!$G$6="Sí",M_FactoresComplement!$G$8="No"),Q44*M_FactoresComplement!H30/(10^3),Q44*VLOOKUP(M_FactoresComplement!$C$30&amp;M_Datos!$E$12&amp;M_Lista!G18,M_FactoresComplement!$F$15:$I$434,3,FALSE)/(10^3)))</f>
        <v>0</v>
      </c>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row>
    <row r="45" spans="2:841">
      <c r="B45" s="11"/>
      <c r="C45" s="657"/>
      <c r="D45" s="289" t="s">
        <v>626</v>
      </c>
      <c r="E45" s="551">
        <f>SUMIFS(M_Datos!$N$65:$N$67,M_Datos!$O$65:$O$67,M_Lista!G20)</f>
        <v>0</v>
      </c>
      <c r="F45" s="312">
        <f>IF(AND(M_FactoresComplement!$G$6="No",M_FactoresComplement!$G$8="No"),M_Cálculos!E45*M_Factores!$D$213/(10^3),IF(AND(M_FactoresComplement!$G$6="Sí",M_FactoresComplement!$G$8="No"),E45*M_FactoresComplement!G31/(10^3),E45*VLOOKUP(M_FactoresComplement!$C$30&amp;M_Datos!$E$12&amp;M_Lista!G19,M_FactoresComplement!$F$15:$I$434,2,FALSE)/(10^3)))</f>
        <v>0</v>
      </c>
      <c r="G45" s="313">
        <f>IF(AND(M_FactoresComplement!$G$6="No",M_FactoresComplement!$G$8="No"),M_Cálculos!E45*M_Factores!$E$213/(10^3),IF(AND(M_FactoresComplement!$G$6="Sí",M_FactoresComplement!$G$8="No"),E45*M_FactoresComplement!H31/(10^3),E45*VLOOKUP(M_FactoresComplement!$C$30&amp;M_Datos!$E$12&amp;M_Lista!G19,M_FactoresComplement!$F$15:$I$434,3,FALSE)/(10^3)))</f>
        <v>0</v>
      </c>
      <c r="H45" s="551">
        <f>SUMIFS(M_Datos!$P$65:$P$67,M_Datos!$Q$65:$Q$67,M_Lista!G20)</f>
        <v>0</v>
      </c>
      <c r="I45" s="312">
        <f>IF(AND(M_FactoresComplement!$G$6="No",M_FactoresComplement!$G$8="No"),M_Cálculos!H45*M_Factores!$D$213/(10^3),IF(AND(M_FactoresComplement!$G$6="Sí",M_FactoresComplement!$G$8="No"),H45*M_FactoresComplement!G31/(10^3),H45*VLOOKUP(M_FactoresComplement!$C$30&amp;M_Datos!$E$12&amp;M_Lista!G19,M_FactoresComplement!$F$15:$I$434,2,FALSE)/(10^3)))</f>
        <v>0</v>
      </c>
      <c r="J45" s="313">
        <f>IF(AND(M_FactoresComplement!$G$6="No",M_FactoresComplement!$G$8="No"),M_Cálculos!H45*M_Factores!$E$213/(10^3),IF(AND(M_FactoresComplement!$G$6="Sí",M_FactoresComplement!$G$8="No"),H45*M_FactoresComplement!H31/(10^3),H45*VLOOKUP(M_FactoresComplement!$C$30&amp;M_Datos!$E$12&amp;M_Lista!G19,M_FactoresComplement!$F$15:$I$434,3,FALSE)/(10^3)))</f>
        <v>0</v>
      </c>
      <c r="K45" s="551">
        <f>SUMIFS(M_Datos!$R$65:$R$67,M_Datos!$S$65:$S$67,M_Lista!G20)</f>
        <v>0</v>
      </c>
      <c r="L45" s="312">
        <f>IF(AND(M_FactoresComplement!$G$6="No",M_FactoresComplement!$G$8="No"),M_Cálculos!K45*M_Factores!$D$213/(10^3),IF(AND(M_FactoresComplement!$G$6="Sí",M_FactoresComplement!$G$8="No"),K45*M_FactoresComplement!G31/(10^3),K45*VLOOKUP(M_FactoresComplement!$C$30&amp;M_Datos!$E$12&amp;M_Lista!G19,M_FactoresComplement!$F$15:$I$434,2,FALSE)/(10^3)))</f>
        <v>0</v>
      </c>
      <c r="M45" s="313">
        <f>IF(AND(M_FactoresComplement!$G$6="No",M_FactoresComplement!$G$8="No"),M_Cálculos!K45*M_Factores!$E$213/(10^3),IF(AND(M_FactoresComplement!$G$6="Sí",M_FactoresComplement!$G$8="No"),K45*M_FactoresComplement!H31/(10^3),K45*VLOOKUP(M_FactoresComplement!$C$30&amp;M_Datos!$E$12&amp;M_Lista!G19,M_FactoresComplement!$F$15:$I$434,3,FALSE)/(10^3)))</f>
        <v>0</v>
      </c>
      <c r="N45" s="551">
        <f>SUMIFS(M_Datos!$T$65:$T$67,M_Datos!$U$65:$U$67,M_Lista!G20)</f>
        <v>0</v>
      </c>
      <c r="O45" s="312">
        <f>IF(AND(M_FactoresComplement!$G$6="No",M_FactoresComplement!$G$8="No"),M_Cálculos!N45*M_Factores!$D$213/(10^3),IF(AND(M_FactoresComplement!$G$6="Sí",M_FactoresComplement!$G$8="No"),N45*M_FactoresComplement!G31/(10^3),N45*VLOOKUP(M_FactoresComplement!$C$30&amp;M_Datos!$E$12&amp;M_Lista!G19,M_FactoresComplement!$F$15:$I$434,2,FALSE)/(10^3)))</f>
        <v>0</v>
      </c>
      <c r="P45" s="313">
        <f>IF(AND(M_FactoresComplement!$G$6="No",M_FactoresComplement!$G$8="No"),M_Cálculos!N45*M_Factores!$E$213/(10^3),IF(AND(M_FactoresComplement!$G$6="Sí",M_FactoresComplement!$G$8="No"),N45*M_FactoresComplement!H31/(10^3),N45*VLOOKUP(M_FactoresComplement!$C$30&amp;M_Datos!$E$12&amp;M_Lista!G19,M_FactoresComplement!$F$15:$I$434,3,FALSE)/(10^3)))</f>
        <v>0</v>
      </c>
      <c r="Q45" s="551">
        <f>SUMIFS(M_Datos!$V$65:$V$67,M_Datos!$W$65:$W$67,M_Lista!G20)</f>
        <v>0</v>
      </c>
      <c r="R45" s="312">
        <f>IF(AND(M_FactoresComplement!$G$6="No",M_FactoresComplement!$G$8="No"),M_Cálculos!Q45*M_Factores!$D$213/(10^3),IF(AND(M_FactoresComplement!$G$6="Sí",M_FactoresComplement!$G$8="No"),Q45*M_FactoresComplement!G31/(10^3),Q45*VLOOKUP(M_FactoresComplement!$C$30&amp;M_Datos!$E$12&amp;M_Lista!G19,M_FactoresComplement!$F$15:$I$434,2,FALSE)/(10^3)))</f>
        <v>0</v>
      </c>
      <c r="S45" s="313">
        <f>IF(AND(M_FactoresComplement!$G$6="No",M_FactoresComplement!$G$8="No"),M_Cálculos!Q45*M_Factores!$E$213/(10^3),IF(AND(M_FactoresComplement!$G$6="Sí",M_FactoresComplement!$G$8="No"),Q45*M_FactoresComplement!H31/(10^3),Q45*VLOOKUP(M_FactoresComplement!$C$30&amp;M_Datos!$E$12&amp;M_Lista!G19,M_FactoresComplement!$F$15:$I$434,3,FALSE)/(10^3)))</f>
        <v>0</v>
      </c>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row>
    <row r="46" spans="2:841">
      <c r="B46" s="11"/>
      <c r="C46" s="657"/>
      <c r="D46" s="289" t="s">
        <v>627</v>
      </c>
      <c r="E46" s="551">
        <f>SUMIFS(M_Datos!$N$65:$N$67,M_Datos!$O$65:$O$67,M_Lista!G21)</f>
        <v>0</v>
      </c>
      <c r="F46" s="312">
        <f>IF(AND(M_FactoresComplement!$G$6="No",M_FactoresComplement!$G$8="No"),M_Cálculos!E46*M_Factores!$D$213/(10^3),IF(AND(M_FactoresComplement!$G$6="Sí",M_FactoresComplement!$G$8="No"),E46*M_FactoresComplement!G32/(10^3),E46*VLOOKUP(M_FactoresComplement!$C$30&amp;M_Datos!$E$12&amp;M_Lista!G20,M_FactoresComplement!$F$15:$I$434,2,FALSE)/(10^3)))</f>
        <v>0</v>
      </c>
      <c r="G46" s="313">
        <f>IF(AND(M_FactoresComplement!$G$6="No",M_FactoresComplement!$G$8="No"),M_Cálculos!E46*M_Factores!$E$213/(10^3),IF(AND(M_FactoresComplement!$G$6="Sí",M_FactoresComplement!$G$8="No"),E46*M_FactoresComplement!H32/(10^3),E46*VLOOKUP(M_FactoresComplement!$C$30&amp;M_Datos!$E$12&amp;M_Lista!G20,M_FactoresComplement!$F$15:$I$434,3,FALSE)/(10^3)))</f>
        <v>0</v>
      </c>
      <c r="H46" s="551">
        <f>SUMIFS(M_Datos!$P$65:$P$67,M_Datos!$Q$65:$Q$67,M_Lista!G21)</f>
        <v>0</v>
      </c>
      <c r="I46" s="312">
        <f>IF(AND(M_FactoresComplement!$G$6="No",M_FactoresComplement!$G$8="No"),M_Cálculos!H46*M_Factores!$D$213/(10^3),IF(AND(M_FactoresComplement!$G$6="Sí",M_FactoresComplement!$G$8="No"),H46*M_FactoresComplement!G32/(10^3),H46*VLOOKUP(M_FactoresComplement!$C$30&amp;M_Datos!$E$12&amp;M_Lista!G20,M_FactoresComplement!$F$15:$I$434,2,FALSE)/(10^3)))</f>
        <v>0</v>
      </c>
      <c r="J46" s="313">
        <f>IF(AND(M_FactoresComplement!$G$6="No",M_FactoresComplement!$G$8="No"),M_Cálculos!H46*M_Factores!$E$213/(10^3),IF(AND(M_FactoresComplement!$G$6="Sí",M_FactoresComplement!$G$8="No"),H46*M_FactoresComplement!H32/(10^3),H46*VLOOKUP(M_FactoresComplement!$C$30&amp;M_Datos!$E$12&amp;M_Lista!G20,M_FactoresComplement!$F$15:$I$434,3,FALSE)/(10^3)))</f>
        <v>0</v>
      </c>
      <c r="K46" s="551">
        <f>SUMIFS(M_Datos!$R$65:$R$67,M_Datos!$S$65:$S$67,M_Lista!G21)</f>
        <v>0</v>
      </c>
      <c r="L46" s="312">
        <f>IF(AND(M_FactoresComplement!$G$6="No",M_FactoresComplement!$G$8="No"),M_Cálculos!K46*M_Factores!$D$213/(10^3),IF(AND(M_FactoresComplement!$G$6="Sí",M_FactoresComplement!$G$8="No"),K46*M_FactoresComplement!G32/(10^3),K46*VLOOKUP(M_FactoresComplement!$C$30&amp;M_Datos!$E$12&amp;M_Lista!G20,M_FactoresComplement!$F$15:$I$434,2,FALSE)/(10^3)))</f>
        <v>0</v>
      </c>
      <c r="M46" s="313">
        <f>IF(AND(M_FactoresComplement!$G$6="No",M_FactoresComplement!$G$8="No"),M_Cálculos!K46*M_Factores!$E$213/(10^3),IF(AND(M_FactoresComplement!$G$6="Sí",M_FactoresComplement!$G$8="No"),K46*M_FactoresComplement!H32/(10^3),K46*VLOOKUP(M_FactoresComplement!$C$30&amp;M_Datos!$E$12&amp;M_Lista!G20,M_FactoresComplement!$F$15:$I$434,3,FALSE)/(10^3)))</f>
        <v>0</v>
      </c>
      <c r="N46" s="551">
        <f>SUMIFS(M_Datos!$T$65:$T$67,M_Datos!$U$65:$U$67,M_Lista!G21)</f>
        <v>0</v>
      </c>
      <c r="O46" s="312">
        <f>IF(AND(M_FactoresComplement!$G$6="No",M_FactoresComplement!$G$8="No"),M_Cálculos!N46*M_Factores!$D$213/(10^3),IF(AND(M_FactoresComplement!$G$6="Sí",M_FactoresComplement!$G$8="No"),N46*M_FactoresComplement!G32/(10^3),N46*VLOOKUP(M_FactoresComplement!$C$30&amp;M_Datos!$E$12&amp;M_Lista!G20,M_FactoresComplement!$F$15:$I$434,2,FALSE)/(10^3)))</f>
        <v>0</v>
      </c>
      <c r="P46" s="313">
        <f>IF(AND(M_FactoresComplement!$G$6="No",M_FactoresComplement!$G$8="No"),M_Cálculos!N46*M_Factores!$E$213/(10^3),IF(AND(M_FactoresComplement!$G$6="Sí",M_FactoresComplement!$G$8="No"),N46*M_FactoresComplement!H32/(10^3),N46*VLOOKUP(M_FactoresComplement!$C$30&amp;M_Datos!$E$12&amp;M_Lista!G20,M_FactoresComplement!$F$15:$I$434,3,FALSE)/(10^3)))</f>
        <v>0</v>
      </c>
      <c r="Q46" s="551">
        <f>SUMIFS(M_Datos!$V$65:$V$67,M_Datos!$W$65:$W$67,M_Lista!G21)</f>
        <v>0</v>
      </c>
      <c r="R46" s="312">
        <f>IF(AND(M_FactoresComplement!$G$6="No",M_FactoresComplement!$G$8="No"),M_Cálculos!Q46*M_Factores!$D$213/(10^3),IF(AND(M_FactoresComplement!$G$6="Sí",M_FactoresComplement!$G$8="No"),Q46*M_FactoresComplement!G32/(10^3),Q46*VLOOKUP(M_FactoresComplement!$C$30&amp;M_Datos!$E$12&amp;M_Lista!G20,M_FactoresComplement!$F$15:$I$434,2,FALSE)/(10^3)))</f>
        <v>0</v>
      </c>
      <c r="S46" s="313">
        <f>IF(AND(M_FactoresComplement!$G$6="No",M_FactoresComplement!$G$8="No"),M_Cálculos!Q46*M_Factores!$E$213/(10^3),IF(AND(M_FactoresComplement!$G$6="Sí",M_FactoresComplement!$G$8="No"),Q46*M_FactoresComplement!H32/(10^3),Q46*VLOOKUP(M_FactoresComplement!$C$30&amp;M_Datos!$E$12&amp;M_Lista!G20,M_FactoresComplement!$F$15:$I$434,3,FALSE)/(10^3)))</f>
        <v>0</v>
      </c>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row>
    <row r="47" spans="2:841">
      <c r="B47" s="11"/>
      <c r="C47" s="657"/>
      <c r="D47" s="289" t="s">
        <v>628</v>
      </c>
      <c r="E47" s="551">
        <f>SUMIFS(M_Datos!$N$65:$N$67,M_Datos!$O$65:$O$67,M_Lista!G22)</f>
        <v>0</v>
      </c>
      <c r="F47" s="312">
        <f>IF(AND(M_FactoresComplement!$G$6="No",M_FactoresComplement!$G$8="No"),M_Cálculos!E47*M_Factores!$D$213/(10^3),IF(AND(M_FactoresComplement!$G$6="Sí",M_FactoresComplement!$G$8="No"),E47*M_FactoresComplement!G33/(10^3),E47*VLOOKUP(M_FactoresComplement!$C$30&amp;M_Datos!$E$12&amp;M_Lista!G21,M_FactoresComplement!$F$15:$I$434,2,FALSE)/(10^3)))</f>
        <v>0</v>
      </c>
      <c r="G47" s="313">
        <f>IF(AND(M_FactoresComplement!$G$6="No",M_FactoresComplement!$G$8="No"),M_Cálculos!E47*M_Factores!$E$213/(10^3),IF(AND(M_FactoresComplement!$G$6="Sí",M_FactoresComplement!$G$8="No"),E47*M_FactoresComplement!H33/(10^3),E47*VLOOKUP(M_FactoresComplement!$C$30&amp;M_Datos!$E$12&amp;M_Lista!G21,M_FactoresComplement!$F$15:$I$434,3,FALSE)/(10^3)))</f>
        <v>0</v>
      </c>
      <c r="H47" s="551">
        <f>SUMIFS(M_Datos!$P$65:$P$67,M_Datos!$Q$65:$Q$67,M_Lista!G22)</f>
        <v>0</v>
      </c>
      <c r="I47" s="312">
        <f>IF(AND(M_FactoresComplement!$G$6="No",M_FactoresComplement!$G$8="No"),M_Cálculos!H47*M_Factores!$D$213/(10^3),IF(AND(M_FactoresComplement!$G$6="Sí",M_FactoresComplement!$G$8="No"),H47*M_FactoresComplement!G33/(10^3),H47*VLOOKUP(M_FactoresComplement!$C$30&amp;M_Datos!$E$12&amp;M_Lista!G21,M_FactoresComplement!$F$15:$I$434,2,FALSE)/(10^3)))</f>
        <v>0</v>
      </c>
      <c r="J47" s="313">
        <f>IF(AND(M_FactoresComplement!$G$6="No",M_FactoresComplement!$G$8="No"),M_Cálculos!H47*M_Factores!$E$213/(10^3),IF(AND(M_FactoresComplement!$G$6="Sí",M_FactoresComplement!$G$8="No"),H47*M_FactoresComplement!H33/(10^3),H47*VLOOKUP(M_FactoresComplement!$C$30&amp;M_Datos!$E$12&amp;M_Lista!G21,M_FactoresComplement!$F$15:$I$434,3,FALSE)/(10^3)))</f>
        <v>0</v>
      </c>
      <c r="K47" s="551">
        <f>SUMIFS(M_Datos!$R$65:$R$67,M_Datos!$S$65:$S$67,M_Lista!G22)</f>
        <v>0</v>
      </c>
      <c r="L47" s="312">
        <f>IF(AND(M_FactoresComplement!$G$6="No",M_FactoresComplement!$G$8="No"),M_Cálculos!K47*M_Factores!$D$213/(10^3),IF(AND(M_FactoresComplement!$G$6="Sí",M_FactoresComplement!$G$8="No"),K47*M_FactoresComplement!G33/(10^3),K47*VLOOKUP(M_FactoresComplement!$C$30&amp;M_Datos!$E$12&amp;M_Lista!G21,M_FactoresComplement!$F$15:$I$434,2,FALSE)/(10^3)))</f>
        <v>0</v>
      </c>
      <c r="M47" s="313">
        <f>IF(AND(M_FactoresComplement!$G$6="No",M_FactoresComplement!$G$8="No"),M_Cálculos!K47*M_Factores!$E$213/(10^3),IF(AND(M_FactoresComplement!$G$6="Sí",M_FactoresComplement!$G$8="No"),K47*M_FactoresComplement!H33/(10^3),K47*VLOOKUP(M_FactoresComplement!$C$30&amp;M_Datos!$E$12&amp;M_Lista!G21,M_FactoresComplement!$F$15:$I$434,3,FALSE)/(10^3)))</f>
        <v>0</v>
      </c>
      <c r="N47" s="551">
        <f>SUMIFS(M_Datos!$T$65:$T$67,M_Datos!$U$65:$U$67,M_Lista!G22)</f>
        <v>0</v>
      </c>
      <c r="O47" s="312">
        <f>IF(AND(M_FactoresComplement!$G$6="No",M_FactoresComplement!$G$8="No"),M_Cálculos!N47*M_Factores!$D$213/(10^3),IF(AND(M_FactoresComplement!$G$6="Sí",M_FactoresComplement!$G$8="No"),N47*M_FactoresComplement!G33/(10^3),N47*VLOOKUP(M_FactoresComplement!$C$30&amp;M_Datos!$E$12&amp;M_Lista!G21,M_FactoresComplement!$F$15:$I$434,2,FALSE)/(10^3)))</f>
        <v>0</v>
      </c>
      <c r="P47" s="313">
        <f>IF(AND(M_FactoresComplement!$G$6="No",M_FactoresComplement!$G$8="No"),M_Cálculos!N47*M_Factores!$E$213/(10^3),IF(AND(M_FactoresComplement!$G$6="Sí",M_FactoresComplement!$G$8="No"),N47*M_FactoresComplement!H33/(10^3),N47*VLOOKUP(M_FactoresComplement!$C$30&amp;M_Datos!$E$12&amp;M_Lista!G21,M_FactoresComplement!$F$15:$I$434,3,FALSE)/(10^3)))</f>
        <v>0</v>
      </c>
      <c r="Q47" s="551">
        <f>SUMIFS(M_Datos!$V$65:$V$67,M_Datos!$W$65:$W$67,M_Lista!G22)</f>
        <v>0</v>
      </c>
      <c r="R47" s="312">
        <f>IF(AND(M_FactoresComplement!$G$6="No",M_FactoresComplement!$G$8="No"),M_Cálculos!Q47*M_Factores!$D$213/(10^3),IF(AND(M_FactoresComplement!$G$6="Sí",M_FactoresComplement!$G$8="No"),Q47*M_FactoresComplement!G33/(10^3),Q47*VLOOKUP(M_FactoresComplement!$C$30&amp;M_Datos!$E$12&amp;M_Lista!G21,M_FactoresComplement!$F$15:$I$434,2,FALSE)/(10^3)))</f>
        <v>0</v>
      </c>
      <c r="S47" s="313">
        <f>IF(AND(M_FactoresComplement!$G$6="No",M_FactoresComplement!$G$8="No"),M_Cálculos!Q47*M_Factores!$E$213/(10^3),IF(AND(M_FactoresComplement!$G$6="Sí",M_FactoresComplement!$G$8="No"),Q47*M_FactoresComplement!H33/(10^3),Q47*VLOOKUP(M_FactoresComplement!$C$30&amp;M_Datos!$E$12&amp;M_Lista!G21,M_FactoresComplement!$F$15:$I$434,3,FALSE)/(10^3)))</f>
        <v>0</v>
      </c>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row>
    <row r="48" spans="2:841">
      <c r="B48" s="11"/>
      <c r="C48" s="657"/>
      <c r="D48" s="289" t="s">
        <v>629</v>
      </c>
      <c r="E48" s="551">
        <f>SUMIFS(M_Datos!$N$65:$N$67,M_Datos!$O$65:$O$67,M_Lista!G23)</f>
        <v>0</v>
      </c>
      <c r="F48" s="312">
        <f>IF(AND(M_FactoresComplement!$G$6="No",M_FactoresComplement!$G$8="No"),M_Cálculos!E48*M_Factores!$D$213/(10^3),IF(AND(M_FactoresComplement!$G$6="Sí",M_FactoresComplement!$G$8="No"),E48*M_FactoresComplement!G34/(10^3),E48*VLOOKUP(M_FactoresComplement!$C$30&amp;M_Datos!$E$12&amp;M_Lista!G22,M_FactoresComplement!$F$15:$I$434,2,FALSE)/(10^3)))</f>
        <v>0</v>
      </c>
      <c r="G48" s="313">
        <f>IF(AND(M_FactoresComplement!$G$6="No",M_FactoresComplement!$G$8="No"),M_Cálculos!E48*M_Factores!$E$213/(10^3),IF(AND(M_FactoresComplement!$G$6="Sí",M_FactoresComplement!$G$8="No"),E48*M_FactoresComplement!H34/(10^3),E48*VLOOKUP(M_FactoresComplement!$C$30&amp;M_Datos!$E$12&amp;M_Lista!G22,M_FactoresComplement!$F$15:$I$434,3,FALSE)/(10^3)))</f>
        <v>0</v>
      </c>
      <c r="H48" s="551">
        <f>SUMIFS(M_Datos!$P$65:$P$67,M_Datos!$Q$65:$Q$67,M_Lista!G23)</f>
        <v>0</v>
      </c>
      <c r="I48" s="312">
        <f>IF(AND(M_FactoresComplement!$G$6="No",M_FactoresComplement!$G$8="No"),M_Cálculos!H48*M_Factores!$D$213/(10^3),IF(AND(M_FactoresComplement!$G$6="Sí",M_FactoresComplement!$G$8="No"),H48*M_FactoresComplement!G34/(10^3),H48*VLOOKUP(M_FactoresComplement!$C$30&amp;M_Datos!$E$12&amp;M_Lista!G22,M_FactoresComplement!$F$15:$I$434,2,FALSE)/(10^3)))</f>
        <v>0</v>
      </c>
      <c r="J48" s="313">
        <f>IF(AND(M_FactoresComplement!$G$6="No",M_FactoresComplement!$G$8="No"),M_Cálculos!H48*M_Factores!$E$213/(10^3),IF(AND(M_FactoresComplement!$G$6="Sí",M_FactoresComplement!$G$8="No"),H48*M_FactoresComplement!H34/(10^3),H48*VLOOKUP(M_FactoresComplement!$C$30&amp;M_Datos!$E$12&amp;M_Lista!G22,M_FactoresComplement!$F$15:$I$434,3,FALSE)/(10^3)))</f>
        <v>0</v>
      </c>
      <c r="K48" s="551">
        <f>SUMIFS(M_Datos!$R$65:$R$67,M_Datos!$S$65:$S$67,M_Lista!G23)</f>
        <v>0</v>
      </c>
      <c r="L48" s="312">
        <f>IF(AND(M_FactoresComplement!$G$6="No",M_FactoresComplement!$G$8="No"),M_Cálculos!K48*M_Factores!$D$213/(10^3),IF(AND(M_FactoresComplement!$G$6="Sí",M_FactoresComplement!$G$8="No"),K48*M_FactoresComplement!G34/(10^3),K48*VLOOKUP(M_FactoresComplement!$C$30&amp;M_Datos!$E$12&amp;M_Lista!G22,M_FactoresComplement!$F$15:$I$434,2,FALSE)/(10^3)))</f>
        <v>0</v>
      </c>
      <c r="M48" s="313">
        <f>IF(AND(M_FactoresComplement!$G$6="No",M_FactoresComplement!$G$8="No"),M_Cálculos!K48*M_Factores!$E$213/(10^3),IF(AND(M_FactoresComplement!$G$6="Sí",M_FactoresComplement!$G$8="No"),K48*M_FactoresComplement!H34/(10^3),K48*VLOOKUP(M_FactoresComplement!$C$30&amp;M_Datos!$E$12&amp;M_Lista!G22,M_FactoresComplement!$F$15:$I$434,3,FALSE)/(10^3)))</f>
        <v>0</v>
      </c>
      <c r="N48" s="551">
        <f>SUMIFS(M_Datos!$T$65:$T$67,M_Datos!$U$65:$U$67,M_Lista!G23)</f>
        <v>0</v>
      </c>
      <c r="O48" s="312">
        <f>IF(AND(M_FactoresComplement!$G$6="No",M_FactoresComplement!$G$8="No"),M_Cálculos!N48*M_Factores!$D$213/(10^3),IF(AND(M_FactoresComplement!$G$6="Sí",M_FactoresComplement!$G$8="No"),N48*M_FactoresComplement!G34/(10^3),N48*VLOOKUP(M_FactoresComplement!$C$30&amp;M_Datos!$E$12&amp;M_Lista!G22,M_FactoresComplement!$F$15:$I$434,2,FALSE)/(10^3)))</f>
        <v>0</v>
      </c>
      <c r="P48" s="313">
        <f>IF(AND(M_FactoresComplement!$G$6="No",M_FactoresComplement!$G$8="No"),M_Cálculos!N48*M_Factores!$E$213/(10^3),IF(AND(M_FactoresComplement!$G$6="Sí",M_FactoresComplement!$G$8="No"),N48*M_FactoresComplement!H34/(10^3),N48*VLOOKUP(M_FactoresComplement!$C$30&amp;M_Datos!$E$12&amp;M_Lista!G22,M_FactoresComplement!$F$15:$I$434,3,FALSE)/(10^3)))</f>
        <v>0</v>
      </c>
      <c r="Q48" s="551">
        <f>SUMIFS(M_Datos!$V$65:$V$67,M_Datos!$W$65:$W$67,M_Lista!G23)</f>
        <v>0</v>
      </c>
      <c r="R48" s="312">
        <f>IF(AND(M_FactoresComplement!$G$6="No",M_FactoresComplement!$G$8="No"),M_Cálculos!Q48*M_Factores!$D$213/(10^3),IF(AND(M_FactoresComplement!$G$6="Sí",M_FactoresComplement!$G$8="No"),Q48*M_FactoresComplement!G34/(10^3),Q48*VLOOKUP(M_FactoresComplement!$C$30&amp;M_Datos!$E$12&amp;M_Lista!G22,M_FactoresComplement!$F$15:$I$434,2,FALSE)/(10^3)))</f>
        <v>0</v>
      </c>
      <c r="S48" s="313">
        <f>IF(AND(M_FactoresComplement!$G$6="No",M_FactoresComplement!$G$8="No"),M_Cálculos!Q48*M_Factores!$E$213/(10^3),IF(AND(M_FactoresComplement!$G$6="Sí",M_FactoresComplement!$G$8="No"),Q48*M_FactoresComplement!H34/(10^3),Q48*VLOOKUP(M_FactoresComplement!$C$30&amp;M_Datos!$E$12&amp;M_Lista!G22,M_FactoresComplement!$F$15:$I$434,3,FALSE)/(10^3)))</f>
        <v>0</v>
      </c>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row>
    <row r="49" spans="2:841">
      <c r="B49" s="11"/>
      <c r="C49" s="657"/>
      <c r="D49" s="289" t="str">
        <f>IF(Idioma=Castellano,"Consumo nulo",IF(Idioma=Valencià,"Consum nul","Consumo nulo"))</f>
        <v>Consumo nulo</v>
      </c>
      <c r="E49" s="551">
        <f>SUMIFS(M_Datos!$N$65:$N$67,M_Datos!$O$65:$O$67,M_Lista!G24)</f>
        <v>0</v>
      </c>
      <c r="F49" s="312">
        <f>IF(AND(M_FactoresComplement!$G$6="No",M_FactoresComplement!$G$8="No"),M_Cálculos!E49*M_Factores!$D$213/(10^3),IF(AND(M_FactoresComplement!$G$6="Sí",M_FactoresComplement!$G$8="No"),E49*M_FactoresComplement!G35/(10^3),E49*VLOOKUP(M_FactoresComplement!$C$30&amp;M_Datos!$E$12&amp;M_Lista!G23,M_FactoresComplement!$F$15:$I$434,2,FALSE)/(10^3)))</f>
        <v>0</v>
      </c>
      <c r="G49" s="313">
        <f>IF(AND(M_FactoresComplement!$G$6="No",M_FactoresComplement!$G$8="No"),M_Cálculos!E49*M_Factores!$E$213/(10^3),IF(AND(M_FactoresComplement!$G$6="Sí",M_FactoresComplement!$G$8="No"),E49*M_FactoresComplement!H35/(10^3),E49*VLOOKUP(M_FactoresComplement!$C$30&amp;M_Datos!$E$12&amp;M_Lista!G23,M_FactoresComplement!$F$15:$I$434,3,FALSE)/(10^3)))</f>
        <v>0</v>
      </c>
      <c r="H49" s="551">
        <f>SUMIFS(M_Datos!$P$65:$P$67,M_Datos!$Q$65:$Q$67,M_Lista!G24)</f>
        <v>0</v>
      </c>
      <c r="I49" s="312">
        <f>IF(AND(M_FactoresComplement!$G$6="No",M_FactoresComplement!$G$8="No"),M_Cálculos!H49*M_Factores!$D$213/(10^3),IF(AND(M_FactoresComplement!$G$6="Sí",M_FactoresComplement!$G$8="No"),H49*M_FactoresComplement!G35/(10^3),H49*VLOOKUP(M_FactoresComplement!$C$30&amp;M_Datos!$E$12&amp;M_Lista!G23,M_FactoresComplement!$F$15:$I$434,2,FALSE)/(10^3)))</f>
        <v>0</v>
      </c>
      <c r="J49" s="313">
        <f>IF(AND(M_FactoresComplement!$G$6="No",M_FactoresComplement!$G$8="No"),M_Cálculos!H49*M_Factores!$E$213/(10^3),IF(AND(M_FactoresComplement!$G$6="Sí",M_FactoresComplement!$G$8="No"),H49*M_FactoresComplement!H35/(10^3),H49*VLOOKUP(M_FactoresComplement!$C$30&amp;M_Datos!$E$12&amp;M_Lista!G23,M_FactoresComplement!$F$15:$I$434,3,FALSE)/(10^3)))</f>
        <v>0</v>
      </c>
      <c r="K49" s="551">
        <f>SUMIFS(M_Datos!$R$65:$R$67,M_Datos!$S$65:$S$67,M_Lista!G24)</f>
        <v>0</v>
      </c>
      <c r="L49" s="312">
        <f>IF(AND(M_FactoresComplement!$G$6="No",M_FactoresComplement!$G$8="No"),M_Cálculos!K49*M_Factores!$D$213/(10^3),IF(AND(M_FactoresComplement!$G$6="Sí",M_FactoresComplement!$G$8="No"),K49*M_FactoresComplement!G35/(10^3),K49*VLOOKUP(M_FactoresComplement!$C$30&amp;M_Datos!$E$12&amp;M_Lista!G23,M_FactoresComplement!$F$15:$I$434,2,FALSE)/(10^3)))</f>
        <v>0</v>
      </c>
      <c r="M49" s="313">
        <f>IF(AND(M_FactoresComplement!$G$6="No",M_FactoresComplement!$G$8="No"),M_Cálculos!K49*M_Factores!$E$213/(10^3),IF(AND(M_FactoresComplement!$G$6="Sí",M_FactoresComplement!$G$8="No"),K49*M_FactoresComplement!H35/(10^3),K49*VLOOKUP(M_FactoresComplement!$C$30&amp;M_Datos!$E$12&amp;M_Lista!G23,M_FactoresComplement!$F$15:$I$434,3,FALSE)/(10^3)))</f>
        <v>0</v>
      </c>
      <c r="N49" s="551">
        <f>SUMIFS(M_Datos!$T$65:$T$67,M_Datos!$U$65:$U$67,M_Lista!G24)</f>
        <v>0</v>
      </c>
      <c r="O49" s="312">
        <f>IF(AND(M_FactoresComplement!$G$6="No",M_FactoresComplement!$G$8="No"),M_Cálculos!N49*M_Factores!$D$213/(10^3),IF(AND(M_FactoresComplement!$G$6="Sí",M_FactoresComplement!$G$8="No"),N49*M_FactoresComplement!G35/(10^3),N49*VLOOKUP(M_FactoresComplement!$C$30&amp;M_Datos!$E$12&amp;M_Lista!G23,M_FactoresComplement!$F$15:$I$434,2,FALSE)/(10^3)))</f>
        <v>0</v>
      </c>
      <c r="P49" s="313">
        <f>IF(AND(M_FactoresComplement!$G$6="No",M_FactoresComplement!$G$8="No"),M_Cálculos!N49*M_Factores!$E$213/(10^3),IF(AND(M_FactoresComplement!$G$6="Sí",M_FactoresComplement!$G$8="No"),N49*M_FactoresComplement!H35/(10^3),N49*VLOOKUP(M_FactoresComplement!$C$30&amp;M_Datos!$E$12&amp;M_Lista!G23,M_FactoresComplement!$F$15:$I$434,3,FALSE)/(10^3)))</f>
        <v>0</v>
      </c>
      <c r="Q49" s="551">
        <f>SUMIFS(M_Datos!$V$65:$V$67,M_Datos!$W$65:$W$67,M_Lista!G24)</f>
        <v>0</v>
      </c>
      <c r="R49" s="312">
        <f>IF(AND(M_FactoresComplement!$G$6="No",M_FactoresComplement!$G$8="No"),M_Cálculos!Q49*M_Factores!$D$213/(10^3),IF(AND(M_FactoresComplement!$G$6="Sí",M_FactoresComplement!$G$8="No"),Q49*M_FactoresComplement!G35/(10^3),Q49*VLOOKUP(M_FactoresComplement!$C$30&amp;M_Datos!$E$12&amp;M_Lista!G23,M_FactoresComplement!$F$15:$I$434,2,FALSE)/(10^3)))</f>
        <v>0</v>
      </c>
      <c r="S49" s="313">
        <f>IF(AND(M_FactoresComplement!$G$6="No",M_FactoresComplement!$G$8="No"),M_Cálculos!Q49*M_Factores!$E$213/(10^3),IF(AND(M_FactoresComplement!$G$6="Sí",M_FactoresComplement!$G$8="No"),Q49*M_FactoresComplement!H35/(10^3),Q49*VLOOKUP(M_FactoresComplement!$C$30&amp;M_Datos!$E$12&amp;M_Lista!G23,M_FactoresComplement!$F$15:$I$434,3,FALSE)/(10^3)))</f>
        <v>0</v>
      </c>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row>
    <row r="50" spans="2:841">
      <c r="B50" s="11"/>
      <c r="C50" s="657"/>
      <c r="D50" s="289" t="str">
        <f>IF(Idioma=Castellano,"Sin definir",IF(Idioma=Valencià,"Sense definir","Sin definir"))</f>
        <v>Sin definir</v>
      </c>
      <c r="E50" s="551">
        <f>SUMIFS(M_Datos!$N$65:$N$67,M_Datos!$O$65:$O$67,M_Lista!G25)</f>
        <v>0</v>
      </c>
      <c r="F50" s="312">
        <v>0</v>
      </c>
      <c r="G50" s="313">
        <v>0</v>
      </c>
      <c r="H50" s="551">
        <f>SUMIFS(M_Datos!$P$65:$P$67,M_Datos!$Q$65:$Q$67,M_Lista!G25)</f>
        <v>0</v>
      </c>
      <c r="I50" s="312">
        <v>0</v>
      </c>
      <c r="J50" s="313">
        <v>0</v>
      </c>
      <c r="K50" s="551">
        <f>SUMIFS(M_Datos!$R$65:$R$67,M_Datos!$S$65:$S$67,M_Lista!G25)</f>
        <v>0</v>
      </c>
      <c r="L50" s="312">
        <v>0</v>
      </c>
      <c r="M50" s="313">
        <v>0</v>
      </c>
      <c r="N50" s="551">
        <f>SUMIFS(M_Datos!$T$65:$T$67,M_Datos!$U$65:$U$67,M_Lista!G25)</f>
        <v>0</v>
      </c>
      <c r="O50" s="312">
        <v>0</v>
      </c>
      <c r="P50" s="313">
        <v>0</v>
      </c>
      <c r="Q50" s="551">
        <f>SUMIFS(M_Datos!$V$65:$V$67,M_Datos!$W$65:$W$67,M_Lista!G25)</f>
        <v>0</v>
      </c>
      <c r="R50" s="312">
        <v>0</v>
      </c>
      <c r="S50" s="313">
        <v>0</v>
      </c>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c r="XX50" s="11"/>
      <c r="XY50" s="11"/>
      <c r="XZ50" s="11"/>
      <c r="YA50" s="11"/>
      <c r="YB50" s="11"/>
      <c r="YC50" s="11"/>
      <c r="YD50" s="11"/>
      <c r="YE50" s="11"/>
      <c r="YF50" s="11"/>
      <c r="YG50" s="11"/>
      <c r="YH50" s="11"/>
      <c r="YI50" s="11"/>
      <c r="YJ50" s="11"/>
      <c r="YK50" s="11"/>
      <c r="YL50" s="11"/>
      <c r="YM50" s="11"/>
      <c r="YN50" s="11"/>
      <c r="YO50" s="11"/>
      <c r="YP50" s="11"/>
      <c r="YQ50" s="11"/>
      <c r="YR50" s="11"/>
      <c r="YS50" s="11"/>
      <c r="YT50" s="11"/>
      <c r="YU50" s="11"/>
      <c r="YV50" s="11"/>
      <c r="YW50" s="11"/>
      <c r="YX50" s="11"/>
      <c r="YY50" s="11"/>
      <c r="YZ50" s="11"/>
      <c r="ZA50" s="11"/>
      <c r="ZB50" s="11"/>
      <c r="ZC50" s="11"/>
      <c r="ZD50" s="11"/>
      <c r="ZE50" s="11"/>
      <c r="ZF50" s="11"/>
      <c r="ZG50" s="11"/>
      <c r="ZH50" s="11"/>
      <c r="ZI50" s="11"/>
      <c r="ZJ50" s="11"/>
      <c r="ZK50" s="11"/>
      <c r="ZL50" s="11"/>
      <c r="ZM50" s="11"/>
      <c r="ZN50" s="11"/>
      <c r="ZO50" s="11"/>
      <c r="ZP50" s="11"/>
      <c r="ZQ50" s="11"/>
      <c r="ZR50" s="11"/>
      <c r="ZS50" s="11"/>
      <c r="ZT50" s="11"/>
      <c r="ZU50" s="11"/>
      <c r="ZV50" s="11"/>
      <c r="ZW50" s="11"/>
      <c r="ZX50" s="11"/>
      <c r="ZY50" s="11"/>
      <c r="ZZ50" s="11"/>
      <c r="AAA50" s="11"/>
      <c r="AAB50" s="11"/>
      <c r="AAC50" s="11"/>
      <c r="AAD50" s="11"/>
      <c r="AAE50" s="11"/>
      <c r="AAF50" s="11"/>
      <c r="AAG50" s="11"/>
      <c r="AAH50" s="11"/>
      <c r="AAI50" s="11"/>
      <c r="AAJ50" s="11"/>
      <c r="AAK50" s="11"/>
      <c r="AAL50" s="11"/>
      <c r="AAM50" s="11"/>
      <c r="AAN50" s="11"/>
      <c r="AAO50" s="11"/>
      <c r="AAP50" s="11"/>
      <c r="AAQ50" s="11"/>
      <c r="AAR50" s="11"/>
      <c r="AAS50" s="11"/>
      <c r="AAT50" s="11"/>
      <c r="AAU50" s="11"/>
      <c r="AAV50" s="11"/>
      <c r="AAW50" s="11"/>
      <c r="AAX50" s="11"/>
      <c r="AAY50" s="11"/>
      <c r="AAZ50" s="11"/>
      <c r="ABA50" s="11"/>
      <c r="ABB50" s="11"/>
      <c r="ABC50" s="11"/>
      <c r="ABD50" s="11"/>
      <c r="ABE50" s="11"/>
      <c r="ABF50" s="11"/>
      <c r="ABG50" s="11"/>
      <c r="ABH50" s="11"/>
      <c r="ABI50" s="11"/>
      <c r="ABJ50" s="11"/>
      <c r="ABK50" s="11"/>
      <c r="ABL50" s="11"/>
      <c r="ABM50" s="11"/>
      <c r="ABN50" s="11"/>
      <c r="ABO50" s="11"/>
      <c r="ABP50" s="11"/>
      <c r="ABQ50" s="11"/>
      <c r="ABR50" s="11"/>
      <c r="ABS50" s="11"/>
      <c r="ABT50" s="11"/>
      <c r="ABU50" s="11"/>
      <c r="ABV50" s="11"/>
      <c r="ABW50" s="11"/>
      <c r="ABX50" s="11"/>
      <c r="ABY50" s="11"/>
      <c r="ABZ50" s="11"/>
      <c r="ACA50" s="11"/>
      <c r="ACB50" s="11"/>
      <c r="ACC50" s="11"/>
      <c r="ACD50" s="11"/>
      <c r="ACE50" s="11"/>
      <c r="ACF50" s="11"/>
      <c r="ACG50" s="11"/>
      <c r="ACH50" s="11"/>
      <c r="ACI50" s="11"/>
      <c r="ACJ50" s="11"/>
      <c r="ACK50" s="11"/>
      <c r="ACL50" s="11"/>
      <c r="ACM50" s="11"/>
      <c r="ACN50" s="11"/>
      <c r="ACO50" s="11"/>
      <c r="ACP50" s="11"/>
      <c r="ACQ50" s="11"/>
      <c r="ACR50" s="11"/>
      <c r="ACS50" s="11"/>
      <c r="ACT50" s="11"/>
      <c r="ACU50" s="11"/>
      <c r="ACV50" s="11"/>
      <c r="ACW50" s="11"/>
      <c r="ACX50" s="11"/>
      <c r="ACY50" s="11"/>
      <c r="ACZ50" s="11"/>
      <c r="ADA50" s="11"/>
      <c r="ADB50" s="11"/>
      <c r="ADC50" s="11"/>
      <c r="ADD50" s="11"/>
      <c r="ADE50" s="11"/>
      <c r="ADF50" s="11"/>
      <c r="ADG50" s="11"/>
      <c r="ADH50" s="11"/>
      <c r="ADI50" s="11"/>
      <c r="ADJ50" s="11"/>
      <c r="ADK50" s="11"/>
      <c r="ADL50" s="11"/>
      <c r="ADM50" s="11"/>
      <c r="ADN50" s="11"/>
      <c r="ADO50" s="11"/>
      <c r="ADP50" s="11"/>
      <c r="ADQ50" s="11"/>
      <c r="ADR50" s="11"/>
      <c r="ADS50" s="11"/>
      <c r="ADT50" s="11"/>
      <c r="ADU50" s="11"/>
      <c r="ADV50" s="11"/>
      <c r="ADW50" s="11"/>
      <c r="ADX50" s="11"/>
      <c r="ADY50" s="11"/>
      <c r="ADZ50" s="11"/>
      <c r="AEA50" s="11"/>
      <c r="AEB50" s="11"/>
      <c r="AEC50" s="11"/>
      <c r="AED50" s="11"/>
      <c r="AEE50" s="11"/>
      <c r="AEF50" s="11"/>
      <c r="AEG50" s="11"/>
      <c r="AEH50" s="11"/>
      <c r="AEI50" s="11"/>
      <c r="AEJ50" s="11"/>
      <c r="AEK50" s="11"/>
      <c r="AEL50" s="11"/>
      <c r="AEM50" s="11"/>
      <c r="AEN50" s="11"/>
      <c r="AEO50" s="11"/>
      <c r="AEP50" s="11"/>
      <c r="AEQ50" s="11"/>
      <c r="AER50" s="11"/>
      <c r="AES50" s="11"/>
      <c r="AET50" s="11"/>
      <c r="AEU50" s="11"/>
      <c r="AEV50" s="11"/>
      <c r="AEW50" s="11"/>
      <c r="AEX50" s="11"/>
      <c r="AEY50" s="11"/>
      <c r="AEZ50" s="11"/>
      <c r="AFA50" s="11"/>
      <c r="AFB50" s="11"/>
      <c r="AFC50" s="11"/>
      <c r="AFD50" s="11"/>
      <c r="AFE50" s="11"/>
      <c r="AFF50" s="11"/>
      <c r="AFG50" s="11"/>
      <c r="AFH50" s="11"/>
      <c r="AFI50" s="11"/>
    </row>
    <row r="51" spans="2:841">
      <c r="B51" s="11"/>
      <c r="C51" s="657"/>
      <c r="D51" s="315" t="s">
        <v>925</v>
      </c>
      <c r="E51" s="552">
        <f t="shared" ref="E51:S51" si="3">SUM(E43:E50)</f>
        <v>0</v>
      </c>
      <c r="F51" s="314">
        <f t="shared" si="3"/>
        <v>0</v>
      </c>
      <c r="G51" s="317">
        <f t="shared" si="3"/>
        <v>0</v>
      </c>
      <c r="H51" s="552">
        <f t="shared" si="3"/>
        <v>0</v>
      </c>
      <c r="I51" s="314">
        <f t="shared" si="3"/>
        <v>0</v>
      </c>
      <c r="J51" s="317">
        <f t="shared" si="3"/>
        <v>0</v>
      </c>
      <c r="K51" s="552">
        <f t="shared" si="3"/>
        <v>0</v>
      </c>
      <c r="L51" s="314">
        <f t="shared" si="3"/>
        <v>0</v>
      </c>
      <c r="M51" s="317">
        <f t="shared" si="3"/>
        <v>0</v>
      </c>
      <c r="N51" s="552">
        <f t="shared" si="3"/>
        <v>0</v>
      </c>
      <c r="O51" s="314">
        <f t="shared" si="3"/>
        <v>0</v>
      </c>
      <c r="P51" s="317">
        <f t="shared" si="3"/>
        <v>0</v>
      </c>
      <c r="Q51" s="552">
        <f t="shared" si="3"/>
        <v>0</v>
      </c>
      <c r="R51" s="314">
        <f t="shared" si="3"/>
        <v>0</v>
      </c>
      <c r="S51" s="317">
        <f t="shared" si="3"/>
        <v>0</v>
      </c>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c r="XX51" s="11"/>
      <c r="XY51" s="11"/>
      <c r="XZ51" s="11"/>
      <c r="YA51" s="11"/>
      <c r="YB51" s="11"/>
      <c r="YC51" s="11"/>
      <c r="YD51" s="11"/>
      <c r="YE51" s="11"/>
      <c r="YF51" s="11"/>
      <c r="YG51" s="11"/>
      <c r="YH51" s="11"/>
      <c r="YI51" s="11"/>
      <c r="YJ51" s="11"/>
      <c r="YK51" s="11"/>
      <c r="YL51" s="11"/>
      <c r="YM51" s="11"/>
      <c r="YN51" s="11"/>
      <c r="YO51" s="11"/>
      <c r="YP51" s="11"/>
      <c r="YQ51" s="11"/>
      <c r="YR51" s="11"/>
      <c r="YS51" s="11"/>
      <c r="YT51" s="11"/>
      <c r="YU51" s="11"/>
      <c r="YV51" s="11"/>
      <c r="YW51" s="11"/>
      <c r="YX51" s="11"/>
      <c r="YY51" s="11"/>
      <c r="YZ51" s="11"/>
      <c r="ZA51" s="11"/>
      <c r="ZB51" s="11"/>
      <c r="ZC51" s="11"/>
      <c r="ZD51" s="11"/>
      <c r="ZE51" s="11"/>
      <c r="ZF51" s="11"/>
      <c r="ZG51" s="11"/>
      <c r="ZH51" s="11"/>
      <c r="ZI51" s="11"/>
      <c r="ZJ51" s="11"/>
      <c r="ZK51" s="11"/>
      <c r="ZL51" s="11"/>
      <c r="ZM51" s="11"/>
      <c r="ZN51" s="11"/>
      <c r="ZO51" s="11"/>
      <c r="ZP51" s="11"/>
      <c r="ZQ51" s="11"/>
      <c r="ZR51" s="11"/>
      <c r="ZS51" s="11"/>
      <c r="ZT51" s="11"/>
      <c r="ZU51" s="11"/>
      <c r="ZV51" s="11"/>
      <c r="ZW51" s="11"/>
      <c r="ZX51" s="11"/>
      <c r="ZY51" s="11"/>
      <c r="ZZ51" s="11"/>
      <c r="AAA51" s="11"/>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11"/>
      <c r="ABE51" s="11"/>
      <c r="ABF51" s="11"/>
      <c r="ABG51" s="11"/>
      <c r="ABH51" s="11"/>
      <c r="ABI51" s="11"/>
      <c r="ABJ51" s="11"/>
      <c r="ABK51" s="11"/>
      <c r="ABL51" s="11"/>
      <c r="ABM51" s="11"/>
      <c r="ABN51" s="11"/>
      <c r="ABO51" s="11"/>
      <c r="ABP51" s="11"/>
      <c r="ABQ51" s="11"/>
      <c r="ABR51" s="11"/>
      <c r="ABS51" s="11"/>
      <c r="ABT51" s="11"/>
      <c r="ABU51" s="11"/>
      <c r="ABV51" s="11"/>
      <c r="ABW51" s="11"/>
      <c r="ABX51" s="11"/>
      <c r="ABY51" s="11"/>
      <c r="ABZ51" s="11"/>
      <c r="ACA51" s="11"/>
      <c r="ACB51" s="11"/>
      <c r="ACC51" s="11"/>
      <c r="ACD51" s="11"/>
      <c r="ACE51" s="11"/>
      <c r="ACF51" s="11"/>
      <c r="ACG51" s="11"/>
      <c r="ACH51" s="11"/>
      <c r="ACI51" s="11"/>
      <c r="ACJ51" s="11"/>
      <c r="ACK51" s="11"/>
      <c r="ACL51" s="11"/>
      <c r="ACM51" s="11"/>
      <c r="ACN51" s="11"/>
      <c r="ACO51" s="11"/>
      <c r="ACP51" s="11"/>
      <c r="ACQ51" s="11"/>
      <c r="ACR51" s="11"/>
      <c r="ACS51" s="11"/>
      <c r="ACT51" s="11"/>
      <c r="ACU51" s="11"/>
      <c r="ACV51" s="11"/>
      <c r="ACW51" s="11"/>
      <c r="ACX51" s="11"/>
      <c r="ACY51" s="11"/>
      <c r="ACZ51" s="11"/>
      <c r="ADA51" s="11"/>
      <c r="ADB51" s="11"/>
      <c r="ADC51" s="11"/>
      <c r="ADD51" s="11"/>
      <c r="ADE51" s="11"/>
      <c r="ADF51" s="11"/>
      <c r="ADG51" s="11"/>
      <c r="ADH51" s="11"/>
      <c r="ADI51" s="11"/>
      <c r="ADJ51" s="11"/>
      <c r="ADK51" s="11"/>
      <c r="ADL51" s="11"/>
      <c r="ADM51" s="11"/>
      <c r="ADN51" s="11"/>
      <c r="ADO51" s="11"/>
      <c r="ADP51" s="11"/>
      <c r="ADQ51" s="11"/>
      <c r="ADR51" s="11"/>
      <c r="ADS51" s="11"/>
      <c r="ADT51" s="11"/>
      <c r="ADU51" s="11"/>
      <c r="ADV51" s="11"/>
      <c r="ADW51" s="11"/>
      <c r="ADX51" s="11"/>
      <c r="ADY51" s="11"/>
      <c r="ADZ51" s="11"/>
      <c r="AEA51" s="11"/>
      <c r="AEB51" s="11"/>
      <c r="AEC51" s="11"/>
      <c r="AED51" s="11"/>
      <c r="AEE51" s="11"/>
      <c r="AEF51" s="11"/>
      <c r="AEG51" s="11"/>
      <c r="AEH51" s="11"/>
      <c r="AEI51" s="11"/>
      <c r="AEJ51" s="11"/>
      <c r="AEK51" s="11"/>
      <c r="AEL51" s="11"/>
      <c r="AEM51" s="11"/>
      <c r="AEN51" s="11"/>
      <c r="AEO51" s="11"/>
      <c r="AEP51" s="11"/>
      <c r="AEQ51" s="11"/>
      <c r="AER51" s="11"/>
      <c r="AES51" s="11"/>
      <c r="AET51" s="11"/>
      <c r="AEU51" s="11"/>
      <c r="AEV51" s="11"/>
      <c r="AEW51" s="11"/>
      <c r="AEX51" s="11"/>
      <c r="AEY51" s="11"/>
      <c r="AEZ51" s="11"/>
      <c r="AFA51" s="11"/>
      <c r="AFB51" s="11"/>
      <c r="AFC51" s="11"/>
      <c r="AFD51" s="11"/>
      <c r="AFE51" s="11"/>
      <c r="AFF51" s="11"/>
      <c r="AFG51" s="11"/>
      <c r="AFH51" s="11"/>
      <c r="AFI51" s="11"/>
    </row>
    <row r="52" spans="2:841">
      <c r="B52" s="11"/>
      <c r="C52" s="657" t="str">
        <f>M_Datos!L68</f>
        <v>Restauración</v>
      </c>
      <c r="D52" s="289" t="s">
        <v>622</v>
      </c>
      <c r="E52" s="488" t="s">
        <v>623</v>
      </c>
      <c r="F52" s="488" t="s">
        <v>948</v>
      </c>
      <c r="G52" s="488" t="s">
        <v>624</v>
      </c>
      <c r="H52" s="488" t="s">
        <v>623</v>
      </c>
      <c r="I52" s="488" t="s">
        <v>948</v>
      </c>
      <c r="J52" s="488" t="s">
        <v>624</v>
      </c>
      <c r="K52" s="488" t="s">
        <v>623</v>
      </c>
      <c r="L52" s="488" t="s">
        <v>948</v>
      </c>
      <c r="M52" s="488" t="s">
        <v>624</v>
      </c>
      <c r="N52" s="488" t="s">
        <v>623</v>
      </c>
      <c r="O52" s="488" t="s">
        <v>948</v>
      </c>
      <c r="P52" s="488" t="s">
        <v>624</v>
      </c>
      <c r="Q52" s="488" t="s">
        <v>623</v>
      </c>
      <c r="R52" s="488" t="s">
        <v>948</v>
      </c>
      <c r="S52" s="488" t="s">
        <v>624</v>
      </c>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c r="KJ52" s="11"/>
      <c r="KK52" s="11"/>
      <c r="KL52" s="11"/>
      <c r="KM52" s="11"/>
      <c r="KN52" s="11"/>
      <c r="KO52" s="11"/>
      <c r="KP52" s="11"/>
      <c r="KQ52" s="11"/>
      <c r="KR52" s="11"/>
      <c r="KS52" s="11"/>
      <c r="KT52" s="11"/>
      <c r="KU52" s="11"/>
      <c r="KV52" s="11"/>
      <c r="KW52" s="11"/>
      <c r="KX52" s="11"/>
      <c r="KY52" s="11"/>
      <c r="KZ52" s="11"/>
      <c r="LA52" s="11"/>
      <c r="LB52" s="11"/>
      <c r="LC52" s="11"/>
      <c r="LD52" s="11"/>
      <c r="LE52" s="11"/>
      <c r="LF52" s="11"/>
      <c r="LG52" s="11"/>
      <c r="LH52" s="11"/>
      <c r="LI52" s="11"/>
      <c r="LJ52" s="11"/>
      <c r="LK52" s="11"/>
      <c r="LL52" s="11"/>
      <c r="LM52" s="11"/>
      <c r="LN52" s="11"/>
      <c r="LO52" s="11"/>
      <c r="LP52" s="11"/>
      <c r="LQ52" s="11"/>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c r="QL52" s="11"/>
      <c r="QM52" s="11"/>
      <c r="QN52" s="11"/>
      <c r="QO52" s="11"/>
      <c r="QP52" s="11"/>
      <c r="QQ52" s="11"/>
      <c r="QR52" s="11"/>
      <c r="QS52" s="11"/>
      <c r="QT52" s="11"/>
      <c r="QU52" s="11"/>
      <c r="QV52" s="11"/>
      <c r="QW52" s="11"/>
      <c r="QX52" s="11"/>
      <c r="QY52" s="11"/>
      <c r="QZ52" s="11"/>
      <c r="RA52" s="11"/>
      <c r="RB52" s="11"/>
      <c r="RC52" s="11"/>
      <c r="RD52" s="11"/>
      <c r="RE52" s="11"/>
      <c r="RF52" s="11"/>
      <c r="RG52" s="11"/>
      <c r="RH52" s="11"/>
      <c r="RI52" s="11"/>
      <c r="RJ52" s="11"/>
      <c r="RK52" s="11"/>
      <c r="RL52" s="11"/>
      <c r="RM52" s="11"/>
      <c r="RN52" s="11"/>
      <c r="RO52" s="11"/>
      <c r="RP52" s="11"/>
      <c r="RQ52" s="11"/>
      <c r="RR52" s="11"/>
      <c r="RS52" s="11"/>
      <c r="RT52" s="11"/>
      <c r="RU52" s="11"/>
      <c r="RV52" s="11"/>
      <c r="RW52" s="11"/>
      <c r="RX52" s="11"/>
      <c r="RY52" s="11"/>
      <c r="RZ52" s="11"/>
      <c r="SA52" s="11"/>
      <c r="SB52" s="11"/>
      <c r="SC52" s="11"/>
      <c r="SD52" s="11"/>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c r="TR52" s="11"/>
      <c r="TS52" s="11"/>
      <c r="TT52" s="11"/>
      <c r="TU52" s="11"/>
      <c r="TV52" s="11"/>
      <c r="TW52" s="11"/>
      <c r="TX52" s="11"/>
      <c r="TY52" s="11"/>
      <c r="TZ52" s="11"/>
      <c r="UA52" s="11"/>
      <c r="UB52" s="11"/>
      <c r="UC52" s="11"/>
      <c r="UD52" s="11"/>
      <c r="UE52" s="11"/>
      <c r="UF52" s="11"/>
      <c r="UG52" s="11"/>
      <c r="UH52" s="11"/>
      <c r="UI52" s="11"/>
      <c r="UJ52" s="11"/>
      <c r="UK52" s="11"/>
      <c r="UL52" s="11"/>
      <c r="UM52" s="11"/>
      <c r="UN52" s="11"/>
      <c r="UO52" s="11"/>
      <c r="UP52" s="11"/>
      <c r="UQ52" s="11"/>
      <c r="UR52" s="11"/>
      <c r="US52" s="11"/>
      <c r="UT52" s="11"/>
      <c r="UU52" s="11"/>
      <c r="UV52" s="11"/>
      <c r="UW52" s="11"/>
      <c r="UX52" s="11"/>
      <c r="UY52" s="11"/>
      <c r="UZ52" s="11"/>
      <c r="VA52" s="11"/>
      <c r="VB52" s="11"/>
      <c r="VC52" s="11"/>
      <c r="VD52" s="11"/>
      <c r="VE52" s="11"/>
      <c r="VF52" s="11"/>
      <c r="VG52" s="11"/>
      <c r="VH52" s="11"/>
      <c r="VI52" s="11"/>
      <c r="VJ52" s="11"/>
      <c r="VK52" s="11"/>
      <c r="VL52" s="11"/>
      <c r="VM52" s="11"/>
      <c r="VN52" s="11"/>
      <c r="VO52" s="11"/>
      <c r="VP52" s="11"/>
      <c r="VQ52" s="11"/>
      <c r="VR52" s="11"/>
      <c r="VS52" s="11"/>
      <c r="VT52" s="11"/>
      <c r="VU52" s="11"/>
      <c r="VV52" s="11"/>
      <c r="VW52" s="11"/>
      <c r="VX52" s="11"/>
      <c r="VY52" s="11"/>
      <c r="VZ52" s="11"/>
      <c r="WA52" s="11"/>
      <c r="WB52" s="11"/>
      <c r="WC52" s="11"/>
      <c r="WD52" s="11"/>
      <c r="WE52" s="11"/>
      <c r="WF52" s="11"/>
      <c r="WG52" s="11"/>
      <c r="WH52" s="11"/>
      <c r="WI52" s="11"/>
      <c r="WJ52" s="11"/>
      <c r="WK52" s="11"/>
      <c r="WL52" s="11"/>
      <c r="WM52" s="11"/>
      <c r="WN52" s="11"/>
      <c r="WO52" s="11"/>
      <c r="WP52" s="11"/>
      <c r="WQ52" s="11"/>
      <c r="WR52" s="11"/>
      <c r="WS52" s="11"/>
      <c r="WT52" s="11"/>
      <c r="WU52" s="11"/>
      <c r="WV52" s="11"/>
      <c r="WW52" s="11"/>
      <c r="WX52" s="11"/>
      <c r="WY52" s="11"/>
      <c r="WZ52" s="11"/>
      <c r="XA52" s="11"/>
      <c r="XB52" s="11"/>
      <c r="XC52" s="11"/>
      <c r="XD52" s="11"/>
      <c r="XE52" s="11"/>
      <c r="XF52" s="11"/>
      <c r="XG52" s="11"/>
      <c r="XH52" s="11"/>
      <c r="XI52" s="11"/>
      <c r="XJ52" s="11"/>
      <c r="XK52" s="11"/>
      <c r="XL52" s="11"/>
      <c r="XM52" s="11"/>
      <c r="XN52" s="11"/>
      <c r="XO52" s="11"/>
      <c r="XP52" s="11"/>
      <c r="XQ52" s="11"/>
      <c r="XR52" s="11"/>
      <c r="XS52" s="11"/>
      <c r="XT52" s="11"/>
      <c r="XU52" s="11"/>
      <c r="XV52" s="11"/>
      <c r="XW52" s="11"/>
      <c r="XX52" s="11"/>
      <c r="XY52" s="11"/>
      <c r="XZ52" s="11"/>
      <c r="YA52" s="11"/>
      <c r="YB52" s="11"/>
      <c r="YC52" s="11"/>
      <c r="YD52" s="11"/>
      <c r="YE52" s="11"/>
      <c r="YF52" s="11"/>
      <c r="YG52" s="11"/>
      <c r="YH52" s="11"/>
      <c r="YI52" s="11"/>
      <c r="YJ52" s="11"/>
      <c r="YK52" s="11"/>
      <c r="YL52" s="11"/>
      <c r="YM52" s="11"/>
      <c r="YN52" s="11"/>
      <c r="YO52" s="11"/>
      <c r="YP52" s="11"/>
      <c r="YQ52" s="11"/>
      <c r="YR52" s="11"/>
      <c r="YS52" s="11"/>
      <c r="YT52" s="11"/>
      <c r="YU52" s="11"/>
      <c r="YV52" s="11"/>
      <c r="YW52" s="11"/>
      <c r="YX52" s="11"/>
      <c r="YY52" s="11"/>
      <c r="YZ52" s="11"/>
      <c r="ZA52" s="11"/>
      <c r="ZB52" s="11"/>
      <c r="ZC52" s="11"/>
      <c r="ZD52" s="11"/>
      <c r="ZE52" s="11"/>
      <c r="ZF52" s="11"/>
      <c r="ZG52" s="11"/>
      <c r="ZH52" s="11"/>
      <c r="ZI52" s="11"/>
      <c r="ZJ52" s="11"/>
      <c r="ZK52" s="11"/>
      <c r="ZL52" s="11"/>
      <c r="ZM52" s="11"/>
      <c r="ZN52" s="11"/>
      <c r="ZO52" s="11"/>
      <c r="ZP52" s="11"/>
      <c r="ZQ52" s="11"/>
      <c r="ZR52" s="11"/>
      <c r="ZS52" s="11"/>
      <c r="ZT52" s="11"/>
      <c r="ZU52" s="11"/>
      <c r="ZV52" s="11"/>
      <c r="ZW52" s="11"/>
      <c r="ZX52" s="11"/>
      <c r="ZY52" s="11"/>
      <c r="ZZ52" s="11"/>
      <c r="AAA52" s="11"/>
      <c r="AAB52" s="11"/>
      <c r="AAC52" s="11"/>
      <c r="AAD52" s="11"/>
      <c r="AAE52" s="11"/>
      <c r="AAF52" s="11"/>
      <c r="AAG52" s="11"/>
      <c r="AAH52" s="11"/>
      <c r="AAI52" s="11"/>
      <c r="AAJ52" s="11"/>
      <c r="AAK52" s="11"/>
      <c r="AAL52" s="11"/>
      <c r="AAM52" s="11"/>
      <c r="AAN52" s="11"/>
      <c r="AAO52" s="11"/>
      <c r="AAP52" s="11"/>
      <c r="AAQ52" s="11"/>
      <c r="AAR52" s="11"/>
      <c r="AAS52" s="11"/>
      <c r="AAT52" s="11"/>
      <c r="AAU52" s="11"/>
      <c r="AAV52" s="11"/>
      <c r="AAW52" s="11"/>
      <c r="AAX52" s="11"/>
      <c r="AAY52" s="11"/>
      <c r="AAZ52" s="11"/>
      <c r="ABA52" s="11"/>
      <c r="ABB52" s="11"/>
      <c r="ABC52" s="11"/>
      <c r="ABD52" s="11"/>
      <c r="ABE52" s="11"/>
      <c r="ABF52" s="11"/>
      <c r="ABG52" s="11"/>
      <c r="ABH52" s="11"/>
      <c r="ABI52" s="11"/>
      <c r="ABJ52" s="11"/>
      <c r="ABK52" s="11"/>
      <c r="ABL52" s="11"/>
      <c r="ABM52" s="11"/>
      <c r="ABN52" s="11"/>
      <c r="ABO52" s="11"/>
      <c r="ABP52" s="11"/>
      <c r="ABQ52" s="11"/>
      <c r="ABR52" s="11"/>
      <c r="ABS52" s="11"/>
      <c r="ABT52" s="11"/>
      <c r="ABU52" s="11"/>
      <c r="ABV52" s="11"/>
      <c r="ABW52" s="11"/>
      <c r="ABX52" s="11"/>
      <c r="ABY52" s="11"/>
      <c r="ABZ52" s="11"/>
      <c r="ACA52" s="11"/>
      <c r="ACB52" s="11"/>
      <c r="ACC52" s="11"/>
      <c r="ACD52" s="11"/>
      <c r="ACE52" s="11"/>
      <c r="ACF52" s="11"/>
      <c r="ACG52" s="11"/>
      <c r="ACH52" s="11"/>
      <c r="ACI52" s="11"/>
      <c r="ACJ52" s="11"/>
      <c r="ACK52" s="11"/>
      <c r="ACL52" s="11"/>
      <c r="ACM52" s="11"/>
      <c r="ACN52" s="11"/>
      <c r="ACO52" s="11"/>
      <c r="ACP52" s="11"/>
      <c r="ACQ52" s="11"/>
      <c r="ACR52" s="11"/>
      <c r="ACS52" s="11"/>
      <c r="ACT52" s="11"/>
      <c r="ACU52" s="11"/>
      <c r="ACV52" s="11"/>
      <c r="ACW52" s="11"/>
      <c r="ACX52" s="11"/>
      <c r="ACY52" s="11"/>
      <c r="ACZ52" s="11"/>
      <c r="ADA52" s="11"/>
      <c r="ADB52" s="11"/>
      <c r="ADC52" s="11"/>
      <c r="ADD52" s="11"/>
      <c r="ADE52" s="11"/>
      <c r="ADF52" s="11"/>
      <c r="ADG52" s="11"/>
      <c r="ADH52" s="11"/>
      <c r="ADI52" s="11"/>
      <c r="ADJ52" s="11"/>
      <c r="ADK52" s="11"/>
      <c r="ADL52" s="11"/>
      <c r="ADM52" s="11"/>
      <c r="ADN52" s="11"/>
      <c r="ADO52" s="11"/>
      <c r="ADP52" s="11"/>
      <c r="ADQ52" s="11"/>
      <c r="ADR52" s="11"/>
      <c r="ADS52" s="11"/>
      <c r="ADT52" s="11"/>
      <c r="ADU52" s="11"/>
      <c r="ADV52" s="11"/>
      <c r="ADW52" s="11"/>
      <c r="ADX52" s="11"/>
      <c r="ADY52" s="11"/>
      <c r="ADZ52" s="11"/>
      <c r="AEA52" s="11"/>
      <c r="AEB52" s="11"/>
      <c r="AEC52" s="11"/>
      <c r="AED52" s="11"/>
      <c r="AEE52" s="11"/>
      <c r="AEF52" s="11"/>
      <c r="AEG52" s="11"/>
      <c r="AEH52" s="11"/>
      <c r="AEI52" s="11"/>
      <c r="AEJ52" s="11"/>
      <c r="AEK52" s="11"/>
      <c r="AEL52" s="11"/>
      <c r="AEM52" s="11"/>
      <c r="AEN52" s="11"/>
      <c r="AEO52" s="11"/>
      <c r="AEP52" s="11"/>
      <c r="AEQ52" s="11"/>
      <c r="AER52" s="11"/>
      <c r="AES52" s="11"/>
      <c r="AET52" s="11"/>
      <c r="AEU52" s="11"/>
      <c r="AEV52" s="11"/>
      <c r="AEW52" s="11"/>
      <c r="AEX52" s="11"/>
      <c r="AEY52" s="11"/>
      <c r="AEZ52" s="11"/>
      <c r="AFA52" s="11"/>
      <c r="AFB52" s="11"/>
      <c r="AFC52" s="11"/>
      <c r="AFD52" s="11"/>
      <c r="AFE52" s="11"/>
      <c r="AFF52" s="11"/>
      <c r="AFG52" s="11"/>
      <c r="AFH52" s="11"/>
      <c r="AFI52" s="11"/>
    </row>
    <row r="53" spans="2:841">
      <c r="B53" s="11"/>
      <c r="C53" s="657"/>
      <c r="D53" s="289" t="str">
        <f>IF(Idioma=Castellano,"Existente",IF(Idioma=Valencià,"Existent","Existente"))</f>
        <v>Existente</v>
      </c>
      <c r="E53" s="551">
        <f>SUMIFS(M_Datos!$N$68:$N$70,M_Datos!$O$68:$O$70,M_Lista!G18)</f>
        <v>0</v>
      </c>
      <c r="F53" s="312">
        <f>IF(AND(M_FactoresComplement!$G$6="No",M_FactoresComplement!$G$8="No"),M_Cálculos!E53*M_Factores!$D$213/(10^3),IF(AND(M_FactoresComplement!$G$6="Sí",M_FactoresComplement!$G$8="No"),E53*M_FactoresComplement!G36/(10^3),E53*VLOOKUP(M_FactoresComplement!$C$38&amp;M_Datos!$E$12&amp;M_Lista!G17,M_FactoresComplement!$F$15:$I$434,2,FALSE)/(10^3)))</f>
        <v>0</v>
      </c>
      <c r="G53" s="313">
        <f>IF(AND(M_FactoresComplement!$G$6="No",M_FactoresComplement!$G$8="No"),M_Cálculos!E53*M_Factores!$D$213/(10^3),IF(AND(M_FactoresComplement!$G$6="Sí",M_FactoresComplement!$G$8="No"),E53*M_FactoresComplement!H36/(10^3),E53*VLOOKUP(M_FactoresComplement!$C$38&amp;M_Datos!$E$12&amp;M_Lista!G17,M_FactoresComplement!$F$15:$I$434,3,FALSE)/(10^3)))</f>
        <v>0</v>
      </c>
      <c r="H53" s="551">
        <f>SUMIFS(M_Datos!$P$68:$P$70,M_Datos!$Q$68:$Q$70,M_Lista!G18)</f>
        <v>0</v>
      </c>
      <c r="I53" s="312">
        <f>IF(AND(M_FactoresComplement!$G$6="No",M_FactoresComplement!$G$8="No"),M_Cálculos!H53*M_Factores!$D$213/(10^3),IF(AND(M_FactoresComplement!$G$6="Sí",M_FactoresComplement!$G$8="No"),H53*M_FactoresComplement!G36/(10^3),H53*VLOOKUP(M_FactoresComplement!$C$38&amp;M_Datos!$E$12&amp;M_Lista!G17,M_FactoresComplement!$F$15:$I$434,2,FALSE)/(10^3)))</f>
        <v>0</v>
      </c>
      <c r="J53" s="313">
        <f>IF(AND(M_FactoresComplement!$G$6="No",M_FactoresComplement!$G$8="No"),M_Cálculos!H53*M_Factores!$D$213/(10^3),IF(AND(M_FactoresComplement!$G$6="Sí",M_FactoresComplement!$G$8="No"),H53*M_FactoresComplement!H36/(10^3),H53*VLOOKUP(M_FactoresComplement!$C$38&amp;M_Datos!$E$12&amp;M_Lista!G17,M_FactoresComplement!$F$15:$I$434,3,FALSE)/(10^3)))</f>
        <v>0</v>
      </c>
      <c r="K53" s="551">
        <f>SUMIFS(M_Datos!$R$68:$R$70,M_Datos!$S$68:$S$70,M_Lista!G18)</f>
        <v>0</v>
      </c>
      <c r="L53" s="312">
        <f>IF(AND(M_FactoresComplement!$G$6="No",M_FactoresComplement!$G$8="No"),M_Cálculos!K53*M_Factores!$D$213/(10^3),IF(AND(M_FactoresComplement!$G$6="Sí",M_FactoresComplement!$G$8="No"),K53*M_FactoresComplement!G36/(10^3),K53*VLOOKUP(M_FactoresComplement!$C$38&amp;M_Datos!$E$12&amp;M_Lista!G17,M_FactoresComplement!$F$15:$I$434,2,FALSE)/(10^3)))</f>
        <v>0</v>
      </c>
      <c r="M53" s="313">
        <f>IF(AND(M_FactoresComplement!$G$6="No",M_FactoresComplement!$G$8="No"),M_Cálculos!K53*M_Factores!$D$213/(10^3),IF(AND(M_FactoresComplement!$G$6="Sí",M_FactoresComplement!$G$8="No"),K53*M_FactoresComplement!H36/(10^3),K53*VLOOKUP(M_FactoresComplement!$C$38&amp;M_Datos!$E$12&amp;M_Lista!G17,M_FactoresComplement!$F$15:$I$434,3,FALSE)/(10^3)))</f>
        <v>0</v>
      </c>
      <c r="N53" s="551">
        <f>SUMIFS(M_Datos!$T$68:$T$70,M_Datos!$U$68:$U$70,M_Lista!G18)</f>
        <v>0</v>
      </c>
      <c r="O53" s="312">
        <f>IF(AND(M_FactoresComplement!$G$6="No",M_FactoresComplement!$G$8="No"),M_Cálculos!N53*M_Factores!$D$213/(10^3),IF(AND(M_FactoresComplement!$G$6="Sí",M_FactoresComplement!$G$8="No"),N53*M_FactoresComplement!G36/(10^3),N53*VLOOKUP(M_FactoresComplement!$C$38&amp;M_Datos!$E$12&amp;M_Lista!G17,M_FactoresComplement!$F$15:$I$434,2,FALSE)/(10^3)))</f>
        <v>0</v>
      </c>
      <c r="P53" s="313">
        <f>IF(AND(M_FactoresComplement!$G$6="No",M_FactoresComplement!$G$8="No"),M_Cálculos!N53*M_Factores!$D$213/(10^3),IF(AND(M_FactoresComplement!$G$6="Sí",M_FactoresComplement!$G$8="No"),N53*M_FactoresComplement!H36/(10^3),N53*VLOOKUP(M_FactoresComplement!$C$38&amp;M_Datos!$E$12&amp;M_Lista!G17,M_FactoresComplement!$F$15:$I$434,3,FALSE)/(10^3)))</f>
        <v>0</v>
      </c>
      <c r="Q53" s="551">
        <f>SUMIFS(M_Datos!$V$68:$V$70,M_Datos!$W$68:$W$70,M_Lista!G18)</f>
        <v>0</v>
      </c>
      <c r="R53" s="312">
        <f>IF(AND(M_FactoresComplement!$G$6="No",M_FactoresComplement!$G$8="No"),M_Cálculos!Q53*M_Factores!$D$213/(10^3),IF(AND(M_FactoresComplement!$G$6="Sí",M_FactoresComplement!$G$8="No"),Q53*M_FactoresComplement!G36/(10^3),Q53*VLOOKUP(M_FactoresComplement!$C$38&amp;M_Datos!$E$12&amp;M_Lista!G17,M_FactoresComplement!$F$15:$I$434,2,FALSE)/(10^3)))</f>
        <v>0</v>
      </c>
      <c r="S53" s="313">
        <f>IF(AND(M_FactoresComplement!$G$6="No",M_FactoresComplement!$G$8="No"),M_Cálculos!Q53*M_Factores!$D$213/(10^3),IF(AND(M_FactoresComplement!$G$6="Sí",M_FactoresComplement!$G$8="No"),Q53*M_FactoresComplement!H36/(10^3),Q53*VLOOKUP(M_FactoresComplement!$C$38&amp;M_Datos!$E$12&amp;M_Lista!G17,M_FactoresComplement!$F$15:$I$434,3,FALSE)/(10^3)))</f>
        <v>0</v>
      </c>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c r="KK53" s="11"/>
      <c r="KL53" s="11"/>
      <c r="KM53" s="11"/>
      <c r="KN53" s="11"/>
      <c r="KO53" s="11"/>
      <c r="KP53" s="11"/>
      <c r="KQ53" s="11"/>
      <c r="KR53" s="11"/>
      <c r="KS53" s="11"/>
      <c r="KT53" s="11"/>
      <c r="KU53" s="11"/>
      <c r="KV53" s="11"/>
      <c r="KW53" s="11"/>
      <c r="KX53" s="11"/>
      <c r="KY53" s="11"/>
      <c r="KZ53" s="11"/>
      <c r="LA53" s="11"/>
      <c r="LB53" s="11"/>
      <c r="LC53" s="11"/>
      <c r="LD53" s="11"/>
      <c r="LE53" s="11"/>
      <c r="LF53" s="11"/>
      <c r="LG53" s="11"/>
      <c r="LH53" s="11"/>
      <c r="LI53" s="11"/>
      <c r="LJ53" s="11"/>
      <c r="LK53" s="11"/>
      <c r="LL53" s="11"/>
      <c r="LM53" s="11"/>
      <c r="LN53" s="11"/>
      <c r="LO53" s="11"/>
      <c r="LP53" s="11"/>
      <c r="LQ53" s="11"/>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c r="TR53" s="11"/>
      <c r="TS53" s="11"/>
      <c r="TT53" s="11"/>
      <c r="TU53" s="11"/>
      <c r="TV53" s="11"/>
      <c r="TW53" s="11"/>
      <c r="TX53" s="11"/>
      <c r="TY53" s="11"/>
      <c r="TZ53" s="11"/>
      <c r="UA53" s="11"/>
      <c r="UB53" s="11"/>
      <c r="UC53" s="11"/>
      <c r="UD53" s="11"/>
      <c r="UE53" s="11"/>
      <c r="UF53" s="11"/>
      <c r="UG53" s="11"/>
      <c r="UH53" s="11"/>
      <c r="UI53" s="11"/>
      <c r="UJ53" s="11"/>
      <c r="UK53" s="11"/>
      <c r="UL53" s="11"/>
      <c r="UM53" s="11"/>
      <c r="UN53" s="11"/>
      <c r="UO53" s="11"/>
      <c r="UP53" s="11"/>
      <c r="UQ53" s="11"/>
      <c r="UR53" s="11"/>
      <c r="US53" s="11"/>
      <c r="UT53" s="11"/>
      <c r="UU53" s="11"/>
      <c r="UV53" s="11"/>
      <c r="UW53" s="11"/>
      <c r="UX53" s="11"/>
      <c r="UY53" s="11"/>
      <c r="UZ53" s="11"/>
      <c r="VA53" s="11"/>
      <c r="VB53" s="11"/>
      <c r="VC53" s="11"/>
      <c r="VD53" s="11"/>
      <c r="VE53" s="11"/>
      <c r="VF53" s="11"/>
      <c r="VG53" s="11"/>
      <c r="VH53" s="11"/>
      <c r="VI53" s="11"/>
      <c r="VJ53" s="11"/>
      <c r="VK53" s="11"/>
      <c r="VL53" s="11"/>
      <c r="VM53" s="11"/>
      <c r="VN53" s="11"/>
      <c r="VO53" s="11"/>
      <c r="VP53" s="11"/>
      <c r="VQ53" s="11"/>
      <c r="VR53" s="11"/>
      <c r="VS53" s="11"/>
      <c r="VT53" s="11"/>
      <c r="VU53" s="11"/>
      <c r="VV53" s="11"/>
      <c r="VW53" s="11"/>
      <c r="VX53" s="11"/>
      <c r="VY53" s="11"/>
      <c r="VZ53" s="11"/>
      <c r="WA53" s="11"/>
      <c r="WB53" s="11"/>
      <c r="WC53" s="11"/>
      <c r="WD53" s="11"/>
      <c r="WE53" s="11"/>
      <c r="WF53" s="11"/>
      <c r="WG53" s="11"/>
      <c r="WH53" s="11"/>
      <c r="WI53" s="11"/>
      <c r="WJ53" s="11"/>
      <c r="WK53" s="11"/>
      <c r="WL53" s="11"/>
      <c r="WM53" s="11"/>
      <c r="WN53" s="11"/>
      <c r="WO53" s="11"/>
      <c r="WP53" s="11"/>
      <c r="WQ53" s="11"/>
      <c r="WR53" s="11"/>
      <c r="WS53" s="11"/>
      <c r="WT53" s="11"/>
      <c r="WU53" s="11"/>
      <c r="WV53" s="11"/>
      <c r="WW53" s="11"/>
      <c r="WX53" s="11"/>
      <c r="WY53" s="11"/>
      <c r="WZ53" s="11"/>
      <c r="XA53" s="11"/>
      <c r="XB53" s="11"/>
      <c r="XC53" s="11"/>
      <c r="XD53" s="11"/>
      <c r="XE53" s="11"/>
      <c r="XF53" s="11"/>
      <c r="XG53" s="11"/>
      <c r="XH53" s="11"/>
      <c r="XI53" s="11"/>
      <c r="XJ53" s="11"/>
      <c r="XK53" s="11"/>
      <c r="XL53" s="11"/>
      <c r="XM53" s="11"/>
      <c r="XN53" s="11"/>
      <c r="XO53" s="11"/>
      <c r="XP53" s="11"/>
      <c r="XQ53" s="11"/>
      <c r="XR53" s="11"/>
      <c r="XS53" s="11"/>
      <c r="XT53" s="11"/>
      <c r="XU53" s="11"/>
      <c r="XV53" s="11"/>
      <c r="XW53" s="11"/>
      <c r="XX53" s="11"/>
      <c r="XY53" s="11"/>
      <c r="XZ53" s="11"/>
      <c r="YA53" s="11"/>
      <c r="YB53" s="11"/>
      <c r="YC53" s="11"/>
      <c r="YD53" s="11"/>
      <c r="YE53" s="11"/>
      <c r="YF53" s="11"/>
      <c r="YG53" s="11"/>
      <c r="YH53" s="11"/>
      <c r="YI53" s="11"/>
      <c r="YJ53" s="11"/>
      <c r="YK53" s="11"/>
      <c r="YL53" s="11"/>
      <c r="YM53" s="11"/>
      <c r="YN53" s="11"/>
      <c r="YO53" s="11"/>
      <c r="YP53" s="11"/>
      <c r="YQ53" s="11"/>
      <c r="YR53" s="11"/>
      <c r="YS53" s="11"/>
      <c r="YT53" s="11"/>
      <c r="YU53" s="11"/>
      <c r="YV53" s="11"/>
      <c r="YW53" s="11"/>
      <c r="YX53" s="11"/>
      <c r="YY53" s="11"/>
      <c r="YZ53" s="11"/>
      <c r="ZA53" s="11"/>
      <c r="ZB53" s="11"/>
      <c r="ZC53" s="11"/>
      <c r="ZD53" s="11"/>
      <c r="ZE53" s="11"/>
      <c r="ZF53" s="11"/>
      <c r="ZG53" s="11"/>
      <c r="ZH53" s="11"/>
      <c r="ZI53" s="11"/>
      <c r="ZJ53" s="11"/>
      <c r="ZK53" s="11"/>
      <c r="ZL53" s="11"/>
      <c r="ZM53" s="11"/>
      <c r="ZN53" s="11"/>
      <c r="ZO53" s="11"/>
      <c r="ZP53" s="11"/>
      <c r="ZQ53" s="11"/>
      <c r="ZR53" s="11"/>
      <c r="ZS53" s="11"/>
      <c r="ZT53" s="11"/>
      <c r="ZU53" s="11"/>
      <c r="ZV53" s="11"/>
      <c r="ZW53" s="11"/>
      <c r="ZX53" s="11"/>
      <c r="ZY53" s="11"/>
      <c r="ZZ53" s="11"/>
      <c r="AAA53" s="11"/>
      <c r="AAB53" s="11"/>
      <c r="AAC53" s="11"/>
      <c r="AAD53" s="11"/>
      <c r="AAE53" s="11"/>
      <c r="AAF53" s="11"/>
      <c r="AAG53" s="11"/>
      <c r="AAH53" s="11"/>
      <c r="AAI53" s="11"/>
      <c r="AAJ53" s="11"/>
      <c r="AAK53" s="11"/>
      <c r="AAL53" s="11"/>
      <c r="AAM53" s="11"/>
      <c r="AAN53" s="11"/>
      <c r="AAO53" s="11"/>
      <c r="AAP53" s="11"/>
      <c r="AAQ53" s="11"/>
      <c r="AAR53" s="11"/>
      <c r="AAS53" s="11"/>
      <c r="AAT53" s="11"/>
      <c r="AAU53" s="11"/>
      <c r="AAV53" s="11"/>
      <c r="AAW53" s="11"/>
      <c r="AAX53" s="11"/>
      <c r="AAY53" s="11"/>
      <c r="AAZ53" s="11"/>
      <c r="ABA53" s="11"/>
      <c r="ABB53" s="11"/>
      <c r="ABC53" s="11"/>
      <c r="ABD53" s="11"/>
      <c r="ABE53" s="11"/>
      <c r="ABF53" s="11"/>
      <c r="ABG53" s="11"/>
      <c r="ABH53" s="11"/>
      <c r="ABI53" s="11"/>
      <c r="ABJ53" s="11"/>
      <c r="ABK53" s="11"/>
      <c r="ABL53" s="11"/>
      <c r="ABM53" s="11"/>
      <c r="ABN53" s="11"/>
      <c r="ABO53" s="11"/>
      <c r="ABP53" s="11"/>
      <c r="ABQ53" s="11"/>
      <c r="ABR53" s="11"/>
      <c r="ABS53" s="11"/>
      <c r="ABT53" s="11"/>
      <c r="ABU53" s="11"/>
      <c r="ABV53" s="11"/>
      <c r="ABW53" s="11"/>
      <c r="ABX53" s="11"/>
      <c r="ABY53" s="11"/>
      <c r="ABZ53" s="11"/>
      <c r="ACA53" s="11"/>
      <c r="ACB53" s="11"/>
      <c r="ACC53" s="11"/>
      <c r="ACD53" s="11"/>
      <c r="ACE53" s="11"/>
      <c r="ACF53" s="11"/>
      <c r="ACG53" s="11"/>
      <c r="ACH53" s="11"/>
      <c r="ACI53" s="11"/>
      <c r="ACJ53" s="11"/>
      <c r="ACK53" s="11"/>
      <c r="ACL53" s="11"/>
      <c r="ACM53" s="11"/>
      <c r="ACN53" s="11"/>
      <c r="ACO53" s="11"/>
      <c r="ACP53" s="11"/>
      <c r="ACQ53" s="11"/>
      <c r="ACR53" s="11"/>
      <c r="ACS53" s="11"/>
      <c r="ACT53" s="11"/>
      <c r="ACU53" s="11"/>
      <c r="ACV53" s="11"/>
      <c r="ACW53" s="11"/>
      <c r="ACX53" s="11"/>
      <c r="ACY53" s="11"/>
      <c r="ACZ53" s="11"/>
      <c r="ADA53" s="11"/>
      <c r="ADB53" s="11"/>
      <c r="ADC53" s="11"/>
      <c r="ADD53" s="11"/>
      <c r="ADE53" s="11"/>
      <c r="ADF53" s="11"/>
      <c r="ADG53" s="11"/>
      <c r="ADH53" s="11"/>
      <c r="ADI53" s="11"/>
      <c r="ADJ53" s="11"/>
      <c r="ADK53" s="11"/>
      <c r="ADL53" s="11"/>
      <c r="ADM53" s="11"/>
      <c r="ADN53" s="11"/>
      <c r="ADO53" s="11"/>
      <c r="ADP53" s="11"/>
      <c r="ADQ53" s="11"/>
      <c r="ADR53" s="11"/>
      <c r="ADS53" s="11"/>
      <c r="ADT53" s="11"/>
      <c r="ADU53" s="11"/>
      <c r="ADV53" s="11"/>
      <c r="ADW53" s="11"/>
      <c r="ADX53" s="11"/>
      <c r="ADY53" s="11"/>
      <c r="ADZ53" s="11"/>
      <c r="AEA53" s="11"/>
      <c r="AEB53" s="11"/>
      <c r="AEC53" s="11"/>
      <c r="AED53" s="11"/>
      <c r="AEE53" s="11"/>
      <c r="AEF53" s="11"/>
      <c r="AEG53" s="11"/>
      <c r="AEH53" s="11"/>
      <c r="AEI53" s="11"/>
      <c r="AEJ53" s="11"/>
      <c r="AEK53" s="11"/>
      <c r="AEL53" s="11"/>
      <c r="AEM53" s="11"/>
      <c r="AEN53" s="11"/>
      <c r="AEO53" s="11"/>
      <c r="AEP53" s="11"/>
      <c r="AEQ53" s="11"/>
      <c r="AER53" s="11"/>
      <c r="AES53" s="11"/>
      <c r="AET53" s="11"/>
      <c r="AEU53" s="11"/>
      <c r="AEV53" s="11"/>
      <c r="AEW53" s="11"/>
      <c r="AEX53" s="11"/>
      <c r="AEY53" s="11"/>
      <c r="AEZ53" s="11"/>
      <c r="AFA53" s="11"/>
      <c r="AFB53" s="11"/>
      <c r="AFC53" s="11"/>
      <c r="AFD53" s="11"/>
      <c r="AFE53" s="11"/>
      <c r="AFF53" s="11"/>
      <c r="AFG53" s="11"/>
      <c r="AFH53" s="11"/>
      <c r="AFI53" s="11"/>
    </row>
    <row r="54" spans="2:841">
      <c r="B54" s="11"/>
      <c r="C54" s="657"/>
      <c r="D54" s="289" t="s">
        <v>625</v>
      </c>
      <c r="E54" s="551">
        <f>SUMIFS(M_Datos!$N$68:$N$70,M_Datos!$O$68:$O$70,M_Lista!G19)</f>
        <v>0</v>
      </c>
      <c r="F54" s="312">
        <f>IF(AND(M_FactoresComplement!$G$6="No",M_FactoresComplement!$G$8="No"),M_Cálculos!E54*M_Factores!$D$213/(10^3),IF(AND(M_FactoresComplement!$G$6="Sí",M_FactoresComplement!$G$8="No"),E54*M_FactoresComplement!G37/(10^3),E54*VLOOKUP(M_FactoresComplement!$C$38&amp;M_Datos!$E$12&amp;M_Lista!G18,M_FactoresComplement!$F$15:$I$434,2,FALSE)/(10^3)))</f>
        <v>0</v>
      </c>
      <c r="G54" s="313">
        <f>IF(AND(M_FactoresComplement!$G$6="No",M_FactoresComplement!$G$8="No"),M_Cálculos!E54*M_Factores!$D$213/(10^3),IF(AND(M_FactoresComplement!$G$6="Sí",M_FactoresComplement!$G$8="No"),E54*M_FactoresComplement!H37/(10^3),E54*VLOOKUP(M_FactoresComplement!$C$38&amp;M_Datos!$E$12&amp;M_Lista!G18,M_FactoresComplement!$F$15:$I$434,3,FALSE)/(10^3)))</f>
        <v>0</v>
      </c>
      <c r="H54" s="551">
        <f>SUMIFS(M_Datos!$P$68:$P$70,M_Datos!$Q$68:$Q$70,M_Lista!G19)</f>
        <v>0</v>
      </c>
      <c r="I54" s="312">
        <f>IF(AND(M_FactoresComplement!$G$6="No",M_FactoresComplement!$G$8="No"),M_Cálculos!H54*M_Factores!$D$213/(10^3),IF(AND(M_FactoresComplement!$G$6="Sí",M_FactoresComplement!$G$8="No"),H54*M_FactoresComplement!G37/(10^3),H54*VLOOKUP(M_FactoresComplement!$C$38&amp;M_Datos!$E$12&amp;M_Lista!G18,M_FactoresComplement!$F$15:$I$434,2,FALSE)/(10^3)))</f>
        <v>0</v>
      </c>
      <c r="J54" s="313">
        <f>IF(AND(M_FactoresComplement!$G$6="No",M_FactoresComplement!$G$8="No"),M_Cálculos!H54*M_Factores!$D$213/(10^3),IF(AND(M_FactoresComplement!$G$6="Sí",M_FactoresComplement!$G$8="No"),H54*M_FactoresComplement!H37/(10^3),H54*VLOOKUP(M_FactoresComplement!$C$38&amp;M_Datos!$E$12&amp;M_Lista!G18,M_FactoresComplement!$F$15:$I$434,3,FALSE)/(10^3)))</f>
        <v>0</v>
      </c>
      <c r="K54" s="551">
        <f>SUMIFS(M_Datos!$R$68:$R$70,M_Datos!$S$68:$S$70,M_Lista!G19)</f>
        <v>0</v>
      </c>
      <c r="L54" s="312">
        <f>IF(AND(M_FactoresComplement!$G$6="No",M_FactoresComplement!$G$8="No"),M_Cálculos!K54*M_Factores!$D$213/(10^3),IF(AND(M_FactoresComplement!$G$6="Sí",M_FactoresComplement!$G$8="No"),K54*M_FactoresComplement!G37/(10^3),K54*VLOOKUP(M_FactoresComplement!$C$38&amp;M_Datos!$E$12&amp;M_Lista!G18,M_FactoresComplement!$F$15:$I$434,2,FALSE)/(10^3)))</f>
        <v>0</v>
      </c>
      <c r="M54" s="313">
        <f>IF(AND(M_FactoresComplement!$G$6="No",M_FactoresComplement!$G$8="No"),M_Cálculos!K54*M_Factores!$D$213/(10^3),IF(AND(M_FactoresComplement!$G$6="Sí",M_FactoresComplement!$G$8="No"),K54*M_FactoresComplement!H37/(10^3),K54*VLOOKUP(M_FactoresComplement!$C$38&amp;M_Datos!$E$12&amp;M_Lista!G18,M_FactoresComplement!$F$15:$I$434,3,FALSE)/(10^3)))</f>
        <v>0</v>
      </c>
      <c r="N54" s="551">
        <f>SUMIFS(M_Datos!$T$68:$T$70,M_Datos!$U$68:$U$70,M_Lista!G19)</f>
        <v>0</v>
      </c>
      <c r="O54" s="312">
        <f>IF(AND(M_FactoresComplement!$G$6="No",M_FactoresComplement!$G$8="No"),M_Cálculos!N54*M_Factores!$D$213/(10^3),IF(AND(M_FactoresComplement!$G$6="Sí",M_FactoresComplement!$G$8="No"),N54*M_FactoresComplement!G37/(10^3),N54*VLOOKUP(M_FactoresComplement!$C$38&amp;M_Datos!$E$12&amp;M_Lista!G18,M_FactoresComplement!$F$15:$I$434,2,FALSE)/(10^3)))</f>
        <v>0</v>
      </c>
      <c r="P54" s="313">
        <f>IF(AND(M_FactoresComplement!$G$6="No",M_FactoresComplement!$G$8="No"),M_Cálculos!N54*M_Factores!$D$213/(10^3),IF(AND(M_FactoresComplement!$G$6="Sí",M_FactoresComplement!$G$8="No"),N54*M_FactoresComplement!H37/(10^3),N54*VLOOKUP(M_FactoresComplement!$C$38&amp;M_Datos!$E$12&amp;M_Lista!G18,M_FactoresComplement!$F$15:$I$434,3,FALSE)/(10^3)))</f>
        <v>0</v>
      </c>
      <c r="Q54" s="551">
        <f>SUMIFS(M_Datos!$V$68:$V$70,M_Datos!$W$68:$W$70,M_Lista!G19)</f>
        <v>0</v>
      </c>
      <c r="R54" s="312">
        <f>IF(AND(M_FactoresComplement!$G$6="No",M_FactoresComplement!$G$8="No"),M_Cálculos!Q54*M_Factores!$D$213/(10^3),IF(AND(M_FactoresComplement!$G$6="Sí",M_FactoresComplement!$G$8="No"),Q54*M_FactoresComplement!G37/(10^3),Q54*VLOOKUP(M_FactoresComplement!$C$38&amp;M_Datos!$E$12&amp;M_Lista!G18,M_FactoresComplement!$F$15:$I$434,2,FALSE)/(10^3)))</f>
        <v>0</v>
      </c>
      <c r="S54" s="313">
        <f>IF(AND(M_FactoresComplement!$G$6="No",M_FactoresComplement!$G$8="No"),M_Cálculos!Q54*M_Factores!$D$213/(10^3),IF(AND(M_FactoresComplement!$G$6="Sí",M_FactoresComplement!$G$8="No"),Q54*M_FactoresComplement!H37/(10^3),Q54*VLOOKUP(M_FactoresComplement!$C$38&amp;M_Datos!$E$12&amp;M_Lista!G18,M_FactoresComplement!$F$15:$I$434,3,FALSE)/(10^3)))</f>
        <v>0</v>
      </c>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11"/>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c r="PU54" s="11"/>
      <c r="PV54" s="11"/>
      <c r="PW54" s="11"/>
      <c r="PX54" s="11"/>
      <c r="PY54" s="11"/>
      <c r="PZ54" s="11"/>
      <c r="QA54" s="11"/>
      <c r="QB54" s="11"/>
      <c r="QC54" s="11"/>
      <c r="QD54" s="11"/>
      <c r="QE54" s="11"/>
      <c r="QF54" s="11"/>
      <c r="QG54" s="11"/>
      <c r="QH54" s="11"/>
      <c r="QI54" s="11"/>
      <c r="QJ54" s="11"/>
      <c r="QK54" s="11"/>
      <c r="QL54" s="11"/>
      <c r="QM54" s="11"/>
      <c r="QN54" s="11"/>
      <c r="QO54" s="11"/>
      <c r="QP54" s="11"/>
      <c r="QQ54" s="11"/>
      <c r="QR54" s="11"/>
      <c r="QS54" s="11"/>
      <c r="QT54" s="11"/>
      <c r="QU54" s="11"/>
      <c r="QV54" s="11"/>
      <c r="QW54" s="11"/>
      <c r="QX54" s="11"/>
      <c r="QY54" s="11"/>
      <c r="QZ54" s="11"/>
      <c r="RA54" s="11"/>
      <c r="RB54" s="11"/>
      <c r="RC54" s="11"/>
      <c r="RD54" s="11"/>
      <c r="RE54" s="11"/>
      <c r="RF54" s="11"/>
      <c r="RG54" s="11"/>
      <c r="RH54" s="11"/>
      <c r="RI54" s="11"/>
      <c r="RJ54" s="11"/>
      <c r="RK54" s="11"/>
      <c r="RL54" s="11"/>
      <c r="RM54" s="11"/>
      <c r="RN54" s="11"/>
      <c r="RO54" s="11"/>
      <c r="RP54" s="11"/>
      <c r="RQ54" s="11"/>
      <c r="RR54" s="11"/>
      <c r="RS54" s="11"/>
      <c r="RT54" s="11"/>
      <c r="RU54" s="11"/>
      <c r="RV54" s="11"/>
      <c r="RW54" s="11"/>
      <c r="RX54" s="11"/>
      <c r="RY54" s="11"/>
      <c r="RZ54" s="11"/>
      <c r="SA54" s="11"/>
      <c r="SB54" s="11"/>
      <c r="SC54" s="11"/>
      <c r="SD54" s="11"/>
      <c r="SE54" s="11"/>
      <c r="SF54" s="11"/>
      <c r="SG54" s="11"/>
      <c r="SH54" s="11"/>
      <c r="SI54" s="11"/>
      <c r="SJ54" s="11"/>
      <c r="SK54" s="11"/>
      <c r="SL54" s="11"/>
      <c r="SM54" s="11"/>
      <c r="SN54" s="11"/>
      <c r="SO54" s="11"/>
      <c r="SP54" s="11"/>
      <c r="SQ54" s="11"/>
      <c r="SR54" s="11"/>
      <c r="SS54" s="11"/>
      <c r="ST54" s="11"/>
      <c r="SU54" s="11"/>
      <c r="SV54" s="11"/>
      <c r="SW54" s="11"/>
      <c r="SX54" s="11"/>
      <c r="SY54" s="11"/>
      <c r="SZ54" s="11"/>
      <c r="TA54" s="11"/>
      <c r="TB54" s="11"/>
      <c r="TC54" s="11"/>
      <c r="TD54" s="11"/>
      <c r="TE54" s="11"/>
      <c r="TF54" s="11"/>
      <c r="TG54" s="11"/>
      <c r="TH54" s="11"/>
      <c r="TI54" s="11"/>
      <c r="TJ54" s="11"/>
      <c r="TK54" s="11"/>
      <c r="TL54" s="11"/>
      <c r="TM54" s="11"/>
      <c r="TN54" s="11"/>
      <c r="TO54" s="11"/>
      <c r="TP54" s="11"/>
      <c r="TQ54" s="11"/>
      <c r="TR54" s="11"/>
      <c r="TS54" s="11"/>
      <c r="TT54" s="11"/>
      <c r="TU54" s="11"/>
      <c r="TV54" s="11"/>
      <c r="TW54" s="11"/>
      <c r="TX54" s="11"/>
      <c r="TY54" s="11"/>
      <c r="TZ54" s="11"/>
      <c r="UA54" s="11"/>
      <c r="UB54" s="11"/>
      <c r="UC54" s="11"/>
      <c r="UD54" s="11"/>
      <c r="UE54" s="11"/>
      <c r="UF54" s="11"/>
      <c r="UG54" s="11"/>
      <c r="UH54" s="11"/>
      <c r="UI54" s="11"/>
      <c r="UJ54" s="11"/>
      <c r="UK54" s="11"/>
      <c r="UL54" s="11"/>
      <c r="UM54" s="11"/>
      <c r="UN54" s="11"/>
      <c r="UO54" s="11"/>
      <c r="UP54" s="11"/>
      <c r="UQ54" s="11"/>
      <c r="UR54" s="11"/>
      <c r="US54" s="11"/>
      <c r="UT54" s="11"/>
      <c r="UU54" s="11"/>
      <c r="UV54" s="11"/>
      <c r="UW54" s="11"/>
      <c r="UX54" s="11"/>
      <c r="UY54" s="11"/>
      <c r="UZ54" s="11"/>
      <c r="VA54" s="11"/>
      <c r="VB54" s="11"/>
      <c r="VC54" s="11"/>
      <c r="VD54" s="11"/>
      <c r="VE54" s="11"/>
      <c r="VF54" s="11"/>
      <c r="VG54" s="11"/>
      <c r="VH54" s="11"/>
      <c r="VI54" s="11"/>
      <c r="VJ54" s="11"/>
      <c r="VK54" s="11"/>
      <c r="VL54" s="11"/>
      <c r="VM54" s="11"/>
      <c r="VN54" s="11"/>
      <c r="VO54" s="11"/>
      <c r="VP54" s="11"/>
      <c r="VQ54" s="11"/>
      <c r="VR54" s="11"/>
      <c r="VS54" s="11"/>
      <c r="VT54" s="11"/>
      <c r="VU54" s="11"/>
      <c r="VV54" s="11"/>
      <c r="VW54" s="11"/>
      <c r="VX54" s="11"/>
      <c r="VY54" s="11"/>
      <c r="VZ54" s="11"/>
      <c r="WA54" s="11"/>
      <c r="WB54" s="11"/>
      <c r="WC54" s="11"/>
      <c r="WD54" s="11"/>
      <c r="WE54" s="11"/>
      <c r="WF54" s="11"/>
      <c r="WG54" s="11"/>
      <c r="WH54" s="11"/>
      <c r="WI54" s="11"/>
      <c r="WJ54" s="11"/>
      <c r="WK54" s="11"/>
      <c r="WL54" s="11"/>
      <c r="WM54" s="11"/>
      <c r="WN54" s="11"/>
      <c r="WO54" s="11"/>
      <c r="WP54" s="11"/>
      <c r="WQ54" s="11"/>
      <c r="WR54" s="11"/>
      <c r="WS54" s="11"/>
      <c r="WT54" s="11"/>
      <c r="WU54" s="11"/>
      <c r="WV54" s="11"/>
      <c r="WW54" s="11"/>
      <c r="WX54" s="11"/>
      <c r="WY54" s="11"/>
      <c r="WZ54" s="11"/>
      <c r="XA54" s="11"/>
      <c r="XB54" s="11"/>
      <c r="XC54" s="11"/>
      <c r="XD54" s="11"/>
      <c r="XE54" s="11"/>
      <c r="XF54" s="11"/>
      <c r="XG54" s="11"/>
      <c r="XH54" s="11"/>
      <c r="XI54" s="11"/>
      <c r="XJ54" s="11"/>
      <c r="XK54" s="11"/>
      <c r="XL54" s="11"/>
      <c r="XM54" s="11"/>
      <c r="XN54" s="11"/>
      <c r="XO54" s="11"/>
      <c r="XP54" s="11"/>
      <c r="XQ54" s="11"/>
      <c r="XR54" s="11"/>
      <c r="XS54" s="11"/>
      <c r="XT54" s="11"/>
      <c r="XU54" s="11"/>
      <c r="XV54" s="11"/>
      <c r="XW54" s="11"/>
      <c r="XX54" s="11"/>
      <c r="XY54" s="11"/>
      <c r="XZ54" s="11"/>
      <c r="YA54" s="11"/>
      <c r="YB54" s="11"/>
      <c r="YC54" s="11"/>
      <c r="YD54" s="11"/>
      <c r="YE54" s="11"/>
      <c r="YF54" s="11"/>
      <c r="YG54" s="11"/>
      <c r="YH54" s="11"/>
      <c r="YI54" s="11"/>
      <c r="YJ54" s="11"/>
      <c r="YK54" s="11"/>
      <c r="YL54" s="11"/>
      <c r="YM54" s="11"/>
      <c r="YN54" s="11"/>
      <c r="YO54" s="11"/>
      <c r="YP54" s="11"/>
      <c r="YQ54" s="11"/>
      <c r="YR54" s="11"/>
      <c r="YS54" s="11"/>
      <c r="YT54" s="11"/>
      <c r="YU54" s="11"/>
      <c r="YV54" s="11"/>
      <c r="YW54" s="11"/>
      <c r="YX54" s="11"/>
      <c r="YY54" s="11"/>
      <c r="YZ54" s="11"/>
      <c r="ZA54" s="11"/>
      <c r="ZB54" s="11"/>
      <c r="ZC54" s="11"/>
      <c r="ZD54" s="11"/>
      <c r="ZE54" s="11"/>
      <c r="ZF54" s="11"/>
      <c r="ZG54" s="11"/>
      <c r="ZH54" s="11"/>
      <c r="ZI54" s="11"/>
      <c r="ZJ54" s="11"/>
      <c r="ZK54" s="11"/>
      <c r="ZL54" s="11"/>
      <c r="ZM54" s="11"/>
      <c r="ZN54" s="11"/>
      <c r="ZO54" s="11"/>
      <c r="ZP54" s="11"/>
      <c r="ZQ54" s="11"/>
      <c r="ZR54" s="11"/>
      <c r="ZS54" s="11"/>
      <c r="ZT54" s="11"/>
      <c r="ZU54" s="11"/>
      <c r="ZV54" s="11"/>
      <c r="ZW54" s="11"/>
      <c r="ZX54" s="11"/>
      <c r="ZY54" s="11"/>
      <c r="ZZ54" s="11"/>
      <c r="AAA54" s="11"/>
      <c r="AAB54" s="11"/>
      <c r="AAC54" s="11"/>
      <c r="AAD54" s="11"/>
      <c r="AAE54" s="11"/>
      <c r="AAF54" s="11"/>
      <c r="AAG54" s="11"/>
      <c r="AAH54" s="11"/>
      <c r="AAI54" s="11"/>
      <c r="AAJ54" s="11"/>
      <c r="AAK54" s="11"/>
      <c r="AAL54" s="11"/>
      <c r="AAM54" s="11"/>
      <c r="AAN54" s="11"/>
      <c r="AAO54" s="11"/>
      <c r="AAP54" s="11"/>
      <c r="AAQ54" s="11"/>
      <c r="AAR54" s="11"/>
      <c r="AAS54" s="11"/>
      <c r="AAT54" s="11"/>
      <c r="AAU54" s="11"/>
      <c r="AAV54" s="11"/>
      <c r="AAW54" s="11"/>
      <c r="AAX54" s="11"/>
      <c r="AAY54" s="11"/>
      <c r="AAZ54" s="11"/>
      <c r="ABA54" s="11"/>
      <c r="ABB54" s="11"/>
      <c r="ABC54" s="11"/>
      <c r="ABD54" s="11"/>
      <c r="ABE54" s="11"/>
      <c r="ABF54" s="11"/>
      <c r="ABG54" s="11"/>
      <c r="ABH54" s="11"/>
      <c r="ABI54" s="11"/>
      <c r="ABJ54" s="11"/>
      <c r="ABK54" s="11"/>
      <c r="ABL54" s="11"/>
      <c r="ABM54" s="11"/>
      <c r="ABN54" s="11"/>
      <c r="ABO54" s="11"/>
      <c r="ABP54" s="11"/>
      <c r="ABQ54" s="11"/>
      <c r="ABR54" s="11"/>
      <c r="ABS54" s="11"/>
      <c r="ABT54" s="11"/>
      <c r="ABU54" s="11"/>
      <c r="ABV54" s="11"/>
      <c r="ABW54" s="11"/>
      <c r="ABX54" s="11"/>
      <c r="ABY54" s="11"/>
      <c r="ABZ54" s="11"/>
      <c r="ACA54" s="11"/>
      <c r="ACB54" s="11"/>
      <c r="ACC54" s="11"/>
      <c r="ACD54" s="11"/>
      <c r="ACE54" s="11"/>
      <c r="ACF54" s="11"/>
      <c r="ACG54" s="11"/>
      <c r="ACH54" s="11"/>
      <c r="ACI54" s="11"/>
      <c r="ACJ54" s="11"/>
      <c r="ACK54" s="11"/>
      <c r="ACL54" s="11"/>
      <c r="ACM54" s="11"/>
      <c r="ACN54" s="11"/>
      <c r="ACO54" s="11"/>
      <c r="ACP54" s="11"/>
      <c r="ACQ54" s="11"/>
      <c r="ACR54" s="11"/>
      <c r="ACS54" s="11"/>
      <c r="ACT54" s="11"/>
      <c r="ACU54" s="11"/>
      <c r="ACV54" s="11"/>
      <c r="ACW54" s="11"/>
      <c r="ACX54" s="11"/>
      <c r="ACY54" s="11"/>
      <c r="ACZ54" s="11"/>
      <c r="ADA54" s="11"/>
      <c r="ADB54" s="11"/>
      <c r="ADC54" s="11"/>
      <c r="ADD54" s="11"/>
      <c r="ADE54" s="11"/>
      <c r="ADF54" s="11"/>
      <c r="ADG54" s="11"/>
      <c r="ADH54" s="11"/>
      <c r="ADI54" s="11"/>
      <c r="ADJ54" s="11"/>
      <c r="ADK54" s="11"/>
      <c r="ADL54" s="11"/>
      <c r="ADM54" s="11"/>
      <c r="ADN54" s="11"/>
      <c r="ADO54" s="11"/>
      <c r="ADP54" s="11"/>
      <c r="ADQ54" s="11"/>
      <c r="ADR54" s="11"/>
      <c r="ADS54" s="11"/>
      <c r="ADT54" s="11"/>
      <c r="ADU54" s="11"/>
      <c r="ADV54" s="11"/>
      <c r="ADW54" s="11"/>
      <c r="ADX54" s="11"/>
      <c r="ADY54" s="11"/>
      <c r="ADZ54" s="11"/>
      <c r="AEA54" s="11"/>
      <c r="AEB54" s="11"/>
      <c r="AEC54" s="11"/>
      <c r="AED54" s="11"/>
      <c r="AEE54" s="11"/>
      <c r="AEF54" s="11"/>
      <c r="AEG54" s="11"/>
      <c r="AEH54" s="11"/>
      <c r="AEI54" s="11"/>
      <c r="AEJ54" s="11"/>
      <c r="AEK54" s="11"/>
      <c r="AEL54" s="11"/>
      <c r="AEM54" s="11"/>
      <c r="AEN54" s="11"/>
      <c r="AEO54" s="11"/>
      <c r="AEP54" s="11"/>
      <c r="AEQ54" s="11"/>
      <c r="AER54" s="11"/>
      <c r="AES54" s="11"/>
      <c r="AET54" s="11"/>
      <c r="AEU54" s="11"/>
      <c r="AEV54" s="11"/>
      <c r="AEW54" s="11"/>
      <c r="AEX54" s="11"/>
      <c r="AEY54" s="11"/>
      <c r="AEZ54" s="11"/>
      <c r="AFA54" s="11"/>
      <c r="AFB54" s="11"/>
      <c r="AFC54" s="11"/>
      <c r="AFD54" s="11"/>
      <c r="AFE54" s="11"/>
      <c r="AFF54" s="11"/>
      <c r="AFG54" s="11"/>
      <c r="AFH54" s="11"/>
      <c r="AFI54" s="11"/>
    </row>
    <row r="55" spans="2:841">
      <c r="B55" s="11"/>
      <c r="C55" s="657"/>
      <c r="D55" s="289" t="s">
        <v>626</v>
      </c>
      <c r="E55" s="551">
        <f>SUMIFS(M_Datos!$N$68:$N$70,M_Datos!$O$68:$O$70,M_Lista!G20)</f>
        <v>0</v>
      </c>
      <c r="F55" s="312">
        <f>IF(AND(M_FactoresComplement!$G$6="No",M_FactoresComplement!$G$8="No"),M_Cálculos!E55*M_Factores!$D$213/(10^3),IF(AND(M_FactoresComplement!$G$6="Sí",M_FactoresComplement!$G$8="No"),E55*M_FactoresComplement!G38/(10^3),E55*VLOOKUP(M_FactoresComplement!$C$38&amp;M_Datos!$E$12&amp;M_Lista!G19,M_FactoresComplement!$F$15:$I$434,2,FALSE)/(10^3)))</f>
        <v>0</v>
      </c>
      <c r="G55" s="313">
        <f>IF(AND(M_FactoresComplement!$G$6="No",M_FactoresComplement!$G$8="No"),M_Cálculos!E55*M_Factores!$D$213/(10^3),IF(AND(M_FactoresComplement!$G$6="Sí",M_FactoresComplement!$G$8="No"),E55*M_FactoresComplement!H38/(10^3),E55*VLOOKUP(M_FactoresComplement!$C$38&amp;M_Datos!$E$12&amp;M_Lista!G19,M_FactoresComplement!$F$15:$I$434,3,FALSE)/(10^3)))</f>
        <v>0</v>
      </c>
      <c r="H55" s="551">
        <f>SUMIFS(M_Datos!$P$68:$P$70,M_Datos!$Q$68:$Q$70,M_Lista!G20)</f>
        <v>0</v>
      </c>
      <c r="I55" s="312">
        <f>IF(AND(M_FactoresComplement!$G$6="No",M_FactoresComplement!$G$8="No"),M_Cálculos!H55*M_Factores!$D$213/(10^3),IF(AND(M_FactoresComplement!$G$6="Sí",M_FactoresComplement!$G$8="No"),H55*M_FactoresComplement!G38/(10^3),H55*VLOOKUP(M_FactoresComplement!$C$38&amp;M_Datos!$E$12&amp;M_Lista!G19,M_FactoresComplement!$F$15:$I$434,2,FALSE)/(10^3)))</f>
        <v>0</v>
      </c>
      <c r="J55" s="313">
        <f>IF(AND(M_FactoresComplement!$G$6="No",M_FactoresComplement!$G$8="No"),M_Cálculos!H55*M_Factores!$D$213/(10^3),IF(AND(M_FactoresComplement!$G$6="Sí",M_FactoresComplement!$G$8="No"),H55*M_FactoresComplement!H38/(10^3),H55*VLOOKUP(M_FactoresComplement!$C$38&amp;M_Datos!$E$12&amp;M_Lista!G19,M_FactoresComplement!$F$15:$I$434,3,FALSE)/(10^3)))</f>
        <v>0</v>
      </c>
      <c r="K55" s="551">
        <f>SUMIFS(M_Datos!$R$68:$R$70,M_Datos!$S$68:$S$70,M_Lista!G20)</f>
        <v>0</v>
      </c>
      <c r="L55" s="312">
        <f>IF(AND(M_FactoresComplement!$G$6="No",M_FactoresComplement!$G$8="No"),M_Cálculos!K55*M_Factores!$D$213/(10^3),IF(AND(M_FactoresComplement!$G$6="Sí",M_FactoresComplement!$G$8="No"),K55*M_FactoresComplement!G38/(10^3),K55*VLOOKUP(M_FactoresComplement!$C$38&amp;M_Datos!$E$12&amp;M_Lista!G19,M_FactoresComplement!$F$15:$I$434,2,FALSE)/(10^3)))</f>
        <v>0</v>
      </c>
      <c r="M55" s="313">
        <f>IF(AND(M_FactoresComplement!$G$6="No",M_FactoresComplement!$G$8="No"),M_Cálculos!K55*M_Factores!$D$213/(10^3),IF(AND(M_FactoresComplement!$G$6="Sí",M_FactoresComplement!$G$8="No"),K55*M_FactoresComplement!H38/(10^3),K55*VLOOKUP(M_FactoresComplement!$C$38&amp;M_Datos!$E$12&amp;M_Lista!G19,M_FactoresComplement!$F$15:$I$434,3,FALSE)/(10^3)))</f>
        <v>0</v>
      </c>
      <c r="N55" s="551">
        <f>SUMIFS(M_Datos!$T$68:$T$70,M_Datos!$U$68:$U$70,M_Lista!G20)</f>
        <v>0</v>
      </c>
      <c r="O55" s="312">
        <f>IF(AND(M_FactoresComplement!$G$6="No",M_FactoresComplement!$G$8="No"),M_Cálculos!N55*M_Factores!$D$213/(10^3),IF(AND(M_FactoresComplement!$G$6="Sí",M_FactoresComplement!$G$8="No"),N55*M_FactoresComplement!G38/(10^3),N55*VLOOKUP(M_FactoresComplement!$C$38&amp;M_Datos!$E$12&amp;M_Lista!G19,M_FactoresComplement!$F$15:$I$434,2,FALSE)/(10^3)))</f>
        <v>0</v>
      </c>
      <c r="P55" s="313">
        <f>IF(AND(M_FactoresComplement!$G$6="No",M_FactoresComplement!$G$8="No"),M_Cálculos!N55*M_Factores!$D$213/(10^3),IF(AND(M_FactoresComplement!$G$6="Sí",M_FactoresComplement!$G$8="No"),N55*M_FactoresComplement!H38/(10^3),N55*VLOOKUP(M_FactoresComplement!$C$38&amp;M_Datos!$E$12&amp;M_Lista!G19,M_FactoresComplement!$F$15:$I$434,3,FALSE)/(10^3)))</f>
        <v>0</v>
      </c>
      <c r="Q55" s="551">
        <f>SUMIFS(M_Datos!$V$68:$V$70,M_Datos!$W$68:$W$70,M_Lista!G20)</f>
        <v>0</v>
      </c>
      <c r="R55" s="312">
        <f>IF(AND(M_FactoresComplement!$G$6="No",M_FactoresComplement!$G$8="No"),M_Cálculos!Q55*M_Factores!$D$213/(10^3),IF(AND(M_FactoresComplement!$G$6="Sí",M_FactoresComplement!$G$8="No"),Q55*M_FactoresComplement!G38/(10^3),Q55*VLOOKUP(M_FactoresComplement!$C$38&amp;M_Datos!$E$12&amp;M_Lista!G19,M_FactoresComplement!$F$15:$I$434,2,FALSE)/(10^3)))</f>
        <v>0</v>
      </c>
      <c r="S55" s="313">
        <f>IF(AND(M_FactoresComplement!$G$6="No",M_FactoresComplement!$G$8="No"),M_Cálculos!Q55*M_Factores!$D$213/(10^3),IF(AND(M_FactoresComplement!$G$6="Sí",M_FactoresComplement!$G$8="No"),Q55*M_FactoresComplement!H38/(10^3),Q55*VLOOKUP(M_FactoresComplement!$C$38&amp;M_Datos!$E$12&amp;M_Lista!G19,M_FactoresComplement!$F$15:$I$434,3,FALSE)/(10^3)))</f>
        <v>0</v>
      </c>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c r="TR55" s="11"/>
      <c r="TS55" s="11"/>
      <c r="TT55" s="11"/>
      <c r="TU55" s="11"/>
      <c r="TV55" s="11"/>
      <c r="TW55" s="11"/>
      <c r="TX55" s="11"/>
      <c r="TY55" s="11"/>
      <c r="TZ55" s="11"/>
      <c r="UA55" s="11"/>
      <c r="UB55" s="11"/>
      <c r="UC55" s="11"/>
      <c r="UD55" s="11"/>
      <c r="UE55" s="11"/>
      <c r="UF55" s="11"/>
      <c r="UG55" s="11"/>
      <c r="UH55" s="11"/>
      <c r="UI55" s="11"/>
      <c r="UJ55" s="11"/>
      <c r="UK55" s="11"/>
      <c r="UL55" s="11"/>
      <c r="UM55" s="11"/>
      <c r="UN55" s="11"/>
      <c r="UO55" s="11"/>
      <c r="UP55" s="11"/>
      <c r="UQ55" s="11"/>
      <c r="UR55" s="11"/>
      <c r="US55" s="11"/>
      <c r="UT55" s="11"/>
      <c r="UU55" s="11"/>
      <c r="UV55" s="11"/>
      <c r="UW55" s="11"/>
      <c r="UX55" s="11"/>
      <c r="UY55" s="11"/>
      <c r="UZ55" s="11"/>
      <c r="VA55" s="11"/>
      <c r="VB55" s="11"/>
      <c r="VC55" s="11"/>
      <c r="VD55" s="11"/>
      <c r="VE55" s="11"/>
      <c r="VF55" s="11"/>
      <c r="VG55" s="11"/>
      <c r="VH55" s="11"/>
      <c r="VI55" s="11"/>
      <c r="VJ55" s="11"/>
      <c r="VK55" s="11"/>
      <c r="VL55" s="11"/>
      <c r="VM55" s="11"/>
      <c r="VN55" s="11"/>
      <c r="VO55" s="11"/>
      <c r="VP55" s="11"/>
      <c r="VQ55" s="11"/>
      <c r="VR55" s="11"/>
      <c r="VS55" s="11"/>
      <c r="VT55" s="11"/>
      <c r="VU55" s="11"/>
      <c r="VV55" s="11"/>
      <c r="VW55" s="11"/>
      <c r="VX55" s="11"/>
      <c r="VY55" s="11"/>
      <c r="VZ55" s="11"/>
      <c r="WA55" s="11"/>
      <c r="WB55" s="11"/>
      <c r="WC55" s="11"/>
      <c r="WD55" s="11"/>
      <c r="WE55" s="11"/>
      <c r="WF55" s="11"/>
      <c r="WG55" s="11"/>
      <c r="WH55" s="11"/>
      <c r="WI55" s="11"/>
      <c r="WJ55" s="11"/>
      <c r="WK55" s="11"/>
      <c r="WL55" s="11"/>
      <c r="WM55" s="11"/>
      <c r="WN55" s="11"/>
      <c r="WO55" s="11"/>
      <c r="WP55" s="11"/>
      <c r="WQ55" s="11"/>
      <c r="WR55" s="11"/>
      <c r="WS55" s="11"/>
      <c r="WT55" s="11"/>
      <c r="WU55" s="11"/>
      <c r="WV55" s="11"/>
      <c r="WW55" s="11"/>
      <c r="WX55" s="11"/>
      <c r="WY55" s="11"/>
      <c r="WZ55" s="11"/>
      <c r="XA55" s="11"/>
      <c r="XB55" s="11"/>
      <c r="XC55" s="11"/>
      <c r="XD55" s="11"/>
      <c r="XE55" s="11"/>
      <c r="XF55" s="11"/>
      <c r="XG55" s="11"/>
      <c r="XH55" s="11"/>
      <c r="XI55" s="11"/>
      <c r="XJ55" s="11"/>
      <c r="XK55" s="11"/>
      <c r="XL55" s="11"/>
      <c r="XM55" s="11"/>
      <c r="XN55" s="11"/>
      <c r="XO55" s="11"/>
      <c r="XP55" s="11"/>
      <c r="XQ55" s="11"/>
      <c r="XR55" s="11"/>
      <c r="XS55" s="11"/>
      <c r="XT55" s="11"/>
      <c r="XU55" s="11"/>
      <c r="XV55" s="11"/>
      <c r="XW55" s="11"/>
      <c r="XX55" s="11"/>
      <c r="XY55" s="11"/>
      <c r="XZ55" s="11"/>
      <c r="YA55" s="11"/>
      <c r="YB55" s="11"/>
      <c r="YC55" s="11"/>
      <c r="YD55" s="11"/>
      <c r="YE55" s="11"/>
      <c r="YF55" s="11"/>
      <c r="YG55" s="11"/>
      <c r="YH55" s="11"/>
      <c r="YI55" s="11"/>
      <c r="YJ55" s="11"/>
      <c r="YK55" s="11"/>
      <c r="YL55" s="11"/>
      <c r="YM55" s="11"/>
      <c r="YN55" s="11"/>
      <c r="YO55" s="11"/>
      <c r="YP55" s="11"/>
      <c r="YQ55" s="11"/>
      <c r="YR55" s="11"/>
      <c r="YS55" s="11"/>
      <c r="YT55" s="11"/>
      <c r="YU55" s="11"/>
      <c r="YV55" s="11"/>
      <c r="YW55" s="11"/>
      <c r="YX55" s="11"/>
      <c r="YY55" s="11"/>
      <c r="YZ55" s="11"/>
      <c r="ZA55" s="11"/>
      <c r="ZB55" s="11"/>
      <c r="ZC55" s="11"/>
      <c r="ZD55" s="11"/>
      <c r="ZE55" s="11"/>
      <c r="ZF55" s="11"/>
      <c r="ZG55" s="11"/>
      <c r="ZH55" s="11"/>
      <c r="ZI55" s="11"/>
      <c r="ZJ55" s="11"/>
      <c r="ZK55" s="11"/>
      <c r="ZL55" s="11"/>
      <c r="ZM55" s="11"/>
      <c r="ZN55" s="11"/>
      <c r="ZO55" s="11"/>
      <c r="ZP55" s="11"/>
      <c r="ZQ55" s="11"/>
      <c r="ZR55" s="11"/>
      <c r="ZS55" s="11"/>
      <c r="ZT55" s="11"/>
      <c r="ZU55" s="11"/>
      <c r="ZV55" s="11"/>
      <c r="ZW55" s="11"/>
      <c r="ZX55" s="11"/>
      <c r="ZY55" s="11"/>
      <c r="ZZ55" s="11"/>
      <c r="AAA55" s="11"/>
      <c r="AAB55" s="11"/>
      <c r="AAC55" s="11"/>
      <c r="AAD55" s="11"/>
      <c r="AAE55" s="11"/>
      <c r="AAF55" s="11"/>
      <c r="AAG55" s="11"/>
      <c r="AAH55" s="11"/>
      <c r="AAI55" s="11"/>
      <c r="AAJ55" s="11"/>
      <c r="AAK55" s="11"/>
      <c r="AAL55" s="11"/>
      <c r="AAM55" s="11"/>
      <c r="AAN55" s="11"/>
      <c r="AAO55" s="11"/>
      <c r="AAP55" s="11"/>
      <c r="AAQ55" s="11"/>
      <c r="AAR55" s="11"/>
      <c r="AAS55" s="11"/>
      <c r="AAT55" s="11"/>
      <c r="AAU55" s="11"/>
      <c r="AAV55" s="11"/>
      <c r="AAW55" s="11"/>
      <c r="AAX55" s="11"/>
      <c r="AAY55" s="11"/>
      <c r="AAZ55" s="11"/>
      <c r="ABA55" s="11"/>
      <c r="ABB55" s="11"/>
      <c r="ABC55" s="11"/>
      <c r="ABD55" s="11"/>
      <c r="ABE55" s="11"/>
      <c r="ABF55" s="11"/>
      <c r="ABG55" s="11"/>
      <c r="ABH55" s="11"/>
      <c r="ABI55" s="11"/>
      <c r="ABJ55" s="11"/>
      <c r="ABK55" s="11"/>
      <c r="ABL55" s="11"/>
      <c r="ABM55" s="11"/>
      <c r="ABN55" s="11"/>
      <c r="ABO55" s="11"/>
      <c r="ABP55" s="11"/>
      <c r="ABQ55" s="11"/>
      <c r="ABR55" s="11"/>
      <c r="ABS55" s="11"/>
      <c r="ABT55" s="11"/>
      <c r="ABU55" s="11"/>
      <c r="ABV55" s="11"/>
      <c r="ABW55" s="11"/>
      <c r="ABX55" s="11"/>
      <c r="ABY55" s="11"/>
      <c r="ABZ55" s="11"/>
      <c r="ACA55" s="11"/>
      <c r="ACB55" s="11"/>
      <c r="ACC55" s="11"/>
      <c r="ACD55" s="11"/>
      <c r="ACE55" s="11"/>
      <c r="ACF55" s="11"/>
      <c r="ACG55" s="11"/>
      <c r="ACH55" s="11"/>
      <c r="ACI55" s="11"/>
      <c r="ACJ55" s="11"/>
      <c r="ACK55" s="11"/>
      <c r="ACL55" s="11"/>
      <c r="ACM55" s="11"/>
      <c r="ACN55" s="11"/>
      <c r="ACO55" s="11"/>
      <c r="ACP55" s="11"/>
      <c r="ACQ55" s="11"/>
      <c r="ACR55" s="11"/>
      <c r="ACS55" s="11"/>
      <c r="ACT55" s="11"/>
      <c r="ACU55" s="11"/>
      <c r="ACV55" s="11"/>
      <c r="ACW55" s="11"/>
      <c r="ACX55" s="11"/>
      <c r="ACY55" s="11"/>
      <c r="ACZ55" s="11"/>
      <c r="ADA55" s="11"/>
      <c r="ADB55" s="11"/>
      <c r="ADC55" s="11"/>
      <c r="ADD55" s="11"/>
      <c r="ADE55" s="11"/>
      <c r="ADF55" s="11"/>
      <c r="ADG55" s="11"/>
      <c r="ADH55" s="11"/>
      <c r="ADI55" s="11"/>
      <c r="ADJ55" s="11"/>
      <c r="ADK55" s="11"/>
      <c r="ADL55" s="11"/>
      <c r="ADM55" s="11"/>
      <c r="ADN55" s="11"/>
      <c r="ADO55" s="11"/>
      <c r="ADP55" s="11"/>
      <c r="ADQ55" s="11"/>
      <c r="ADR55" s="11"/>
      <c r="ADS55" s="11"/>
      <c r="ADT55" s="11"/>
      <c r="ADU55" s="11"/>
      <c r="ADV55" s="11"/>
      <c r="ADW55" s="11"/>
      <c r="ADX55" s="11"/>
      <c r="ADY55" s="11"/>
      <c r="ADZ55" s="11"/>
      <c r="AEA55" s="11"/>
      <c r="AEB55" s="11"/>
      <c r="AEC55" s="11"/>
      <c r="AED55" s="11"/>
      <c r="AEE55" s="11"/>
      <c r="AEF55" s="11"/>
      <c r="AEG55" s="11"/>
      <c r="AEH55" s="11"/>
      <c r="AEI55" s="11"/>
      <c r="AEJ55" s="11"/>
      <c r="AEK55" s="11"/>
      <c r="AEL55" s="11"/>
      <c r="AEM55" s="11"/>
      <c r="AEN55" s="11"/>
      <c r="AEO55" s="11"/>
      <c r="AEP55" s="11"/>
      <c r="AEQ55" s="11"/>
      <c r="AER55" s="11"/>
      <c r="AES55" s="11"/>
      <c r="AET55" s="11"/>
      <c r="AEU55" s="11"/>
      <c r="AEV55" s="11"/>
      <c r="AEW55" s="11"/>
      <c r="AEX55" s="11"/>
      <c r="AEY55" s="11"/>
      <c r="AEZ55" s="11"/>
      <c r="AFA55" s="11"/>
      <c r="AFB55" s="11"/>
      <c r="AFC55" s="11"/>
      <c r="AFD55" s="11"/>
      <c r="AFE55" s="11"/>
      <c r="AFF55" s="11"/>
      <c r="AFG55" s="11"/>
      <c r="AFH55" s="11"/>
      <c r="AFI55" s="11"/>
    </row>
    <row r="56" spans="2:841">
      <c r="B56" s="11"/>
      <c r="C56" s="657"/>
      <c r="D56" s="289" t="s">
        <v>627</v>
      </c>
      <c r="E56" s="551">
        <f>SUMIFS(M_Datos!$N$68:$N$70,M_Datos!$O$68:$O$70,M_Lista!G21)</f>
        <v>0</v>
      </c>
      <c r="F56" s="312">
        <f>IF(AND(M_FactoresComplement!$G$6="No",M_FactoresComplement!$G$8="No"),M_Cálculos!E56*M_Factores!$D$213/(10^3),IF(AND(M_FactoresComplement!$G$6="Sí",M_FactoresComplement!$G$8="No"),E56*M_FactoresComplement!G39/(10^3),E56*VLOOKUP(M_FactoresComplement!$C$38&amp;M_Datos!$E$12&amp;M_Lista!G20,M_FactoresComplement!$F$15:$I$434,2,FALSE)/(10^3)))</f>
        <v>0</v>
      </c>
      <c r="G56" s="313">
        <f>IF(AND(M_FactoresComplement!$G$6="No",M_FactoresComplement!$G$8="No"),M_Cálculos!E56*M_Factores!$D$213/(10^3),IF(AND(M_FactoresComplement!$G$6="Sí",M_FactoresComplement!$G$8="No"),E56*M_FactoresComplement!H39/(10^3),E56*VLOOKUP(M_FactoresComplement!$C$38&amp;M_Datos!$E$12&amp;M_Lista!G20,M_FactoresComplement!$F$15:$I$434,3,FALSE)/(10^3)))</f>
        <v>0</v>
      </c>
      <c r="H56" s="551">
        <f>SUMIFS(M_Datos!$P$68:$P$70,M_Datos!$Q$68:$Q$70,M_Lista!G21)</f>
        <v>0</v>
      </c>
      <c r="I56" s="312">
        <f>IF(AND(M_FactoresComplement!$G$6="No",M_FactoresComplement!$G$8="No"),M_Cálculos!H56*M_Factores!$D$213/(10^3),IF(AND(M_FactoresComplement!$G$6="Sí",M_FactoresComplement!$G$8="No"),H56*M_FactoresComplement!G39/(10^3),H56*VLOOKUP(M_FactoresComplement!$C$38&amp;M_Datos!$E$12&amp;M_Lista!G20,M_FactoresComplement!$F$15:$I$434,2,FALSE)/(10^3)))</f>
        <v>0</v>
      </c>
      <c r="J56" s="313">
        <f>IF(AND(M_FactoresComplement!$G$6="No",M_FactoresComplement!$G$8="No"),M_Cálculos!H56*M_Factores!$D$213/(10^3),IF(AND(M_FactoresComplement!$G$6="Sí",M_FactoresComplement!$G$8="No"),H56*M_FactoresComplement!H39/(10^3),H56*VLOOKUP(M_FactoresComplement!$C$38&amp;M_Datos!$E$12&amp;M_Lista!G20,M_FactoresComplement!$F$15:$I$434,3,FALSE)/(10^3)))</f>
        <v>0</v>
      </c>
      <c r="K56" s="551">
        <f>SUMIFS(M_Datos!$R$68:$R$70,M_Datos!$S$68:$S$70,M_Lista!G21)</f>
        <v>0</v>
      </c>
      <c r="L56" s="312">
        <f>IF(AND(M_FactoresComplement!$G$6="No",M_FactoresComplement!$G$8="No"),M_Cálculos!K56*M_Factores!$D$213/(10^3),IF(AND(M_FactoresComplement!$G$6="Sí",M_FactoresComplement!$G$8="No"),K56*M_FactoresComplement!G39/(10^3),K56*VLOOKUP(M_FactoresComplement!$C$38&amp;M_Datos!$E$12&amp;M_Lista!G20,M_FactoresComplement!$F$15:$I$434,2,FALSE)/(10^3)))</f>
        <v>0</v>
      </c>
      <c r="M56" s="313">
        <f>IF(AND(M_FactoresComplement!$G$6="No",M_FactoresComplement!$G$8="No"),M_Cálculos!K56*M_Factores!$D$213/(10^3),IF(AND(M_FactoresComplement!$G$6="Sí",M_FactoresComplement!$G$8="No"),K56*M_FactoresComplement!H39/(10^3),K56*VLOOKUP(M_FactoresComplement!$C$38&amp;M_Datos!$E$12&amp;M_Lista!G20,M_FactoresComplement!$F$15:$I$434,3,FALSE)/(10^3)))</f>
        <v>0</v>
      </c>
      <c r="N56" s="551">
        <f>SUMIFS(M_Datos!$T$68:$T$70,M_Datos!$U$68:$U$70,M_Lista!G21)</f>
        <v>0</v>
      </c>
      <c r="O56" s="312">
        <f>IF(AND(M_FactoresComplement!$G$6="No",M_FactoresComplement!$G$8="No"),M_Cálculos!N56*M_Factores!$D$213/(10^3),IF(AND(M_FactoresComplement!$G$6="Sí",M_FactoresComplement!$G$8="No"),N56*M_FactoresComplement!G39/(10^3),N56*VLOOKUP(M_FactoresComplement!$C$38&amp;M_Datos!$E$12&amp;M_Lista!G20,M_FactoresComplement!$F$15:$I$434,2,FALSE)/(10^3)))</f>
        <v>0</v>
      </c>
      <c r="P56" s="313">
        <f>IF(AND(M_FactoresComplement!$G$6="No",M_FactoresComplement!$G$8="No"),M_Cálculos!N56*M_Factores!$D$213/(10^3),IF(AND(M_FactoresComplement!$G$6="Sí",M_FactoresComplement!$G$8="No"),N56*M_FactoresComplement!H39/(10^3),N56*VLOOKUP(M_FactoresComplement!$C$38&amp;M_Datos!$E$12&amp;M_Lista!G20,M_FactoresComplement!$F$15:$I$434,3,FALSE)/(10^3)))</f>
        <v>0</v>
      </c>
      <c r="Q56" s="551">
        <f>SUMIFS(M_Datos!$V$68:$V$70,M_Datos!$W$68:$W$70,M_Lista!G21)</f>
        <v>0</v>
      </c>
      <c r="R56" s="312">
        <f>IF(AND(M_FactoresComplement!$G$6="No",M_FactoresComplement!$G$8="No"),M_Cálculos!Q56*M_Factores!$D$213/(10^3),IF(AND(M_FactoresComplement!$G$6="Sí",M_FactoresComplement!$G$8="No"),Q56*M_FactoresComplement!G39/(10^3),Q56*VLOOKUP(M_FactoresComplement!$C$38&amp;M_Datos!$E$12&amp;M_Lista!G20,M_FactoresComplement!$F$15:$I$434,2,FALSE)/(10^3)))</f>
        <v>0</v>
      </c>
      <c r="S56" s="313">
        <f>IF(AND(M_FactoresComplement!$G$6="No",M_FactoresComplement!$G$8="No"),M_Cálculos!Q56*M_Factores!$D$213/(10^3),IF(AND(M_FactoresComplement!$G$6="Sí",M_FactoresComplement!$G$8="No"),Q56*M_FactoresComplement!H39/(10^3),Q56*VLOOKUP(M_FactoresComplement!$C$38&amp;M_Datos!$E$12&amp;M_Lista!G20,M_FactoresComplement!$F$15:$I$434,3,FALSE)/(10^3)))</f>
        <v>0</v>
      </c>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row>
    <row r="57" spans="2:841">
      <c r="B57" s="11"/>
      <c r="C57" s="657"/>
      <c r="D57" s="289" t="s">
        <v>628</v>
      </c>
      <c r="E57" s="551">
        <f>SUMIFS(M_Datos!$N$68:$N$70,M_Datos!$O$68:$O$70,M_Lista!G22)</f>
        <v>0</v>
      </c>
      <c r="F57" s="312">
        <f>IF(AND(M_FactoresComplement!$G$6="No",M_FactoresComplement!$G$8="No"),M_Cálculos!E57*M_Factores!$D$213/(10^3),IF(AND(M_FactoresComplement!$G$6="Sí",M_FactoresComplement!$G$8="No"),E57*M_FactoresComplement!G40/(10^3),E57*VLOOKUP(M_FactoresComplement!$C$38&amp;M_Datos!$E$12&amp;M_Lista!G21,M_FactoresComplement!$F$15:$I$434,2,FALSE)/(10^3)))</f>
        <v>0</v>
      </c>
      <c r="G57" s="313">
        <f>IF(AND(M_FactoresComplement!$G$6="No",M_FactoresComplement!$G$8="No"),M_Cálculos!E57*M_Factores!$D$213/(10^3),IF(AND(M_FactoresComplement!$G$6="Sí",M_FactoresComplement!$G$8="No"),E57*M_FactoresComplement!H40/(10^3),E57*VLOOKUP(M_FactoresComplement!$C$38&amp;M_Datos!$E$12&amp;M_Lista!G21,M_FactoresComplement!$F$15:$I$434,3,FALSE)/(10^3)))</f>
        <v>0</v>
      </c>
      <c r="H57" s="551">
        <f>SUMIFS(M_Datos!$P$68:$P$70,M_Datos!$Q$68:$Q$70,M_Lista!G22)</f>
        <v>0</v>
      </c>
      <c r="I57" s="312">
        <f>IF(AND(M_FactoresComplement!$G$6="No",M_FactoresComplement!$G$8="No"),M_Cálculos!H57*M_Factores!$D$213/(10^3),IF(AND(M_FactoresComplement!$G$6="Sí",M_FactoresComplement!$G$8="No"),H57*M_FactoresComplement!G40/(10^3),H57*VLOOKUP(M_FactoresComplement!$C$38&amp;M_Datos!$E$12&amp;M_Lista!G21,M_FactoresComplement!$F$15:$I$434,2,FALSE)/(10^3)))</f>
        <v>0</v>
      </c>
      <c r="J57" s="313">
        <f>IF(AND(M_FactoresComplement!$G$6="No",M_FactoresComplement!$G$8="No"),M_Cálculos!H57*M_Factores!$D$213/(10^3),IF(AND(M_FactoresComplement!$G$6="Sí",M_FactoresComplement!$G$8="No"),H57*M_FactoresComplement!H40/(10^3),H57*VLOOKUP(M_FactoresComplement!$C$38&amp;M_Datos!$E$12&amp;M_Lista!G21,M_FactoresComplement!$F$15:$I$434,3,FALSE)/(10^3)))</f>
        <v>0</v>
      </c>
      <c r="K57" s="551">
        <f>SUMIFS(M_Datos!$R$68:$R$70,M_Datos!$S$68:$S$70,M_Lista!G22)</f>
        <v>0</v>
      </c>
      <c r="L57" s="312">
        <f>IF(AND(M_FactoresComplement!$G$6="No",M_FactoresComplement!$G$8="No"),M_Cálculos!K57*M_Factores!$D$213/(10^3),IF(AND(M_FactoresComplement!$G$6="Sí",M_FactoresComplement!$G$8="No"),K57*M_FactoresComplement!G40/(10^3),K57*VLOOKUP(M_FactoresComplement!$C$38&amp;M_Datos!$E$12&amp;M_Lista!G21,M_FactoresComplement!$F$15:$I$434,2,FALSE)/(10^3)))</f>
        <v>0</v>
      </c>
      <c r="M57" s="313">
        <f>IF(AND(M_FactoresComplement!$G$6="No",M_FactoresComplement!$G$8="No"),M_Cálculos!K57*M_Factores!$D$213/(10^3),IF(AND(M_FactoresComplement!$G$6="Sí",M_FactoresComplement!$G$8="No"),K57*M_FactoresComplement!H40/(10^3),K57*VLOOKUP(M_FactoresComplement!$C$38&amp;M_Datos!$E$12&amp;M_Lista!G21,M_FactoresComplement!$F$15:$I$434,3,FALSE)/(10^3)))</f>
        <v>0</v>
      </c>
      <c r="N57" s="551">
        <f>SUMIFS(M_Datos!$T$68:$T$70,M_Datos!$U$68:$U$70,M_Lista!G22)</f>
        <v>0</v>
      </c>
      <c r="O57" s="312">
        <f>IF(AND(M_FactoresComplement!$G$6="No",M_FactoresComplement!$G$8="No"),M_Cálculos!N57*M_Factores!$D$213/(10^3),IF(AND(M_FactoresComplement!$G$6="Sí",M_FactoresComplement!$G$8="No"),N57*M_FactoresComplement!G40/(10^3),N57*VLOOKUP(M_FactoresComplement!$C$38&amp;M_Datos!$E$12&amp;M_Lista!G21,M_FactoresComplement!$F$15:$I$434,2,FALSE)/(10^3)))</f>
        <v>0</v>
      </c>
      <c r="P57" s="313">
        <f>IF(AND(M_FactoresComplement!$G$6="No",M_FactoresComplement!$G$8="No"),M_Cálculos!N57*M_Factores!$D$213/(10^3),IF(AND(M_FactoresComplement!$G$6="Sí",M_FactoresComplement!$G$8="No"),N57*M_FactoresComplement!H40/(10^3),N57*VLOOKUP(M_FactoresComplement!$C$38&amp;M_Datos!$E$12&amp;M_Lista!G21,M_FactoresComplement!$F$15:$I$434,3,FALSE)/(10^3)))</f>
        <v>0</v>
      </c>
      <c r="Q57" s="551">
        <f>SUMIFS(M_Datos!$V$68:$V$70,M_Datos!$W$68:$W$70,M_Lista!G22)</f>
        <v>0</v>
      </c>
      <c r="R57" s="312">
        <f>IF(AND(M_FactoresComplement!$G$6="No",M_FactoresComplement!$G$8="No"),M_Cálculos!Q57*M_Factores!$D$213/(10^3),IF(AND(M_FactoresComplement!$G$6="Sí",M_FactoresComplement!$G$8="No"),Q57*M_FactoresComplement!G40/(10^3),Q57*VLOOKUP(M_FactoresComplement!$C$38&amp;M_Datos!$E$12&amp;M_Lista!G21,M_FactoresComplement!$F$15:$I$434,2,FALSE)/(10^3)))</f>
        <v>0</v>
      </c>
      <c r="S57" s="313">
        <f>IF(AND(M_FactoresComplement!$G$6="No",M_FactoresComplement!$G$8="No"),M_Cálculos!Q57*M_Factores!$D$213/(10^3),IF(AND(M_FactoresComplement!$G$6="Sí",M_FactoresComplement!$G$8="No"),Q57*M_FactoresComplement!H40/(10^3),Q57*VLOOKUP(M_FactoresComplement!$C$38&amp;M_Datos!$E$12&amp;M_Lista!G21,M_FactoresComplement!$F$15:$I$434,3,FALSE)/(10^3)))</f>
        <v>0</v>
      </c>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row>
    <row r="58" spans="2:841">
      <c r="B58" s="11"/>
      <c r="C58" s="657"/>
      <c r="D58" s="289" t="s">
        <v>629</v>
      </c>
      <c r="E58" s="551">
        <f>SUMIFS(M_Datos!$N$68:$N$70,M_Datos!$O$68:$O$70,M_Lista!G23)</f>
        <v>0</v>
      </c>
      <c r="F58" s="312">
        <f>IF(AND(M_FactoresComplement!$G$6="No",M_FactoresComplement!$G$8="No"),M_Cálculos!E58*M_Factores!$D$213/(10^3),IF(AND(M_FactoresComplement!$G$6="Sí",M_FactoresComplement!$G$8="No"),E58*M_FactoresComplement!G41/(10^3),E58*VLOOKUP(M_FactoresComplement!$C$38&amp;M_Datos!$E$12&amp;M_Lista!G22,M_FactoresComplement!$F$15:$I$434,2,FALSE)/(10^3)))</f>
        <v>0</v>
      </c>
      <c r="G58" s="313">
        <f>IF(AND(M_FactoresComplement!$G$6="No",M_FactoresComplement!$G$8="No"),M_Cálculos!E58*M_Factores!$D$213/(10^3),IF(AND(M_FactoresComplement!$G$6="Sí",M_FactoresComplement!$G$8="No"),E58*M_FactoresComplement!H41/(10^3),E58*VLOOKUP(M_FactoresComplement!$C$38&amp;M_Datos!$E$12&amp;M_Lista!G22,M_FactoresComplement!$F$15:$I$434,3,FALSE)/(10^3)))</f>
        <v>0</v>
      </c>
      <c r="H58" s="551">
        <f>SUMIFS(M_Datos!$P$68:$P$70,M_Datos!$Q$68:$Q$70,M_Lista!G23)</f>
        <v>0</v>
      </c>
      <c r="I58" s="312">
        <f>IF(AND(M_FactoresComplement!$G$6="No",M_FactoresComplement!$G$8="No"),M_Cálculos!H58*M_Factores!$D$213/(10^3),IF(AND(M_FactoresComplement!$G$6="Sí",M_FactoresComplement!$G$8="No"),H58*M_FactoresComplement!G41/(10^3),H58*VLOOKUP(M_FactoresComplement!$C$38&amp;M_Datos!$E$12&amp;M_Lista!G22,M_FactoresComplement!$F$15:$I$434,2,FALSE)/(10^3)))</f>
        <v>0</v>
      </c>
      <c r="J58" s="313">
        <f>IF(AND(M_FactoresComplement!$G$6="No",M_FactoresComplement!$G$8="No"),M_Cálculos!H58*M_Factores!$D$213/(10^3),IF(AND(M_FactoresComplement!$G$6="Sí",M_FactoresComplement!$G$8="No"),H58*M_FactoresComplement!H41/(10^3),H58*VLOOKUP(M_FactoresComplement!$C$38&amp;M_Datos!$E$12&amp;M_Lista!G22,M_FactoresComplement!$F$15:$I$434,3,FALSE)/(10^3)))</f>
        <v>0</v>
      </c>
      <c r="K58" s="551">
        <f>SUMIFS(M_Datos!$R$68:$R$70,M_Datos!$S$68:$S$70,M_Lista!G23)</f>
        <v>0</v>
      </c>
      <c r="L58" s="312">
        <f>IF(AND(M_FactoresComplement!$G$6="No",M_FactoresComplement!$G$8="No"),M_Cálculos!K58*M_Factores!$D$213/(10^3),IF(AND(M_FactoresComplement!$G$6="Sí",M_FactoresComplement!$G$8="No"),K58*M_FactoresComplement!G41/(10^3),K58*VLOOKUP(M_FactoresComplement!$C$38&amp;M_Datos!$E$12&amp;M_Lista!G22,M_FactoresComplement!$F$15:$I$434,2,FALSE)/(10^3)))</f>
        <v>0</v>
      </c>
      <c r="M58" s="313">
        <f>IF(AND(M_FactoresComplement!$G$6="No",M_FactoresComplement!$G$8="No"),M_Cálculos!K58*M_Factores!$D$213/(10^3),IF(AND(M_FactoresComplement!$G$6="Sí",M_FactoresComplement!$G$8="No"),K58*M_FactoresComplement!H41/(10^3),K58*VLOOKUP(M_FactoresComplement!$C$38&amp;M_Datos!$E$12&amp;M_Lista!G22,M_FactoresComplement!$F$15:$I$434,3,FALSE)/(10^3)))</f>
        <v>0</v>
      </c>
      <c r="N58" s="551">
        <f>SUMIFS(M_Datos!$T$68:$T$70,M_Datos!$U$68:$U$70,M_Lista!G23)</f>
        <v>0</v>
      </c>
      <c r="O58" s="312">
        <f>IF(AND(M_FactoresComplement!$G$6="No",M_FactoresComplement!$G$8="No"),M_Cálculos!N58*M_Factores!$D$213/(10^3),IF(AND(M_FactoresComplement!$G$6="Sí",M_FactoresComplement!$G$8="No"),N58*M_FactoresComplement!G41/(10^3),N58*VLOOKUP(M_FactoresComplement!$C$38&amp;M_Datos!$E$12&amp;M_Lista!G22,M_FactoresComplement!$F$15:$I$434,2,FALSE)/(10^3)))</f>
        <v>0</v>
      </c>
      <c r="P58" s="313">
        <f>IF(AND(M_FactoresComplement!$G$6="No",M_FactoresComplement!$G$8="No"),M_Cálculos!N58*M_Factores!$D$213/(10^3),IF(AND(M_FactoresComplement!$G$6="Sí",M_FactoresComplement!$G$8="No"),N58*M_FactoresComplement!H41/(10^3),N58*VLOOKUP(M_FactoresComplement!$C$38&amp;M_Datos!$E$12&amp;M_Lista!G22,M_FactoresComplement!$F$15:$I$434,3,FALSE)/(10^3)))</f>
        <v>0</v>
      </c>
      <c r="Q58" s="551">
        <f>SUMIFS(M_Datos!$V$68:$V$70,M_Datos!$W$68:$W$70,M_Lista!G23)</f>
        <v>0</v>
      </c>
      <c r="R58" s="312">
        <f>IF(AND(M_FactoresComplement!$G$6="No",M_FactoresComplement!$G$8="No"),M_Cálculos!Q58*M_Factores!$D$213/(10^3),IF(AND(M_FactoresComplement!$G$6="Sí",M_FactoresComplement!$G$8="No"),Q58*M_FactoresComplement!G41/(10^3),Q58*VLOOKUP(M_FactoresComplement!$C$38&amp;M_Datos!$E$12&amp;M_Lista!G22,M_FactoresComplement!$F$15:$I$434,2,FALSE)/(10^3)))</f>
        <v>0</v>
      </c>
      <c r="S58" s="313">
        <f>IF(AND(M_FactoresComplement!$G$6="No",M_FactoresComplement!$G$8="No"),M_Cálculos!Q58*M_Factores!$D$213/(10^3),IF(AND(M_FactoresComplement!$G$6="Sí",M_FactoresComplement!$G$8="No"),Q58*M_FactoresComplement!H41/(10^3),Q58*VLOOKUP(M_FactoresComplement!$C$38&amp;M_Datos!$E$12&amp;M_Lista!G22,M_FactoresComplement!$F$15:$I$434,3,FALSE)/(10^3)))</f>
        <v>0</v>
      </c>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row>
    <row r="59" spans="2:841">
      <c r="B59" s="11"/>
      <c r="C59" s="657"/>
      <c r="D59" s="289" t="str">
        <f>IF(Idioma=Castellano,"Consumo nulo",IF(Idioma=Valencià,"Consum nul","Consumo nulo"))</f>
        <v>Consumo nulo</v>
      </c>
      <c r="E59" s="551">
        <f>SUMIFS(M_Datos!$N$68:$N$70,M_Datos!$O$68:$O$70,M_Lista!G24)</f>
        <v>0</v>
      </c>
      <c r="F59" s="312">
        <f>IF(AND(M_FactoresComplement!$G$6="No",M_FactoresComplement!$G$8="No"),M_Cálculos!E59*M_Factores!$D$213/(10^3),IF(AND(M_FactoresComplement!$G$6="Sí",M_FactoresComplement!$G$8="No"),E59*M_FactoresComplement!G42/(10^3),E59*VLOOKUP(M_FactoresComplement!$C$38&amp;M_Datos!$E$12&amp;M_Lista!G23,M_FactoresComplement!$F$15:$I$434,2,FALSE)/(10^3)))</f>
        <v>0</v>
      </c>
      <c r="G59" s="313">
        <f>IF(AND(M_FactoresComplement!$G$6="No",M_FactoresComplement!$G$8="No"),M_Cálculos!E59*M_Factores!$D$213/(10^3),IF(AND(M_FactoresComplement!$G$6="Sí",M_FactoresComplement!$G$8="No"),E59*M_FactoresComplement!H42/(10^3),E59*VLOOKUP(M_FactoresComplement!$C$38&amp;M_Datos!$E$12&amp;M_Lista!G23,M_FactoresComplement!$F$15:$I$434,3,FALSE)/(10^3)))</f>
        <v>0</v>
      </c>
      <c r="H59" s="551">
        <f>SUMIFS(M_Datos!$P$68:$P$70,M_Datos!$Q$68:$Q$70,M_Lista!G24)</f>
        <v>0</v>
      </c>
      <c r="I59" s="312">
        <f>IF(AND(M_FactoresComplement!$G$6="No",M_FactoresComplement!$G$8="No"),M_Cálculos!H59*M_Factores!$D$213/(10^3),IF(AND(M_FactoresComplement!$G$6="Sí",M_FactoresComplement!$G$8="No"),H59*M_FactoresComplement!G42/(10^3),H59*VLOOKUP(M_FactoresComplement!$C$38&amp;M_Datos!$E$12&amp;M_Lista!G23,M_FactoresComplement!$F$15:$I$434,2,FALSE)/(10^3)))</f>
        <v>0</v>
      </c>
      <c r="J59" s="313">
        <f>IF(AND(M_FactoresComplement!$G$6="No",M_FactoresComplement!$G$8="No"),M_Cálculos!H59*M_Factores!$D$213/(10^3),IF(AND(M_FactoresComplement!$G$6="Sí",M_FactoresComplement!$G$8="No"),H59*M_FactoresComplement!H42/(10^3),H59*VLOOKUP(M_FactoresComplement!$C$38&amp;M_Datos!$E$12&amp;M_Lista!G23,M_FactoresComplement!$F$15:$I$434,3,FALSE)/(10^3)))</f>
        <v>0</v>
      </c>
      <c r="K59" s="551">
        <f>SUMIFS(M_Datos!$R$68:$R$70,M_Datos!$S$68:$S$70,M_Lista!G24)</f>
        <v>0</v>
      </c>
      <c r="L59" s="312">
        <f>IF(AND(M_FactoresComplement!$G$6="No",M_FactoresComplement!$G$8="No"),M_Cálculos!K59*M_Factores!$D$213/(10^3),IF(AND(M_FactoresComplement!$G$6="Sí",M_FactoresComplement!$G$8="No"),K59*M_FactoresComplement!G42/(10^3),K59*VLOOKUP(M_FactoresComplement!$C$38&amp;M_Datos!$E$12&amp;M_Lista!G23,M_FactoresComplement!$F$15:$I$434,2,FALSE)/(10^3)))</f>
        <v>0</v>
      </c>
      <c r="M59" s="313">
        <f>IF(AND(M_FactoresComplement!$G$6="No",M_FactoresComplement!$G$8="No"),M_Cálculos!K59*M_Factores!$D$213/(10^3),IF(AND(M_FactoresComplement!$G$6="Sí",M_FactoresComplement!$G$8="No"),K59*M_FactoresComplement!H42/(10^3),K59*VLOOKUP(M_FactoresComplement!$C$38&amp;M_Datos!$E$12&amp;M_Lista!G23,M_FactoresComplement!$F$15:$I$434,3,FALSE)/(10^3)))</f>
        <v>0</v>
      </c>
      <c r="N59" s="551">
        <f>SUMIFS(M_Datos!$T$68:$T$70,M_Datos!$U$68:$U$70,M_Lista!G24)</f>
        <v>0</v>
      </c>
      <c r="O59" s="312">
        <f>IF(AND(M_FactoresComplement!$G$6="No",M_FactoresComplement!$G$8="No"),M_Cálculos!N59*M_Factores!$D$213/(10^3),IF(AND(M_FactoresComplement!$G$6="Sí",M_FactoresComplement!$G$8="No"),N59*M_FactoresComplement!G42/(10^3),N59*VLOOKUP(M_FactoresComplement!$C$38&amp;M_Datos!$E$12&amp;M_Lista!G23,M_FactoresComplement!$F$15:$I$434,2,FALSE)/(10^3)))</f>
        <v>0</v>
      </c>
      <c r="P59" s="313">
        <f>IF(AND(M_FactoresComplement!$G$6="No",M_FactoresComplement!$G$8="No"),M_Cálculos!N59*M_Factores!$D$213/(10^3),IF(AND(M_FactoresComplement!$G$6="Sí",M_FactoresComplement!$G$8="No"),N59*M_FactoresComplement!H42/(10^3),N59*VLOOKUP(M_FactoresComplement!$C$38&amp;M_Datos!$E$12&amp;M_Lista!G23,M_FactoresComplement!$F$15:$I$434,3,FALSE)/(10^3)))</f>
        <v>0</v>
      </c>
      <c r="Q59" s="551">
        <f>SUMIFS(M_Datos!$V$68:$V$70,M_Datos!$W$68:$W$70,M_Lista!G24)</f>
        <v>0</v>
      </c>
      <c r="R59" s="312">
        <f>IF(AND(M_FactoresComplement!$G$6="No",M_FactoresComplement!$G$8="No"),M_Cálculos!Q59*M_Factores!$D$213/(10^3),IF(AND(M_FactoresComplement!$G$6="Sí",M_FactoresComplement!$G$8="No"),Q59*M_FactoresComplement!G42/(10^3),Q59*VLOOKUP(M_FactoresComplement!$C$38&amp;M_Datos!$E$12&amp;M_Lista!G23,M_FactoresComplement!$F$15:$I$434,2,FALSE)/(10^3)))</f>
        <v>0</v>
      </c>
      <c r="S59" s="313">
        <f>IF(AND(M_FactoresComplement!$G$6="No",M_FactoresComplement!$G$8="No"),M_Cálculos!Q59*M_Factores!$D$213/(10^3),IF(AND(M_FactoresComplement!$G$6="Sí",M_FactoresComplement!$G$8="No"),Q59*M_FactoresComplement!H42/(10^3),Q59*VLOOKUP(M_FactoresComplement!$C$38&amp;M_Datos!$E$12&amp;M_Lista!G23,M_FactoresComplement!$F$15:$I$434,3,FALSE)/(10^3)))</f>
        <v>0</v>
      </c>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row>
    <row r="60" spans="2:841">
      <c r="B60" s="11"/>
      <c r="C60" s="657"/>
      <c r="D60" s="289" t="str">
        <f>IF(Idioma=Castellano,"Sin definir",IF(Idioma=Valencià,"Sense definir","Sin definir"))</f>
        <v>Sin definir</v>
      </c>
      <c r="E60" s="551">
        <f>SUMIFS(M_Datos!$N$68:$N$70,M_Datos!$O$68:$O$70,M_Lista!G25)</f>
        <v>0</v>
      </c>
      <c r="F60" s="312">
        <v>0</v>
      </c>
      <c r="G60" s="313">
        <v>0</v>
      </c>
      <c r="H60" s="551">
        <f>SUMIFS(M_Datos!$P$68:$P$70,M_Datos!$Q$68:$Q$70,M_Lista!G25)</f>
        <v>0</v>
      </c>
      <c r="I60" s="312">
        <v>0</v>
      </c>
      <c r="J60" s="313">
        <v>0</v>
      </c>
      <c r="K60" s="551">
        <f>SUMIFS(M_Datos!$R$68:$R$70,M_Datos!$S$68:$S$70,M_Lista!G25)</f>
        <v>0</v>
      </c>
      <c r="L60" s="312">
        <v>0</v>
      </c>
      <c r="M60" s="313">
        <v>0</v>
      </c>
      <c r="N60" s="551">
        <f>SUMIFS(M_Datos!$T$68:$T$70,M_Datos!$U$68:$U$70,M_Lista!G25)</f>
        <v>0</v>
      </c>
      <c r="O60" s="312">
        <v>0</v>
      </c>
      <c r="P60" s="313">
        <v>0</v>
      </c>
      <c r="Q60" s="551">
        <f>SUMIFS(M_Datos!$V$68:$V$70,M_Datos!$W$68:$W$70,M_Lista!G25)</f>
        <v>0</v>
      </c>
      <c r="R60" s="312">
        <v>0</v>
      </c>
      <c r="S60" s="313">
        <v>0</v>
      </c>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c r="XX60" s="11"/>
      <c r="XY60" s="11"/>
      <c r="XZ60" s="11"/>
      <c r="YA60" s="11"/>
      <c r="YB60" s="11"/>
      <c r="YC60" s="11"/>
      <c r="YD60" s="11"/>
      <c r="YE60" s="11"/>
      <c r="YF60" s="11"/>
      <c r="YG60" s="11"/>
      <c r="YH60" s="11"/>
      <c r="YI60" s="11"/>
      <c r="YJ60" s="11"/>
      <c r="YK60" s="11"/>
      <c r="YL60" s="11"/>
      <c r="YM60" s="11"/>
      <c r="YN60" s="11"/>
      <c r="YO60" s="11"/>
      <c r="YP60" s="11"/>
      <c r="YQ60" s="11"/>
      <c r="YR60" s="11"/>
      <c r="YS60" s="11"/>
      <c r="YT60" s="11"/>
      <c r="YU60" s="11"/>
      <c r="YV60" s="11"/>
      <c r="YW60" s="11"/>
      <c r="YX60" s="11"/>
      <c r="YY60" s="11"/>
      <c r="YZ60" s="11"/>
      <c r="ZA60" s="11"/>
      <c r="ZB60" s="11"/>
      <c r="ZC60" s="11"/>
      <c r="ZD60" s="11"/>
      <c r="ZE60" s="11"/>
      <c r="ZF60" s="11"/>
      <c r="ZG60" s="11"/>
      <c r="ZH60" s="11"/>
      <c r="ZI60" s="11"/>
      <c r="ZJ60" s="11"/>
      <c r="ZK60" s="11"/>
      <c r="ZL60" s="11"/>
      <c r="ZM60" s="11"/>
      <c r="ZN60" s="11"/>
      <c r="ZO60" s="11"/>
      <c r="ZP60" s="11"/>
      <c r="ZQ60" s="11"/>
      <c r="ZR60" s="11"/>
      <c r="ZS60" s="11"/>
      <c r="ZT60" s="11"/>
      <c r="ZU60" s="11"/>
      <c r="ZV60" s="11"/>
      <c r="ZW60" s="11"/>
      <c r="ZX60" s="11"/>
      <c r="ZY60" s="11"/>
      <c r="ZZ60" s="11"/>
      <c r="AAA60" s="11"/>
      <c r="AAB60" s="11"/>
      <c r="AAC60" s="11"/>
      <c r="AAD60" s="11"/>
      <c r="AAE60" s="11"/>
      <c r="AAF60" s="11"/>
      <c r="AAG60" s="11"/>
      <c r="AAH60" s="11"/>
      <c r="AAI60" s="11"/>
      <c r="AAJ60" s="11"/>
      <c r="AAK60" s="11"/>
      <c r="AAL60" s="11"/>
      <c r="AAM60" s="11"/>
      <c r="AAN60" s="11"/>
      <c r="AAO60" s="11"/>
      <c r="AAP60" s="11"/>
      <c r="AAQ60" s="11"/>
      <c r="AAR60" s="11"/>
      <c r="AAS60" s="11"/>
      <c r="AAT60" s="11"/>
      <c r="AAU60" s="11"/>
      <c r="AAV60" s="11"/>
      <c r="AAW60" s="11"/>
      <c r="AAX60" s="11"/>
      <c r="AAY60" s="11"/>
      <c r="AAZ60" s="11"/>
      <c r="ABA60" s="11"/>
      <c r="ABB60" s="11"/>
      <c r="ABC60" s="11"/>
      <c r="ABD60" s="11"/>
      <c r="ABE60" s="11"/>
      <c r="ABF60" s="11"/>
      <c r="ABG60" s="11"/>
      <c r="ABH60" s="11"/>
      <c r="ABI60" s="11"/>
      <c r="ABJ60" s="11"/>
      <c r="ABK60" s="11"/>
      <c r="ABL60" s="11"/>
      <c r="ABM60" s="11"/>
      <c r="ABN60" s="11"/>
      <c r="ABO60" s="11"/>
      <c r="ABP60" s="11"/>
      <c r="ABQ60" s="11"/>
      <c r="ABR60" s="11"/>
      <c r="ABS60" s="11"/>
      <c r="ABT60" s="11"/>
      <c r="ABU60" s="11"/>
      <c r="ABV60" s="11"/>
      <c r="ABW60" s="11"/>
      <c r="ABX60" s="11"/>
      <c r="ABY60" s="11"/>
      <c r="ABZ60" s="11"/>
      <c r="ACA60" s="11"/>
      <c r="ACB60" s="11"/>
      <c r="ACC60" s="11"/>
      <c r="ACD60" s="11"/>
      <c r="ACE60" s="11"/>
      <c r="ACF60" s="11"/>
      <c r="ACG60" s="11"/>
      <c r="ACH60" s="11"/>
      <c r="ACI60" s="11"/>
      <c r="ACJ60" s="11"/>
      <c r="ACK60" s="11"/>
      <c r="ACL60" s="11"/>
      <c r="ACM60" s="11"/>
      <c r="ACN60" s="11"/>
      <c r="ACO60" s="11"/>
      <c r="ACP60" s="11"/>
      <c r="ACQ60" s="11"/>
      <c r="ACR60" s="11"/>
      <c r="ACS60" s="11"/>
      <c r="ACT60" s="11"/>
      <c r="ACU60" s="11"/>
      <c r="ACV60" s="11"/>
      <c r="ACW60" s="11"/>
      <c r="ACX60" s="11"/>
      <c r="ACY60" s="11"/>
      <c r="ACZ60" s="11"/>
      <c r="ADA60" s="11"/>
      <c r="ADB60" s="11"/>
      <c r="ADC60" s="11"/>
      <c r="ADD60" s="11"/>
      <c r="ADE60" s="11"/>
      <c r="ADF60" s="11"/>
      <c r="ADG60" s="11"/>
      <c r="ADH60" s="11"/>
      <c r="ADI60" s="11"/>
      <c r="ADJ60" s="11"/>
      <c r="ADK60" s="11"/>
      <c r="ADL60" s="11"/>
      <c r="ADM60" s="11"/>
      <c r="ADN60" s="11"/>
      <c r="ADO60" s="11"/>
      <c r="ADP60" s="11"/>
      <c r="ADQ60" s="11"/>
      <c r="ADR60" s="11"/>
      <c r="ADS60" s="11"/>
      <c r="ADT60" s="11"/>
      <c r="ADU60" s="11"/>
      <c r="ADV60" s="11"/>
      <c r="ADW60" s="11"/>
      <c r="ADX60" s="11"/>
      <c r="ADY60" s="11"/>
      <c r="ADZ60" s="11"/>
      <c r="AEA60" s="11"/>
      <c r="AEB60" s="11"/>
      <c r="AEC60" s="11"/>
      <c r="AED60" s="11"/>
      <c r="AEE60" s="11"/>
      <c r="AEF60" s="11"/>
      <c r="AEG60" s="11"/>
      <c r="AEH60" s="11"/>
      <c r="AEI60" s="11"/>
      <c r="AEJ60" s="11"/>
      <c r="AEK60" s="11"/>
      <c r="AEL60" s="11"/>
      <c r="AEM60" s="11"/>
      <c r="AEN60" s="11"/>
      <c r="AEO60" s="11"/>
      <c r="AEP60" s="11"/>
      <c r="AEQ60" s="11"/>
      <c r="AER60" s="11"/>
      <c r="AES60" s="11"/>
      <c r="AET60" s="11"/>
      <c r="AEU60" s="11"/>
      <c r="AEV60" s="11"/>
      <c r="AEW60" s="11"/>
      <c r="AEX60" s="11"/>
      <c r="AEY60" s="11"/>
      <c r="AEZ60" s="11"/>
      <c r="AFA60" s="11"/>
      <c r="AFB60" s="11"/>
      <c r="AFC60" s="11"/>
      <c r="AFD60" s="11"/>
      <c r="AFE60" s="11"/>
      <c r="AFF60" s="11"/>
      <c r="AFG60" s="11"/>
      <c r="AFH60" s="11"/>
      <c r="AFI60" s="11"/>
    </row>
    <row r="61" spans="2:841">
      <c r="B61" s="11"/>
      <c r="C61" s="657"/>
      <c r="D61" s="315" t="s">
        <v>925</v>
      </c>
      <c r="E61" s="552">
        <f t="shared" ref="E61:S61" si="4">SUM(E53:E60)</f>
        <v>0</v>
      </c>
      <c r="F61" s="314">
        <f t="shared" si="4"/>
        <v>0</v>
      </c>
      <c r="G61" s="317">
        <f t="shared" si="4"/>
        <v>0</v>
      </c>
      <c r="H61" s="552">
        <f t="shared" si="4"/>
        <v>0</v>
      </c>
      <c r="I61" s="314">
        <f t="shared" si="4"/>
        <v>0</v>
      </c>
      <c r="J61" s="317">
        <f t="shared" si="4"/>
        <v>0</v>
      </c>
      <c r="K61" s="552">
        <f t="shared" si="4"/>
        <v>0</v>
      </c>
      <c r="L61" s="314">
        <f t="shared" si="4"/>
        <v>0</v>
      </c>
      <c r="M61" s="317">
        <f t="shared" si="4"/>
        <v>0</v>
      </c>
      <c r="N61" s="552">
        <f t="shared" si="4"/>
        <v>0</v>
      </c>
      <c r="O61" s="314">
        <f t="shared" si="4"/>
        <v>0</v>
      </c>
      <c r="P61" s="317">
        <f t="shared" si="4"/>
        <v>0</v>
      </c>
      <c r="Q61" s="552">
        <f t="shared" si="4"/>
        <v>0</v>
      </c>
      <c r="R61" s="314">
        <f t="shared" si="4"/>
        <v>0</v>
      </c>
      <c r="S61" s="317">
        <f t="shared" si="4"/>
        <v>0</v>
      </c>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c r="PU61" s="11"/>
      <c r="PV61" s="11"/>
      <c r="PW61" s="11"/>
      <c r="PX61" s="11"/>
      <c r="PY61" s="11"/>
      <c r="PZ61" s="11"/>
      <c r="QA61" s="11"/>
      <c r="QB61" s="11"/>
      <c r="QC61" s="11"/>
      <c r="QD61" s="11"/>
      <c r="QE61" s="11"/>
      <c r="QF61" s="11"/>
      <c r="QG61" s="11"/>
      <c r="QH61" s="11"/>
      <c r="QI61" s="11"/>
      <c r="QJ61" s="11"/>
      <c r="QK61" s="11"/>
      <c r="QL61" s="11"/>
      <c r="QM61" s="11"/>
      <c r="QN61" s="11"/>
      <c r="QO61" s="11"/>
      <c r="QP61" s="11"/>
      <c r="QQ61" s="11"/>
      <c r="QR61" s="11"/>
      <c r="QS61" s="11"/>
      <c r="QT61" s="11"/>
      <c r="QU61" s="11"/>
      <c r="QV61" s="11"/>
      <c r="QW61" s="11"/>
      <c r="QX61" s="11"/>
      <c r="QY61" s="11"/>
      <c r="QZ61" s="11"/>
      <c r="RA61" s="11"/>
      <c r="RB61" s="11"/>
      <c r="RC61" s="11"/>
      <c r="RD61" s="11"/>
      <c r="RE61" s="11"/>
      <c r="RF61" s="11"/>
      <c r="RG61" s="11"/>
      <c r="RH61" s="11"/>
      <c r="RI61" s="11"/>
      <c r="RJ61" s="11"/>
      <c r="RK61" s="11"/>
      <c r="RL61" s="11"/>
      <c r="RM61" s="11"/>
      <c r="RN61" s="11"/>
      <c r="RO61" s="11"/>
      <c r="RP61" s="11"/>
      <c r="RQ61" s="11"/>
      <c r="RR61" s="11"/>
      <c r="RS61" s="11"/>
      <c r="RT61" s="11"/>
      <c r="RU61" s="11"/>
      <c r="RV61" s="11"/>
      <c r="RW61" s="11"/>
      <c r="RX61" s="11"/>
      <c r="RY61" s="11"/>
      <c r="RZ61" s="11"/>
      <c r="SA61" s="11"/>
      <c r="SB61" s="11"/>
      <c r="SC61" s="11"/>
      <c r="SD61" s="11"/>
      <c r="SE61" s="11"/>
      <c r="SF61" s="11"/>
      <c r="SG61" s="11"/>
      <c r="SH61" s="11"/>
      <c r="SI61" s="11"/>
      <c r="SJ61" s="11"/>
      <c r="SK61" s="11"/>
      <c r="SL61" s="11"/>
      <c r="SM61" s="11"/>
      <c r="SN61" s="11"/>
      <c r="SO61" s="11"/>
      <c r="SP61" s="11"/>
      <c r="SQ61" s="11"/>
      <c r="SR61" s="11"/>
      <c r="SS61" s="11"/>
      <c r="ST61" s="11"/>
      <c r="SU61" s="11"/>
      <c r="SV61" s="11"/>
      <c r="SW61" s="11"/>
      <c r="SX61" s="11"/>
      <c r="SY61" s="11"/>
      <c r="SZ61" s="11"/>
      <c r="TA61" s="11"/>
      <c r="TB61" s="11"/>
      <c r="TC61" s="11"/>
      <c r="TD61" s="11"/>
      <c r="TE61" s="11"/>
      <c r="TF61" s="11"/>
      <c r="TG61" s="11"/>
      <c r="TH61" s="11"/>
      <c r="TI61" s="11"/>
      <c r="TJ61" s="11"/>
      <c r="TK61" s="11"/>
      <c r="TL61" s="11"/>
      <c r="TM61" s="11"/>
      <c r="TN61" s="11"/>
      <c r="TO61" s="11"/>
      <c r="TP61" s="11"/>
      <c r="TQ61" s="11"/>
      <c r="TR61" s="11"/>
      <c r="TS61" s="11"/>
      <c r="TT61" s="11"/>
      <c r="TU61" s="11"/>
      <c r="TV61" s="11"/>
      <c r="TW61" s="11"/>
      <c r="TX61" s="11"/>
      <c r="TY61" s="11"/>
      <c r="TZ61" s="11"/>
      <c r="UA61" s="11"/>
      <c r="UB61" s="11"/>
      <c r="UC61" s="11"/>
      <c r="UD61" s="11"/>
      <c r="UE61" s="11"/>
      <c r="UF61" s="11"/>
      <c r="UG61" s="11"/>
      <c r="UH61" s="11"/>
      <c r="UI61" s="11"/>
      <c r="UJ61" s="11"/>
      <c r="UK61" s="11"/>
      <c r="UL61" s="11"/>
      <c r="UM61" s="11"/>
      <c r="UN61" s="11"/>
      <c r="UO61" s="11"/>
      <c r="UP61" s="11"/>
      <c r="UQ61" s="11"/>
      <c r="UR61" s="11"/>
      <c r="US61" s="11"/>
      <c r="UT61" s="11"/>
      <c r="UU61" s="11"/>
      <c r="UV61" s="11"/>
      <c r="UW61" s="11"/>
      <c r="UX61" s="11"/>
      <c r="UY61" s="11"/>
      <c r="UZ61" s="11"/>
      <c r="VA61" s="11"/>
      <c r="VB61" s="11"/>
      <c r="VC61" s="11"/>
      <c r="VD61" s="11"/>
      <c r="VE61" s="11"/>
      <c r="VF61" s="11"/>
      <c r="VG61" s="11"/>
      <c r="VH61" s="11"/>
      <c r="VI61" s="11"/>
      <c r="VJ61" s="11"/>
      <c r="VK61" s="11"/>
      <c r="VL61" s="11"/>
      <c r="VM61" s="11"/>
      <c r="VN61" s="11"/>
      <c r="VO61" s="11"/>
      <c r="VP61" s="11"/>
      <c r="VQ61" s="11"/>
      <c r="VR61" s="11"/>
      <c r="VS61" s="11"/>
      <c r="VT61" s="11"/>
      <c r="VU61" s="11"/>
      <c r="VV61" s="11"/>
      <c r="VW61" s="11"/>
      <c r="VX61" s="11"/>
      <c r="VY61" s="11"/>
      <c r="VZ61" s="11"/>
      <c r="WA61" s="11"/>
      <c r="WB61" s="11"/>
      <c r="WC61" s="11"/>
      <c r="WD61" s="11"/>
      <c r="WE61" s="11"/>
      <c r="WF61" s="11"/>
      <c r="WG61" s="11"/>
      <c r="WH61" s="11"/>
      <c r="WI61" s="11"/>
      <c r="WJ61" s="11"/>
      <c r="WK61" s="11"/>
      <c r="WL61" s="11"/>
      <c r="WM61" s="11"/>
      <c r="WN61" s="11"/>
      <c r="WO61" s="11"/>
      <c r="WP61" s="11"/>
      <c r="WQ61" s="11"/>
      <c r="WR61" s="11"/>
      <c r="WS61" s="11"/>
      <c r="WT61" s="11"/>
      <c r="WU61" s="11"/>
      <c r="WV61" s="11"/>
      <c r="WW61" s="11"/>
      <c r="WX61" s="11"/>
      <c r="WY61" s="11"/>
      <c r="WZ61" s="11"/>
      <c r="XA61" s="11"/>
      <c r="XB61" s="11"/>
      <c r="XC61" s="11"/>
      <c r="XD61" s="11"/>
      <c r="XE61" s="11"/>
      <c r="XF61" s="11"/>
      <c r="XG61" s="11"/>
      <c r="XH61" s="11"/>
      <c r="XI61" s="11"/>
      <c r="XJ61" s="11"/>
      <c r="XK61" s="11"/>
      <c r="XL61" s="11"/>
      <c r="XM61" s="11"/>
      <c r="XN61" s="11"/>
      <c r="XO61" s="11"/>
      <c r="XP61" s="11"/>
      <c r="XQ61" s="11"/>
      <c r="XR61" s="11"/>
      <c r="XS61" s="11"/>
      <c r="XT61" s="11"/>
      <c r="XU61" s="11"/>
      <c r="XV61" s="11"/>
      <c r="XW61" s="11"/>
      <c r="XX61" s="11"/>
      <c r="XY61" s="11"/>
      <c r="XZ61" s="11"/>
      <c r="YA61" s="11"/>
      <c r="YB61" s="11"/>
      <c r="YC61" s="11"/>
      <c r="YD61" s="11"/>
      <c r="YE61" s="11"/>
      <c r="YF61" s="11"/>
      <c r="YG61" s="11"/>
      <c r="YH61" s="11"/>
      <c r="YI61" s="11"/>
      <c r="YJ61" s="11"/>
      <c r="YK61" s="11"/>
      <c r="YL61" s="11"/>
      <c r="YM61" s="11"/>
      <c r="YN61" s="11"/>
      <c r="YO61" s="11"/>
      <c r="YP61" s="11"/>
      <c r="YQ61" s="11"/>
      <c r="YR61" s="11"/>
      <c r="YS61" s="11"/>
      <c r="YT61" s="11"/>
      <c r="YU61" s="11"/>
      <c r="YV61" s="11"/>
      <c r="YW61" s="11"/>
      <c r="YX61" s="11"/>
      <c r="YY61" s="11"/>
      <c r="YZ61" s="11"/>
      <c r="ZA61" s="11"/>
      <c r="ZB61" s="11"/>
      <c r="ZC61" s="11"/>
      <c r="ZD61" s="11"/>
      <c r="ZE61" s="11"/>
      <c r="ZF61" s="11"/>
      <c r="ZG61" s="11"/>
      <c r="ZH61" s="11"/>
      <c r="ZI61" s="11"/>
      <c r="ZJ61" s="11"/>
      <c r="ZK61" s="11"/>
      <c r="ZL61" s="11"/>
      <c r="ZM61" s="11"/>
      <c r="ZN61" s="11"/>
      <c r="ZO61" s="11"/>
      <c r="ZP61" s="11"/>
      <c r="ZQ61" s="11"/>
      <c r="ZR61" s="11"/>
      <c r="ZS61" s="11"/>
      <c r="ZT61" s="11"/>
      <c r="ZU61" s="11"/>
      <c r="ZV61" s="11"/>
      <c r="ZW61" s="11"/>
      <c r="ZX61" s="11"/>
      <c r="ZY61" s="11"/>
      <c r="ZZ61" s="11"/>
      <c r="AAA61" s="11"/>
      <c r="AAB61" s="11"/>
      <c r="AAC61" s="11"/>
      <c r="AAD61" s="11"/>
      <c r="AAE61" s="11"/>
      <c r="AAF61" s="11"/>
      <c r="AAG61" s="11"/>
      <c r="AAH61" s="11"/>
      <c r="AAI61" s="11"/>
      <c r="AAJ61" s="11"/>
      <c r="AAK61" s="11"/>
      <c r="AAL61" s="11"/>
      <c r="AAM61" s="11"/>
      <c r="AAN61" s="11"/>
      <c r="AAO61" s="11"/>
      <c r="AAP61" s="11"/>
      <c r="AAQ61" s="11"/>
      <c r="AAR61" s="11"/>
      <c r="AAS61" s="11"/>
      <c r="AAT61" s="11"/>
      <c r="AAU61" s="11"/>
      <c r="AAV61" s="11"/>
      <c r="AAW61" s="11"/>
      <c r="AAX61" s="11"/>
      <c r="AAY61" s="11"/>
      <c r="AAZ61" s="11"/>
      <c r="ABA61" s="11"/>
      <c r="ABB61" s="11"/>
      <c r="ABC61" s="11"/>
      <c r="ABD61" s="11"/>
      <c r="ABE61" s="11"/>
      <c r="ABF61" s="11"/>
      <c r="ABG61" s="11"/>
      <c r="ABH61" s="11"/>
      <c r="ABI61" s="11"/>
      <c r="ABJ61" s="11"/>
      <c r="ABK61" s="11"/>
      <c r="ABL61" s="11"/>
      <c r="ABM61" s="11"/>
      <c r="ABN61" s="11"/>
      <c r="ABO61" s="11"/>
      <c r="ABP61" s="11"/>
      <c r="ABQ61" s="11"/>
      <c r="ABR61" s="11"/>
      <c r="ABS61" s="11"/>
      <c r="ABT61" s="11"/>
      <c r="ABU61" s="11"/>
      <c r="ABV61" s="11"/>
      <c r="ABW61" s="11"/>
      <c r="ABX61" s="11"/>
      <c r="ABY61" s="11"/>
      <c r="ABZ61" s="11"/>
      <c r="ACA61" s="11"/>
      <c r="ACB61" s="11"/>
      <c r="ACC61" s="11"/>
      <c r="ACD61" s="11"/>
      <c r="ACE61" s="11"/>
      <c r="ACF61" s="11"/>
      <c r="ACG61" s="11"/>
      <c r="ACH61" s="11"/>
      <c r="ACI61" s="11"/>
      <c r="ACJ61" s="11"/>
      <c r="ACK61" s="11"/>
      <c r="ACL61" s="11"/>
      <c r="ACM61" s="11"/>
      <c r="ACN61" s="11"/>
      <c r="ACO61" s="11"/>
      <c r="ACP61" s="11"/>
      <c r="ACQ61" s="11"/>
      <c r="ACR61" s="11"/>
      <c r="ACS61" s="11"/>
      <c r="ACT61" s="11"/>
      <c r="ACU61" s="11"/>
      <c r="ACV61" s="11"/>
      <c r="ACW61" s="11"/>
      <c r="ACX61" s="11"/>
      <c r="ACY61" s="11"/>
      <c r="ACZ61" s="11"/>
      <c r="ADA61" s="11"/>
      <c r="ADB61" s="11"/>
      <c r="ADC61" s="11"/>
      <c r="ADD61" s="11"/>
      <c r="ADE61" s="11"/>
      <c r="ADF61" s="11"/>
      <c r="ADG61" s="11"/>
      <c r="ADH61" s="11"/>
      <c r="ADI61" s="11"/>
      <c r="ADJ61" s="11"/>
      <c r="ADK61" s="11"/>
      <c r="ADL61" s="11"/>
      <c r="ADM61" s="11"/>
      <c r="ADN61" s="11"/>
      <c r="ADO61" s="11"/>
      <c r="ADP61" s="11"/>
      <c r="ADQ61" s="11"/>
      <c r="ADR61" s="11"/>
      <c r="ADS61" s="11"/>
      <c r="ADT61" s="11"/>
      <c r="ADU61" s="11"/>
      <c r="ADV61" s="11"/>
      <c r="ADW61" s="11"/>
      <c r="ADX61" s="11"/>
      <c r="ADY61" s="11"/>
      <c r="ADZ61" s="11"/>
      <c r="AEA61" s="11"/>
      <c r="AEB61" s="11"/>
      <c r="AEC61" s="11"/>
      <c r="AED61" s="11"/>
      <c r="AEE61" s="11"/>
      <c r="AEF61" s="11"/>
      <c r="AEG61" s="11"/>
      <c r="AEH61" s="11"/>
      <c r="AEI61" s="11"/>
      <c r="AEJ61" s="11"/>
      <c r="AEK61" s="11"/>
      <c r="AEL61" s="11"/>
      <c r="AEM61" s="11"/>
      <c r="AEN61" s="11"/>
      <c r="AEO61" s="11"/>
      <c r="AEP61" s="11"/>
      <c r="AEQ61" s="11"/>
      <c r="AER61" s="11"/>
      <c r="AES61" s="11"/>
      <c r="AET61" s="11"/>
      <c r="AEU61" s="11"/>
      <c r="AEV61" s="11"/>
      <c r="AEW61" s="11"/>
      <c r="AEX61" s="11"/>
      <c r="AEY61" s="11"/>
      <c r="AEZ61" s="11"/>
      <c r="AFA61" s="11"/>
      <c r="AFB61" s="11"/>
      <c r="AFC61" s="11"/>
      <c r="AFD61" s="11"/>
      <c r="AFE61" s="11"/>
      <c r="AFF61" s="11"/>
      <c r="AFG61" s="11"/>
      <c r="AFH61" s="11"/>
      <c r="AFI61" s="11"/>
    </row>
    <row r="62" spans="2:84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c r="KG62" s="11"/>
      <c r="KH62" s="11"/>
      <c r="KI62" s="11"/>
      <c r="KJ62" s="11"/>
      <c r="KK62" s="11"/>
      <c r="KL62" s="11"/>
      <c r="KM62" s="11"/>
      <c r="KN62" s="11"/>
      <c r="KO62" s="11"/>
      <c r="KP62" s="11"/>
      <c r="KQ62" s="11"/>
      <c r="KR62" s="11"/>
      <c r="KS62" s="11"/>
      <c r="KT62" s="11"/>
      <c r="KU62" s="11"/>
      <c r="KV62" s="11"/>
      <c r="KW62" s="11"/>
      <c r="KX62" s="11"/>
      <c r="KY62" s="11"/>
      <c r="KZ62" s="11"/>
      <c r="LA62" s="11"/>
      <c r="LB62" s="11"/>
      <c r="LC62" s="11"/>
      <c r="LD62" s="11"/>
      <c r="LE62" s="11"/>
      <c r="LF62" s="11"/>
      <c r="LG62" s="11"/>
      <c r="LH62" s="11"/>
      <c r="LI62" s="11"/>
      <c r="LJ62" s="11"/>
      <c r="LK62" s="11"/>
      <c r="LL62" s="11"/>
      <c r="LM62" s="11"/>
      <c r="LN62" s="11"/>
      <c r="LO62" s="11"/>
      <c r="LP62" s="11"/>
      <c r="LQ62" s="11"/>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c r="PE62" s="11"/>
      <c r="PF62" s="11"/>
      <c r="PG62" s="11"/>
      <c r="PH62" s="11"/>
      <c r="PI62" s="11"/>
      <c r="PJ62" s="11"/>
      <c r="PK62" s="11"/>
      <c r="PL62" s="11"/>
      <c r="PM62" s="11"/>
      <c r="PN62" s="11"/>
      <c r="PO62" s="11"/>
      <c r="PP62" s="11"/>
      <c r="PQ62" s="11"/>
      <c r="PR62" s="11"/>
      <c r="PS62" s="11"/>
      <c r="PT62" s="11"/>
      <c r="PU62" s="11"/>
      <c r="PV62" s="11"/>
      <c r="PW62" s="11"/>
      <c r="PX62" s="11"/>
      <c r="PY62" s="11"/>
      <c r="PZ62" s="11"/>
      <c r="QA62" s="11"/>
      <c r="QB62" s="11"/>
      <c r="QC62" s="11"/>
      <c r="QD62" s="11"/>
      <c r="QE62" s="11"/>
      <c r="QF62" s="11"/>
      <c r="QG62" s="11"/>
      <c r="QH62" s="11"/>
      <c r="QI62" s="11"/>
      <c r="QJ62" s="11"/>
      <c r="QK62" s="11"/>
      <c r="QL62" s="11"/>
      <c r="QM62" s="11"/>
      <c r="QN62" s="11"/>
      <c r="QO62" s="11"/>
      <c r="QP62" s="11"/>
      <c r="QQ62" s="11"/>
      <c r="QR62" s="11"/>
      <c r="QS62" s="11"/>
      <c r="QT62" s="11"/>
      <c r="QU62" s="11"/>
      <c r="QV62" s="11"/>
      <c r="QW62" s="11"/>
      <c r="QX62" s="11"/>
      <c r="QY62" s="11"/>
      <c r="QZ62" s="11"/>
      <c r="RA62" s="11"/>
      <c r="RB62" s="11"/>
      <c r="RC62" s="11"/>
      <c r="RD62" s="11"/>
      <c r="RE62" s="11"/>
      <c r="RF62" s="11"/>
      <c r="RG62" s="11"/>
      <c r="RH62" s="11"/>
      <c r="RI62" s="11"/>
      <c r="RJ62" s="11"/>
      <c r="RK62" s="11"/>
      <c r="RL62" s="11"/>
      <c r="RM62" s="11"/>
      <c r="RN62" s="11"/>
      <c r="RO62" s="11"/>
      <c r="RP62" s="11"/>
      <c r="RQ62" s="11"/>
      <c r="RR62" s="11"/>
      <c r="RS62" s="11"/>
      <c r="RT62" s="11"/>
      <c r="RU62" s="11"/>
      <c r="RV62" s="11"/>
      <c r="RW62" s="11"/>
      <c r="RX62" s="11"/>
      <c r="RY62" s="11"/>
      <c r="RZ62" s="11"/>
      <c r="SA62" s="11"/>
      <c r="SB62" s="11"/>
      <c r="SC62" s="11"/>
      <c r="SD62" s="11"/>
      <c r="SE62" s="11"/>
      <c r="SF62" s="11"/>
      <c r="SG62" s="11"/>
      <c r="SH62" s="11"/>
      <c r="SI62" s="11"/>
      <c r="SJ62" s="11"/>
      <c r="SK62" s="11"/>
      <c r="SL62" s="11"/>
      <c r="SM62" s="11"/>
      <c r="SN62" s="11"/>
      <c r="SO62" s="11"/>
      <c r="SP62" s="11"/>
      <c r="SQ62" s="11"/>
      <c r="SR62" s="11"/>
      <c r="SS62" s="11"/>
      <c r="ST62" s="11"/>
      <c r="SU62" s="11"/>
      <c r="SV62" s="11"/>
      <c r="SW62" s="11"/>
      <c r="SX62" s="11"/>
      <c r="SY62" s="11"/>
      <c r="SZ62" s="11"/>
      <c r="TA62" s="11"/>
      <c r="TB62" s="11"/>
      <c r="TC62" s="11"/>
      <c r="TD62" s="11"/>
      <c r="TE62" s="11"/>
      <c r="TF62" s="11"/>
      <c r="TG62" s="11"/>
      <c r="TH62" s="11"/>
      <c r="TI62" s="11"/>
      <c r="TJ62" s="11"/>
      <c r="TK62" s="11"/>
      <c r="TL62" s="11"/>
      <c r="TM62" s="11"/>
      <c r="TN62" s="11"/>
      <c r="TO62" s="11"/>
      <c r="TP62" s="11"/>
      <c r="TQ62" s="11"/>
      <c r="TR62" s="11"/>
      <c r="TS62" s="11"/>
      <c r="TT62" s="11"/>
      <c r="TU62" s="11"/>
      <c r="TV62" s="11"/>
      <c r="TW62" s="11"/>
      <c r="TX62" s="11"/>
      <c r="TY62" s="11"/>
      <c r="TZ62" s="11"/>
      <c r="UA62" s="11"/>
      <c r="UB62" s="11"/>
      <c r="UC62" s="11"/>
      <c r="UD62" s="11"/>
      <c r="UE62" s="11"/>
      <c r="UF62" s="11"/>
      <c r="UG62" s="11"/>
      <c r="UH62" s="11"/>
      <c r="UI62" s="11"/>
      <c r="UJ62" s="11"/>
      <c r="UK62" s="11"/>
      <c r="UL62" s="11"/>
      <c r="UM62" s="11"/>
      <c r="UN62" s="11"/>
      <c r="UO62" s="11"/>
      <c r="UP62" s="11"/>
      <c r="UQ62" s="11"/>
      <c r="UR62" s="11"/>
      <c r="US62" s="11"/>
      <c r="UT62" s="11"/>
      <c r="UU62" s="11"/>
      <c r="UV62" s="11"/>
      <c r="UW62" s="11"/>
      <c r="UX62" s="11"/>
      <c r="UY62" s="11"/>
      <c r="UZ62" s="11"/>
      <c r="VA62" s="11"/>
      <c r="VB62" s="11"/>
      <c r="VC62" s="11"/>
      <c r="VD62" s="11"/>
      <c r="VE62" s="11"/>
      <c r="VF62" s="11"/>
      <c r="VG62" s="11"/>
      <c r="VH62" s="11"/>
      <c r="VI62" s="11"/>
      <c r="VJ62" s="11"/>
      <c r="VK62" s="11"/>
      <c r="VL62" s="11"/>
      <c r="VM62" s="11"/>
      <c r="VN62" s="11"/>
      <c r="VO62" s="11"/>
      <c r="VP62" s="11"/>
      <c r="VQ62" s="11"/>
      <c r="VR62" s="11"/>
      <c r="VS62" s="11"/>
      <c r="VT62" s="11"/>
      <c r="VU62" s="11"/>
      <c r="VV62" s="11"/>
      <c r="VW62" s="11"/>
      <c r="VX62" s="11"/>
      <c r="VY62" s="11"/>
      <c r="VZ62" s="11"/>
      <c r="WA62" s="11"/>
      <c r="WB62" s="11"/>
      <c r="WC62" s="11"/>
      <c r="WD62" s="11"/>
      <c r="WE62" s="11"/>
      <c r="WF62" s="11"/>
      <c r="WG62" s="11"/>
      <c r="WH62" s="11"/>
      <c r="WI62" s="11"/>
      <c r="WJ62" s="11"/>
      <c r="WK62" s="11"/>
      <c r="WL62" s="11"/>
      <c r="WM62" s="11"/>
      <c r="WN62" s="11"/>
      <c r="WO62" s="11"/>
      <c r="WP62" s="11"/>
      <c r="WQ62" s="11"/>
      <c r="WR62" s="11"/>
      <c r="WS62" s="11"/>
      <c r="WT62" s="11"/>
      <c r="WU62" s="11"/>
      <c r="WV62" s="11"/>
      <c r="WW62" s="11"/>
      <c r="WX62" s="11"/>
      <c r="WY62" s="11"/>
      <c r="WZ62" s="11"/>
      <c r="XA62" s="11"/>
      <c r="XB62" s="11"/>
      <c r="XC62" s="11"/>
      <c r="XD62" s="11"/>
      <c r="XE62" s="11"/>
      <c r="XF62" s="11"/>
      <c r="XG62" s="11"/>
      <c r="XH62" s="11"/>
      <c r="XI62" s="11"/>
      <c r="XJ62" s="11"/>
      <c r="XK62" s="11"/>
      <c r="XL62" s="11"/>
      <c r="XM62" s="11"/>
      <c r="XN62" s="11"/>
      <c r="XO62" s="11"/>
      <c r="XP62" s="11"/>
      <c r="XQ62" s="11"/>
      <c r="XR62" s="11"/>
      <c r="XS62" s="11"/>
      <c r="XT62" s="11"/>
      <c r="XU62" s="11"/>
      <c r="XV62" s="11"/>
      <c r="XW62" s="11"/>
      <c r="XX62" s="11"/>
      <c r="XY62" s="11"/>
      <c r="XZ62" s="11"/>
      <c r="YA62" s="11"/>
      <c r="YB62" s="11"/>
      <c r="YC62" s="11"/>
      <c r="YD62" s="11"/>
      <c r="YE62" s="11"/>
      <c r="YF62" s="11"/>
      <c r="YG62" s="11"/>
      <c r="YH62" s="11"/>
      <c r="YI62" s="11"/>
      <c r="YJ62" s="11"/>
      <c r="YK62" s="11"/>
      <c r="YL62" s="11"/>
      <c r="YM62" s="11"/>
      <c r="YN62" s="11"/>
      <c r="YO62" s="11"/>
      <c r="YP62" s="11"/>
      <c r="YQ62" s="11"/>
      <c r="YR62" s="11"/>
      <c r="YS62" s="11"/>
      <c r="YT62" s="11"/>
      <c r="YU62" s="11"/>
      <c r="YV62" s="11"/>
      <c r="YW62" s="11"/>
      <c r="YX62" s="11"/>
      <c r="YY62" s="11"/>
      <c r="YZ62" s="11"/>
      <c r="ZA62" s="11"/>
      <c r="ZB62" s="11"/>
      <c r="ZC62" s="11"/>
      <c r="ZD62" s="11"/>
      <c r="ZE62" s="11"/>
      <c r="ZF62" s="11"/>
      <c r="ZG62" s="11"/>
      <c r="ZH62" s="11"/>
      <c r="ZI62" s="11"/>
      <c r="ZJ62" s="11"/>
      <c r="ZK62" s="11"/>
      <c r="ZL62" s="11"/>
      <c r="ZM62" s="11"/>
      <c r="ZN62" s="11"/>
      <c r="ZO62" s="11"/>
      <c r="ZP62" s="11"/>
      <c r="ZQ62" s="11"/>
      <c r="ZR62" s="11"/>
      <c r="ZS62" s="11"/>
      <c r="ZT62" s="11"/>
      <c r="ZU62" s="11"/>
      <c r="ZV62" s="11"/>
      <c r="ZW62" s="11"/>
      <c r="ZX62" s="11"/>
      <c r="ZY62" s="11"/>
      <c r="ZZ62" s="11"/>
      <c r="AAA62" s="11"/>
      <c r="AAB62" s="11"/>
      <c r="AAC62" s="11"/>
      <c r="AAD62" s="11"/>
      <c r="AAE62" s="11"/>
      <c r="AAF62" s="11"/>
      <c r="AAG62" s="11"/>
      <c r="AAH62" s="11"/>
      <c r="AAI62" s="11"/>
      <c r="AAJ62" s="11"/>
      <c r="AAK62" s="11"/>
      <c r="AAL62" s="11"/>
      <c r="AAM62" s="11"/>
      <c r="AAN62" s="11"/>
      <c r="AAO62" s="11"/>
      <c r="AAP62" s="11"/>
      <c r="AAQ62" s="11"/>
      <c r="AAR62" s="11"/>
      <c r="AAS62" s="11"/>
      <c r="AAT62" s="11"/>
      <c r="AAU62" s="11"/>
      <c r="AAV62" s="11"/>
      <c r="AAW62" s="11"/>
      <c r="AAX62" s="11"/>
      <c r="AAY62" s="11"/>
      <c r="AAZ62" s="11"/>
      <c r="ABA62" s="11"/>
      <c r="ABB62" s="11"/>
      <c r="ABC62" s="11"/>
      <c r="ABD62" s="11"/>
      <c r="ABE62" s="11"/>
      <c r="ABF62" s="11"/>
      <c r="ABG62" s="11"/>
      <c r="ABH62" s="11"/>
      <c r="ABI62" s="11"/>
      <c r="ABJ62" s="11"/>
      <c r="ABK62" s="11"/>
      <c r="ABL62" s="11"/>
      <c r="ABM62" s="11"/>
      <c r="ABN62" s="11"/>
      <c r="ABO62" s="11"/>
      <c r="ABP62" s="11"/>
      <c r="ABQ62" s="11"/>
      <c r="ABR62" s="11"/>
      <c r="ABS62" s="11"/>
      <c r="ABT62" s="11"/>
      <c r="ABU62" s="11"/>
      <c r="ABV62" s="11"/>
      <c r="ABW62" s="11"/>
      <c r="ABX62" s="11"/>
      <c r="ABY62" s="11"/>
      <c r="ABZ62" s="11"/>
      <c r="ACA62" s="11"/>
      <c r="ACB62" s="11"/>
      <c r="ACC62" s="11"/>
      <c r="ACD62" s="11"/>
      <c r="ACE62" s="11"/>
      <c r="ACF62" s="11"/>
      <c r="ACG62" s="11"/>
      <c r="ACH62" s="11"/>
      <c r="ACI62" s="11"/>
      <c r="ACJ62" s="11"/>
      <c r="ACK62" s="11"/>
      <c r="ACL62" s="11"/>
      <c r="ACM62" s="11"/>
      <c r="ACN62" s="11"/>
      <c r="ACO62" s="11"/>
      <c r="ACP62" s="11"/>
      <c r="ACQ62" s="11"/>
      <c r="ACR62" s="11"/>
      <c r="ACS62" s="11"/>
      <c r="ACT62" s="11"/>
      <c r="ACU62" s="11"/>
      <c r="ACV62" s="11"/>
      <c r="ACW62" s="11"/>
      <c r="ACX62" s="11"/>
      <c r="ACY62" s="11"/>
      <c r="ACZ62" s="11"/>
      <c r="ADA62" s="11"/>
      <c r="ADB62" s="11"/>
      <c r="ADC62" s="11"/>
      <c r="ADD62" s="11"/>
      <c r="ADE62" s="11"/>
      <c r="ADF62" s="11"/>
      <c r="ADG62" s="11"/>
      <c r="ADH62" s="11"/>
      <c r="ADI62" s="11"/>
      <c r="ADJ62" s="11"/>
      <c r="ADK62" s="11"/>
      <c r="ADL62" s="11"/>
      <c r="ADM62" s="11"/>
      <c r="ADN62" s="11"/>
      <c r="ADO62" s="11"/>
      <c r="ADP62" s="11"/>
      <c r="ADQ62" s="11"/>
      <c r="ADR62" s="11"/>
      <c r="ADS62" s="11"/>
      <c r="ADT62" s="11"/>
      <c r="ADU62" s="11"/>
      <c r="ADV62" s="11"/>
      <c r="ADW62" s="11"/>
      <c r="ADX62" s="11"/>
      <c r="ADY62" s="11"/>
      <c r="ADZ62" s="11"/>
      <c r="AEA62" s="11"/>
      <c r="AEB62" s="11"/>
      <c r="AEC62" s="11"/>
      <c r="AED62" s="11"/>
      <c r="AEE62" s="11"/>
      <c r="AEF62" s="11"/>
      <c r="AEG62" s="11"/>
      <c r="AEH62" s="11"/>
      <c r="AEI62" s="11"/>
      <c r="AEJ62" s="11"/>
      <c r="AEK62" s="11"/>
      <c r="AEL62" s="11"/>
      <c r="AEM62" s="11"/>
      <c r="AEN62" s="11"/>
      <c r="AEO62" s="11"/>
      <c r="AEP62" s="11"/>
      <c r="AEQ62" s="11"/>
      <c r="AER62" s="11"/>
      <c r="AES62" s="11"/>
      <c r="AET62" s="11"/>
      <c r="AEU62" s="11"/>
      <c r="AEV62" s="11"/>
      <c r="AEW62" s="11"/>
      <c r="AEX62" s="11"/>
      <c r="AEY62" s="11"/>
      <c r="AEZ62" s="11"/>
      <c r="AFA62" s="11"/>
      <c r="AFB62" s="11"/>
      <c r="AFC62" s="11"/>
      <c r="AFD62" s="11"/>
      <c r="AFE62" s="11"/>
      <c r="AFF62" s="11"/>
      <c r="AFG62" s="11"/>
      <c r="AFH62" s="11"/>
      <c r="AFI62" s="11"/>
    </row>
    <row r="63" spans="2:841">
      <c r="B63" s="11"/>
      <c r="C63" s="14" t="s">
        <v>602</v>
      </c>
      <c r="D63" s="14"/>
      <c r="E63" s="507">
        <f t="shared" ref="E63:S63" si="5">E21+E31+E41+E51+E61</f>
        <v>0</v>
      </c>
      <c r="F63" s="507">
        <f t="shared" si="5"/>
        <v>0</v>
      </c>
      <c r="G63" s="507">
        <f t="shared" si="5"/>
        <v>0</v>
      </c>
      <c r="H63" s="507">
        <f t="shared" si="5"/>
        <v>0</v>
      </c>
      <c r="I63" s="507">
        <f t="shared" si="5"/>
        <v>0</v>
      </c>
      <c r="J63" s="507">
        <f t="shared" si="5"/>
        <v>0</v>
      </c>
      <c r="K63" s="507">
        <f t="shared" si="5"/>
        <v>0</v>
      </c>
      <c r="L63" s="507">
        <f t="shared" si="5"/>
        <v>0</v>
      </c>
      <c r="M63" s="507">
        <f t="shared" si="5"/>
        <v>0</v>
      </c>
      <c r="N63" s="507">
        <f t="shared" si="5"/>
        <v>0</v>
      </c>
      <c r="O63" s="507">
        <f t="shared" si="5"/>
        <v>0</v>
      </c>
      <c r="P63" s="507">
        <f t="shared" si="5"/>
        <v>0</v>
      </c>
      <c r="Q63" s="507">
        <f t="shared" si="5"/>
        <v>0</v>
      </c>
      <c r="R63" s="507">
        <f t="shared" si="5"/>
        <v>0</v>
      </c>
      <c r="S63" s="507">
        <f t="shared" si="5"/>
        <v>0</v>
      </c>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c r="PE63" s="11"/>
      <c r="PF63" s="11"/>
      <c r="PG63" s="11"/>
      <c r="PH63" s="11"/>
      <c r="PI63" s="11"/>
      <c r="PJ63" s="11"/>
      <c r="PK63" s="11"/>
      <c r="PL63" s="11"/>
      <c r="PM63" s="11"/>
      <c r="PN63" s="11"/>
      <c r="PO63" s="11"/>
      <c r="PP63" s="11"/>
      <c r="PQ63" s="11"/>
      <c r="PR63" s="11"/>
      <c r="PS63" s="11"/>
      <c r="PT63" s="11"/>
      <c r="PU63" s="11"/>
      <c r="PV63" s="11"/>
      <c r="PW63" s="11"/>
      <c r="PX63" s="11"/>
      <c r="PY63" s="11"/>
      <c r="PZ63" s="11"/>
      <c r="QA63" s="11"/>
      <c r="QB63" s="11"/>
      <c r="QC63" s="11"/>
      <c r="QD63" s="11"/>
      <c r="QE63" s="11"/>
      <c r="QF63" s="11"/>
      <c r="QG63" s="11"/>
      <c r="QH63" s="11"/>
      <c r="QI63" s="11"/>
      <c r="QJ63" s="11"/>
      <c r="QK63" s="11"/>
      <c r="QL63" s="11"/>
      <c r="QM63" s="11"/>
      <c r="QN63" s="11"/>
      <c r="QO63" s="11"/>
      <c r="QP63" s="11"/>
      <c r="QQ63" s="11"/>
      <c r="QR63" s="11"/>
      <c r="QS63" s="11"/>
      <c r="QT63" s="11"/>
      <c r="QU63" s="11"/>
      <c r="QV63" s="11"/>
      <c r="QW63" s="11"/>
      <c r="QX63" s="11"/>
      <c r="QY63" s="11"/>
      <c r="QZ63" s="11"/>
      <c r="RA63" s="11"/>
      <c r="RB63" s="11"/>
      <c r="RC63" s="11"/>
      <c r="RD63" s="11"/>
      <c r="RE63" s="11"/>
      <c r="RF63" s="11"/>
      <c r="RG63" s="11"/>
      <c r="RH63" s="11"/>
      <c r="RI63" s="11"/>
      <c r="RJ63" s="11"/>
      <c r="RK63" s="11"/>
      <c r="RL63" s="11"/>
      <c r="RM63" s="11"/>
      <c r="RN63" s="11"/>
      <c r="RO63" s="11"/>
      <c r="RP63" s="11"/>
      <c r="RQ63" s="11"/>
      <c r="RR63" s="11"/>
      <c r="RS63" s="11"/>
      <c r="RT63" s="11"/>
      <c r="RU63" s="11"/>
      <c r="RV63" s="11"/>
      <c r="RW63" s="11"/>
      <c r="RX63" s="11"/>
      <c r="RY63" s="11"/>
      <c r="RZ63" s="11"/>
      <c r="SA63" s="11"/>
      <c r="SB63" s="11"/>
      <c r="SC63" s="11"/>
      <c r="SD63" s="11"/>
      <c r="SE63" s="11"/>
      <c r="SF63" s="11"/>
      <c r="SG63" s="11"/>
      <c r="SH63" s="11"/>
      <c r="SI63" s="11"/>
      <c r="SJ63" s="11"/>
      <c r="SK63" s="11"/>
      <c r="SL63" s="11"/>
      <c r="SM63" s="11"/>
      <c r="SN63" s="11"/>
      <c r="SO63" s="11"/>
      <c r="SP63" s="11"/>
      <c r="SQ63" s="11"/>
      <c r="SR63" s="11"/>
      <c r="SS63" s="11"/>
      <c r="ST63" s="11"/>
      <c r="SU63" s="11"/>
      <c r="SV63" s="11"/>
      <c r="SW63" s="11"/>
      <c r="SX63" s="11"/>
      <c r="SY63" s="11"/>
      <c r="SZ63" s="11"/>
      <c r="TA63" s="11"/>
      <c r="TB63" s="11"/>
      <c r="TC63" s="11"/>
      <c r="TD63" s="11"/>
      <c r="TE63" s="11"/>
      <c r="TF63" s="11"/>
      <c r="TG63" s="11"/>
      <c r="TH63" s="11"/>
      <c r="TI63" s="11"/>
      <c r="TJ63" s="11"/>
      <c r="TK63" s="11"/>
      <c r="TL63" s="11"/>
      <c r="TM63" s="11"/>
      <c r="TN63" s="11"/>
      <c r="TO63" s="11"/>
      <c r="TP63" s="11"/>
      <c r="TQ63" s="11"/>
      <c r="TR63" s="11"/>
      <c r="TS63" s="11"/>
      <c r="TT63" s="11"/>
      <c r="TU63" s="11"/>
      <c r="TV63" s="11"/>
      <c r="TW63" s="11"/>
      <c r="TX63" s="11"/>
      <c r="TY63" s="11"/>
      <c r="TZ63" s="11"/>
      <c r="UA63" s="11"/>
      <c r="UB63" s="11"/>
      <c r="UC63" s="11"/>
      <c r="UD63" s="11"/>
      <c r="UE63" s="11"/>
      <c r="UF63" s="11"/>
      <c r="UG63" s="11"/>
      <c r="UH63" s="11"/>
      <c r="UI63" s="11"/>
      <c r="UJ63" s="11"/>
      <c r="UK63" s="11"/>
      <c r="UL63" s="11"/>
      <c r="UM63" s="11"/>
      <c r="UN63" s="11"/>
      <c r="UO63" s="11"/>
      <c r="UP63" s="11"/>
      <c r="UQ63" s="11"/>
      <c r="UR63" s="11"/>
      <c r="US63" s="11"/>
      <c r="UT63" s="11"/>
      <c r="UU63" s="11"/>
      <c r="UV63" s="11"/>
      <c r="UW63" s="11"/>
      <c r="UX63" s="11"/>
      <c r="UY63" s="11"/>
      <c r="UZ63" s="11"/>
      <c r="VA63" s="11"/>
      <c r="VB63" s="11"/>
      <c r="VC63" s="11"/>
      <c r="VD63" s="11"/>
      <c r="VE63" s="11"/>
      <c r="VF63" s="11"/>
      <c r="VG63" s="11"/>
      <c r="VH63" s="11"/>
      <c r="VI63" s="11"/>
      <c r="VJ63" s="11"/>
      <c r="VK63" s="11"/>
      <c r="VL63" s="11"/>
      <c r="VM63" s="11"/>
      <c r="VN63" s="11"/>
      <c r="VO63" s="11"/>
      <c r="VP63" s="11"/>
      <c r="VQ63" s="11"/>
      <c r="VR63" s="11"/>
      <c r="VS63" s="11"/>
      <c r="VT63" s="11"/>
      <c r="VU63" s="11"/>
      <c r="VV63" s="11"/>
      <c r="VW63" s="11"/>
      <c r="VX63" s="11"/>
      <c r="VY63" s="11"/>
      <c r="VZ63" s="11"/>
      <c r="WA63" s="11"/>
      <c r="WB63" s="11"/>
      <c r="WC63" s="11"/>
      <c r="WD63" s="11"/>
      <c r="WE63" s="11"/>
      <c r="WF63" s="11"/>
      <c r="WG63" s="11"/>
      <c r="WH63" s="11"/>
      <c r="WI63" s="11"/>
      <c r="WJ63" s="11"/>
      <c r="WK63" s="11"/>
      <c r="WL63" s="11"/>
      <c r="WM63" s="11"/>
      <c r="WN63" s="11"/>
      <c r="WO63" s="11"/>
      <c r="WP63" s="11"/>
      <c r="WQ63" s="11"/>
      <c r="WR63" s="11"/>
      <c r="WS63" s="11"/>
      <c r="WT63" s="11"/>
      <c r="WU63" s="11"/>
      <c r="WV63" s="11"/>
      <c r="WW63" s="11"/>
      <c r="WX63" s="11"/>
      <c r="WY63" s="11"/>
      <c r="WZ63" s="11"/>
      <c r="XA63" s="11"/>
      <c r="XB63" s="11"/>
      <c r="XC63" s="11"/>
      <c r="XD63" s="11"/>
      <c r="XE63" s="11"/>
      <c r="XF63" s="11"/>
      <c r="XG63" s="11"/>
      <c r="XH63" s="11"/>
      <c r="XI63" s="11"/>
      <c r="XJ63" s="11"/>
      <c r="XK63" s="11"/>
      <c r="XL63" s="11"/>
      <c r="XM63" s="11"/>
      <c r="XN63" s="11"/>
      <c r="XO63" s="11"/>
      <c r="XP63" s="11"/>
      <c r="XQ63" s="11"/>
      <c r="XR63" s="11"/>
      <c r="XS63" s="11"/>
      <c r="XT63" s="11"/>
      <c r="XU63" s="11"/>
      <c r="XV63" s="11"/>
      <c r="XW63" s="11"/>
      <c r="XX63" s="11"/>
      <c r="XY63" s="11"/>
      <c r="XZ63" s="11"/>
      <c r="YA63" s="11"/>
      <c r="YB63" s="11"/>
      <c r="YC63" s="11"/>
      <c r="YD63" s="11"/>
      <c r="YE63" s="11"/>
      <c r="YF63" s="11"/>
      <c r="YG63" s="11"/>
      <c r="YH63" s="11"/>
      <c r="YI63" s="11"/>
      <c r="YJ63" s="11"/>
      <c r="YK63" s="11"/>
      <c r="YL63" s="11"/>
      <c r="YM63" s="11"/>
      <c r="YN63" s="11"/>
      <c r="YO63" s="11"/>
      <c r="YP63" s="11"/>
      <c r="YQ63" s="11"/>
      <c r="YR63" s="11"/>
      <c r="YS63" s="11"/>
      <c r="YT63" s="11"/>
      <c r="YU63" s="11"/>
      <c r="YV63" s="11"/>
      <c r="YW63" s="11"/>
      <c r="YX63" s="11"/>
      <c r="YY63" s="11"/>
      <c r="YZ63" s="11"/>
      <c r="ZA63" s="11"/>
      <c r="ZB63" s="11"/>
      <c r="ZC63" s="11"/>
      <c r="ZD63" s="11"/>
      <c r="ZE63" s="11"/>
      <c r="ZF63" s="11"/>
      <c r="ZG63" s="11"/>
      <c r="ZH63" s="11"/>
      <c r="ZI63" s="11"/>
      <c r="ZJ63" s="11"/>
      <c r="ZK63" s="11"/>
      <c r="ZL63" s="11"/>
      <c r="ZM63" s="11"/>
      <c r="ZN63" s="11"/>
      <c r="ZO63" s="11"/>
      <c r="ZP63" s="11"/>
      <c r="ZQ63" s="11"/>
      <c r="ZR63" s="11"/>
      <c r="ZS63" s="11"/>
      <c r="ZT63" s="11"/>
      <c r="ZU63" s="11"/>
      <c r="ZV63" s="11"/>
      <c r="ZW63" s="11"/>
      <c r="ZX63" s="11"/>
      <c r="ZY63" s="11"/>
      <c r="ZZ63" s="11"/>
      <c r="AAA63" s="11"/>
      <c r="AAB63" s="11"/>
      <c r="AAC63" s="11"/>
      <c r="AAD63" s="11"/>
      <c r="AAE63" s="11"/>
      <c r="AAF63" s="11"/>
      <c r="AAG63" s="11"/>
      <c r="AAH63" s="11"/>
      <c r="AAI63" s="11"/>
      <c r="AAJ63" s="11"/>
      <c r="AAK63" s="11"/>
      <c r="AAL63" s="11"/>
      <c r="AAM63" s="11"/>
      <c r="AAN63" s="11"/>
      <c r="AAO63" s="11"/>
      <c r="AAP63" s="11"/>
      <c r="AAQ63" s="11"/>
      <c r="AAR63" s="11"/>
      <c r="AAS63" s="11"/>
      <c r="AAT63" s="11"/>
      <c r="AAU63" s="11"/>
      <c r="AAV63" s="11"/>
      <c r="AAW63" s="11"/>
      <c r="AAX63" s="11"/>
      <c r="AAY63" s="11"/>
      <c r="AAZ63" s="11"/>
      <c r="ABA63" s="11"/>
      <c r="ABB63" s="11"/>
      <c r="ABC63" s="11"/>
      <c r="ABD63" s="11"/>
      <c r="ABE63" s="11"/>
      <c r="ABF63" s="11"/>
      <c r="ABG63" s="11"/>
      <c r="ABH63" s="11"/>
      <c r="ABI63" s="11"/>
      <c r="ABJ63" s="11"/>
      <c r="ABK63" s="11"/>
      <c r="ABL63" s="11"/>
      <c r="ABM63" s="11"/>
      <c r="ABN63" s="11"/>
      <c r="ABO63" s="11"/>
      <c r="ABP63" s="11"/>
      <c r="ABQ63" s="11"/>
      <c r="ABR63" s="11"/>
      <c r="ABS63" s="11"/>
      <c r="ABT63" s="11"/>
      <c r="ABU63" s="11"/>
      <c r="ABV63" s="11"/>
      <c r="ABW63" s="11"/>
      <c r="ABX63" s="11"/>
      <c r="ABY63" s="11"/>
      <c r="ABZ63" s="11"/>
      <c r="ACA63" s="11"/>
      <c r="ACB63" s="11"/>
      <c r="ACC63" s="11"/>
      <c r="ACD63" s="11"/>
      <c r="ACE63" s="11"/>
      <c r="ACF63" s="11"/>
      <c r="ACG63" s="11"/>
      <c r="ACH63" s="11"/>
      <c r="ACI63" s="11"/>
      <c r="ACJ63" s="11"/>
      <c r="ACK63" s="11"/>
      <c r="ACL63" s="11"/>
      <c r="ACM63" s="11"/>
      <c r="ACN63" s="11"/>
      <c r="ACO63" s="11"/>
      <c r="ACP63" s="11"/>
      <c r="ACQ63" s="11"/>
      <c r="ACR63" s="11"/>
      <c r="ACS63" s="11"/>
      <c r="ACT63" s="11"/>
      <c r="ACU63" s="11"/>
      <c r="ACV63" s="11"/>
      <c r="ACW63" s="11"/>
      <c r="ACX63" s="11"/>
      <c r="ACY63" s="11"/>
      <c r="ACZ63" s="11"/>
      <c r="ADA63" s="11"/>
      <c r="ADB63" s="11"/>
      <c r="ADC63" s="11"/>
      <c r="ADD63" s="11"/>
      <c r="ADE63" s="11"/>
      <c r="ADF63" s="11"/>
      <c r="ADG63" s="11"/>
      <c r="ADH63" s="11"/>
      <c r="ADI63" s="11"/>
      <c r="ADJ63" s="11"/>
      <c r="ADK63" s="11"/>
      <c r="ADL63" s="11"/>
      <c r="ADM63" s="11"/>
      <c r="ADN63" s="11"/>
      <c r="ADO63" s="11"/>
      <c r="ADP63" s="11"/>
      <c r="ADQ63" s="11"/>
      <c r="ADR63" s="11"/>
      <c r="ADS63" s="11"/>
      <c r="ADT63" s="11"/>
      <c r="ADU63" s="11"/>
      <c r="ADV63" s="11"/>
      <c r="ADW63" s="11"/>
      <c r="ADX63" s="11"/>
      <c r="ADY63" s="11"/>
      <c r="ADZ63" s="11"/>
      <c r="AEA63" s="11"/>
      <c r="AEB63" s="11"/>
      <c r="AEC63" s="11"/>
      <c r="AED63" s="11"/>
      <c r="AEE63" s="11"/>
      <c r="AEF63" s="11"/>
      <c r="AEG63" s="11"/>
      <c r="AEH63" s="11"/>
      <c r="AEI63" s="11"/>
      <c r="AEJ63" s="11"/>
      <c r="AEK63" s="11"/>
      <c r="AEL63" s="11"/>
      <c r="AEM63" s="11"/>
      <c r="AEN63" s="11"/>
      <c r="AEO63" s="11"/>
      <c r="AEP63" s="11"/>
      <c r="AEQ63" s="11"/>
      <c r="AER63" s="11"/>
      <c r="AES63" s="11"/>
      <c r="AET63" s="11"/>
      <c r="AEU63" s="11"/>
      <c r="AEV63" s="11"/>
      <c r="AEW63" s="11"/>
      <c r="AEX63" s="11"/>
      <c r="AEY63" s="11"/>
      <c r="AEZ63" s="11"/>
      <c r="AFA63" s="11"/>
      <c r="AFB63" s="11"/>
      <c r="AFC63" s="11"/>
      <c r="AFD63" s="11"/>
      <c r="AFE63" s="11"/>
      <c r="AFF63" s="11"/>
      <c r="AFG63" s="11"/>
      <c r="AFH63" s="11"/>
      <c r="AFI63" s="11"/>
    </row>
    <row r="64" spans="2:84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c r="PE64" s="11"/>
      <c r="PF64" s="11"/>
      <c r="PG64" s="11"/>
      <c r="PH64" s="11"/>
      <c r="PI64" s="11"/>
      <c r="PJ64" s="11"/>
      <c r="PK64" s="11"/>
      <c r="PL64" s="11"/>
      <c r="PM64" s="11"/>
      <c r="PN64" s="11"/>
      <c r="PO64" s="11"/>
      <c r="PP64" s="11"/>
      <c r="PQ64" s="11"/>
      <c r="PR64" s="11"/>
      <c r="PS64" s="11"/>
      <c r="PT64" s="11"/>
      <c r="PU64" s="11"/>
      <c r="PV64" s="11"/>
      <c r="PW64" s="11"/>
      <c r="PX64" s="11"/>
      <c r="PY64" s="11"/>
      <c r="PZ64" s="11"/>
      <c r="QA64" s="11"/>
      <c r="QB64" s="11"/>
      <c r="QC64" s="11"/>
      <c r="QD64" s="11"/>
      <c r="QE64" s="11"/>
      <c r="QF64" s="11"/>
      <c r="QG64" s="11"/>
      <c r="QH64" s="11"/>
      <c r="QI64" s="11"/>
      <c r="QJ64" s="11"/>
      <c r="QK64" s="11"/>
      <c r="QL64" s="11"/>
      <c r="QM64" s="11"/>
      <c r="QN64" s="11"/>
      <c r="QO64" s="11"/>
      <c r="QP64" s="11"/>
      <c r="QQ64" s="11"/>
      <c r="QR64" s="11"/>
      <c r="QS64" s="11"/>
      <c r="QT64" s="11"/>
      <c r="QU64" s="11"/>
      <c r="QV64" s="11"/>
      <c r="QW64" s="11"/>
      <c r="QX64" s="11"/>
      <c r="QY64" s="11"/>
      <c r="QZ64" s="11"/>
      <c r="RA64" s="11"/>
      <c r="RB64" s="11"/>
      <c r="RC64" s="11"/>
      <c r="RD64" s="11"/>
      <c r="RE64" s="11"/>
      <c r="RF64" s="11"/>
      <c r="RG64" s="11"/>
      <c r="RH64" s="11"/>
      <c r="RI64" s="11"/>
      <c r="RJ64" s="11"/>
      <c r="RK64" s="11"/>
      <c r="RL64" s="11"/>
      <c r="RM64" s="11"/>
      <c r="RN64" s="11"/>
      <c r="RO64" s="11"/>
      <c r="RP64" s="11"/>
      <c r="RQ64" s="11"/>
      <c r="RR64" s="11"/>
      <c r="RS64" s="11"/>
      <c r="RT64" s="11"/>
      <c r="RU64" s="11"/>
      <c r="RV64" s="11"/>
      <c r="RW64" s="11"/>
      <c r="RX64" s="11"/>
      <c r="RY64" s="11"/>
      <c r="RZ64" s="11"/>
      <c r="SA64" s="11"/>
      <c r="SB64" s="11"/>
      <c r="SC64" s="11"/>
      <c r="SD64" s="11"/>
      <c r="SE64" s="11"/>
      <c r="SF64" s="11"/>
      <c r="SG64" s="11"/>
      <c r="SH64" s="11"/>
      <c r="SI64" s="11"/>
      <c r="SJ64" s="11"/>
      <c r="SK64" s="11"/>
      <c r="SL64" s="11"/>
      <c r="SM64" s="11"/>
      <c r="SN64" s="11"/>
      <c r="SO64" s="11"/>
      <c r="SP64" s="11"/>
      <c r="SQ64" s="11"/>
      <c r="SR64" s="11"/>
      <c r="SS64" s="11"/>
      <c r="ST64" s="11"/>
      <c r="SU64" s="11"/>
      <c r="SV64" s="11"/>
      <c r="SW64" s="11"/>
      <c r="SX64" s="11"/>
      <c r="SY64" s="11"/>
      <c r="SZ64" s="11"/>
      <c r="TA64" s="11"/>
      <c r="TB64" s="11"/>
      <c r="TC64" s="11"/>
      <c r="TD64" s="11"/>
      <c r="TE64" s="11"/>
      <c r="TF64" s="11"/>
      <c r="TG64" s="11"/>
      <c r="TH64" s="11"/>
      <c r="TI64" s="11"/>
      <c r="TJ64" s="11"/>
      <c r="TK64" s="11"/>
      <c r="TL64" s="11"/>
      <c r="TM64" s="11"/>
      <c r="TN64" s="11"/>
      <c r="TO64" s="11"/>
      <c r="TP64" s="11"/>
      <c r="TQ64" s="11"/>
      <c r="TR64" s="11"/>
      <c r="TS64" s="11"/>
      <c r="TT64" s="11"/>
      <c r="TU64" s="11"/>
      <c r="TV64" s="11"/>
      <c r="TW64" s="11"/>
      <c r="TX64" s="11"/>
      <c r="TY64" s="11"/>
      <c r="TZ64" s="11"/>
      <c r="UA64" s="11"/>
      <c r="UB64" s="11"/>
      <c r="UC64" s="11"/>
      <c r="UD64" s="11"/>
      <c r="UE64" s="11"/>
      <c r="UF64" s="11"/>
      <c r="UG64" s="11"/>
      <c r="UH64" s="11"/>
      <c r="UI64" s="11"/>
      <c r="UJ64" s="11"/>
      <c r="UK64" s="11"/>
      <c r="UL64" s="11"/>
      <c r="UM64" s="11"/>
      <c r="UN64" s="11"/>
      <c r="UO64" s="11"/>
      <c r="UP64" s="11"/>
      <c r="UQ64" s="11"/>
      <c r="UR64" s="11"/>
      <c r="US64" s="11"/>
      <c r="UT64" s="11"/>
      <c r="UU64" s="11"/>
      <c r="UV64" s="11"/>
      <c r="UW64" s="11"/>
      <c r="UX64" s="11"/>
      <c r="UY64" s="11"/>
      <c r="UZ64" s="11"/>
      <c r="VA64" s="11"/>
      <c r="VB64" s="11"/>
      <c r="VC64" s="11"/>
      <c r="VD64" s="11"/>
      <c r="VE64" s="11"/>
      <c r="VF64" s="11"/>
      <c r="VG64" s="11"/>
      <c r="VH64" s="11"/>
      <c r="VI64" s="11"/>
      <c r="VJ64" s="11"/>
      <c r="VK64" s="11"/>
      <c r="VL64" s="11"/>
      <c r="VM64" s="11"/>
      <c r="VN64" s="11"/>
      <c r="VO64" s="11"/>
      <c r="VP64" s="11"/>
      <c r="VQ64" s="11"/>
      <c r="VR64" s="11"/>
      <c r="VS64" s="11"/>
      <c r="VT64" s="11"/>
      <c r="VU64" s="11"/>
      <c r="VV64" s="11"/>
      <c r="VW64" s="11"/>
      <c r="VX64" s="11"/>
      <c r="VY64" s="11"/>
      <c r="VZ64" s="11"/>
      <c r="WA64" s="11"/>
      <c r="WB64" s="11"/>
      <c r="WC64" s="11"/>
      <c r="WD64" s="11"/>
      <c r="WE64" s="11"/>
      <c r="WF64" s="11"/>
      <c r="WG64" s="11"/>
      <c r="WH64" s="11"/>
      <c r="WI64" s="11"/>
      <c r="WJ64" s="11"/>
      <c r="WK64" s="11"/>
      <c r="WL64" s="11"/>
      <c r="WM64" s="11"/>
      <c r="WN64" s="11"/>
      <c r="WO64" s="11"/>
      <c r="WP64" s="11"/>
      <c r="WQ64" s="11"/>
      <c r="WR64" s="11"/>
      <c r="WS64" s="11"/>
      <c r="WT64" s="11"/>
      <c r="WU64" s="11"/>
      <c r="WV64" s="11"/>
      <c r="WW64" s="11"/>
      <c r="WX64" s="11"/>
      <c r="WY64" s="11"/>
      <c r="WZ64" s="11"/>
      <c r="XA64" s="11"/>
      <c r="XB64" s="11"/>
      <c r="XC64" s="11"/>
      <c r="XD64" s="11"/>
      <c r="XE64" s="11"/>
      <c r="XF64" s="11"/>
      <c r="XG64" s="11"/>
      <c r="XH64" s="11"/>
      <c r="XI64" s="11"/>
      <c r="XJ64" s="11"/>
      <c r="XK64" s="11"/>
      <c r="XL64" s="11"/>
      <c r="XM64" s="11"/>
      <c r="XN64" s="11"/>
      <c r="XO64" s="11"/>
      <c r="XP64" s="11"/>
      <c r="XQ64" s="11"/>
      <c r="XR64" s="11"/>
      <c r="XS64" s="11"/>
      <c r="XT64" s="11"/>
      <c r="XU64" s="11"/>
      <c r="XV64" s="11"/>
      <c r="XW64" s="11"/>
      <c r="XX64" s="11"/>
      <c r="XY64" s="11"/>
      <c r="XZ64" s="11"/>
      <c r="YA64" s="11"/>
      <c r="YB64" s="11"/>
      <c r="YC64" s="11"/>
      <c r="YD64" s="11"/>
      <c r="YE64" s="11"/>
      <c r="YF64" s="11"/>
      <c r="YG64" s="11"/>
      <c r="YH64" s="11"/>
      <c r="YI64" s="11"/>
      <c r="YJ64" s="11"/>
      <c r="YK64" s="11"/>
      <c r="YL64" s="11"/>
      <c r="YM64" s="11"/>
      <c r="YN64" s="11"/>
      <c r="YO64" s="11"/>
      <c r="YP64" s="11"/>
      <c r="YQ64" s="11"/>
      <c r="YR64" s="11"/>
      <c r="YS64" s="11"/>
      <c r="YT64" s="11"/>
      <c r="YU64" s="11"/>
      <c r="YV64" s="11"/>
      <c r="YW64" s="11"/>
      <c r="YX64" s="11"/>
      <c r="YY64" s="11"/>
      <c r="YZ64" s="11"/>
      <c r="ZA64" s="11"/>
      <c r="ZB64" s="11"/>
      <c r="ZC64" s="11"/>
      <c r="ZD64" s="11"/>
      <c r="ZE64" s="11"/>
      <c r="ZF64" s="11"/>
      <c r="ZG64" s="11"/>
      <c r="ZH64" s="11"/>
      <c r="ZI64" s="11"/>
      <c r="ZJ64" s="11"/>
      <c r="ZK64" s="11"/>
      <c r="ZL64" s="11"/>
      <c r="ZM64" s="11"/>
      <c r="ZN64" s="11"/>
      <c r="ZO64" s="11"/>
      <c r="ZP64" s="11"/>
      <c r="ZQ64" s="11"/>
      <c r="ZR64" s="11"/>
      <c r="ZS64" s="11"/>
      <c r="ZT64" s="11"/>
      <c r="ZU64" s="11"/>
      <c r="ZV64" s="11"/>
      <c r="ZW64" s="11"/>
      <c r="ZX64" s="11"/>
      <c r="ZY64" s="11"/>
      <c r="ZZ64" s="11"/>
      <c r="AAA64" s="11"/>
      <c r="AAB64" s="11"/>
      <c r="AAC64" s="11"/>
      <c r="AAD64" s="11"/>
      <c r="AAE64" s="11"/>
      <c r="AAF64" s="11"/>
      <c r="AAG64" s="11"/>
      <c r="AAH64" s="11"/>
      <c r="AAI64" s="11"/>
      <c r="AAJ64" s="11"/>
      <c r="AAK64" s="11"/>
      <c r="AAL64" s="11"/>
      <c r="AAM64" s="11"/>
      <c r="AAN64" s="11"/>
      <c r="AAO64" s="11"/>
      <c r="AAP64" s="11"/>
      <c r="AAQ64" s="11"/>
      <c r="AAR64" s="11"/>
      <c r="AAS64" s="11"/>
      <c r="AAT64" s="11"/>
      <c r="AAU64" s="11"/>
      <c r="AAV64" s="11"/>
      <c r="AAW64" s="11"/>
      <c r="AAX64" s="11"/>
      <c r="AAY64" s="11"/>
      <c r="AAZ64" s="11"/>
      <c r="ABA64" s="11"/>
      <c r="ABB64" s="11"/>
      <c r="ABC64" s="11"/>
      <c r="ABD64" s="11"/>
      <c r="ABE64" s="11"/>
      <c r="ABF64" s="11"/>
      <c r="ABG64" s="11"/>
      <c r="ABH64" s="11"/>
      <c r="ABI64" s="11"/>
      <c r="ABJ64" s="11"/>
      <c r="ABK64" s="11"/>
      <c r="ABL64" s="11"/>
      <c r="ABM64" s="11"/>
      <c r="ABN64" s="11"/>
      <c r="ABO64" s="11"/>
      <c r="ABP64" s="11"/>
      <c r="ABQ64" s="11"/>
      <c r="ABR64" s="11"/>
      <c r="ABS64" s="11"/>
      <c r="ABT64" s="11"/>
      <c r="ABU64" s="11"/>
      <c r="ABV64" s="11"/>
      <c r="ABW64" s="11"/>
      <c r="ABX64" s="11"/>
      <c r="ABY64" s="11"/>
      <c r="ABZ64" s="11"/>
      <c r="ACA64" s="11"/>
      <c r="ACB64" s="11"/>
      <c r="ACC64" s="11"/>
      <c r="ACD64" s="11"/>
      <c r="ACE64" s="11"/>
      <c r="ACF64" s="11"/>
      <c r="ACG64" s="11"/>
      <c r="ACH64" s="11"/>
      <c r="ACI64" s="11"/>
      <c r="ACJ64" s="11"/>
      <c r="ACK64" s="11"/>
      <c r="ACL64" s="11"/>
      <c r="ACM64" s="11"/>
      <c r="ACN64" s="11"/>
      <c r="ACO64" s="11"/>
      <c r="ACP64" s="11"/>
      <c r="ACQ64" s="11"/>
      <c r="ACR64" s="11"/>
      <c r="ACS64" s="11"/>
      <c r="ACT64" s="11"/>
      <c r="ACU64" s="11"/>
      <c r="ACV64" s="11"/>
      <c r="ACW64" s="11"/>
      <c r="ACX64" s="11"/>
      <c r="ACY64" s="11"/>
      <c r="ACZ64" s="11"/>
      <c r="ADA64" s="11"/>
      <c r="ADB64" s="11"/>
      <c r="ADC64" s="11"/>
      <c r="ADD64" s="11"/>
      <c r="ADE64" s="11"/>
      <c r="ADF64" s="11"/>
      <c r="ADG64" s="11"/>
      <c r="ADH64" s="11"/>
      <c r="ADI64" s="11"/>
      <c r="ADJ64" s="11"/>
      <c r="ADK64" s="11"/>
      <c r="ADL64" s="11"/>
      <c r="ADM64" s="11"/>
      <c r="ADN64" s="11"/>
      <c r="ADO64" s="11"/>
      <c r="ADP64" s="11"/>
      <c r="ADQ64" s="11"/>
      <c r="ADR64" s="11"/>
      <c r="ADS64" s="11"/>
      <c r="ADT64" s="11"/>
      <c r="ADU64" s="11"/>
      <c r="ADV64" s="11"/>
      <c r="ADW64" s="11"/>
      <c r="ADX64" s="11"/>
      <c r="ADY64" s="11"/>
      <c r="ADZ64" s="11"/>
      <c r="AEA64" s="11"/>
      <c r="AEB64" s="11"/>
      <c r="AEC64" s="11"/>
      <c r="AED64" s="11"/>
      <c r="AEE64" s="11"/>
      <c r="AEF64" s="11"/>
      <c r="AEG64" s="11"/>
      <c r="AEH64" s="11"/>
      <c r="AEI64" s="11"/>
      <c r="AEJ64" s="11"/>
      <c r="AEK64" s="11"/>
      <c r="AEL64" s="11"/>
      <c r="AEM64" s="11"/>
      <c r="AEN64" s="11"/>
      <c r="AEO64" s="11"/>
      <c r="AEP64" s="11"/>
      <c r="AEQ64" s="11"/>
      <c r="AER64" s="11"/>
      <c r="AES64" s="11"/>
      <c r="AET64" s="11"/>
      <c r="AEU64" s="11"/>
      <c r="AEV64" s="11"/>
      <c r="AEW64" s="11"/>
      <c r="AEX64" s="11"/>
      <c r="AEY64" s="11"/>
      <c r="AEZ64" s="11"/>
      <c r="AFA64" s="11"/>
      <c r="AFB64" s="11"/>
      <c r="AFC64" s="11"/>
      <c r="AFD64" s="11"/>
      <c r="AFE64" s="11"/>
      <c r="AFF64" s="11"/>
      <c r="AFG64" s="11"/>
      <c r="AFH64" s="11"/>
      <c r="AFI64" s="11"/>
    </row>
    <row r="65" spans="2:84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c r="XX65" s="11"/>
      <c r="XY65" s="11"/>
      <c r="XZ65" s="11"/>
      <c r="YA65" s="11"/>
      <c r="YB65" s="11"/>
      <c r="YC65" s="11"/>
      <c r="YD65" s="11"/>
      <c r="YE65" s="11"/>
      <c r="YF65" s="11"/>
      <c r="YG65" s="11"/>
      <c r="YH65" s="11"/>
      <c r="YI65" s="11"/>
      <c r="YJ65" s="11"/>
      <c r="YK65" s="11"/>
      <c r="YL65" s="11"/>
      <c r="YM65" s="11"/>
      <c r="YN65" s="11"/>
      <c r="YO65" s="11"/>
      <c r="YP65" s="11"/>
      <c r="YQ65" s="11"/>
      <c r="YR65" s="11"/>
      <c r="YS65" s="11"/>
      <c r="YT65" s="11"/>
      <c r="YU65" s="11"/>
      <c r="YV65" s="11"/>
      <c r="YW65" s="11"/>
      <c r="YX65" s="11"/>
      <c r="YY65" s="11"/>
      <c r="YZ65" s="11"/>
      <c r="ZA65" s="11"/>
      <c r="ZB65" s="11"/>
      <c r="ZC65" s="11"/>
      <c r="ZD65" s="11"/>
      <c r="ZE65" s="11"/>
      <c r="ZF65" s="11"/>
      <c r="ZG65" s="11"/>
      <c r="ZH65" s="11"/>
      <c r="ZI65" s="11"/>
      <c r="ZJ65" s="11"/>
      <c r="ZK65" s="11"/>
      <c r="ZL65" s="11"/>
      <c r="ZM65" s="11"/>
      <c r="ZN65" s="11"/>
      <c r="ZO65" s="11"/>
      <c r="ZP65" s="11"/>
      <c r="ZQ65" s="11"/>
      <c r="ZR65" s="11"/>
      <c r="ZS65" s="11"/>
      <c r="ZT65" s="11"/>
      <c r="ZU65" s="11"/>
      <c r="ZV65" s="11"/>
      <c r="ZW65" s="11"/>
      <c r="ZX65" s="11"/>
      <c r="ZY65" s="11"/>
      <c r="ZZ65" s="11"/>
      <c r="AAA65" s="11"/>
      <c r="AAB65" s="11"/>
      <c r="AAC65" s="11"/>
      <c r="AAD65" s="11"/>
      <c r="AAE65" s="11"/>
      <c r="AAF65" s="11"/>
      <c r="AAG65" s="11"/>
      <c r="AAH65" s="11"/>
      <c r="AAI65" s="11"/>
      <c r="AAJ65" s="11"/>
      <c r="AAK65" s="11"/>
      <c r="AAL65" s="11"/>
      <c r="AAM65" s="11"/>
      <c r="AAN65" s="11"/>
      <c r="AAO65" s="11"/>
      <c r="AAP65" s="11"/>
      <c r="AAQ65" s="11"/>
      <c r="AAR65" s="11"/>
      <c r="AAS65" s="11"/>
      <c r="AAT65" s="11"/>
      <c r="AAU65" s="11"/>
      <c r="AAV65" s="11"/>
      <c r="AAW65" s="11"/>
      <c r="AAX65" s="11"/>
      <c r="AAY65" s="11"/>
      <c r="AAZ65" s="11"/>
      <c r="ABA65" s="11"/>
      <c r="ABB65" s="11"/>
      <c r="ABC65" s="11"/>
      <c r="ABD65" s="11"/>
      <c r="ABE65" s="11"/>
      <c r="ABF65" s="11"/>
      <c r="ABG65" s="11"/>
      <c r="ABH65" s="11"/>
      <c r="ABI65" s="11"/>
      <c r="ABJ65" s="11"/>
      <c r="ABK65" s="11"/>
      <c r="ABL65" s="11"/>
      <c r="ABM65" s="11"/>
      <c r="ABN65" s="11"/>
      <c r="ABO65" s="11"/>
      <c r="ABP65" s="11"/>
      <c r="ABQ65" s="11"/>
      <c r="ABR65" s="11"/>
      <c r="ABS65" s="11"/>
      <c r="ABT65" s="11"/>
      <c r="ABU65" s="11"/>
      <c r="ABV65" s="11"/>
      <c r="ABW65" s="11"/>
      <c r="ABX65" s="11"/>
      <c r="ABY65" s="11"/>
      <c r="ABZ65" s="11"/>
      <c r="ACA65" s="11"/>
      <c r="ACB65" s="11"/>
      <c r="ACC65" s="11"/>
      <c r="ACD65" s="11"/>
      <c r="ACE65" s="11"/>
      <c r="ACF65" s="11"/>
      <c r="ACG65" s="11"/>
      <c r="ACH65" s="11"/>
      <c r="ACI65" s="11"/>
      <c r="ACJ65" s="11"/>
      <c r="ACK65" s="11"/>
      <c r="ACL65" s="11"/>
      <c r="ACM65" s="11"/>
      <c r="ACN65" s="11"/>
      <c r="ACO65" s="11"/>
      <c r="ACP65" s="11"/>
      <c r="ACQ65" s="11"/>
      <c r="ACR65" s="11"/>
      <c r="ACS65" s="11"/>
      <c r="ACT65" s="11"/>
      <c r="ACU65" s="11"/>
      <c r="ACV65" s="11"/>
      <c r="ACW65" s="11"/>
      <c r="ACX65" s="11"/>
      <c r="ACY65" s="11"/>
      <c r="ACZ65" s="11"/>
      <c r="ADA65" s="11"/>
      <c r="ADB65" s="11"/>
      <c r="ADC65" s="11"/>
      <c r="ADD65" s="11"/>
      <c r="ADE65" s="11"/>
      <c r="ADF65" s="11"/>
      <c r="ADG65" s="11"/>
      <c r="ADH65" s="11"/>
      <c r="ADI65" s="11"/>
      <c r="ADJ65" s="11"/>
      <c r="ADK65" s="11"/>
      <c r="ADL65" s="11"/>
      <c r="ADM65" s="11"/>
      <c r="ADN65" s="11"/>
      <c r="ADO65" s="11"/>
      <c r="ADP65" s="11"/>
      <c r="ADQ65" s="11"/>
      <c r="ADR65" s="11"/>
      <c r="ADS65" s="11"/>
      <c r="ADT65" s="11"/>
      <c r="ADU65" s="11"/>
      <c r="ADV65" s="11"/>
      <c r="ADW65" s="11"/>
      <c r="ADX65" s="11"/>
      <c r="ADY65" s="11"/>
      <c r="ADZ65" s="11"/>
      <c r="AEA65" s="11"/>
      <c r="AEB65" s="11"/>
      <c r="AEC65" s="11"/>
      <c r="AED65" s="11"/>
      <c r="AEE65" s="11"/>
      <c r="AEF65" s="11"/>
      <c r="AEG65" s="11"/>
      <c r="AEH65" s="11"/>
      <c r="AEI65" s="11"/>
      <c r="AEJ65" s="11"/>
      <c r="AEK65" s="11"/>
      <c r="AEL65" s="11"/>
      <c r="AEM65" s="11"/>
      <c r="AEN65" s="11"/>
      <c r="AEO65" s="11"/>
      <c r="AEP65" s="11"/>
      <c r="AEQ65" s="11"/>
      <c r="AER65" s="11"/>
      <c r="AES65" s="11"/>
      <c r="AET65" s="11"/>
      <c r="AEU65" s="11"/>
      <c r="AEV65" s="11"/>
      <c r="AEW65" s="11"/>
      <c r="AEX65" s="11"/>
      <c r="AEY65" s="11"/>
      <c r="AEZ65" s="11"/>
      <c r="AFA65" s="11"/>
      <c r="AFB65" s="11"/>
      <c r="AFC65" s="11"/>
      <c r="AFD65" s="11"/>
      <c r="AFE65" s="11"/>
      <c r="AFF65" s="11"/>
      <c r="AFG65" s="11"/>
      <c r="AFH65" s="11"/>
      <c r="AFI65" s="11"/>
    </row>
    <row r="66" spans="2:84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c r="XX66" s="11"/>
      <c r="XY66" s="11"/>
      <c r="XZ66" s="11"/>
      <c r="YA66" s="11"/>
      <c r="YB66" s="11"/>
      <c r="YC66" s="11"/>
      <c r="YD66" s="11"/>
      <c r="YE66" s="11"/>
      <c r="YF66" s="11"/>
      <c r="YG66" s="11"/>
      <c r="YH66" s="11"/>
      <c r="YI66" s="11"/>
      <c r="YJ66" s="11"/>
      <c r="YK66" s="11"/>
      <c r="YL66" s="11"/>
      <c r="YM66" s="11"/>
      <c r="YN66" s="11"/>
      <c r="YO66" s="11"/>
      <c r="YP66" s="11"/>
      <c r="YQ66" s="11"/>
      <c r="YR66" s="11"/>
      <c r="YS66" s="11"/>
      <c r="YT66" s="11"/>
      <c r="YU66" s="11"/>
      <c r="YV66" s="11"/>
      <c r="YW66" s="11"/>
      <c r="YX66" s="11"/>
      <c r="YY66" s="11"/>
      <c r="YZ66" s="11"/>
      <c r="ZA66" s="11"/>
      <c r="ZB66" s="11"/>
      <c r="ZC66" s="11"/>
      <c r="ZD66" s="11"/>
      <c r="ZE66" s="11"/>
      <c r="ZF66" s="11"/>
      <c r="ZG66" s="11"/>
      <c r="ZH66" s="11"/>
      <c r="ZI66" s="11"/>
      <c r="ZJ66" s="11"/>
      <c r="ZK66" s="11"/>
      <c r="ZL66" s="11"/>
      <c r="ZM66" s="11"/>
      <c r="ZN66" s="11"/>
      <c r="ZO66" s="11"/>
      <c r="ZP66" s="11"/>
      <c r="ZQ66" s="11"/>
      <c r="ZR66" s="11"/>
      <c r="ZS66" s="11"/>
      <c r="ZT66" s="11"/>
      <c r="ZU66" s="11"/>
      <c r="ZV66" s="11"/>
      <c r="ZW66" s="11"/>
      <c r="ZX66" s="11"/>
      <c r="ZY66" s="11"/>
      <c r="ZZ66" s="11"/>
      <c r="AAA66" s="11"/>
      <c r="AAB66" s="11"/>
      <c r="AAC66" s="11"/>
      <c r="AAD66" s="11"/>
      <c r="AAE66" s="11"/>
      <c r="AAF66" s="11"/>
      <c r="AAG66" s="11"/>
      <c r="AAH66" s="11"/>
      <c r="AAI66" s="11"/>
      <c r="AAJ66" s="11"/>
      <c r="AAK66" s="11"/>
      <c r="AAL66" s="11"/>
      <c r="AAM66" s="11"/>
      <c r="AAN66" s="11"/>
      <c r="AAO66" s="11"/>
      <c r="AAP66" s="11"/>
      <c r="AAQ66" s="11"/>
      <c r="AAR66" s="11"/>
      <c r="AAS66" s="11"/>
      <c r="AAT66" s="11"/>
      <c r="AAU66" s="11"/>
      <c r="AAV66" s="11"/>
      <c r="AAW66" s="11"/>
      <c r="AAX66" s="11"/>
      <c r="AAY66" s="11"/>
      <c r="AAZ66" s="11"/>
      <c r="ABA66" s="11"/>
      <c r="ABB66" s="11"/>
      <c r="ABC66" s="11"/>
      <c r="ABD66" s="11"/>
      <c r="ABE66" s="11"/>
      <c r="ABF66" s="11"/>
      <c r="ABG66" s="11"/>
      <c r="ABH66" s="11"/>
      <c r="ABI66" s="11"/>
      <c r="ABJ66" s="11"/>
      <c r="ABK66" s="11"/>
      <c r="ABL66" s="11"/>
      <c r="ABM66" s="11"/>
      <c r="ABN66" s="11"/>
      <c r="ABO66" s="11"/>
      <c r="ABP66" s="11"/>
      <c r="ABQ66" s="11"/>
      <c r="ABR66" s="11"/>
      <c r="ABS66" s="11"/>
      <c r="ABT66" s="11"/>
      <c r="ABU66" s="11"/>
      <c r="ABV66" s="11"/>
      <c r="ABW66" s="11"/>
      <c r="ABX66" s="11"/>
      <c r="ABY66" s="11"/>
      <c r="ABZ66" s="11"/>
      <c r="ACA66" s="11"/>
      <c r="ACB66" s="11"/>
      <c r="ACC66" s="11"/>
      <c r="ACD66" s="11"/>
      <c r="ACE66" s="11"/>
      <c r="ACF66" s="11"/>
      <c r="ACG66" s="11"/>
      <c r="ACH66" s="11"/>
      <c r="ACI66" s="11"/>
      <c r="ACJ66" s="11"/>
      <c r="ACK66" s="11"/>
      <c r="ACL66" s="11"/>
      <c r="ACM66" s="11"/>
      <c r="ACN66" s="11"/>
      <c r="ACO66" s="11"/>
      <c r="ACP66" s="11"/>
      <c r="ACQ66" s="11"/>
      <c r="ACR66" s="11"/>
      <c r="ACS66" s="11"/>
      <c r="ACT66" s="11"/>
      <c r="ACU66" s="11"/>
      <c r="ACV66" s="11"/>
      <c r="ACW66" s="11"/>
      <c r="ACX66" s="11"/>
      <c r="ACY66" s="11"/>
      <c r="ACZ66" s="11"/>
      <c r="ADA66" s="11"/>
      <c r="ADB66" s="11"/>
      <c r="ADC66" s="11"/>
      <c r="ADD66" s="11"/>
      <c r="ADE66" s="11"/>
      <c r="ADF66" s="11"/>
      <c r="ADG66" s="11"/>
      <c r="ADH66" s="11"/>
      <c r="ADI66" s="11"/>
      <c r="ADJ66" s="11"/>
      <c r="ADK66" s="11"/>
      <c r="ADL66" s="11"/>
      <c r="ADM66" s="11"/>
      <c r="ADN66" s="11"/>
      <c r="ADO66" s="11"/>
      <c r="ADP66" s="11"/>
      <c r="ADQ66" s="11"/>
      <c r="ADR66" s="11"/>
      <c r="ADS66" s="11"/>
      <c r="ADT66" s="11"/>
      <c r="ADU66" s="11"/>
      <c r="ADV66" s="11"/>
      <c r="ADW66" s="11"/>
      <c r="ADX66" s="11"/>
      <c r="ADY66" s="11"/>
      <c r="ADZ66" s="11"/>
      <c r="AEA66" s="11"/>
      <c r="AEB66" s="11"/>
      <c r="AEC66" s="11"/>
      <c r="AED66" s="11"/>
      <c r="AEE66" s="11"/>
      <c r="AEF66" s="11"/>
      <c r="AEG66" s="11"/>
      <c r="AEH66" s="11"/>
      <c r="AEI66" s="11"/>
      <c r="AEJ66" s="11"/>
      <c r="AEK66" s="11"/>
      <c r="AEL66" s="11"/>
      <c r="AEM66" s="11"/>
      <c r="AEN66" s="11"/>
      <c r="AEO66" s="11"/>
      <c r="AEP66" s="11"/>
      <c r="AEQ66" s="11"/>
      <c r="AER66" s="11"/>
      <c r="AES66" s="11"/>
      <c r="AET66" s="11"/>
      <c r="AEU66" s="11"/>
      <c r="AEV66" s="11"/>
      <c r="AEW66" s="11"/>
      <c r="AEX66" s="11"/>
      <c r="AEY66" s="11"/>
      <c r="AEZ66" s="11"/>
      <c r="AFA66" s="11"/>
      <c r="AFB66" s="11"/>
      <c r="AFC66" s="11"/>
      <c r="AFD66" s="11"/>
      <c r="AFE66" s="11"/>
      <c r="AFF66" s="11"/>
      <c r="AFG66" s="11"/>
      <c r="AFH66" s="11"/>
      <c r="AFI66" s="11"/>
    </row>
    <row r="67" spans="2:841">
      <c r="B67" s="11"/>
      <c r="C67" s="246" t="s">
        <v>926</v>
      </c>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row>
    <row r="68" spans="2:841">
      <c r="B68" s="11"/>
      <c r="D68" s="47"/>
      <c r="E68" s="482" t="s">
        <v>23</v>
      </c>
      <c r="F68" s="483"/>
      <c r="G68" s="484"/>
      <c r="H68" s="496" t="s">
        <v>31</v>
      </c>
      <c r="I68" s="497"/>
      <c r="J68" s="498"/>
      <c r="K68" s="496" t="s">
        <v>36</v>
      </c>
      <c r="L68" s="497"/>
      <c r="M68" s="498"/>
      <c r="N68" s="496" t="s">
        <v>39</v>
      </c>
      <c r="O68" s="497"/>
      <c r="P68" s="498"/>
      <c r="Q68" s="496" t="s">
        <v>42</v>
      </c>
      <c r="R68" s="497"/>
      <c r="S68" s="498"/>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row>
    <row r="69" spans="2:841">
      <c r="B69" s="11"/>
      <c r="C69" s="657" t="str">
        <f>M_Datos!L38</f>
        <v>Equipamientos - Sin especificar</v>
      </c>
      <c r="D69" s="289" t="s">
        <v>622</v>
      </c>
      <c r="E69" s="488" t="s">
        <v>623</v>
      </c>
      <c r="F69" s="488" t="s">
        <v>948</v>
      </c>
      <c r="G69" s="488" t="s">
        <v>624</v>
      </c>
      <c r="H69" s="488" t="s">
        <v>623</v>
      </c>
      <c r="I69" s="488" t="s">
        <v>948</v>
      </c>
      <c r="J69" s="488" t="s">
        <v>624</v>
      </c>
      <c r="K69" s="488" t="s">
        <v>623</v>
      </c>
      <c r="L69" s="488" t="s">
        <v>948</v>
      </c>
      <c r="M69" s="488" t="s">
        <v>624</v>
      </c>
      <c r="N69" s="488" t="s">
        <v>623</v>
      </c>
      <c r="O69" s="488" t="s">
        <v>948</v>
      </c>
      <c r="P69" s="488" t="s">
        <v>624</v>
      </c>
      <c r="Q69" s="488" t="s">
        <v>623</v>
      </c>
      <c r="R69" s="488" t="s">
        <v>948</v>
      </c>
      <c r="S69" s="488" t="s">
        <v>624</v>
      </c>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row>
    <row r="70" spans="2:841">
      <c r="B70" s="11"/>
      <c r="C70" s="657"/>
      <c r="D70" s="289" t="str">
        <f>IF(Idioma=Castellano,"Existente",IF(Idioma=Valencià,"Existent","Existente"))</f>
        <v>Existente</v>
      </c>
      <c r="E70" s="551">
        <f>SUMIFS(M_Datos!$N$38:$N$40,M_Datos!$O$38:$O$40,M_Lista!G18)</f>
        <v>0</v>
      </c>
      <c r="F70" s="312" t="e">
        <f>IF(AND(M_FactoresComplement!$G$439="No",M_FactoresComplement!$G$441="No"),M_Cálculos!E70*VLOOKUP(M_Datos!$E$12&amp;M_Cálculos!D70,M_Factores!$M$10:$P$108,2,FALSE)/(10^3),IF(AND(M_FactoresComplement!$G$439="Sí",M_FactoresComplement!$G$441="No"),E70*M_FactoresComplement!G467/(10^3),E70*VLOOKUP(M_FactoresComplement!$C$467&amp;M_Datos!$E$12&amp;M_Lista!G17,M_FactoresComplement!$F$446:$I$781,2,FALSE)/(10^3)))</f>
        <v>#N/A</v>
      </c>
      <c r="G70" s="313" t="e">
        <f>IF(AND(M_FactoresComplement!$G$439="No",M_FactoresComplement!$G$441="No"),M_Cálculos!E70*VLOOKUP(M_Datos!$E$12&amp;M_Cálculos!D70,M_Factores!$M$10:$P$108,3,FALSE)/(10^3),IF(AND(M_FactoresComplement!$G$439="Sí",M_FactoresComplement!$G$441="No"),E70*M_FactoresComplement!H467/(10^3),E70*VLOOKUP(M_FactoresComplement!$C$467&amp;M_Datos!$E$12&amp;M_Lista!G17,M_FactoresComplement!$F$446:$I$781,3,FALSE)/(10^3)))</f>
        <v>#N/A</v>
      </c>
      <c r="H70" s="551">
        <f>SUMIFS(M_Datos!$P$38:$P$40,M_Datos!$Q$38:$Q$40,M_Lista!G18)</f>
        <v>0</v>
      </c>
      <c r="I70" s="312" t="e">
        <f>IF(AND(M_FactoresComplement!$G$439="No",M_FactoresComplement!$G$441="No"),M_Cálculos!H70*VLOOKUP(M_Datos!$E$12&amp;M_Cálculos!D70,M_Factores!$M$10:$P$108,2,FALSE)/(10^3),IF(AND(M_FactoresComplement!$G$439="Sí",M_FactoresComplement!$G$441="No"),H70*M_FactoresComplement!G467/(10^3),H70*VLOOKUP(M_FactoresComplement!$C$467&amp;M_Datos!$E$12&amp;M_Lista!G17,M_FactoresComplement!$F$446:$I$781,2,FALSE)/(10^3)))</f>
        <v>#N/A</v>
      </c>
      <c r="J70" s="313" t="e">
        <f>IF(AND(M_FactoresComplement!$G$439="No",M_FactoresComplement!$G$441="No"),M_Cálculos!H70*VLOOKUP(M_Datos!$E$12&amp;M_Cálculos!D70,M_Factores!$M$10:$P$108,3,FALSE)/(10^3),IF(AND(M_FactoresComplement!$G$439="Sí",M_FactoresComplement!$G$441="No"),H70*M_FactoresComplement!H467/(10^3),H70*VLOOKUP(M_FactoresComplement!$C$467&amp;M_Datos!$E$12&amp;M_Lista!G17,M_FactoresComplement!$F$446:$I$781,3,FALSE)/(10^3)))</f>
        <v>#N/A</v>
      </c>
      <c r="K70" s="551">
        <f>SUMIFS(M_Datos!$R$38:$R$40,M_Datos!$S$38:$S$40,M_Lista!G18)</f>
        <v>0</v>
      </c>
      <c r="L70" s="312" t="e">
        <f>IF(AND(M_FactoresComplement!$G$439="No",M_FactoresComplement!$G$441="No"),M_Cálculos!K70*VLOOKUP(M_Datos!$E$12&amp;M_Cálculos!D70,M_Factores!$M$10:$P$108,2,FALSE)/(10^3),IF(AND(M_FactoresComplement!$G$439="Sí",M_FactoresComplement!$G$441="No"),K70*M_FactoresComplement!G467/(10^3),K70*VLOOKUP(M_FactoresComplement!$C$467&amp;M_Datos!$E$12&amp;M_Lista!G17,M_FactoresComplement!$F$446:$I$781,2,FALSE)/(10^3)))</f>
        <v>#N/A</v>
      </c>
      <c r="M70" s="313" t="e">
        <f>IF(AND(M_FactoresComplement!$G$439="No",M_FactoresComplement!$G$441="No"),M_Cálculos!K70*VLOOKUP(M_Datos!$E$12&amp;M_Cálculos!D70,M_Factores!$M$10:$P$108,3,FALSE)/(10^3),IF(AND(M_FactoresComplement!$G$439="Sí",M_FactoresComplement!$G$441="No"),K70*M_FactoresComplement!H467/(10^3),K70*VLOOKUP(M_FactoresComplement!$C$467&amp;M_Datos!$E$12&amp;M_Lista!G17,M_FactoresComplement!$F$446:$I$781,3,FALSE)/(10^3)))</f>
        <v>#N/A</v>
      </c>
      <c r="N70" s="551">
        <f>SUMIFS(M_Datos!$T$38:$T$40,M_Datos!$U$38:$U$40,M_Lista!G18)</f>
        <v>0</v>
      </c>
      <c r="O70" s="312" t="e">
        <f>IF(AND(M_FactoresComplement!$G$439="No",M_FactoresComplement!$G$441="No"),M_Cálculos!N70*VLOOKUP(M_Datos!$E$12&amp;M_Cálculos!D70,M_Factores!$M$10:$P$108,2,FALSE)/(10^3),IF(AND(M_FactoresComplement!$G$439="Sí",M_FactoresComplement!$G$441="No"),N70*M_FactoresComplement!G467/(10^3),N70*VLOOKUP(M_FactoresComplement!$C$467&amp;M_Datos!$E$12&amp;M_Lista!G17,M_FactoresComplement!$F$446:$I$781,2,FALSE)/(10^3)))</f>
        <v>#N/A</v>
      </c>
      <c r="P70" s="313" t="e">
        <f>IF(AND(M_FactoresComplement!$G$439="No",M_FactoresComplement!$G$441="No"),M_Cálculos!N70*VLOOKUP(M_Datos!$E$12&amp;M_Cálculos!D70,M_Factores!$M$10:$P$108,3,FALSE)/(10^3),IF(AND(M_FactoresComplement!$G$439="Sí",M_FactoresComplement!$G$441="No"),N70*M_FactoresComplement!H467/(10^3),N70*VLOOKUP(M_FactoresComplement!$C$467&amp;M_Datos!$E$12&amp;M_Lista!G17,M_FactoresComplement!$F$446:$I$781,3,FALSE)/(10^3)))</f>
        <v>#N/A</v>
      </c>
      <c r="Q70" s="551">
        <f>SUMIFS(M_Datos!$V$38:$V$40,M_Datos!$W$38:$W$40,M_Lista!G18)</f>
        <v>0</v>
      </c>
      <c r="R70" s="312" t="e">
        <f>IF(AND(M_FactoresComplement!$G$439="No",M_FactoresComplement!$G$441="No"),M_Cálculos!Q70*VLOOKUP(M_Datos!$E$12&amp;M_Cálculos!D70,M_Factores!$M$10:$P$108,2,FALSE)/(10^3),IF(AND(M_FactoresComplement!$G$439="Sí",M_FactoresComplement!$G$441="No"),Q70*M_FactoresComplement!G467/(10^3),Q70*VLOOKUP(M_FactoresComplement!$C$467&amp;M_Datos!$E$12&amp;M_Lista!G17,M_FactoresComplement!$F$446:$I$781,2,FALSE)/(10^3)))</f>
        <v>#N/A</v>
      </c>
      <c r="S70" s="313" t="e">
        <f>IF(AND(M_FactoresComplement!$G$439="No",M_FactoresComplement!$G$441="No"),M_Cálculos!Q70*VLOOKUP(M_Datos!$E$12&amp;M_Cálculos!D70,M_Factores!$M$10:$P$108,3,FALSE)/(10^3),IF(AND(M_FactoresComplement!$G$439="Sí",M_FactoresComplement!$G$441="No"),Q70*M_FactoresComplement!H467/(10^3),Q70*VLOOKUP(M_FactoresComplement!$C$467&amp;M_Datos!$E$12&amp;M_Lista!G17,M_FactoresComplement!$F$446:$I$781,3,FALSE)/(10^3)))</f>
        <v>#N/A</v>
      </c>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c r="XX70" s="11"/>
      <c r="XY70" s="11"/>
      <c r="XZ70" s="11"/>
      <c r="YA70" s="11"/>
      <c r="YB70" s="11"/>
      <c r="YC70" s="11"/>
      <c r="YD70" s="11"/>
      <c r="YE70" s="11"/>
      <c r="YF70" s="11"/>
      <c r="YG70" s="11"/>
      <c r="YH70" s="11"/>
      <c r="YI70" s="11"/>
      <c r="YJ70" s="11"/>
      <c r="YK70" s="11"/>
      <c r="YL70" s="11"/>
      <c r="YM70" s="11"/>
      <c r="YN70" s="11"/>
      <c r="YO70" s="11"/>
      <c r="YP70" s="11"/>
      <c r="YQ70" s="11"/>
      <c r="YR70" s="11"/>
      <c r="YS70" s="11"/>
      <c r="YT70" s="11"/>
      <c r="YU70" s="11"/>
      <c r="YV70" s="11"/>
      <c r="YW70" s="11"/>
      <c r="YX70" s="11"/>
      <c r="YY70" s="11"/>
      <c r="YZ70" s="11"/>
      <c r="ZA70" s="11"/>
      <c r="ZB70" s="11"/>
      <c r="ZC70" s="11"/>
      <c r="ZD70" s="11"/>
      <c r="ZE70" s="11"/>
      <c r="ZF70" s="11"/>
      <c r="ZG70" s="11"/>
      <c r="ZH70" s="11"/>
      <c r="ZI70" s="11"/>
      <c r="ZJ70" s="11"/>
      <c r="ZK70" s="11"/>
      <c r="ZL70" s="11"/>
      <c r="ZM70" s="11"/>
      <c r="ZN70" s="11"/>
      <c r="ZO70" s="11"/>
      <c r="ZP70" s="11"/>
      <c r="ZQ70" s="11"/>
      <c r="ZR70" s="11"/>
      <c r="ZS70" s="11"/>
      <c r="ZT70" s="11"/>
      <c r="ZU70" s="11"/>
      <c r="ZV70" s="11"/>
      <c r="ZW70" s="11"/>
      <c r="ZX70" s="11"/>
      <c r="ZY70" s="11"/>
      <c r="ZZ70" s="11"/>
      <c r="AAA70" s="11"/>
      <c r="AAB70" s="11"/>
      <c r="AAC70" s="11"/>
      <c r="AAD70" s="11"/>
      <c r="AAE70" s="11"/>
      <c r="AAF70" s="11"/>
      <c r="AAG70" s="11"/>
      <c r="AAH70" s="11"/>
      <c r="AAI70" s="11"/>
      <c r="AAJ70" s="11"/>
      <c r="AAK70" s="11"/>
      <c r="AAL70" s="11"/>
      <c r="AAM70" s="11"/>
      <c r="AAN70" s="11"/>
      <c r="AAO70" s="11"/>
      <c r="AAP70" s="11"/>
      <c r="AAQ70" s="11"/>
      <c r="AAR70" s="11"/>
      <c r="AAS70" s="11"/>
      <c r="AAT70" s="11"/>
      <c r="AAU70" s="11"/>
      <c r="AAV70" s="11"/>
      <c r="AAW70" s="11"/>
      <c r="AAX70" s="11"/>
      <c r="AAY70" s="11"/>
      <c r="AAZ70" s="11"/>
      <c r="ABA70" s="11"/>
      <c r="ABB70" s="11"/>
      <c r="ABC70" s="11"/>
      <c r="ABD70" s="11"/>
      <c r="ABE70" s="11"/>
      <c r="ABF70" s="11"/>
      <c r="ABG70" s="11"/>
      <c r="ABH70" s="11"/>
      <c r="ABI70" s="11"/>
      <c r="ABJ70" s="11"/>
      <c r="ABK70" s="11"/>
      <c r="ABL70" s="11"/>
      <c r="ABM70" s="11"/>
      <c r="ABN70" s="11"/>
      <c r="ABO70" s="11"/>
      <c r="ABP70" s="11"/>
      <c r="ABQ70" s="11"/>
      <c r="ABR70" s="11"/>
      <c r="ABS70" s="11"/>
      <c r="ABT70" s="11"/>
      <c r="ABU70" s="11"/>
      <c r="ABV70" s="11"/>
      <c r="ABW70" s="11"/>
      <c r="ABX70" s="11"/>
      <c r="ABY70" s="11"/>
      <c r="ABZ70" s="11"/>
      <c r="ACA70" s="11"/>
      <c r="ACB70" s="11"/>
      <c r="ACC70" s="11"/>
      <c r="ACD70" s="11"/>
      <c r="ACE70" s="11"/>
      <c r="ACF70" s="11"/>
      <c r="ACG70" s="11"/>
      <c r="ACH70" s="11"/>
      <c r="ACI70" s="11"/>
      <c r="ACJ70" s="11"/>
      <c r="ACK70" s="11"/>
      <c r="ACL70" s="11"/>
      <c r="ACM70" s="11"/>
      <c r="ACN70" s="11"/>
      <c r="ACO70" s="11"/>
      <c r="ACP70" s="11"/>
      <c r="ACQ70" s="11"/>
      <c r="ACR70" s="11"/>
      <c r="ACS70" s="11"/>
      <c r="ACT70" s="11"/>
      <c r="ACU70" s="11"/>
      <c r="ACV70" s="11"/>
      <c r="ACW70" s="11"/>
      <c r="ACX70" s="11"/>
      <c r="ACY70" s="11"/>
      <c r="ACZ70" s="11"/>
      <c r="ADA70" s="11"/>
      <c r="ADB70" s="11"/>
      <c r="ADC70" s="11"/>
      <c r="ADD70" s="11"/>
      <c r="ADE70" s="11"/>
      <c r="ADF70" s="11"/>
      <c r="ADG70" s="11"/>
      <c r="ADH70" s="11"/>
      <c r="ADI70" s="11"/>
      <c r="ADJ70" s="11"/>
      <c r="ADK70" s="11"/>
      <c r="ADL70" s="11"/>
      <c r="ADM70" s="11"/>
      <c r="ADN70" s="11"/>
      <c r="ADO70" s="11"/>
      <c r="ADP70" s="11"/>
      <c r="ADQ70" s="11"/>
      <c r="ADR70" s="11"/>
      <c r="ADS70" s="11"/>
      <c r="ADT70" s="11"/>
      <c r="ADU70" s="11"/>
      <c r="ADV70" s="11"/>
      <c r="ADW70" s="11"/>
      <c r="ADX70" s="11"/>
      <c r="ADY70" s="11"/>
      <c r="ADZ70" s="11"/>
      <c r="AEA70" s="11"/>
      <c r="AEB70" s="11"/>
      <c r="AEC70" s="11"/>
      <c r="AED70" s="11"/>
      <c r="AEE70" s="11"/>
      <c r="AEF70" s="11"/>
      <c r="AEG70" s="11"/>
      <c r="AEH70" s="11"/>
      <c r="AEI70" s="11"/>
      <c r="AEJ70" s="11"/>
      <c r="AEK70" s="11"/>
      <c r="AEL70" s="11"/>
      <c r="AEM70" s="11"/>
      <c r="AEN70" s="11"/>
      <c r="AEO70" s="11"/>
      <c r="AEP70" s="11"/>
      <c r="AEQ70" s="11"/>
      <c r="AER70" s="11"/>
      <c r="AES70" s="11"/>
      <c r="AET70" s="11"/>
      <c r="AEU70" s="11"/>
      <c r="AEV70" s="11"/>
      <c r="AEW70" s="11"/>
      <c r="AEX70" s="11"/>
      <c r="AEY70" s="11"/>
      <c r="AEZ70" s="11"/>
      <c r="AFA70" s="11"/>
      <c r="AFB70" s="11"/>
      <c r="AFC70" s="11"/>
      <c r="AFD70" s="11"/>
      <c r="AFE70" s="11"/>
      <c r="AFF70" s="11"/>
      <c r="AFG70" s="11"/>
      <c r="AFH70" s="11"/>
      <c r="AFI70" s="11"/>
    </row>
    <row r="71" spans="2:841">
      <c r="B71" s="11"/>
      <c r="C71" s="657"/>
      <c r="D71" s="289" t="s">
        <v>625</v>
      </c>
      <c r="E71" s="551">
        <f>SUMIFS(M_Datos!$N$38:$N$40,M_Datos!$O$38:$O$40,M_Lista!G19)</f>
        <v>0</v>
      </c>
      <c r="F71" s="312" t="e">
        <f>IF(AND(M_FactoresComplement!$G$439="No",M_FactoresComplement!$G$441="No"),M_Cálculos!E71*VLOOKUP(M_Datos!$E$12&amp;M_Cálculos!D71,M_Factores!$M$10:$P$108,2,FALSE)/(10^3),IF(AND(M_FactoresComplement!$G$439="Sí",M_FactoresComplement!$G$441="No"),E71*M_FactoresComplement!G468/(10^3),E71*VLOOKUP(M_FactoresComplement!$C$467&amp;M_Datos!$E$12&amp;M_Lista!G18,M_FactoresComplement!$F$446:$I$781,2,FALSE)/(10^3)))</f>
        <v>#N/A</v>
      </c>
      <c r="G71" s="313" t="e">
        <f>IF(AND(M_FactoresComplement!$G$439="No",M_FactoresComplement!$G$441="No"),M_Cálculos!E71*VLOOKUP(M_Datos!$E$12&amp;M_Cálculos!D71,M_Factores!$M$10:$P$108,3,FALSE)/(10^3),IF(AND(M_FactoresComplement!$G$439="Sí",M_FactoresComplement!$G$441="No"),E71*M_FactoresComplement!H468/(10^3),E71*VLOOKUP(M_FactoresComplement!$C$467&amp;M_Datos!$E$12&amp;M_Lista!G18,M_FactoresComplement!$F$446:$I$781,3,FALSE)/(10^3)))</f>
        <v>#N/A</v>
      </c>
      <c r="H71" s="551">
        <f>SUMIFS(M_Datos!$P$38:$P$40,M_Datos!$Q$38:$Q$40,M_Lista!G19)</f>
        <v>0</v>
      </c>
      <c r="I71" s="312" t="e">
        <f>IF(AND(M_FactoresComplement!$G$439="No",M_FactoresComplement!$G$441="No"),M_Cálculos!H71*VLOOKUP(M_Datos!$E$12&amp;M_Cálculos!D71,M_Factores!$M$10:$P$108,2,FALSE)/(10^3),IF(AND(M_FactoresComplement!$G$439="Sí",M_FactoresComplement!$G$441="No"),H71*M_FactoresComplement!G468/(10^3),H71*VLOOKUP(M_FactoresComplement!$C$467&amp;M_Datos!$E$12&amp;M_Lista!G18,M_FactoresComplement!$F$446:$I$781,2,FALSE)/(10^3)))</f>
        <v>#N/A</v>
      </c>
      <c r="J71" s="313" t="e">
        <f>IF(AND(M_FactoresComplement!$G$439="No",M_FactoresComplement!$G$441="No"),M_Cálculos!H71*VLOOKUP(M_Datos!$E$12&amp;M_Cálculos!D71,M_Factores!$M$10:$P$108,3,FALSE)/(10^3),IF(AND(M_FactoresComplement!$G$439="Sí",M_FactoresComplement!$G$441="No"),H71*M_FactoresComplement!H468/(10^3),H71*VLOOKUP(M_FactoresComplement!$C$467&amp;M_Datos!$E$12&amp;M_Lista!G18,M_FactoresComplement!$F$446:$I$781,3,FALSE)/(10^3)))</f>
        <v>#N/A</v>
      </c>
      <c r="K71" s="551">
        <f>SUMIFS(M_Datos!$R$38:$R$40,M_Datos!$S$38:$S$40,M_Lista!G19)</f>
        <v>0</v>
      </c>
      <c r="L71" s="312" t="e">
        <f>IF(AND(M_FactoresComplement!$G$439="No",M_FactoresComplement!$G$441="No"),M_Cálculos!K71*VLOOKUP(M_Datos!$E$12&amp;M_Cálculos!D71,M_Factores!$M$10:$P$108,2,FALSE)/(10^3),IF(AND(M_FactoresComplement!$G$439="Sí",M_FactoresComplement!$G$441="No"),K71*M_FactoresComplement!G468/(10^3),K71*VLOOKUP(M_FactoresComplement!$C$467&amp;M_Datos!$E$12&amp;M_Lista!G18,M_FactoresComplement!$F$446:$I$781,2,FALSE)/(10^3)))</f>
        <v>#N/A</v>
      </c>
      <c r="M71" s="313" t="e">
        <f>IF(AND(M_FactoresComplement!$G$439="No",M_FactoresComplement!$G$441="No"),M_Cálculos!K71*VLOOKUP(M_Datos!$E$12&amp;M_Cálculos!D71,M_Factores!$M$10:$P$108,3,FALSE)/(10^3),IF(AND(M_FactoresComplement!$G$439="Sí",M_FactoresComplement!$G$441="No"),K71*M_FactoresComplement!H468/(10^3),K71*VLOOKUP(M_FactoresComplement!$C$467&amp;M_Datos!$E$12&amp;M_Lista!G18,M_FactoresComplement!$F$446:$I$781,3,FALSE)/(10^3)))</f>
        <v>#N/A</v>
      </c>
      <c r="N71" s="551">
        <f>SUMIFS(M_Datos!$T$38:$T$40,M_Datos!$U$38:$U$40,M_Lista!G19)</f>
        <v>0</v>
      </c>
      <c r="O71" s="312" t="e">
        <f>IF(AND(M_FactoresComplement!$G$439="No",M_FactoresComplement!$G$441="No"),M_Cálculos!N71*VLOOKUP(M_Datos!$E$12&amp;M_Cálculos!D71,M_Factores!$M$10:$P$108,2,FALSE)/(10^3),IF(AND(M_FactoresComplement!$G$439="Sí",M_FactoresComplement!$G$441="No"),N71*M_FactoresComplement!G468/(10^3),N71*VLOOKUP(M_FactoresComplement!$C$467&amp;M_Datos!$E$12&amp;M_Lista!G18,M_FactoresComplement!$F$446:$I$781,2,FALSE)/(10^3)))</f>
        <v>#N/A</v>
      </c>
      <c r="P71" s="313" t="e">
        <f>IF(AND(M_FactoresComplement!$G$439="No",M_FactoresComplement!$G$441="No"),M_Cálculos!N71*VLOOKUP(M_Datos!$E$12&amp;M_Cálculos!D71,M_Factores!$M$10:$P$108,3,FALSE)/(10^3),IF(AND(M_FactoresComplement!$G$439="Sí",M_FactoresComplement!$G$441="No"),N71*M_FactoresComplement!H468/(10^3),N71*VLOOKUP(M_FactoresComplement!$C$467&amp;M_Datos!$E$12&amp;M_Lista!G18,M_FactoresComplement!$F$446:$I$781,3,FALSE)/(10^3)))</f>
        <v>#N/A</v>
      </c>
      <c r="Q71" s="551">
        <f>SUMIFS(M_Datos!$V$38:$V$40,M_Datos!$W$38:$W$40,M_Lista!G19)</f>
        <v>0</v>
      </c>
      <c r="R71" s="312" t="e">
        <f>IF(AND(M_FactoresComplement!$G$439="No",M_FactoresComplement!$G$441="No"),M_Cálculos!Q71*VLOOKUP(M_Datos!$E$12&amp;M_Cálculos!D71,M_Factores!$M$10:$P$108,2,FALSE)/(10^3),IF(AND(M_FactoresComplement!$G$439="Sí",M_FactoresComplement!$G$441="No"),Q71*M_FactoresComplement!G468/(10^3),Q71*VLOOKUP(M_FactoresComplement!$C$467&amp;M_Datos!$E$12&amp;M_Lista!G18,M_FactoresComplement!$F$446:$I$781,2,FALSE)/(10^3)))</f>
        <v>#N/A</v>
      </c>
      <c r="S71" s="313" t="e">
        <f>IF(AND(M_FactoresComplement!$G$439="No",M_FactoresComplement!$G$441="No"),M_Cálculos!Q71*VLOOKUP(M_Datos!$E$12&amp;M_Cálculos!D71,M_Factores!$M$10:$P$108,3,FALSE)/(10^3),IF(AND(M_FactoresComplement!$G$439="Sí",M_FactoresComplement!$G$441="No"),Q71*M_FactoresComplement!H468/(10^3),Q71*VLOOKUP(M_FactoresComplement!$C$467&amp;M_Datos!$E$12&amp;M_Lista!G18,M_FactoresComplement!$F$446:$I$781,3,FALSE)/(10^3)))</f>
        <v>#N/A</v>
      </c>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c r="PU71" s="11"/>
      <c r="PV71" s="11"/>
      <c r="PW71" s="11"/>
      <c r="PX71" s="11"/>
      <c r="PY71" s="11"/>
      <c r="PZ71" s="11"/>
      <c r="QA71" s="11"/>
      <c r="QB71" s="11"/>
      <c r="QC71" s="11"/>
      <c r="QD71" s="11"/>
      <c r="QE71" s="11"/>
      <c r="QF71" s="11"/>
      <c r="QG71" s="11"/>
      <c r="QH71" s="11"/>
      <c r="QI71" s="11"/>
      <c r="QJ71" s="11"/>
      <c r="QK71" s="11"/>
      <c r="QL71" s="11"/>
      <c r="QM71" s="11"/>
      <c r="QN71" s="11"/>
      <c r="QO71" s="11"/>
      <c r="QP71" s="11"/>
      <c r="QQ71" s="11"/>
      <c r="QR71" s="11"/>
      <c r="QS71" s="11"/>
      <c r="QT71" s="11"/>
      <c r="QU71" s="11"/>
      <c r="QV71" s="11"/>
      <c r="QW71" s="11"/>
      <c r="QX71" s="11"/>
      <c r="QY71" s="11"/>
      <c r="QZ71" s="11"/>
      <c r="RA71" s="11"/>
      <c r="RB71" s="11"/>
      <c r="RC71" s="11"/>
      <c r="RD71" s="11"/>
      <c r="RE71" s="11"/>
      <c r="RF71" s="11"/>
      <c r="RG71" s="11"/>
      <c r="RH71" s="11"/>
      <c r="RI71" s="11"/>
      <c r="RJ71" s="11"/>
      <c r="RK71" s="11"/>
      <c r="RL71" s="11"/>
      <c r="RM71" s="11"/>
      <c r="RN71" s="11"/>
      <c r="RO71" s="11"/>
      <c r="RP71" s="11"/>
      <c r="RQ71" s="11"/>
      <c r="RR71" s="11"/>
      <c r="RS71" s="11"/>
      <c r="RT71" s="11"/>
      <c r="RU71" s="11"/>
      <c r="RV71" s="11"/>
      <c r="RW71" s="11"/>
      <c r="RX71" s="11"/>
      <c r="RY71" s="11"/>
      <c r="RZ71" s="11"/>
      <c r="SA71" s="11"/>
      <c r="SB71" s="11"/>
      <c r="SC71" s="11"/>
      <c r="SD71" s="11"/>
      <c r="SE71" s="11"/>
      <c r="SF71" s="11"/>
      <c r="SG71" s="11"/>
      <c r="SH71" s="11"/>
      <c r="SI71" s="11"/>
      <c r="SJ71" s="11"/>
      <c r="SK71" s="11"/>
      <c r="SL71" s="11"/>
      <c r="SM71" s="11"/>
      <c r="SN71" s="11"/>
      <c r="SO71" s="11"/>
      <c r="SP71" s="11"/>
      <c r="SQ71" s="11"/>
      <c r="SR71" s="11"/>
      <c r="SS71" s="11"/>
      <c r="ST71" s="11"/>
      <c r="SU71" s="11"/>
      <c r="SV71" s="11"/>
      <c r="SW71" s="11"/>
      <c r="SX71" s="11"/>
      <c r="SY71" s="11"/>
      <c r="SZ71" s="11"/>
      <c r="TA71" s="11"/>
      <c r="TB71" s="11"/>
      <c r="TC71" s="11"/>
      <c r="TD71" s="11"/>
      <c r="TE71" s="11"/>
      <c r="TF71" s="11"/>
      <c r="TG71" s="11"/>
      <c r="TH71" s="11"/>
      <c r="TI71" s="11"/>
      <c r="TJ71" s="11"/>
      <c r="TK71" s="11"/>
      <c r="TL71" s="11"/>
      <c r="TM71" s="11"/>
      <c r="TN71" s="11"/>
      <c r="TO71" s="11"/>
      <c r="TP71" s="11"/>
      <c r="TQ71" s="11"/>
      <c r="TR71" s="11"/>
      <c r="TS71" s="11"/>
      <c r="TT71" s="11"/>
      <c r="TU71" s="11"/>
      <c r="TV71" s="11"/>
      <c r="TW71" s="11"/>
      <c r="TX71" s="11"/>
      <c r="TY71" s="11"/>
      <c r="TZ71" s="11"/>
      <c r="UA71" s="11"/>
      <c r="UB71" s="11"/>
      <c r="UC71" s="11"/>
      <c r="UD71" s="11"/>
      <c r="UE71" s="11"/>
      <c r="UF71" s="11"/>
      <c r="UG71" s="11"/>
      <c r="UH71" s="11"/>
      <c r="UI71" s="11"/>
      <c r="UJ71" s="11"/>
      <c r="UK71" s="11"/>
      <c r="UL71" s="11"/>
      <c r="UM71" s="11"/>
      <c r="UN71" s="11"/>
      <c r="UO71" s="11"/>
      <c r="UP71" s="11"/>
      <c r="UQ71" s="11"/>
      <c r="UR71" s="11"/>
      <c r="US71" s="11"/>
      <c r="UT71" s="11"/>
      <c r="UU71" s="11"/>
      <c r="UV71" s="11"/>
      <c r="UW71" s="11"/>
      <c r="UX71" s="11"/>
      <c r="UY71" s="11"/>
      <c r="UZ71" s="11"/>
      <c r="VA71" s="11"/>
      <c r="VB71" s="11"/>
      <c r="VC71" s="11"/>
      <c r="VD71" s="11"/>
      <c r="VE71" s="11"/>
      <c r="VF71" s="11"/>
      <c r="VG71" s="11"/>
      <c r="VH71" s="11"/>
      <c r="VI71" s="11"/>
      <c r="VJ71" s="11"/>
      <c r="VK71" s="11"/>
      <c r="VL71" s="11"/>
      <c r="VM71" s="11"/>
      <c r="VN71" s="11"/>
      <c r="VO71" s="11"/>
      <c r="VP71" s="11"/>
      <c r="VQ71" s="11"/>
      <c r="VR71" s="11"/>
      <c r="VS71" s="11"/>
      <c r="VT71" s="11"/>
      <c r="VU71" s="11"/>
      <c r="VV71" s="11"/>
      <c r="VW71" s="11"/>
      <c r="VX71" s="11"/>
      <c r="VY71" s="11"/>
      <c r="VZ71" s="11"/>
      <c r="WA71" s="11"/>
      <c r="WB71" s="11"/>
      <c r="WC71" s="11"/>
      <c r="WD71" s="11"/>
      <c r="WE71" s="11"/>
      <c r="WF71" s="11"/>
      <c r="WG71" s="11"/>
      <c r="WH71" s="11"/>
      <c r="WI71" s="11"/>
      <c r="WJ71" s="11"/>
      <c r="WK71" s="11"/>
      <c r="WL71" s="11"/>
      <c r="WM71" s="11"/>
      <c r="WN71" s="11"/>
      <c r="WO71" s="11"/>
      <c r="WP71" s="11"/>
      <c r="WQ71" s="11"/>
      <c r="WR71" s="11"/>
      <c r="WS71" s="11"/>
      <c r="WT71" s="11"/>
      <c r="WU71" s="11"/>
      <c r="WV71" s="11"/>
      <c r="WW71" s="11"/>
      <c r="WX71" s="11"/>
      <c r="WY71" s="11"/>
      <c r="WZ71" s="11"/>
      <c r="XA71" s="11"/>
      <c r="XB71" s="11"/>
      <c r="XC71" s="11"/>
      <c r="XD71" s="11"/>
      <c r="XE71" s="11"/>
      <c r="XF71" s="11"/>
      <c r="XG71" s="11"/>
      <c r="XH71" s="11"/>
      <c r="XI71" s="11"/>
      <c r="XJ71" s="11"/>
      <c r="XK71" s="11"/>
      <c r="XL71" s="11"/>
      <c r="XM71" s="11"/>
      <c r="XN71" s="11"/>
      <c r="XO71" s="11"/>
      <c r="XP71" s="11"/>
      <c r="XQ71" s="11"/>
      <c r="XR71" s="11"/>
      <c r="XS71" s="11"/>
      <c r="XT71" s="11"/>
      <c r="XU71" s="11"/>
      <c r="XV71" s="11"/>
      <c r="XW71" s="11"/>
      <c r="XX71" s="11"/>
      <c r="XY71" s="11"/>
      <c r="XZ71" s="11"/>
      <c r="YA71" s="11"/>
      <c r="YB71" s="11"/>
      <c r="YC71" s="11"/>
      <c r="YD71" s="11"/>
      <c r="YE71" s="11"/>
      <c r="YF71" s="11"/>
      <c r="YG71" s="11"/>
      <c r="YH71" s="11"/>
      <c r="YI71" s="11"/>
      <c r="YJ71" s="11"/>
      <c r="YK71" s="11"/>
      <c r="YL71" s="11"/>
      <c r="YM71" s="11"/>
      <c r="YN71" s="11"/>
      <c r="YO71" s="11"/>
      <c r="YP71" s="11"/>
      <c r="YQ71" s="11"/>
      <c r="YR71" s="11"/>
      <c r="YS71" s="11"/>
      <c r="YT71" s="11"/>
      <c r="YU71" s="11"/>
      <c r="YV71" s="11"/>
      <c r="YW71" s="11"/>
      <c r="YX71" s="11"/>
      <c r="YY71" s="11"/>
      <c r="YZ71" s="11"/>
      <c r="ZA71" s="11"/>
      <c r="ZB71" s="11"/>
      <c r="ZC71" s="11"/>
      <c r="ZD71" s="11"/>
      <c r="ZE71" s="11"/>
      <c r="ZF71" s="11"/>
      <c r="ZG71" s="11"/>
      <c r="ZH71" s="11"/>
      <c r="ZI71" s="11"/>
      <c r="ZJ71" s="11"/>
      <c r="ZK71" s="11"/>
      <c r="ZL71" s="11"/>
      <c r="ZM71" s="11"/>
      <c r="ZN71" s="11"/>
      <c r="ZO71" s="11"/>
      <c r="ZP71" s="11"/>
      <c r="ZQ71" s="11"/>
      <c r="ZR71" s="11"/>
      <c r="ZS71" s="11"/>
      <c r="ZT71" s="11"/>
      <c r="ZU71" s="11"/>
      <c r="ZV71" s="11"/>
      <c r="ZW71" s="11"/>
      <c r="ZX71" s="11"/>
      <c r="ZY71" s="11"/>
      <c r="ZZ71" s="11"/>
      <c r="AAA71" s="11"/>
      <c r="AAB71" s="11"/>
      <c r="AAC71" s="11"/>
      <c r="AAD71" s="11"/>
      <c r="AAE71" s="11"/>
      <c r="AAF71" s="11"/>
      <c r="AAG71" s="11"/>
      <c r="AAH71" s="11"/>
      <c r="AAI71" s="11"/>
      <c r="AAJ71" s="11"/>
      <c r="AAK71" s="11"/>
      <c r="AAL71" s="11"/>
      <c r="AAM71" s="11"/>
      <c r="AAN71" s="11"/>
      <c r="AAO71" s="11"/>
      <c r="AAP71" s="11"/>
      <c r="AAQ71" s="11"/>
      <c r="AAR71" s="11"/>
      <c r="AAS71" s="11"/>
      <c r="AAT71" s="11"/>
      <c r="AAU71" s="11"/>
      <c r="AAV71" s="11"/>
      <c r="AAW71" s="11"/>
      <c r="AAX71" s="11"/>
      <c r="AAY71" s="11"/>
      <c r="AAZ71" s="11"/>
      <c r="ABA71" s="11"/>
      <c r="ABB71" s="11"/>
      <c r="ABC71" s="11"/>
      <c r="ABD71" s="11"/>
      <c r="ABE71" s="11"/>
      <c r="ABF71" s="11"/>
      <c r="ABG71" s="11"/>
      <c r="ABH71" s="11"/>
      <c r="ABI71" s="11"/>
      <c r="ABJ71" s="11"/>
      <c r="ABK71" s="11"/>
      <c r="ABL71" s="11"/>
      <c r="ABM71" s="11"/>
      <c r="ABN71" s="11"/>
      <c r="ABO71" s="11"/>
      <c r="ABP71" s="11"/>
      <c r="ABQ71" s="11"/>
      <c r="ABR71" s="11"/>
      <c r="ABS71" s="11"/>
      <c r="ABT71" s="11"/>
      <c r="ABU71" s="11"/>
      <c r="ABV71" s="11"/>
      <c r="ABW71" s="11"/>
      <c r="ABX71" s="11"/>
      <c r="ABY71" s="11"/>
      <c r="ABZ71" s="11"/>
      <c r="ACA71" s="11"/>
      <c r="ACB71" s="11"/>
      <c r="ACC71" s="11"/>
      <c r="ACD71" s="11"/>
      <c r="ACE71" s="11"/>
      <c r="ACF71" s="11"/>
      <c r="ACG71" s="11"/>
      <c r="ACH71" s="11"/>
      <c r="ACI71" s="11"/>
      <c r="ACJ71" s="11"/>
      <c r="ACK71" s="11"/>
      <c r="ACL71" s="11"/>
      <c r="ACM71" s="11"/>
      <c r="ACN71" s="11"/>
      <c r="ACO71" s="11"/>
      <c r="ACP71" s="11"/>
      <c r="ACQ71" s="11"/>
      <c r="ACR71" s="11"/>
      <c r="ACS71" s="11"/>
      <c r="ACT71" s="11"/>
      <c r="ACU71" s="11"/>
      <c r="ACV71" s="11"/>
      <c r="ACW71" s="11"/>
      <c r="ACX71" s="11"/>
      <c r="ACY71" s="11"/>
      <c r="ACZ71" s="11"/>
      <c r="ADA71" s="11"/>
      <c r="ADB71" s="11"/>
      <c r="ADC71" s="11"/>
      <c r="ADD71" s="11"/>
      <c r="ADE71" s="11"/>
      <c r="ADF71" s="11"/>
      <c r="ADG71" s="11"/>
      <c r="ADH71" s="11"/>
      <c r="ADI71" s="11"/>
      <c r="ADJ71" s="11"/>
      <c r="ADK71" s="11"/>
      <c r="ADL71" s="11"/>
      <c r="ADM71" s="11"/>
      <c r="ADN71" s="11"/>
      <c r="ADO71" s="11"/>
      <c r="ADP71" s="11"/>
      <c r="ADQ71" s="11"/>
      <c r="ADR71" s="11"/>
      <c r="ADS71" s="11"/>
      <c r="ADT71" s="11"/>
      <c r="ADU71" s="11"/>
      <c r="ADV71" s="11"/>
      <c r="ADW71" s="11"/>
      <c r="ADX71" s="11"/>
      <c r="ADY71" s="11"/>
      <c r="ADZ71" s="11"/>
      <c r="AEA71" s="11"/>
      <c r="AEB71" s="11"/>
      <c r="AEC71" s="11"/>
      <c r="AED71" s="11"/>
      <c r="AEE71" s="11"/>
      <c r="AEF71" s="11"/>
      <c r="AEG71" s="11"/>
      <c r="AEH71" s="11"/>
      <c r="AEI71" s="11"/>
      <c r="AEJ71" s="11"/>
      <c r="AEK71" s="11"/>
      <c r="AEL71" s="11"/>
      <c r="AEM71" s="11"/>
      <c r="AEN71" s="11"/>
      <c r="AEO71" s="11"/>
      <c r="AEP71" s="11"/>
      <c r="AEQ71" s="11"/>
      <c r="AER71" s="11"/>
      <c r="AES71" s="11"/>
      <c r="AET71" s="11"/>
      <c r="AEU71" s="11"/>
      <c r="AEV71" s="11"/>
      <c r="AEW71" s="11"/>
      <c r="AEX71" s="11"/>
      <c r="AEY71" s="11"/>
      <c r="AEZ71" s="11"/>
      <c r="AFA71" s="11"/>
      <c r="AFB71" s="11"/>
      <c r="AFC71" s="11"/>
      <c r="AFD71" s="11"/>
      <c r="AFE71" s="11"/>
      <c r="AFF71" s="11"/>
      <c r="AFG71" s="11"/>
      <c r="AFH71" s="11"/>
      <c r="AFI71" s="11"/>
    </row>
    <row r="72" spans="2:841">
      <c r="B72" s="11"/>
      <c r="C72" s="657"/>
      <c r="D72" s="289" t="s">
        <v>626</v>
      </c>
      <c r="E72" s="551">
        <f>SUMIFS(M_Datos!$N$38:$N$40,M_Datos!$O$38:$O$40,M_Lista!G20)</f>
        <v>0</v>
      </c>
      <c r="F72" s="312" t="e">
        <f>IF(AND(M_FactoresComplement!$G$439="No",M_FactoresComplement!$G$441="No"),M_Cálculos!E72*VLOOKUP(M_Datos!$E$12&amp;M_Cálculos!D72,M_Factores!$M$10:$P$108,2,FALSE)/(10^3),IF(AND(M_FactoresComplement!$G$439="Sí",M_FactoresComplement!$G$441="No"),E72*M_FactoresComplement!G469/(10^3),E72*VLOOKUP(M_FactoresComplement!$C$467&amp;M_Datos!$E$12&amp;M_Lista!G19,M_FactoresComplement!$F$446:$I$781,2,FALSE)/(10^3)))</f>
        <v>#N/A</v>
      </c>
      <c r="G72" s="313" t="e">
        <f>IF(AND(M_FactoresComplement!$G$439="No",M_FactoresComplement!$G$441="No"),M_Cálculos!E72*VLOOKUP(M_Datos!$E$12&amp;M_Cálculos!D72,M_Factores!$M$10:$P$108,3,FALSE)/(10^3),IF(AND(M_FactoresComplement!$G$439="Sí",M_FactoresComplement!$G$441="No"),E72*M_FactoresComplement!H469/(10^3),E72*VLOOKUP(M_FactoresComplement!$C$467&amp;M_Datos!$E$12&amp;M_Lista!G19,M_FactoresComplement!$F$446:$I$781,3,FALSE)/(10^3)))</f>
        <v>#N/A</v>
      </c>
      <c r="H72" s="551">
        <f>SUMIFS(M_Datos!$P$38:$P$40,M_Datos!$Q$38:$Q$40,M_Lista!G20)</f>
        <v>0</v>
      </c>
      <c r="I72" s="312" t="e">
        <f>IF(AND(M_FactoresComplement!$G$439="No",M_FactoresComplement!$G$441="No"),M_Cálculos!H72*VLOOKUP(M_Datos!$E$12&amp;M_Cálculos!D72,M_Factores!$M$10:$P$108,2,FALSE)/(10^3),IF(AND(M_FactoresComplement!$G$439="Sí",M_FactoresComplement!$G$441="No"),H72*M_FactoresComplement!G469/(10^3),H72*VLOOKUP(M_FactoresComplement!$C$467&amp;M_Datos!$E$12&amp;M_Lista!G19,M_FactoresComplement!$F$446:$I$781,2,FALSE)/(10^3)))</f>
        <v>#N/A</v>
      </c>
      <c r="J72" s="313" t="e">
        <f>IF(AND(M_FactoresComplement!$G$439="No",M_FactoresComplement!$G$441="No"),M_Cálculos!H72*VLOOKUP(M_Datos!$E$12&amp;M_Cálculos!D72,M_Factores!$M$10:$P$108,3,FALSE)/(10^3),IF(AND(M_FactoresComplement!$G$439="Sí",M_FactoresComplement!$G$441="No"),H72*M_FactoresComplement!H469/(10^3),H72*VLOOKUP(M_FactoresComplement!$C$467&amp;M_Datos!$E$12&amp;M_Lista!G19,M_FactoresComplement!$F$446:$I$781,3,FALSE)/(10^3)))</f>
        <v>#N/A</v>
      </c>
      <c r="K72" s="551">
        <f>SUMIFS(M_Datos!$R$38:$R$40,M_Datos!$S$38:$S$40,M_Lista!G20)</f>
        <v>0</v>
      </c>
      <c r="L72" s="312" t="e">
        <f>IF(AND(M_FactoresComplement!$G$439="No",M_FactoresComplement!$G$441="No"),M_Cálculos!K72*VLOOKUP(M_Datos!$E$12&amp;M_Cálculos!D72,M_Factores!$M$10:$P$108,2,FALSE)/(10^3),IF(AND(M_FactoresComplement!$G$439="Sí",M_FactoresComplement!$G$441="No"),K72*M_FactoresComplement!G469/(10^3),K72*VLOOKUP(M_FactoresComplement!$C$467&amp;M_Datos!$E$12&amp;M_Lista!G19,M_FactoresComplement!$F$446:$I$781,2,FALSE)/(10^3)))</f>
        <v>#N/A</v>
      </c>
      <c r="M72" s="313" t="e">
        <f>IF(AND(M_FactoresComplement!$G$439="No",M_FactoresComplement!$G$441="No"),M_Cálculos!K72*VLOOKUP(M_Datos!$E$12&amp;M_Cálculos!D72,M_Factores!$M$10:$P$108,3,FALSE)/(10^3),IF(AND(M_FactoresComplement!$G$439="Sí",M_FactoresComplement!$G$441="No"),K72*M_FactoresComplement!H469/(10^3),K72*VLOOKUP(M_FactoresComplement!$C$467&amp;M_Datos!$E$12&amp;M_Lista!G19,M_FactoresComplement!$F$446:$I$781,3,FALSE)/(10^3)))</f>
        <v>#N/A</v>
      </c>
      <c r="N72" s="551">
        <f>SUMIFS(M_Datos!$T$38:$T$40,M_Datos!$U$38:$U$40,M_Lista!G20)</f>
        <v>0</v>
      </c>
      <c r="O72" s="312" t="e">
        <f>IF(AND(M_FactoresComplement!$G$439="No",M_FactoresComplement!$G$441="No"),M_Cálculos!N72*VLOOKUP(M_Datos!$E$12&amp;M_Cálculos!D72,M_Factores!$M$10:$P$108,2,FALSE)/(10^3),IF(AND(M_FactoresComplement!$G$439="Sí",M_FactoresComplement!$G$441="No"),N72*M_FactoresComplement!G469/(10^3),N72*VLOOKUP(M_FactoresComplement!$C$467&amp;M_Datos!$E$12&amp;M_Lista!G19,M_FactoresComplement!$F$446:$I$781,2,FALSE)/(10^3)))</f>
        <v>#N/A</v>
      </c>
      <c r="P72" s="313" t="e">
        <f>IF(AND(M_FactoresComplement!$G$439="No",M_FactoresComplement!$G$441="No"),M_Cálculos!N72*VLOOKUP(M_Datos!$E$12&amp;M_Cálculos!D72,M_Factores!$M$10:$P$108,3,FALSE)/(10^3),IF(AND(M_FactoresComplement!$G$439="Sí",M_FactoresComplement!$G$441="No"),N72*M_FactoresComplement!H469/(10^3),N72*VLOOKUP(M_FactoresComplement!$C$467&amp;M_Datos!$E$12&amp;M_Lista!G19,M_FactoresComplement!$F$446:$I$781,3,FALSE)/(10^3)))</f>
        <v>#N/A</v>
      </c>
      <c r="Q72" s="551">
        <f>SUMIFS(M_Datos!$V$38:$V$40,M_Datos!$W$38:$W$40,M_Lista!G20)</f>
        <v>0</v>
      </c>
      <c r="R72" s="312" t="e">
        <f>IF(AND(M_FactoresComplement!$G$439="No",M_FactoresComplement!$G$441="No"),M_Cálculos!Q72*VLOOKUP(M_Datos!$E$12&amp;M_Cálculos!D72,M_Factores!$M$10:$P$108,2,FALSE)/(10^3),IF(AND(M_FactoresComplement!$G$439="Sí",M_FactoresComplement!$G$441="No"),Q72*M_FactoresComplement!G469/(10^3),Q72*VLOOKUP(M_FactoresComplement!$C$467&amp;M_Datos!$E$12&amp;M_Lista!G19,M_FactoresComplement!$F$446:$I$781,2,FALSE)/(10^3)))</f>
        <v>#N/A</v>
      </c>
      <c r="S72" s="313" t="e">
        <f>IF(AND(M_FactoresComplement!$G$439="No",M_FactoresComplement!$G$441="No"),M_Cálculos!Q72*VLOOKUP(M_Datos!$E$12&amp;M_Cálculos!D72,M_Factores!$M$10:$P$108,3,FALSE)/(10^3),IF(AND(M_FactoresComplement!$G$439="Sí",M_FactoresComplement!$G$441="No"),Q72*M_FactoresComplement!H469/(10^3),Q72*VLOOKUP(M_FactoresComplement!$C$467&amp;M_Datos!$E$12&amp;M_Lista!G19,M_FactoresComplement!$F$446:$I$781,3,FALSE)/(10^3)))</f>
        <v>#N/A</v>
      </c>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c r="PU72" s="11"/>
      <c r="PV72" s="11"/>
      <c r="PW72" s="11"/>
      <c r="PX72" s="11"/>
      <c r="PY72" s="11"/>
      <c r="PZ72" s="11"/>
      <c r="QA72" s="11"/>
      <c r="QB72" s="11"/>
      <c r="QC72" s="11"/>
      <c r="QD72" s="11"/>
      <c r="QE72" s="11"/>
      <c r="QF72" s="11"/>
      <c r="QG72" s="11"/>
      <c r="QH72" s="11"/>
      <c r="QI72" s="11"/>
      <c r="QJ72" s="11"/>
      <c r="QK72" s="11"/>
      <c r="QL72" s="11"/>
      <c r="QM72" s="11"/>
      <c r="QN72" s="11"/>
      <c r="QO72" s="11"/>
      <c r="QP72" s="11"/>
      <c r="QQ72" s="11"/>
      <c r="QR72" s="11"/>
      <c r="QS72" s="11"/>
      <c r="QT72" s="11"/>
      <c r="QU72" s="11"/>
      <c r="QV72" s="11"/>
      <c r="QW72" s="11"/>
      <c r="QX72" s="11"/>
      <c r="QY72" s="11"/>
      <c r="QZ72" s="11"/>
      <c r="RA72" s="11"/>
      <c r="RB72" s="11"/>
      <c r="RC72" s="11"/>
      <c r="RD72" s="11"/>
      <c r="RE72" s="11"/>
      <c r="RF72" s="11"/>
      <c r="RG72" s="11"/>
      <c r="RH72" s="11"/>
      <c r="RI72" s="11"/>
      <c r="RJ72" s="11"/>
      <c r="RK72" s="11"/>
      <c r="RL72" s="11"/>
      <c r="RM72" s="11"/>
      <c r="RN72" s="11"/>
      <c r="RO72" s="11"/>
      <c r="RP72" s="11"/>
      <c r="RQ72" s="11"/>
      <c r="RR72" s="11"/>
      <c r="RS72" s="11"/>
      <c r="RT72" s="11"/>
      <c r="RU72" s="11"/>
      <c r="RV72" s="11"/>
      <c r="RW72" s="11"/>
      <c r="RX72" s="11"/>
      <c r="RY72" s="11"/>
      <c r="RZ72" s="11"/>
      <c r="SA72" s="11"/>
      <c r="SB72" s="11"/>
      <c r="SC72" s="11"/>
      <c r="SD72" s="11"/>
      <c r="SE72" s="11"/>
      <c r="SF72" s="11"/>
      <c r="SG72" s="11"/>
      <c r="SH72" s="11"/>
      <c r="SI72" s="11"/>
      <c r="SJ72" s="11"/>
      <c r="SK72" s="11"/>
      <c r="SL72" s="11"/>
      <c r="SM72" s="11"/>
      <c r="SN72" s="11"/>
      <c r="SO72" s="11"/>
      <c r="SP72" s="11"/>
      <c r="SQ72" s="11"/>
      <c r="SR72" s="11"/>
      <c r="SS72" s="11"/>
      <c r="ST72" s="11"/>
      <c r="SU72" s="11"/>
      <c r="SV72" s="11"/>
      <c r="SW72" s="11"/>
      <c r="SX72" s="11"/>
      <c r="SY72" s="11"/>
      <c r="SZ72" s="11"/>
      <c r="TA72" s="11"/>
      <c r="TB72" s="11"/>
      <c r="TC72" s="11"/>
      <c r="TD72" s="11"/>
      <c r="TE72" s="11"/>
      <c r="TF72" s="11"/>
      <c r="TG72" s="11"/>
      <c r="TH72" s="11"/>
      <c r="TI72" s="11"/>
      <c r="TJ72" s="11"/>
      <c r="TK72" s="11"/>
      <c r="TL72" s="11"/>
      <c r="TM72" s="11"/>
      <c r="TN72" s="11"/>
      <c r="TO72" s="11"/>
      <c r="TP72" s="11"/>
      <c r="TQ72" s="11"/>
      <c r="TR72" s="11"/>
      <c r="TS72" s="11"/>
      <c r="TT72" s="11"/>
      <c r="TU72" s="11"/>
      <c r="TV72" s="11"/>
      <c r="TW72" s="11"/>
      <c r="TX72" s="11"/>
      <c r="TY72" s="11"/>
      <c r="TZ72" s="11"/>
      <c r="UA72" s="11"/>
      <c r="UB72" s="11"/>
      <c r="UC72" s="11"/>
      <c r="UD72" s="11"/>
      <c r="UE72" s="11"/>
      <c r="UF72" s="11"/>
      <c r="UG72" s="11"/>
      <c r="UH72" s="11"/>
      <c r="UI72" s="11"/>
      <c r="UJ72" s="11"/>
      <c r="UK72" s="11"/>
      <c r="UL72" s="11"/>
      <c r="UM72" s="11"/>
      <c r="UN72" s="11"/>
      <c r="UO72" s="11"/>
      <c r="UP72" s="11"/>
      <c r="UQ72" s="11"/>
      <c r="UR72" s="11"/>
      <c r="US72" s="11"/>
      <c r="UT72" s="11"/>
      <c r="UU72" s="11"/>
      <c r="UV72" s="11"/>
      <c r="UW72" s="11"/>
      <c r="UX72" s="11"/>
      <c r="UY72" s="11"/>
      <c r="UZ72" s="11"/>
      <c r="VA72" s="11"/>
      <c r="VB72" s="11"/>
      <c r="VC72" s="11"/>
      <c r="VD72" s="11"/>
      <c r="VE72" s="11"/>
      <c r="VF72" s="11"/>
      <c r="VG72" s="11"/>
      <c r="VH72" s="11"/>
      <c r="VI72" s="11"/>
      <c r="VJ72" s="11"/>
      <c r="VK72" s="11"/>
      <c r="VL72" s="11"/>
      <c r="VM72" s="11"/>
      <c r="VN72" s="11"/>
      <c r="VO72" s="11"/>
      <c r="VP72" s="11"/>
      <c r="VQ72" s="11"/>
      <c r="VR72" s="11"/>
      <c r="VS72" s="11"/>
      <c r="VT72" s="11"/>
      <c r="VU72" s="11"/>
      <c r="VV72" s="11"/>
      <c r="VW72" s="11"/>
      <c r="VX72" s="11"/>
      <c r="VY72" s="11"/>
      <c r="VZ72" s="11"/>
      <c r="WA72" s="11"/>
      <c r="WB72" s="11"/>
      <c r="WC72" s="11"/>
      <c r="WD72" s="11"/>
      <c r="WE72" s="11"/>
      <c r="WF72" s="11"/>
      <c r="WG72" s="11"/>
      <c r="WH72" s="11"/>
      <c r="WI72" s="11"/>
      <c r="WJ72" s="11"/>
      <c r="WK72" s="11"/>
      <c r="WL72" s="11"/>
      <c r="WM72" s="11"/>
      <c r="WN72" s="11"/>
      <c r="WO72" s="11"/>
      <c r="WP72" s="11"/>
      <c r="WQ72" s="11"/>
      <c r="WR72" s="11"/>
      <c r="WS72" s="11"/>
      <c r="WT72" s="11"/>
      <c r="WU72" s="11"/>
      <c r="WV72" s="11"/>
      <c r="WW72" s="11"/>
      <c r="WX72" s="11"/>
      <c r="WY72" s="11"/>
      <c r="WZ72" s="11"/>
      <c r="XA72" s="11"/>
      <c r="XB72" s="11"/>
      <c r="XC72" s="11"/>
      <c r="XD72" s="11"/>
      <c r="XE72" s="11"/>
      <c r="XF72" s="11"/>
      <c r="XG72" s="11"/>
      <c r="XH72" s="11"/>
      <c r="XI72" s="11"/>
      <c r="XJ72" s="11"/>
      <c r="XK72" s="11"/>
      <c r="XL72" s="11"/>
      <c r="XM72" s="11"/>
      <c r="XN72" s="11"/>
      <c r="XO72" s="11"/>
      <c r="XP72" s="11"/>
      <c r="XQ72" s="11"/>
      <c r="XR72" s="11"/>
      <c r="XS72" s="11"/>
      <c r="XT72" s="11"/>
      <c r="XU72" s="11"/>
      <c r="XV72" s="11"/>
      <c r="XW72" s="11"/>
      <c r="XX72" s="11"/>
      <c r="XY72" s="11"/>
      <c r="XZ72" s="11"/>
      <c r="YA72" s="11"/>
      <c r="YB72" s="11"/>
      <c r="YC72" s="11"/>
      <c r="YD72" s="11"/>
      <c r="YE72" s="11"/>
      <c r="YF72" s="11"/>
      <c r="YG72" s="11"/>
      <c r="YH72" s="11"/>
      <c r="YI72" s="11"/>
      <c r="YJ72" s="11"/>
      <c r="YK72" s="11"/>
      <c r="YL72" s="11"/>
      <c r="YM72" s="11"/>
      <c r="YN72" s="11"/>
      <c r="YO72" s="11"/>
      <c r="YP72" s="11"/>
      <c r="YQ72" s="11"/>
      <c r="YR72" s="11"/>
      <c r="YS72" s="11"/>
      <c r="YT72" s="11"/>
      <c r="YU72" s="11"/>
      <c r="YV72" s="11"/>
      <c r="YW72" s="11"/>
      <c r="YX72" s="11"/>
      <c r="YY72" s="11"/>
      <c r="YZ72" s="11"/>
      <c r="ZA72" s="11"/>
      <c r="ZB72" s="11"/>
      <c r="ZC72" s="11"/>
      <c r="ZD72" s="11"/>
      <c r="ZE72" s="11"/>
      <c r="ZF72" s="11"/>
      <c r="ZG72" s="11"/>
      <c r="ZH72" s="11"/>
      <c r="ZI72" s="11"/>
      <c r="ZJ72" s="11"/>
      <c r="ZK72" s="11"/>
      <c r="ZL72" s="11"/>
      <c r="ZM72" s="11"/>
      <c r="ZN72" s="11"/>
      <c r="ZO72" s="11"/>
      <c r="ZP72" s="11"/>
      <c r="ZQ72" s="11"/>
      <c r="ZR72" s="11"/>
      <c r="ZS72" s="11"/>
      <c r="ZT72" s="11"/>
      <c r="ZU72" s="11"/>
      <c r="ZV72" s="11"/>
      <c r="ZW72" s="11"/>
      <c r="ZX72" s="11"/>
      <c r="ZY72" s="11"/>
      <c r="ZZ72" s="11"/>
      <c r="AAA72" s="11"/>
      <c r="AAB72" s="11"/>
      <c r="AAC72" s="11"/>
      <c r="AAD72" s="11"/>
      <c r="AAE72" s="11"/>
      <c r="AAF72" s="11"/>
      <c r="AAG72" s="11"/>
      <c r="AAH72" s="11"/>
      <c r="AAI72" s="11"/>
      <c r="AAJ72" s="11"/>
      <c r="AAK72" s="11"/>
      <c r="AAL72" s="11"/>
      <c r="AAM72" s="11"/>
      <c r="AAN72" s="11"/>
      <c r="AAO72" s="11"/>
      <c r="AAP72" s="11"/>
      <c r="AAQ72" s="11"/>
      <c r="AAR72" s="11"/>
      <c r="AAS72" s="11"/>
      <c r="AAT72" s="11"/>
      <c r="AAU72" s="11"/>
      <c r="AAV72" s="11"/>
      <c r="AAW72" s="11"/>
      <c r="AAX72" s="11"/>
      <c r="AAY72" s="11"/>
      <c r="AAZ72" s="11"/>
      <c r="ABA72" s="11"/>
      <c r="ABB72" s="11"/>
      <c r="ABC72" s="11"/>
      <c r="ABD72" s="11"/>
      <c r="ABE72" s="11"/>
      <c r="ABF72" s="11"/>
      <c r="ABG72" s="11"/>
      <c r="ABH72" s="11"/>
      <c r="ABI72" s="11"/>
      <c r="ABJ72" s="11"/>
      <c r="ABK72" s="11"/>
      <c r="ABL72" s="11"/>
      <c r="ABM72" s="11"/>
      <c r="ABN72" s="11"/>
      <c r="ABO72" s="11"/>
      <c r="ABP72" s="11"/>
      <c r="ABQ72" s="11"/>
      <c r="ABR72" s="11"/>
      <c r="ABS72" s="11"/>
      <c r="ABT72" s="11"/>
      <c r="ABU72" s="11"/>
      <c r="ABV72" s="11"/>
      <c r="ABW72" s="11"/>
      <c r="ABX72" s="11"/>
      <c r="ABY72" s="11"/>
      <c r="ABZ72" s="11"/>
      <c r="ACA72" s="11"/>
      <c r="ACB72" s="11"/>
      <c r="ACC72" s="11"/>
      <c r="ACD72" s="11"/>
      <c r="ACE72" s="11"/>
      <c r="ACF72" s="11"/>
      <c r="ACG72" s="11"/>
      <c r="ACH72" s="11"/>
      <c r="ACI72" s="11"/>
      <c r="ACJ72" s="11"/>
      <c r="ACK72" s="11"/>
      <c r="ACL72" s="11"/>
      <c r="ACM72" s="11"/>
      <c r="ACN72" s="11"/>
      <c r="ACO72" s="11"/>
      <c r="ACP72" s="11"/>
      <c r="ACQ72" s="11"/>
      <c r="ACR72" s="11"/>
      <c r="ACS72" s="11"/>
      <c r="ACT72" s="11"/>
      <c r="ACU72" s="11"/>
      <c r="ACV72" s="11"/>
      <c r="ACW72" s="11"/>
      <c r="ACX72" s="11"/>
      <c r="ACY72" s="11"/>
      <c r="ACZ72" s="11"/>
      <c r="ADA72" s="11"/>
      <c r="ADB72" s="11"/>
      <c r="ADC72" s="11"/>
      <c r="ADD72" s="11"/>
      <c r="ADE72" s="11"/>
      <c r="ADF72" s="11"/>
      <c r="ADG72" s="11"/>
      <c r="ADH72" s="11"/>
      <c r="ADI72" s="11"/>
      <c r="ADJ72" s="11"/>
      <c r="ADK72" s="11"/>
      <c r="ADL72" s="11"/>
      <c r="ADM72" s="11"/>
      <c r="ADN72" s="11"/>
      <c r="ADO72" s="11"/>
      <c r="ADP72" s="11"/>
      <c r="ADQ72" s="11"/>
      <c r="ADR72" s="11"/>
      <c r="ADS72" s="11"/>
      <c r="ADT72" s="11"/>
      <c r="ADU72" s="11"/>
      <c r="ADV72" s="11"/>
      <c r="ADW72" s="11"/>
      <c r="ADX72" s="11"/>
      <c r="ADY72" s="11"/>
      <c r="ADZ72" s="11"/>
      <c r="AEA72" s="11"/>
      <c r="AEB72" s="11"/>
      <c r="AEC72" s="11"/>
      <c r="AED72" s="11"/>
      <c r="AEE72" s="11"/>
      <c r="AEF72" s="11"/>
      <c r="AEG72" s="11"/>
      <c r="AEH72" s="11"/>
      <c r="AEI72" s="11"/>
      <c r="AEJ72" s="11"/>
      <c r="AEK72" s="11"/>
      <c r="AEL72" s="11"/>
      <c r="AEM72" s="11"/>
      <c r="AEN72" s="11"/>
      <c r="AEO72" s="11"/>
      <c r="AEP72" s="11"/>
      <c r="AEQ72" s="11"/>
      <c r="AER72" s="11"/>
      <c r="AES72" s="11"/>
      <c r="AET72" s="11"/>
      <c r="AEU72" s="11"/>
      <c r="AEV72" s="11"/>
      <c r="AEW72" s="11"/>
      <c r="AEX72" s="11"/>
      <c r="AEY72" s="11"/>
      <c r="AEZ72" s="11"/>
      <c r="AFA72" s="11"/>
      <c r="AFB72" s="11"/>
      <c r="AFC72" s="11"/>
      <c r="AFD72" s="11"/>
      <c r="AFE72" s="11"/>
      <c r="AFF72" s="11"/>
      <c r="AFG72" s="11"/>
      <c r="AFH72" s="11"/>
      <c r="AFI72" s="11"/>
    </row>
    <row r="73" spans="2:841">
      <c r="B73" s="11"/>
      <c r="C73" s="657"/>
      <c r="D73" s="289" t="s">
        <v>627</v>
      </c>
      <c r="E73" s="551">
        <f>SUMIFS(M_Datos!$N$38:$N$40,M_Datos!$O$38:$O$40,M_Lista!G21)</f>
        <v>0</v>
      </c>
      <c r="F73" s="312" t="e">
        <f>IF(AND(M_FactoresComplement!$G$439="No",M_FactoresComplement!$G$441="No"),M_Cálculos!E73*VLOOKUP(M_Datos!$E$12&amp;M_Cálculos!D73,M_Factores!$M$10:$P$108,2,FALSE)/(10^3),IF(AND(M_FactoresComplement!$G$439="Sí",M_FactoresComplement!$G$441="No"),E73*M_FactoresComplement!G470/(10^3),E73*VLOOKUP(M_FactoresComplement!$C$467&amp;M_Datos!$E$12&amp;M_Lista!G20,M_FactoresComplement!$F$446:$I$781,2,FALSE)/(10^3)))</f>
        <v>#N/A</v>
      </c>
      <c r="G73" s="313" t="e">
        <f>IF(AND(M_FactoresComplement!$G$439="No",M_FactoresComplement!$G$441="No"),M_Cálculos!E73*VLOOKUP(M_Datos!$E$12&amp;M_Cálculos!D73,M_Factores!$M$10:$P$108,3,FALSE)/(10^3),IF(AND(M_FactoresComplement!$G$439="Sí",M_FactoresComplement!$G$441="No"),E73*M_FactoresComplement!H470/(10^3),E73*VLOOKUP(M_FactoresComplement!$C$467&amp;M_Datos!$E$12&amp;M_Lista!G20,M_FactoresComplement!$F$446:$I$781,3,FALSE)/(10^3)))</f>
        <v>#N/A</v>
      </c>
      <c r="H73" s="551">
        <f>SUMIFS(M_Datos!$P$38:$P$40,M_Datos!$Q$38:$Q$40,M_Lista!G21)</f>
        <v>0</v>
      </c>
      <c r="I73" s="312" t="e">
        <f>IF(AND(M_FactoresComplement!$G$439="No",M_FactoresComplement!$G$441="No"),M_Cálculos!H73*VLOOKUP(M_Datos!$E$12&amp;M_Cálculos!D73,M_Factores!$M$10:$P$108,2,FALSE)/(10^3),IF(AND(M_FactoresComplement!$G$439="Sí",M_FactoresComplement!$G$441="No"),H73*M_FactoresComplement!G470/(10^3),H73*VLOOKUP(M_FactoresComplement!$C$467&amp;M_Datos!$E$12&amp;M_Lista!G20,M_FactoresComplement!$F$446:$I$781,2,FALSE)/(10^3)))</f>
        <v>#N/A</v>
      </c>
      <c r="J73" s="313" t="e">
        <f>IF(AND(M_FactoresComplement!$G$439="No",M_FactoresComplement!$G$441="No"),M_Cálculos!H73*VLOOKUP(M_Datos!$E$12&amp;M_Cálculos!D73,M_Factores!$M$10:$P$108,3,FALSE)/(10^3),IF(AND(M_FactoresComplement!$G$439="Sí",M_FactoresComplement!$G$441="No"),H73*M_FactoresComplement!H470/(10^3),H73*VLOOKUP(M_FactoresComplement!$C$467&amp;M_Datos!$E$12&amp;M_Lista!G20,M_FactoresComplement!$F$446:$I$781,3,FALSE)/(10^3)))</f>
        <v>#N/A</v>
      </c>
      <c r="K73" s="551">
        <f>SUMIFS(M_Datos!$R$38:$R$40,M_Datos!$S$38:$S$40,M_Lista!G21)</f>
        <v>0</v>
      </c>
      <c r="L73" s="312" t="e">
        <f>IF(AND(M_FactoresComplement!$G$439="No",M_FactoresComplement!$G$441="No"),M_Cálculos!K73*VLOOKUP(M_Datos!$E$12&amp;M_Cálculos!D73,M_Factores!$M$10:$P$108,2,FALSE)/(10^3),IF(AND(M_FactoresComplement!$G$439="Sí",M_FactoresComplement!$G$441="No"),K73*M_FactoresComplement!G470/(10^3),K73*VLOOKUP(M_FactoresComplement!$C$467&amp;M_Datos!$E$12&amp;M_Lista!G20,M_FactoresComplement!$F$446:$I$781,2,FALSE)/(10^3)))</f>
        <v>#N/A</v>
      </c>
      <c r="M73" s="313" t="e">
        <f>IF(AND(M_FactoresComplement!$G$439="No",M_FactoresComplement!$G$441="No"),M_Cálculos!K73*VLOOKUP(M_Datos!$E$12&amp;M_Cálculos!D73,M_Factores!$M$10:$P$108,3,FALSE)/(10^3),IF(AND(M_FactoresComplement!$G$439="Sí",M_FactoresComplement!$G$441="No"),K73*M_FactoresComplement!H470/(10^3),K73*VLOOKUP(M_FactoresComplement!$C$467&amp;M_Datos!$E$12&amp;M_Lista!G20,M_FactoresComplement!$F$446:$I$781,3,FALSE)/(10^3)))</f>
        <v>#N/A</v>
      </c>
      <c r="N73" s="551">
        <f>SUMIFS(M_Datos!$T$38:$T$40,M_Datos!$U$38:$U$40,M_Lista!G21)</f>
        <v>0</v>
      </c>
      <c r="O73" s="312" t="e">
        <f>IF(AND(M_FactoresComplement!$G$439="No",M_FactoresComplement!$G$441="No"),M_Cálculos!N73*VLOOKUP(M_Datos!$E$12&amp;M_Cálculos!D73,M_Factores!$M$10:$P$108,2,FALSE)/(10^3),IF(AND(M_FactoresComplement!$G$439="Sí",M_FactoresComplement!$G$441="No"),N73*M_FactoresComplement!G470/(10^3),N73*VLOOKUP(M_FactoresComplement!$C$467&amp;M_Datos!$E$12&amp;M_Lista!G20,M_FactoresComplement!$F$446:$I$781,2,FALSE)/(10^3)))</f>
        <v>#N/A</v>
      </c>
      <c r="P73" s="313" t="e">
        <f>IF(AND(M_FactoresComplement!$G$439="No",M_FactoresComplement!$G$441="No"),M_Cálculos!N73*VLOOKUP(M_Datos!$E$12&amp;M_Cálculos!D73,M_Factores!$M$10:$P$108,3,FALSE)/(10^3),IF(AND(M_FactoresComplement!$G$439="Sí",M_FactoresComplement!$G$441="No"),N73*M_FactoresComplement!H470/(10^3),N73*VLOOKUP(M_FactoresComplement!$C$467&amp;M_Datos!$E$12&amp;M_Lista!G20,M_FactoresComplement!$F$446:$I$781,3,FALSE)/(10^3)))</f>
        <v>#N/A</v>
      </c>
      <c r="Q73" s="551">
        <f>SUMIFS(M_Datos!$V$38:$V$40,M_Datos!$W$38:$W$40,M_Lista!G21)</f>
        <v>0</v>
      </c>
      <c r="R73" s="312" t="e">
        <f>IF(AND(M_FactoresComplement!$G$439="No",M_FactoresComplement!$G$441="No"),M_Cálculos!Q73*VLOOKUP(M_Datos!$E$12&amp;M_Cálculos!D73,M_Factores!$M$10:$P$108,2,FALSE)/(10^3),IF(AND(M_FactoresComplement!$G$439="Sí",M_FactoresComplement!$G$441="No"),Q73*M_FactoresComplement!G470/(10^3),Q73*VLOOKUP(M_FactoresComplement!$C$467&amp;M_Datos!$E$12&amp;M_Lista!G20,M_FactoresComplement!$F$446:$I$781,2,FALSE)/(10^3)))</f>
        <v>#N/A</v>
      </c>
      <c r="S73" s="313" t="e">
        <f>IF(AND(M_FactoresComplement!$G$439="No",M_FactoresComplement!$G$441="No"),M_Cálculos!Q73*VLOOKUP(M_Datos!$E$12&amp;M_Cálculos!D73,M_Factores!$M$10:$P$108,3,FALSE)/(10^3),IF(AND(M_FactoresComplement!$G$439="Sí",M_FactoresComplement!$G$441="No"),Q73*M_FactoresComplement!H470/(10^3),Q73*VLOOKUP(M_FactoresComplement!$C$467&amp;M_Datos!$E$12&amp;M_Lista!G20,M_FactoresComplement!$F$446:$I$781,3,FALSE)/(10^3)))</f>
        <v>#N/A</v>
      </c>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c r="PE73" s="11"/>
      <c r="PF73" s="11"/>
      <c r="PG73" s="11"/>
      <c r="PH73" s="11"/>
      <c r="PI73" s="11"/>
      <c r="PJ73" s="11"/>
      <c r="PK73" s="11"/>
      <c r="PL73" s="11"/>
      <c r="PM73" s="11"/>
      <c r="PN73" s="11"/>
      <c r="PO73" s="11"/>
      <c r="PP73" s="11"/>
      <c r="PQ73" s="11"/>
      <c r="PR73" s="11"/>
      <c r="PS73" s="11"/>
      <c r="PT73" s="11"/>
      <c r="PU73" s="11"/>
      <c r="PV73" s="11"/>
      <c r="PW73" s="11"/>
      <c r="PX73" s="11"/>
      <c r="PY73" s="11"/>
      <c r="PZ73" s="11"/>
      <c r="QA73" s="11"/>
      <c r="QB73" s="11"/>
      <c r="QC73" s="11"/>
      <c r="QD73" s="11"/>
      <c r="QE73" s="11"/>
      <c r="QF73" s="11"/>
      <c r="QG73" s="11"/>
      <c r="QH73" s="11"/>
      <c r="QI73" s="11"/>
      <c r="QJ73" s="11"/>
      <c r="QK73" s="11"/>
      <c r="QL73" s="11"/>
      <c r="QM73" s="11"/>
      <c r="QN73" s="11"/>
      <c r="QO73" s="11"/>
      <c r="QP73" s="11"/>
      <c r="QQ73" s="11"/>
      <c r="QR73" s="11"/>
      <c r="QS73" s="11"/>
      <c r="QT73" s="11"/>
      <c r="QU73" s="11"/>
      <c r="QV73" s="11"/>
      <c r="QW73" s="11"/>
      <c r="QX73" s="11"/>
      <c r="QY73" s="11"/>
      <c r="QZ73" s="11"/>
      <c r="RA73" s="11"/>
      <c r="RB73" s="11"/>
      <c r="RC73" s="11"/>
      <c r="RD73" s="11"/>
      <c r="RE73" s="11"/>
      <c r="RF73" s="11"/>
      <c r="RG73" s="11"/>
      <c r="RH73" s="11"/>
      <c r="RI73" s="11"/>
      <c r="RJ73" s="11"/>
      <c r="RK73" s="11"/>
      <c r="RL73" s="11"/>
      <c r="RM73" s="11"/>
      <c r="RN73" s="11"/>
      <c r="RO73" s="11"/>
      <c r="RP73" s="11"/>
      <c r="RQ73" s="11"/>
      <c r="RR73" s="11"/>
      <c r="RS73" s="11"/>
      <c r="RT73" s="11"/>
      <c r="RU73" s="11"/>
      <c r="RV73" s="11"/>
      <c r="RW73" s="11"/>
      <c r="RX73" s="11"/>
      <c r="RY73" s="11"/>
      <c r="RZ73" s="11"/>
      <c r="SA73" s="11"/>
      <c r="SB73" s="11"/>
      <c r="SC73" s="11"/>
      <c r="SD73" s="11"/>
      <c r="SE73" s="11"/>
      <c r="SF73" s="11"/>
      <c r="SG73" s="11"/>
      <c r="SH73" s="11"/>
      <c r="SI73" s="11"/>
      <c r="SJ73" s="11"/>
      <c r="SK73" s="11"/>
      <c r="SL73" s="11"/>
      <c r="SM73" s="11"/>
      <c r="SN73" s="11"/>
      <c r="SO73" s="11"/>
      <c r="SP73" s="11"/>
      <c r="SQ73" s="11"/>
      <c r="SR73" s="11"/>
      <c r="SS73" s="11"/>
      <c r="ST73" s="11"/>
      <c r="SU73" s="11"/>
      <c r="SV73" s="11"/>
      <c r="SW73" s="11"/>
      <c r="SX73" s="11"/>
      <c r="SY73" s="11"/>
      <c r="SZ73" s="11"/>
      <c r="TA73" s="11"/>
      <c r="TB73" s="11"/>
      <c r="TC73" s="11"/>
      <c r="TD73" s="11"/>
      <c r="TE73" s="11"/>
      <c r="TF73" s="11"/>
      <c r="TG73" s="11"/>
      <c r="TH73" s="11"/>
      <c r="TI73" s="11"/>
      <c r="TJ73" s="11"/>
      <c r="TK73" s="11"/>
      <c r="TL73" s="11"/>
      <c r="TM73" s="11"/>
      <c r="TN73" s="11"/>
      <c r="TO73" s="11"/>
      <c r="TP73" s="11"/>
      <c r="TQ73" s="11"/>
      <c r="TR73" s="11"/>
      <c r="TS73" s="11"/>
      <c r="TT73" s="11"/>
      <c r="TU73" s="11"/>
      <c r="TV73" s="11"/>
      <c r="TW73" s="11"/>
      <c r="TX73" s="11"/>
      <c r="TY73" s="11"/>
      <c r="TZ73" s="11"/>
      <c r="UA73" s="11"/>
      <c r="UB73" s="11"/>
      <c r="UC73" s="11"/>
      <c r="UD73" s="11"/>
      <c r="UE73" s="11"/>
      <c r="UF73" s="11"/>
      <c r="UG73" s="11"/>
      <c r="UH73" s="11"/>
      <c r="UI73" s="11"/>
      <c r="UJ73" s="11"/>
      <c r="UK73" s="11"/>
      <c r="UL73" s="11"/>
      <c r="UM73" s="11"/>
      <c r="UN73" s="11"/>
      <c r="UO73" s="11"/>
      <c r="UP73" s="11"/>
      <c r="UQ73" s="11"/>
      <c r="UR73" s="11"/>
      <c r="US73" s="11"/>
      <c r="UT73" s="11"/>
      <c r="UU73" s="11"/>
      <c r="UV73" s="11"/>
      <c r="UW73" s="11"/>
      <c r="UX73" s="11"/>
      <c r="UY73" s="11"/>
      <c r="UZ73" s="11"/>
      <c r="VA73" s="11"/>
      <c r="VB73" s="11"/>
      <c r="VC73" s="11"/>
      <c r="VD73" s="11"/>
      <c r="VE73" s="11"/>
      <c r="VF73" s="11"/>
      <c r="VG73" s="11"/>
      <c r="VH73" s="11"/>
      <c r="VI73" s="11"/>
      <c r="VJ73" s="11"/>
      <c r="VK73" s="11"/>
      <c r="VL73" s="11"/>
      <c r="VM73" s="11"/>
      <c r="VN73" s="11"/>
      <c r="VO73" s="11"/>
      <c r="VP73" s="11"/>
      <c r="VQ73" s="11"/>
      <c r="VR73" s="11"/>
      <c r="VS73" s="11"/>
      <c r="VT73" s="11"/>
      <c r="VU73" s="11"/>
      <c r="VV73" s="11"/>
      <c r="VW73" s="11"/>
      <c r="VX73" s="11"/>
      <c r="VY73" s="11"/>
      <c r="VZ73" s="11"/>
      <c r="WA73" s="11"/>
      <c r="WB73" s="11"/>
      <c r="WC73" s="11"/>
      <c r="WD73" s="11"/>
      <c r="WE73" s="11"/>
      <c r="WF73" s="11"/>
      <c r="WG73" s="11"/>
      <c r="WH73" s="11"/>
      <c r="WI73" s="11"/>
      <c r="WJ73" s="11"/>
      <c r="WK73" s="11"/>
      <c r="WL73" s="11"/>
      <c r="WM73" s="11"/>
      <c r="WN73" s="11"/>
      <c r="WO73" s="11"/>
      <c r="WP73" s="11"/>
      <c r="WQ73" s="11"/>
      <c r="WR73" s="11"/>
      <c r="WS73" s="11"/>
      <c r="WT73" s="11"/>
      <c r="WU73" s="11"/>
      <c r="WV73" s="11"/>
      <c r="WW73" s="11"/>
      <c r="WX73" s="11"/>
      <c r="WY73" s="11"/>
      <c r="WZ73" s="11"/>
      <c r="XA73" s="11"/>
      <c r="XB73" s="11"/>
      <c r="XC73" s="11"/>
      <c r="XD73" s="11"/>
      <c r="XE73" s="11"/>
      <c r="XF73" s="11"/>
      <c r="XG73" s="11"/>
      <c r="XH73" s="11"/>
      <c r="XI73" s="11"/>
      <c r="XJ73" s="11"/>
      <c r="XK73" s="11"/>
      <c r="XL73" s="11"/>
      <c r="XM73" s="11"/>
      <c r="XN73" s="11"/>
      <c r="XO73" s="11"/>
      <c r="XP73" s="11"/>
      <c r="XQ73" s="11"/>
      <c r="XR73" s="11"/>
      <c r="XS73" s="11"/>
      <c r="XT73" s="11"/>
      <c r="XU73" s="11"/>
      <c r="XV73" s="11"/>
      <c r="XW73" s="11"/>
      <c r="XX73" s="11"/>
      <c r="XY73" s="11"/>
      <c r="XZ73" s="11"/>
      <c r="YA73" s="11"/>
      <c r="YB73" s="11"/>
      <c r="YC73" s="11"/>
      <c r="YD73" s="11"/>
      <c r="YE73" s="11"/>
      <c r="YF73" s="11"/>
      <c r="YG73" s="11"/>
      <c r="YH73" s="11"/>
      <c r="YI73" s="11"/>
      <c r="YJ73" s="11"/>
      <c r="YK73" s="11"/>
      <c r="YL73" s="11"/>
      <c r="YM73" s="11"/>
      <c r="YN73" s="11"/>
      <c r="YO73" s="11"/>
      <c r="YP73" s="11"/>
      <c r="YQ73" s="11"/>
      <c r="YR73" s="11"/>
      <c r="YS73" s="11"/>
      <c r="YT73" s="11"/>
      <c r="YU73" s="11"/>
      <c r="YV73" s="11"/>
      <c r="YW73" s="11"/>
      <c r="YX73" s="11"/>
      <c r="YY73" s="11"/>
      <c r="YZ73" s="11"/>
      <c r="ZA73" s="11"/>
      <c r="ZB73" s="11"/>
      <c r="ZC73" s="11"/>
      <c r="ZD73" s="11"/>
      <c r="ZE73" s="11"/>
      <c r="ZF73" s="11"/>
      <c r="ZG73" s="11"/>
      <c r="ZH73" s="11"/>
      <c r="ZI73" s="11"/>
      <c r="ZJ73" s="11"/>
      <c r="ZK73" s="11"/>
      <c r="ZL73" s="11"/>
      <c r="ZM73" s="11"/>
      <c r="ZN73" s="11"/>
      <c r="ZO73" s="11"/>
      <c r="ZP73" s="11"/>
      <c r="ZQ73" s="11"/>
      <c r="ZR73" s="11"/>
      <c r="ZS73" s="11"/>
      <c r="ZT73" s="11"/>
      <c r="ZU73" s="11"/>
      <c r="ZV73" s="11"/>
      <c r="ZW73" s="11"/>
      <c r="ZX73" s="11"/>
      <c r="ZY73" s="11"/>
      <c r="ZZ73" s="11"/>
      <c r="AAA73" s="11"/>
      <c r="AAB73" s="11"/>
      <c r="AAC73" s="11"/>
      <c r="AAD73" s="11"/>
      <c r="AAE73" s="11"/>
      <c r="AAF73" s="11"/>
      <c r="AAG73" s="11"/>
      <c r="AAH73" s="11"/>
      <c r="AAI73" s="11"/>
      <c r="AAJ73" s="11"/>
      <c r="AAK73" s="11"/>
      <c r="AAL73" s="11"/>
      <c r="AAM73" s="11"/>
      <c r="AAN73" s="11"/>
      <c r="AAO73" s="11"/>
      <c r="AAP73" s="11"/>
      <c r="AAQ73" s="11"/>
      <c r="AAR73" s="11"/>
      <c r="AAS73" s="11"/>
      <c r="AAT73" s="11"/>
      <c r="AAU73" s="11"/>
      <c r="AAV73" s="11"/>
      <c r="AAW73" s="11"/>
      <c r="AAX73" s="11"/>
      <c r="AAY73" s="11"/>
      <c r="AAZ73" s="11"/>
      <c r="ABA73" s="11"/>
      <c r="ABB73" s="11"/>
      <c r="ABC73" s="11"/>
      <c r="ABD73" s="11"/>
      <c r="ABE73" s="11"/>
      <c r="ABF73" s="11"/>
      <c r="ABG73" s="11"/>
      <c r="ABH73" s="11"/>
      <c r="ABI73" s="11"/>
      <c r="ABJ73" s="11"/>
      <c r="ABK73" s="11"/>
      <c r="ABL73" s="11"/>
      <c r="ABM73" s="11"/>
      <c r="ABN73" s="11"/>
      <c r="ABO73" s="11"/>
      <c r="ABP73" s="11"/>
      <c r="ABQ73" s="11"/>
      <c r="ABR73" s="11"/>
      <c r="ABS73" s="11"/>
      <c r="ABT73" s="11"/>
      <c r="ABU73" s="11"/>
      <c r="ABV73" s="11"/>
      <c r="ABW73" s="11"/>
      <c r="ABX73" s="11"/>
      <c r="ABY73" s="11"/>
      <c r="ABZ73" s="11"/>
      <c r="ACA73" s="11"/>
      <c r="ACB73" s="11"/>
      <c r="ACC73" s="11"/>
      <c r="ACD73" s="11"/>
      <c r="ACE73" s="11"/>
      <c r="ACF73" s="11"/>
      <c r="ACG73" s="11"/>
      <c r="ACH73" s="11"/>
      <c r="ACI73" s="11"/>
      <c r="ACJ73" s="11"/>
      <c r="ACK73" s="11"/>
      <c r="ACL73" s="11"/>
      <c r="ACM73" s="11"/>
      <c r="ACN73" s="11"/>
      <c r="ACO73" s="11"/>
      <c r="ACP73" s="11"/>
      <c r="ACQ73" s="11"/>
      <c r="ACR73" s="11"/>
      <c r="ACS73" s="11"/>
      <c r="ACT73" s="11"/>
      <c r="ACU73" s="11"/>
      <c r="ACV73" s="11"/>
      <c r="ACW73" s="11"/>
      <c r="ACX73" s="11"/>
      <c r="ACY73" s="11"/>
      <c r="ACZ73" s="11"/>
      <c r="ADA73" s="11"/>
      <c r="ADB73" s="11"/>
      <c r="ADC73" s="11"/>
      <c r="ADD73" s="11"/>
      <c r="ADE73" s="11"/>
      <c r="ADF73" s="11"/>
      <c r="ADG73" s="11"/>
      <c r="ADH73" s="11"/>
      <c r="ADI73" s="11"/>
      <c r="ADJ73" s="11"/>
      <c r="ADK73" s="11"/>
      <c r="ADL73" s="11"/>
      <c r="ADM73" s="11"/>
      <c r="ADN73" s="11"/>
      <c r="ADO73" s="11"/>
      <c r="ADP73" s="11"/>
      <c r="ADQ73" s="11"/>
      <c r="ADR73" s="11"/>
      <c r="ADS73" s="11"/>
      <c r="ADT73" s="11"/>
      <c r="ADU73" s="11"/>
      <c r="ADV73" s="11"/>
      <c r="ADW73" s="11"/>
      <c r="ADX73" s="11"/>
      <c r="ADY73" s="11"/>
      <c r="ADZ73" s="11"/>
      <c r="AEA73" s="11"/>
      <c r="AEB73" s="11"/>
      <c r="AEC73" s="11"/>
      <c r="AED73" s="11"/>
      <c r="AEE73" s="11"/>
      <c r="AEF73" s="11"/>
      <c r="AEG73" s="11"/>
      <c r="AEH73" s="11"/>
      <c r="AEI73" s="11"/>
      <c r="AEJ73" s="11"/>
      <c r="AEK73" s="11"/>
      <c r="AEL73" s="11"/>
      <c r="AEM73" s="11"/>
      <c r="AEN73" s="11"/>
      <c r="AEO73" s="11"/>
      <c r="AEP73" s="11"/>
      <c r="AEQ73" s="11"/>
      <c r="AER73" s="11"/>
      <c r="AES73" s="11"/>
      <c r="AET73" s="11"/>
      <c r="AEU73" s="11"/>
      <c r="AEV73" s="11"/>
      <c r="AEW73" s="11"/>
      <c r="AEX73" s="11"/>
      <c r="AEY73" s="11"/>
      <c r="AEZ73" s="11"/>
      <c r="AFA73" s="11"/>
      <c r="AFB73" s="11"/>
      <c r="AFC73" s="11"/>
      <c r="AFD73" s="11"/>
      <c r="AFE73" s="11"/>
      <c r="AFF73" s="11"/>
      <c r="AFG73" s="11"/>
      <c r="AFH73" s="11"/>
      <c r="AFI73" s="11"/>
    </row>
    <row r="74" spans="2:841">
      <c r="B74" s="11"/>
      <c r="C74" s="657"/>
      <c r="D74" s="289" t="s">
        <v>628</v>
      </c>
      <c r="E74" s="551">
        <f>SUMIFS(M_Datos!$N$38:$N$40,M_Datos!$O$38:$O$40,M_Lista!G22)</f>
        <v>0</v>
      </c>
      <c r="F74" s="312" t="e">
        <f>IF(AND(M_FactoresComplement!$G$439="No",M_FactoresComplement!$G$441="No"),M_Cálculos!E74*VLOOKUP(M_Datos!$E$12&amp;M_Cálculos!D74,M_Factores!$M$10:$P$108,2,FALSE)/(10^3),IF(AND(M_FactoresComplement!$G$439="Sí",M_FactoresComplement!$G$441="No"),E74*M_FactoresComplement!G471/(10^3),E74*VLOOKUP(M_FactoresComplement!$C$467&amp;M_Datos!$E$12&amp;M_Lista!G21,M_FactoresComplement!$F$446:$I$781,2,FALSE)/(10^3)))</f>
        <v>#N/A</v>
      </c>
      <c r="G74" s="313" t="e">
        <f>IF(AND(M_FactoresComplement!$G$439="No",M_FactoresComplement!$G$441="No"),M_Cálculos!E74*VLOOKUP(M_Datos!$E$12&amp;M_Cálculos!D74,M_Factores!$M$10:$P$108,3,FALSE)/(10^3),IF(AND(M_FactoresComplement!$G$439="Sí",M_FactoresComplement!$G$441="No"),E74*M_FactoresComplement!H471/(10^3),E74*VLOOKUP(M_FactoresComplement!$C$467&amp;M_Datos!$E$12&amp;M_Lista!G21,M_FactoresComplement!$F$446:$I$781,3,FALSE)/(10^3)))</f>
        <v>#N/A</v>
      </c>
      <c r="H74" s="551">
        <f>SUMIFS(M_Datos!$P$38:$P$40,M_Datos!$Q$38:$Q$40,M_Lista!G22)</f>
        <v>0</v>
      </c>
      <c r="I74" s="312" t="e">
        <f>IF(AND(M_FactoresComplement!$G$439="No",M_FactoresComplement!$G$441="No"),M_Cálculos!H74*VLOOKUP(M_Datos!$E$12&amp;M_Cálculos!D74,M_Factores!$M$10:$P$108,2,FALSE)/(10^3),IF(AND(M_FactoresComplement!$G$439="Sí",M_FactoresComplement!$G$441="No"),H74*M_FactoresComplement!G471/(10^3),H74*VLOOKUP(M_FactoresComplement!$C$467&amp;M_Datos!$E$12&amp;M_Lista!G21,M_FactoresComplement!$F$446:$I$781,2,FALSE)/(10^3)))</f>
        <v>#N/A</v>
      </c>
      <c r="J74" s="313" t="e">
        <f>IF(AND(M_FactoresComplement!$G$439="No",M_FactoresComplement!$G$441="No"),M_Cálculos!H74*VLOOKUP(M_Datos!$E$12&amp;M_Cálculos!D74,M_Factores!$M$10:$P$108,3,FALSE)/(10^3),IF(AND(M_FactoresComplement!$G$439="Sí",M_FactoresComplement!$G$441="No"),H74*M_FactoresComplement!H471/(10^3),H74*VLOOKUP(M_FactoresComplement!$C$467&amp;M_Datos!$E$12&amp;M_Lista!G21,M_FactoresComplement!$F$446:$I$781,3,FALSE)/(10^3)))</f>
        <v>#N/A</v>
      </c>
      <c r="K74" s="551">
        <f>SUMIFS(M_Datos!$R$38:$R$40,M_Datos!$S$38:$S$40,M_Lista!G22)</f>
        <v>0</v>
      </c>
      <c r="L74" s="312" t="e">
        <f>IF(AND(M_FactoresComplement!$G$439="No",M_FactoresComplement!$G$441="No"),M_Cálculos!K74*VLOOKUP(M_Datos!$E$12&amp;M_Cálculos!D74,M_Factores!$M$10:$P$108,2,FALSE)/(10^3),IF(AND(M_FactoresComplement!$G$439="Sí",M_FactoresComplement!$G$441="No"),K74*M_FactoresComplement!G471/(10^3),K74*VLOOKUP(M_FactoresComplement!$C$467&amp;M_Datos!$E$12&amp;M_Lista!G21,M_FactoresComplement!$F$446:$I$781,2,FALSE)/(10^3)))</f>
        <v>#N/A</v>
      </c>
      <c r="M74" s="313" t="e">
        <f>IF(AND(M_FactoresComplement!$G$439="No",M_FactoresComplement!$G$441="No"),M_Cálculos!K74*VLOOKUP(M_Datos!$E$12&amp;M_Cálculos!D74,M_Factores!$M$10:$P$108,3,FALSE)/(10^3),IF(AND(M_FactoresComplement!$G$439="Sí",M_FactoresComplement!$G$441="No"),K74*M_FactoresComplement!H471/(10^3),K74*VLOOKUP(M_FactoresComplement!$C$467&amp;M_Datos!$E$12&amp;M_Lista!G21,M_FactoresComplement!$F$446:$I$781,3,FALSE)/(10^3)))</f>
        <v>#N/A</v>
      </c>
      <c r="N74" s="551">
        <f>SUMIFS(M_Datos!$T$38:$T$40,M_Datos!$U$38:$U$40,M_Lista!G22)</f>
        <v>0</v>
      </c>
      <c r="O74" s="312" t="e">
        <f>IF(AND(M_FactoresComplement!$G$439="No",M_FactoresComplement!$G$441="No"),M_Cálculos!N74*VLOOKUP(M_Datos!$E$12&amp;M_Cálculos!D74,M_Factores!$M$10:$P$108,2,FALSE)/(10^3),IF(AND(M_FactoresComplement!$G$439="Sí",M_FactoresComplement!$G$441="No"),N74*M_FactoresComplement!G471/(10^3),N74*VLOOKUP(M_FactoresComplement!$C$467&amp;M_Datos!$E$12&amp;M_Lista!G21,M_FactoresComplement!$F$446:$I$781,2,FALSE)/(10^3)))</f>
        <v>#N/A</v>
      </c>
      <c r="P74" s="313" t="e">
        <f>IF(AND(M_FactoresComplement!$G$439="No",M_FactoresComplement!$G$441="No"),M_Cálculos!N74*VLOOKUP(M_Datos!$E$12&amp;M_Cálculos!D74,M_Factores!$M$10:$P$108,3,FALSE)/(10^3),IF(AND(M_FactoresComplement!$G$439="Sí",M_FactoresComplement!$G$441="No"),N74*M_FactoresComplement!H471/(10^3),N74*VLOOKUP(M_FactoresComplement!$C$467&amp;M_Datos!$E$12&amp;M_Lista!G21,M_FactoresComplement!$F$446:$I$781,3,FALSE)/(10^3)))</f>
        <v>#N/A</v>
      </c>
      <c r="Q74" s="551">
        <f>SUMIFS(M_Datos!$V$38:$V$40,M_Datos!$W$38:$W$40,M_Lista!G22)</f>
        <v>0</v>
      </c>
      <c r="R74" s="312" t="e">
        <f>IF(AND(M_FactoresComplement!$G$439="No",M_FactoresComplement!$G$441="No"),M_Cálculos!Q74*VLOOKUP(M_Datos!$E$12&amp;M_Cálculos!D74,M_Factores!$M$10:$P$108,2,FALSE)/(10^3),IF(AND(M_FactoresComplement!$G$439="Sí",M_FactoresComplement!$G$441="No"),Q74*M_FactoresComplement!G471/(10^3),Q74*VLOOKUP(M_FactoresComplement!$C$467&amp;M_Datos!$E$12&amp;M_Lista!G21,M_FactoresComplement!$F$446:$I$781,2,FALSE)/(10^3)))</f>
        <v>#N/A</v>
      </c>
      <c r="S74" s="313" t="e">
        <f>IF(AND(M_FactoresComplement!$G$439="No",M_FactoresComplement!$G$441="No"),M_Cálculos!Q74*VLOOKUP(M_Datos!$E$12&amp;M_Cálculos!D74,M_Factores!$M$10:$P$108,3,FALSE)/(10^3),IF(AND(M_FactoresComplement!$G$439="Sí",M_FactoresComplement!$G$441="No"),Q74*M_FactoresComplement!H471/(10^3),Q74*VLOOKUP(M_FactoresComplement!$C$467&amp;M_Datos!$E$12&amp;M_Lista!G21,M_FactoresComplement!$F$446:$I$781,3,FALSE)/(10^3)))</f>
        <v>#N/A</v>
      </c>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c r="PE74" s="11"/>
      <c r="PF74" s="11"/>
      <c r="PG74" s="11"/>
      <c r="PH74" s="11"/>
      <c r="PI74" s="11"/>
      <c r="PJ74" s="11"/>
      <c r="PK74" s="11"/>
      <c r="PL74" s="11"/>
      <c r="PM74" s="11"/>
      <c r="PN74" s="11"/>
      <c r="PO74" s="11"/>
      <c r="PP74" s="11"/>
      <c r="PQ74" s="11"/>
      <c r="PR74" s="11"/>
      <c r="PS74" s="11"/>
      <c r="PT74" s="11"/>
      <c r="PU74" s="11"/>
      <c r="PV74" s="11"/>
      <c r="PW74" s="11"/>
      <c r="PX74" s="11"/>
      <c r="PY74" s="11"/>
      <c r="PZ74" s="11"/>
      <c r="QA74" s="11"/>
      <c r="QB74" s="11"/>
      <c r="QC74" s="11"/>
      <c r="QD74" s="11"/>
      <c r="QE74" s="11"/>
      <c r="QF74" s="11"/>
      <c r="QG74" s="11"/>
      <c r="QH74" s="11"/>
      <c r="QI74" s="11"/>
      <c r="QJ74" s="11"/>
      <c r="QK74" s="11"/>
      <c r="QL74" s="11"/>
      <c r="QM74" s="11"/>
      <c r="QN74" s="11"/>
      <c r="QO74" s="11"/>
      <c r="QP74" s="11"/>
      <c r="QQ74" s="11"/>
      <c r="QR74" s="11"/>
      <c r="QS74" s="11"/>
      <c r="QT74" s="11"/>
      <c r="QU74" s="11"/>
      <c r="QV74" s="11"/>
      <c r="QW74" s="11"/>
      <c r="QX74" s="11"/>
      <c r="QY74" s="11"/>
      <c r="QZ74" s="11"/>
      <c r="RA74" s="11"/>
      <c r="RB74" s="11"/>
      <c r="RC74" s="11"/>
      <c r="RD74" s="11"/>
      <c r="RE74" s="11"/>
      <c r="RF74" s="11"/>
      <c r="RG74" s="11"/>
      <c r="RH74" s="11"/>
      <c r="RI74" s="11"/>
      <c r="RJ74" s="11"/>
      <c r="RK74" s="11"/>
      <c r="RL74" s="11"/>
      <c r="RM74" s="11"/>
      <c r="RN74" s="11"/>
      <c r="RO74" s="11"/>
      <c r="RP74" s="11"/>
      <c r="RQ74" s="11"/>
      <c r="RR74" s="11"/>
      <c r="RS74" s="11"/>
      <c r="RT74" s="11"/>
      <c r="RU74" s="11"/>
      <c r="RV74" s="11"/>
      <c r="RW74" s="11"/>
      <c r="RX74" s="11"/>
      <c r="RY74" s="11"/>
      <c r="RZ74" s="11"/>
      <c r="SA74" s="11"/>
      <c r="SB74" s="11"/>
      <c r="SC74" s="11"/>
      <c r="SD74" s="11"/>
      <c r="SE74" s="11"/>
      <c r="SF74" s="11"/>
      <c r="SG74" s="11"/>
      <c r="SH74" s="11"/>
      <c r="SI74" s="11"/>
      <c r="SJ74" s="11"/>
      <c r="SK74" s="11"/>
      <c r="SL74" s="11"/>
      <c r="SM74" s="11"/>
      <c r="SN74" s="11"/>
      <c r="SO74" s="11"/>
      <c r="SP74" s="11"/>
      <c r="SQ74" s="11"/>
      <c r="SR74" s="11"/>
      <c r="SS74" s="11"/>
      <c r="ST74" s="11"/>
      <c r="SU74" s="11"/>
      <c r="SV74" s="11"/>
      <c r="SW74" s="11"/>
      <c r="SX74" s="11"/>
      <c r="SY74" s="11"/>
      <c r="SZ74" s="11"/>
      <c r="TA74" s="11"/>
      <c r="TB74" s="11"/>
      <c r="TC74" s="11"/>
      <c r="TD74" s="11"/>
      <c r="TE74" s="11"/>
      <c r="TF74" s="11"/>
      <c r="TG74" s="11"/>
      <c r="TH74" s="11"/>
      <c r="TI74" s="11"/>
      <c r="TJ74" s="11"/>
      <c r="TK74" s="11"/>
      <c r="TL74" s="11"/>
      <c r="TM74" s="11"/>
      <c r="TN74" s="11"/>
      <c r="TO74" s="11"/>
      <c r="TP74" s="11"/>
      <c r="TQ74" s="11"/>
      <c r="TR74" s="11"/>
      <c r="TS74" s="11"/>
      <c r="TT74" s="11"/>
      <c r="TU74" s="11"/>
      <c r="TV74" s="11"/>
      <c r="TW74" s="11"/>
      <c r="TX74" s="11"/>
      <c r="TY74" s="11"/>
      <c r="TZ74" s="11"/>
      <c r="UA74" s="11"/>
      <c r="UB74" s="11"/>
      <c r="UC74" s="11"/>
      <c r="UD74" s="11"/>
      <c r="UE74" s="11"/>
      <c r="UF74" s="11"/>
      <c r="UG74" s="11"/>
      <c r="UH74" s="11"/>
      <c r="UI74" s="11"/>
      <c r="UJ74" s="11"/>
      <c r="UK74" s="11"/>
      <c r="UL74" s="11"/>
      <c r="UM74" s="11"/>
      <c r="UN74" s="11"/>
      <c r="UO74" s="11"/>
      <c r="UP74" s="11"/>
      <c r="UQ74" s="11"/>
      <c r="UR74" s="11"/>
      <c r="US74" s="11"/>
      <c r="UT74" s="11"/>
      <c r="UU74" s="11"/>
      <c r="UV74" s="11"/>
      <c r="UW74" s="11"/>
      <c r="UX74" s="11"/>
      <c r="UY74" s="11"/>
      <c r="UZ74" s="11"/>
      <c r="VA74" s="11"/>
      <c r="VB74" s="11"/>
      <c r="VC74" s="11"/>
      <c r="VD74" s="11"/>
      <c r="VE74" s="11"/>
      <c r="VF74" s="11"/>
      <c r="VG74" s="11"/>
      <c r="VH74" s="11"/>
      <c r="VI74" s="11"/>
      <c r="VJ74" s="11"/>
      <c r="VK74" s="11"/>
      <c r="VL74" s="11"/>
      <c r="VM74" s="11"/>
      <c r="VN74" s="11"/>
      <c r="VO74" s="11"/>
      <c r="VP74" s="11"/>
      <c r="VQ74" s="11"/>
      <c r="VR74" s="11"/>
      <c r="VS74" s="11"/>
      <c r="VT74" s="11"/>
      <c r="VU74" s="11"/>
      <c r="VV74" s="11"/>
      <c r="VW74" s="11"/>
      <c r="VX74" s="11"/>
      <c r="VY74" s="11"/>
      <c r="VZ74" s="11"/>
      <c r="WA74" s="11"/>
      <c r="WB74" s="11"/>
      <c r="WC74" s="11"/>
      <c r="WD74" s="11"/>
      <c r="WE74" s="11"/>
      <c r="WF74" s="11"/>
      <c r="WG74" s="11"/>
      <c r="WH74" s="11"/>
      <c r="WI74" s="11"/>
      <c r="WJ74" s="11"/>
      <c r="WK74" s="11"/>
      <c r="WL74" s="11"/>
      <c r="WM74" s="11"/>
      <c r="WN74" s="11"/>
      <c r="WO74" s="11"/>
      <c r="WP74" s="11"/>
      <c r="WQ74" s="11"/>
      <c r="WR74" s="11"/>
      <c r="WS74" s="11"/>
      <c r="WT74" s="11"/>
      <c r="WU74" s="11"/>
      <c r="WV74" s="11"/>
      <c r="WW74" s="11"/>
      <c r="WX74" s="11"/>
      <c r="WY74" s="11"/>
      <c r="WZ74" s="11"/>
      <c r="XA74" s="11"/>
      <c r="XB74" s="11"/>
      <c r="XC74" s="11"/>
      <c r="XD74" s="11"/>
      <c r="XE74" s="11"/>
      <c r="XF74" s="11"/>
      <c r="XG74" s="11"/>
      <c r="XH74" s="11"/>
      <c r="XI74" s="11"/>
      <c r="XJ74" s="11"/>
      <c r="XK74" s="11"/>
      <c r="XL74" s="11"/>
      <c r="XM74" s="11"/>
      <c r="XN74" s="11"/>
      <c r="XO74" s="11"/>
      <c r="XP74" s="11"/>
      <c r="XQ74" s="11"/>
      <c r="XR74" s="11"/>
      <c r="XS74" s="11"/>
      <c r="XT74" s="11"/>
      <c r="XU74" s="11"/>
      <c r="XV74" s="11"/>
      <c r="XW74" s="11"/>
      <c r="XX74" s="11"/>
      <c r="XY74" s="11"/>
      <c r="XZ74" s="11"/>
      <c r="YA74" s="11"/>
      <c r="YB74" s="11"/>
      <c r="YC74" s="11"/>
      <c r="YD74" s="11"/>
      <c r="YE74" s="11"/>
      <c r="YF74" s="11"/>
      <c r="YG74" s="11"/>
      <c r="YH74" s="11"/>
      <c r="YI74" s="11"/>
      <c r="YJ74" s="11"/>
      <c r="YK74" s="11"/>
      <c r="YL74" s="11"/>
      <c r="YM74" s="11"/>
      <c r="YN74" s="11"/>
      <c r="YO74" s="11"/>
      <c r="YP74" s="11"/>
      <c r="YQ74" s="11"/>
      <c r="YR74" s="11"/>
      <c r="YS74" s="11"/>
      <c r="YT74" s="11"/>
      <c r="YU74" s="11"/>
      <c r="YV74" s="11"/>
      <c r="YW74" s="11"/>
      <c r="YX74" s="11"/>
      <c r="YY74" s="11"/>
      <c r="YZ74" s="11"/>
      <c r="ZA74" s="11"/>
      <c r="ZB74" s="11"/>
      <c r="ZC74" s="11"/>
      <c r="ZD74" s="11"/>
      <c r="ZE74" s="11"/>
      <c r="ZF74" s="11"/>
      <c r="ZG74" s="11"/>
      <c r="ZH74" s="11"/>
      <c r="ZI74" s="11"/>
      <c r="ZJ74" s="11"/>
      <c r="ZK74" s="11"/>
      <c r="ZL74" s="11"/>
      <c r="ZM74" s="11"/>
      <c r="ZN74" s="11"/>
      <c r="ZO74" s="11"/>
      <c r="ZP74" s="11"/>
      <c r="ZQ74" s="11"/>
      <c r="ZR74" s="11"/>
      <c r="ZS74" s="11"/>
      <c r="ZT74" s="11"/>
      <c r="ZU74" s="11"/>
      <c r="ZV74" s="11"/>
      <c r="ZW74" s="11"/>
      <c r="ZX74" s="11"/>
      <c r="ZY74" s="11"/>
      <c r="ZZ74" s="11"/>
      <c r="AAA74" s="11"/>
      <c r="AAB74" s="11"/>
      <c r="AAC74" s="11"/>
      <c r="AAD74" s="11"/>
      <c r="AAE74" s="11"/>
      <c r="AAF74" s="11"/>
      <c r="AAG74" s="11"/>
      <c r="AAH74" s="11"/>
      <c r="AAI74" s="11"/>
      <c r="AAJ74" s="11"/>
      <c r="AAK74" s="11"/>
      <c r="AAL74" s="11"/>
      <c r="AAM74" s="11"/>
      <c r="AAN74" s="11"/>
      <c r="AAO74" s="11"/>
      <c r="AAP74" s="11"/>
      <c r="AAQ74" s="11"/>
      <c r="AAR74" s="11"/>
      <c r="AAS74" s="11"/>
      <c r="AAT74" s="11"/>
      <c r="AAU74" s="11"/>
      <c r="AAV74" s="11"/>
      <c r="AAW74" s="11"/>
      <c r="AAX74" s="11"/>
      <c r="AAY74" s="11"/>
      <c r="AAZ74" s="11"/>
      <c r="ABA74" s="11"/>
      <c r="ABB74" s="11"/>
      <c r="ABC74" s="11"/>
      <c r="ABD74" s="11"/>
      <c r="ABE74" s="11"/>
      <c r="ABF74" s="11"/>
      <c r="ABG74" s="11"/>
      <c r="ABH74" s="11"/>
      <c r="ABI74" s="11"/>
      <c r="ABJ74" s="11"/>
      <c r="ABK74" s="11"/>
      <c r="ABL74" s="11"/>
      <c r="ABM74" s="11"/>
      <c r="ABN74" s="11"/>
      <c r="ABO74" s="11"/>
      <c r="ABP74" s="11"/>
      <c r="ABQ74" s="11"/>
      <c r="ABR74" s="11"/>
      <c r="ABS74" s="11"/>
      <c r="ABT74" s="11"/>
      <c r="ABU74" s="11"/>
      <c r="ABV74" s="11"/>
      <c r="ABW74" s="11"/>
      <c r="ABX74" s="11"/>
      <c r="ABY74" s="11"/>
      <c r="ABZ74" s="11"/>
      <c r="ACA74" s="11"/>
      <c r="ACB74" s="11"/>
      <c r="ACC74" s="11"/>
      <c r="ACD74" s="11"/>
      <c r="ACE74" s="11"/>
      <c r="ACF74" s="11"/>
      <c r="ACG74" s="11"/>
      <c r="ACH74" s="11"/>
      <c r="ACI74" s="11"/>
      <c r="ACJ74" s="11"/>
      <c r="ACK74" s="11"/>
      <c r="ACL74" s="11"/>
      <c r="ACM74" s="11"/>
      <c r="ACN74" s="11"/>
      <c r="ACO74" s="11"/>
      <c r="ACP74" s="11"/>
      <c r="ACQ74" s="11"/>
      <c r="ACR74" s="11"/>
      <c r="ACS74" s="11"/>
      <c r="ACT74" s="11"/>
      <c r="ACU74" s="11"/>
      <c r="ACV74" s="11"/>
      <c r="ACW74" s="11"/>
      <c r="ACX74" s="11"/>
      <c r="ACY74" s="11"/>
      <c r="ACZ74" s="11"/>
      <c r="ADA74" s="11"/>
      <c r="ADB74" s="11"/>
      <c r="ADC74" s="11"/>
      <c r="ADD74" s="11"/>
      <c r="ADE74" s="11"/>
      <c r="ADF74" s="11"/>
      <c r="ADG74" s="11"/>
      <c r="ADH74" s="11"/>
      <c r="ADI74" s="11"/>
      <c r="ADJ74" s="11"/>
      <c r="ADK74" s="11"/>
      <c r="ADL74" s="11"/>
      <c r="ADM74" s="11"/>
      <c r="ADN74" s="11"/>
      <c r="ADO74" s="11"/>
      <c r="ADP74" s="11"/>
      <c r="ADQ74" s="11"/>
      <c r="ADR74" s="11"/>
      <c r="ADS74" s="11"/>
      <c r="ADT74" s="11"/>
      <c r="ADU74" s="11"/>
      <c r="ADV74" s="11"/>
      <c r="ADW74" s="11"/>
      <c r="ADX74" s="11"/>
      <c r="ADY74" s="11"/>
      <c r="ADZ74" s="11"/>
      <c r="AEA74" s="11"/>
      <c r="AEB74" s="11"/>
      <c r="AEC74" s="11"/>
      <c r="AED74" s="11"/>
      <c r="AEE74" s="11"/>
      <c r="AEF74" s="11"/>
      <c r="AEG74" s="11"/>
      <c r="AEH74" s="11"/>
      <c r="AEI74" s="11"/>
      <c r="AEJ74" s="11"/>
      <c r="AEK74" s="11"/>
      <c r="AEL74" s="11"/>
      <c r="AEM74" s="11"/>
      <c r="AEN74" s="11"/>
      <c r="AEO74" s="11"/>
      <c r="AEP74" s="11"/>
      <c r="AEQ74" s="11"/>
      <c r="AER74" s="11"/>
      <c r="AES74" s="11"/>
      <c r="AET74" s="11"/>
      <c r="AEU74" s="11"/>
      <c r="AEV74" s="11"/>
      <c r="AEW74" s="11"/>
      <c r="AEX74" s="11"/>
      <c r="AEY74" s="11"/>
      <c r="AEZ74" s="11"/>
      <c r="AFA74" s="11"/>
      <c r="AFB74" s="11"/>
      <c r="AFC74" s="11"/>
      <c r="AFD74" s="11"/>
      <c r="AFE74" s="11"/>
      <c r="AFF74" s="11"/>
      <c r="AFG74" s="11"/>
      <c r="AFH74" s="11"/>
      <c r="AFI74" s="11"/>
    </row>
    <row r="75" spans="2:841">
      <c r="B75" s="11"/>
      <c r="C75" s="657"/>
      <c r="D75" s="289" t="s">
        <v>629</v>
      </c>
      <c r="E75" s="551">
        <f>SUMIFS(M_Datos!$N$38:$N$40,M_Datos!$O$38:$O$40,M_Lista!G23)</f>
        <v>0</v>
      </c>
      <c r="F75" s="312" t="e">
        <f>IF(AND(M_FactoresComplement!$G$439="No",M_FactoresComplement!$G$441="No"),M_Cálculos!E75*VLOOKUP(M_Datos!$E$12&amp;M_Cálculos!D75,M_Factores!$M$10:$P$108,2,FALSE)/(10^3),IF(AND(M_FactoresComplement!$G$439="Sí",M_FactoresComplement!$G$441="No"),E75*M_FactoresComplement!G472/(10^3),E75*VLOOKUP(M_FactoresComplement!$C$467&amp;M_Datos!$E$12&amp;M_Lista!G22,M_FactoresComplement!$F$446:$I$781,2,FALSE)/(10^3)))</f>
        <v>#N/A</v>
      </c>
      <c r="G75" s="313" t="e">
        <f>IF(AND(M_FactoresComplement!$G$439="No",M_FactoresComplement!$G$441="No"),M_Cálculos!E75*VLOOKUP(M_Datos!$E$12&amp;M_Cálculos!D75,M_Factores!$M$10:$P$108,3,FALSE)/(10^3),IF(AND(M_FactoresComplement!$G$439="Sí",M_FactoresComplement!$G$441="No"),E75*M_FactoresComplement!H472/(10^3),E75*VLOOKUP(M_FactoresComplement!$C$467&amp;M_Datos!$E$12&amp;M_Lista!G22,M_FactoresComplement!$F$446:$I$781,3,FALSE)/(10^3)))</f>
        <v>#N/A</v>
      </c>
      <c r="H75" s="551">
        <f>SUMIFS(M_Datos!$P$38:$P$40,M_Datos!$Q$38:$Q$40,M_Lista!G23)</f>
        <v>0</v>
      </c>
      <c r="I75" s="312" t="e">
        <f>IF(AND(M_FactoresComplement!$G$439="No",M_FactoresComplement!$G$441="No"),M_Cálculos!H75*VLOOKUP(M_Datos!$E$12&amp;M_Cálculos!D75,M_Factores!$M$10:$P$108,2,FALSE)/(10^3),IF(AND(M_FactoresComplement!$G$439="Sí",M_FactoresComplement!$G$441="No"),H75*M_FactoresComplement!G472/(10^3),H75*VLOOKUP(M_FactoresComplement!$C$467&amp;M_Datos!$E$12&amp;M_Lista!G22,M_FactoresComplement!$F$446:$I$781,2,FALSE)/(10^3)))</f>
        <v>#N/A</v>
      </c>
      <c r="J75" s="313" t="e">
        <f>IF(AND(M_FactoresComplement!$G$439="No",M_FactoresComplement!$G$441="No"),M_Cálculos!H75*VLOOKUP(M_Datos!$E$12&amp;M_Cálculos!D75,M_Factores!$M$10:$P$108,3,FALSE)/(10^3),IF(AND(M_FactoresComplement!$G$439="Sí",M_FactoresComplement!$G$441="No"),H75*M_FactoresComplement!H472/(10^3),H75*VLOOKUP(M_FactoresComplement!$C$467&amp;M_Datos!$E$12&amp;M_Lista!G22,M_FactoresComplement!$F$446:$I$781,3,FALSE)/(10^3)))</f>
        <v>#N/A</v>
      </c>
      <c r="K75" s="551">
        <f>SUMIFS(M_Datos!$R$38:$R$40,M_Datos!$S$38:$S$40,M_Lista!G23)</f>
        <v>0</v>
      </c>
      <c r="L75" s="312" t="e">
        <f>IF(AND(M_FactoresComplement!$G$439="No",M_FactoresComplement!$G$441="No"),M_Cálculos!K75*VLOOKUP(M_Datos!$E$12&amp;M_Cálculos!D75,M_Factores!$M$10:$P$108,2,FALSE)/(10^3),IF(AND(M_FactoresComplement!$G$439="Sí",M_FactoresComplement!$G$441="No"),K75*M_FactoresComplement!G472/(10^3),K75*VLOOKUP(M_FactoresComplement!$C$467&amp;M_Datos!$E$12&amp;M_Lista!G22,M_FactoresComplement!$F$446:$I$781,2,FALSE)/(10^3)))</f>
        <v>#N/A</v>
      </c>
      <c r="M75" s="313" t="e">
        <f>IF(AND(M_FactoresComplement!$G$439="No",M_FactoresComplement!$G$441="No"),M_Cálculos!K75*VLOOKUP(M_Datos!$E$12&amp;M_Cálculos!D75,M_Factores!$M$10:$P$108,3,FALSE)/(10^3),IF(AND(M_FactoresComplement!$G$439="Sí",M_FactoresComplement!$G$441="No"),K75*M_FactoresComplement!H472/(10^3),K75*VLOOKUP(M_FactoresComplement!$C$467&amp;M_Datos!$E$12&amp;M_Lista!G22,M_FactoresComplement!$F$446:$I$781,3,FALSE)/(10^3)))</f>
        <v>#N/A</v>
      </c>
      <c r="N75" s="551">
        <f>SUMIFS(M_Datos!$T$38:$T$40,M_Datos!$U$38:$U$40,M_Lista!G23)</f>
        <v>0</v>
      </c>
      <c r="O75" s="312" t="e">
        <f>IF(AND(M_FactoresComplement!$G$439="No",M_FactoresComplement!$G$441="No"),M_Cálculos!N75*VLOOKUP(M_Datos!$E$12&amp;M_Cálculos!D75,M_Factores!$M$10:$P$108,2,FALSE)/(10^3),IF(AND(M_FactoresComplement!$G$439="Sí",M_FactoresComplement!$G$441="No"),N75*M_FactoresComplement!G472/(10^3),N75*VLOOKUP(M_FactoresComplement!$C$467&amp;M_Datos!$E$12&amp;M_Lista!G22,M_FactoresComplement!$F$446:$I$781,2,FALSE)/(10^3)))</f>
        <v>#N/A</v>
      </c>
      <c r="P75" s="313" t="e">
        <f>IF(AND(M_FactoresComplement!$G$439="No",M_FactoresComplement!$G$441="No"),M_Cálculos!N75*VLOOKUP(M_Datos!$E$12&amp;M_Cálculos!D75,M_Factores!$M$10:$P$108,3,FALSE)/(10^3),IF(AND(M_FactoresComplement!$G$439="Sí",M_FactoresComplement!$G$441="No"),N75*M_FactoresComplement!H472/(10^3),N75*VLOOKUP(M_FactoresComplement!$C$467&amp;M_Datos!$E$12&amp;M_Lista!G22,M_FactoresComplement!$F$446:$I$781,3,FALSE)/(10^3)))</f>
        <v>#N/A</v>
      </c>
      <c r="Q75" s="551">
        <f>SUMIFS(M_Datos!$V$38:$V$40,M_Datos!$W$38:$W$40,M_Lista!G23)</f>
        <v>0</v>
      </c>
      <c r="R75" s="312" t="e">
        <f>IF(AND(M_FactoresComplement!$G$439="No",M_FactoresComplement!$G$441="No"),M_Cálculos!Q75*VLOOKUP(M_Datos!$E$12&amp;M_Cálculos!D75,M_Factores!$M$10:$P$108,2,FALSE)/(10^3),IF(AND(M_FactoresComplement!$G$439="Sí",M_FactoresComplement!$G$441="No"),Q75*M_FactoresComplement!G472/(10^3),Q75*VLOOKUP(M_FactoresComplement!$C$467&amp;M_Datos!$E$12&amp;M_Lista!G22,M_FactoresComplement!$F$446:$I$781,2,FALSE)/(10^3)))</f>
        <v>#N/A</v>
      </c>
      <c r="S75" s="313" t="e">
        <f>IF(AND(M_FactoresComplement!$G$439="No",M_FactoresComplement!$G$441="No"),M_Cálculos!Q75*VLOOKUP(M_Datos!$E$12&amp;M_Cálculos!D75,M_Factores!$M$10:$P$108,3,FALSE)/(10^3),IF(AND(M_FactoresComplement!$G$439="Sí",M_FactoresComplement!$G$441="No"),Q75*M_FactoresComplement!H472/(10^3),Q75*VLOOKUP(M_FactoresComplement!$C$467&amp;M_Datos!$E$12&amp;M_Lista!G22,M_FactoresComplement!$F$446:$I$781,3,FALSE)/(10^3)))</f>
        <v>#N/A</v>
      </c>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c r="ZK75" s="11"/>
      <c r="ZL75" s="11"/>
      <c r="ZM75" s="11"/>
      <c r="ZN75" s="11"/>
      <c r="ZO75" s="11"/>
      <c r="ZP75" s="11"/>
      <c r="ZQ75" s="11"/>
      <c r="ZR75" s="11"/>
      <c r="ZS75" s="11"/>
      <c r="ZT75" s="11"/>
      <c r="ZU75" s="11"/>
      <c r="ZV75" s="11"/>
      <c r="ZW75" s="11"/>
      <c r="ZX75" s="11"/>
      <c r="ZY75" s="11"/>
      <c r="ZZ75" s="11"/>
      <c r="AAA75" s="11"/>
      <c r="AAB75" s="11"/>
      <c r="AAC75" s="11"/>
      <c r="AAD75" s="11"/>
      <c r="AAE75" s="11"/>
      <c r="AAF75" s="11"/>
      <c r="AAG75" s="11"/>
      <c r="AAH75" s="11"/>
      <c r="AAI75" s="11"/>
      <c r="AAJ75" s="11"/>
      <c r="AAK75" s="11"/>
      <c r="AAL75" s="11"/>
      <c r="AAM75" s="11"/>
      <c r="AAN75" s="11"/>
      <c r="AAO75" s="11"/>
      <c r="AAP75" s="11"/>
      <c r="AAQ75" s="11"/>
      <c r="AAR75" s="11"/>
      <c r="AAS75" s="11"/>
      <c r="AAT75" s="11"/>
      <c r="AAU75" s="11"/>
      <c r="AAV75" s="11"/>
      <c r="AAW75" s="11"/>
      <c r="AAX75" s="11"/>
      <c r="AAY75" s="11"/>
      <c r="AAZ75" s="11"/>
      <c r="ABA75" s="11"/>
      <c r="ABB75" s="11"/>
      <c r="ABC75" s="11"/>
      <c r="ABD75" s="11"/>
      <c r="ABE75" s="11"/>
      <c r="ABF75" s="11"/>
      <c r="ABG75" s="11"/>
      <c r="ABH75" s="11"/>
      <c r="ABI75" s="11"/>
      <c r="ABJ75" s="11"/>
      <c r="ABK75" s="11"/>
      <c r="ABL75" s="11"/>
      <c r="ABM75" s="11"/>
      <c r="ABN75" s="11"/>
      <c r="ABO75" s="11"/>
      <c r="ABP75" s="11"/>
      <c r="ABQ75" s="11"/>
      <c r="ABR75" s="11"/>
      <c r="ABS75" s="11"/>
      <c r="ABT75" s="11"/>
      <c r="ABU75" s="11"/>
      <c r="ABV75" s="11"/>
      <c r="ABW75" s="11"/>
      <c r="ABX75" s="11"/>
      <c r="ABY75" s="11"/>
      <c r="ABZ75" s="11"/>
      <c r="ACA75" s="11"/>
      <c r="ACB75" s="11"/>
      <c r="ACC75" s="11"/>
      <c r="ACD75" s="11"/>
      <c r="ACE75" s="11"/>
      <c r="ACF75" s="11"/>
      <c r="ACG75" s="11"/>
      <c r="ACH75" s="11"/>
      <c r="ACI75" s="11"/>
      <c r="ACJ75" s="11"/>
      <c r="ACK75" s="11"/>
      <c r="ACL75" s="11"/>
      <c r="ACM75" s="11"/>
      <c r="ACN75" s="11"/>
      <c r="ACO75" s="11"/>
      <c r="ACP75" s="11"/>
      <c r="ACQ75" s="11"/>
      <c r="ACR75" s="11"/>
      <c r="ACS75" s="11"/>
      <c r="ACT75" s="11"/>
      <c r="ACU75" s="11"/>
      <c r="ACV75" s="11"/>
      <c r="ACW75" s="11"/>
      <c r="ACX75" s="11"/>
      <c r="ACY75" s="11"/>
      <c r="ACZ75" s="11"/>
      <c r="ADA75" s="11"/>
      <c r="ADB75" s="11"/>
      <c r="ADC75" s="11"/>
      <c r="ADD75" s="11"/>
      <c r="ADE75" s="11"/>
      <c r="ADF75" s="11"/>
      <c r="ADG75" s="11"/>
      <c r="ADH75" s="11"/>
      <c r="ADI75" s="11"/>
      <c r="ADJ75" s="11"/>
      <c r="ADK75" s="11"/>
      <c r="ADL75" s="11"/>
      <c r="ADM75" s="11"/>
      <c r="ADN75" s="11"/>
      <c r="ADO75" s="11"/>
      <c r="ADP75" s="11"/>
      <c r="ADQ75" s="11"/>
      <c r="ADR75" s="11"/>
      <c r="ADS75" s="11"/>
      <c r="ADT75" s="11"/>
      <c r="ADU75" s="11"/>
      <c r="ADV75" s="11"/>
      <c r="ADW75" s="11"/>
      <c r="ADX75" s="11"/>
      <c r="ADY75" s="11"/>
      <c r="ADZ75" s="11"/>
      <c r="AEA75" s="11"/>
      <c r="AEB75" s="11"/>
      <c r="AEC75" s="11"/>
      <c r="AED75" s="11"/>
      <c r="AEE75" s="11"/>
      <c r="AEF75" s="11"/>
      <c r="AEG75" s="11"/>
      <c r="AEH75" s="11"/>
      <c r="AEI75" s="11"/>
      <c r="AEJ75" s="11"/>
      <c r="AEK75" s="11"/>
      <c r="AEL75" s="11"/>
      <c r="AEM75" s="11"/>
      <c r="AEN75" s="11"/>
      <c r="AEO75" s="11"/>
      <c r="AEP75" s="11"/>
      <c r="AEQ75" s="11"/>
      <c r="AER75" s="11"/>
      <c r="AES75" s="11"/>
      <c r="AET75" s="11"/>
      <c r="AEU75" s="11"/>
      <c r="AEV75" s="11"/>
      <c r="AEW75" s="11"/>
      <c r="AEX75" s="11"/>
      <c r="AEY75" s="11"/>
      <c r="AEZ75" s="11"/>
      <c r="AFA75" s="11"/>
      <c r="AFB75" s="11"/>
      <c r="AFC75" s="11"/>
      <c r="AFD75" s="11"/>
      <c r="AFE75" s="11"/>
      <c r="AFF75" s="11"/>
      <c r="AFG75" s="11"/>
      <c r="AFH75" s="11"/>
      <c r="AFI75" s="11"/>
    </row>
    <row r="76" spans="2:841">
      <c r="B76" s="11"/>
      <c r="C76" s="657"/>
      <c r="D76" s="289" t="str">
        <f>IF(Idioma=Castellano,"Sin definir",IF(Idioma=Valencià,"Sense definir","Sin definir"))</f>
        <v>Sin definir</v>
      </c>
      <c r="E76" s="551">
        <f>SUMIFS(M_Datos!$N$38:$N$40,M_Datos!$O$38:$O$40,M_Lista!G24)</f>
        <v>0</v>
      </c>
      <c r="F76" s="312" t="e">
        <f>IF(AND(M_FactoresComplement!$G$439="No",M_FactoresComplement!$G$441="No"),M_Cálculos!E76*VLOOKUP(M_Datos!$E$12&amp;M_Cálculos!D76,M_Factores!$M$10:$P$108,2,FALSE)/(10^3),IF(AND(M_FactoresComplement!$G$439="Sí",M_FactoresComplement!$G$441="No"),E76*M_FactoresComplement!G473/(10^3),E76*VLOOKUP(M_FactoresComplement!$C$467&amp;M_Datos!$E$12&amp;M_Lista!G23,M_FactoresComplement!$F$446:$I$781,2,FALSE)/(10^3)))</f>
        <v>#N/A</v>
      </c>
      <c r="G76" s="313" t="e">
        <f>IF(AND(M_FactoresComplement!$G$439="No",M_FactoresComplement!$G$441="No"),M_Cálculos!E76*VLOOKUP(M_Datos!$E$12&amp;M_Cálculos!D76,M_Factores!$M$10:$P$108,3,FALSE)/(10^3),IF(AND(M_FactoresComplement!$G$439="Sí",M_FactoresComplement!$G$441="No"),E76*M_FactoresComplement!H473/(10^3),E76*VLOOKUP(M_FactoresComplement!$C$467&amp;M_Datos!$E$12&amp;M_Lista!G23,M_FactoresComplement!$F$446:$I$781,3,FALSE)/(10^3)))</f>
        <v>#N/A</v>
      </c>
      <c r="H76" s="551">
        <f>SUMIFS(M_Datos!$P$38:$P$40,M_Datos!$Q$38:$Q$40,M_Lista!G24)</f>
        <v>0</v>
      </c>
      <c r="I76" s="312" t="e">
        <f>IF(AND(M_FactoresComplement!$G$439="No",M_FactoresComplement!$G$441="No"),M_Cálculos!H76*VLOOKUP(M_Datos!$E$12&amp;M_Cálculos!D76,M_Factores!$M$10:$P$108,2,FALSE)/(10^3),IF(AND(M_FactoresComplement!$G$439="Sí",M_FactoresComplement!$G$441="No"),H76*M_FactoresComplement!G473/(10^3),H76*VLOOKUP(M_FactoresComplement!$C$467&amp;M_Datos!$E$12&amp;M_Lista!G23,M_FactoresComplement!$F$446:$I$781,2,FALSE)/(10^3)))</f>
        <v>#N/A</v>
      </c>
      <c r="J76" s="313" t="e">
        <f>IF(AND(M_FactoresComplement!$G$439="No",M_FactoresComplement!$G$441="No"),M_Cálculos!H76*VLOOKUP(M_Datos!$E$12&amp;M_Cálculos!D76,M_Factores!$M$10:$P$108,3,FALSE)/(10^3),IF(AND(M_FactoresComplement!$G$439="Sí",M_FactoresComplement!$G$441="No"),H76*M_FactoresComplement!H473/(10^3),H76*VLOOKUP(M_FactoresComplement!$C$467&amp;M_Datos!$E$12&amp;M_Lista!G23,M_FactoresComplement!$F$446:$I$781,3,FALSE)/(10^3)))</f>
        <v>#N/A</v>
      </c>
      <c r="K76" s="551">
        <f>SUMIFS(M_Datos!$R$38:$R$40,M_Datos!$S$38:$S$40,M_Lista!G24)</f>
        <v>0</v>
      </c>
      <c r="L76" s="312" t="e">
        <f>IF(AND(M_FactoresComplement!$G$439="No",M_FactoresComplement!$G$441="No"),M_Cálculos!K76*VLOOKUP(M_Datos!$E$12&amp;M_Cálculos!D76,M_Factores!$M$10:$P$108,2,FALSE)/(10^3),IF(AND(M_FactoresComplement!$G$439="Sí",M_FactoresComplement!$G$441="No"),K76*M_FactoresComplement!G473/(10^3),K76*VLOOKUP(M_FactoresComplement!$C$467&amp;M_Datos!$E$12&amp;M_Lista!G23,M_FactoresComplement!$F$446:$I$781,2,FALSE)/(10^3)))</f>
        <v>#N/A</v>
      </c>
      <c r="M76" s="313" t="e">
        <f>IF(AND(M_FactoresComplement!$G$439="No",M_FactoresComplement!$G$441="No"),M_Cálculos!K76*VLOOKUP(M_Datos!$E$12&amp;M_Cálculos!D76,M_Factores!$M$10:$P$108,3,FALSE)/(10^3),IF(AND(M_FactoresComplement!$G$439="Sí",M_FactoresComplement!$G$441="No"),K76*M_FactoresComplement!H473/(10^3),K76*VLOOKUP(M_FactoresComplement!$C$467&amp;M_Datos!$E$12&amp;M_Lista!G23,M_FactoresComplement!$F$446:$I$781,3,FALSE)/(10^3)))</f>
        <v>#N/A</v>
      </c>
      <c r="N76" s="551">
        <f>SUMIFS(M_Datos!$T$38:$T$40,M_Datos!$U$38:$U$40,M_Lista!G24)</f>
        <v>0</v>
      </c>
      <c r="O76" s="312" t="e">
        <f>IF(AND(M_FactoresComplement!$G$439="No",M_FactoresComplement!$G$441="No"),M_Cálculos!N76*VLOOKUP(M_Datos!$E$12&amp;M_Cálculos!D76,M_Factores!$M$10:$P$108,2,FALSE)/(10^3),IF(AND(M_FactoresComplement!$G$439="Sí",M_FactoresComplement!$G$441="No"),N76*M_FactoresComplement!G473/(10^3),N76*VLOOKUP(M_FactoresComplement!$C$467&amp;M_Datos!$E$12&amp;M_Lista!G23,M_FactoresComplement!$F$446:$I$781,2,FALSE)/(10^3)))</f>
        <v>#N/A</v>
      </c>
      <c r="P76" s="313" t="e">
        <f>IF(AND(M_FactoresComplement!$G$439="No",M_FactoresComplement!$G$441="No"),M_Cálculos!N76*VLOOKUP(M_Datos!$E$12&amp;M_Cálculos!D76,M_Factores!$M$10:$P$108,3,FALSE)/(10^3),IF(AND(M_FactoresComplement!$G$439="Sí",M_FactoresComplement!$G$441="No"),N76*M_FactoresComplement!H473/(10^3),N76*VLOOKUP(M_FactoresComplement!$C$467&amp;M_Datos!$E$12&amp;M_Lista!G23,M_FactoresComplement!$F$446:$I$781,3,FALSE)/(10^3)))</f>
        <v>#N/A</v>
      </c>
      <c r="Q76" s="551">
        <f>SUMIFS(M_Datos!$V$38:$V$40,M_Datos!$W$38:$W$40,M_Lista!G24)</f>
        <v>0</v>
      </c>
      <c r="R76" s="312" t="e">
        <f>IF(AND(M_FactoresComplement!$G$439="No",M_FactoresComplement!$G$441="No"),M_Cálculos!Q76*VLOOKUP(M_Datos!$E$12&amp;M_Cálculos!D76,M_Factores!$M$10:$P$108,2,FALSE)/(10^3),IF(AND(M_FactoresComplement!$G$439="Sí",M_FactoresComplement!$G$441="No"),Q76*M_FactoresComplement!G473/(10^3),Q76*VLOOKUP(M_FactoresComplement!$C$467&amp;M_Datos!$E$12&amp;M_Lista!G23,M_FactoresComplement!$F$446:$I$781,2,FALSE)/(10^3)))</f>
        <v>#N/A</v>
      </c>
      <c r="S76" s="313" t="e">
        <f>IF(AND(M_FactoresComplement!$G$439="No",M_FactoresComplement!$G$441="No"),M_Cálculos!Q76*VLOOKUP(M_Datos!$E$12&amp;M_Cálculos!D76,M_Factores!$M$10:$P$108,3,FALSE)/(10^3),IF(AND(M_FactoresComplement!$G$439="Sí",M_FactoresComplement!$G$441="No"),Q76*M_FactoresComplement!H473/(10^3),Q76*VLOOKUP(M_FactoresComplement!$C$467&amp;M_Datos!$E$12&amp;M_Lista!G23,M_FactoresComplement!$F$446:$I$781,3,FALSE)/(10^3)))</f>
        <v>#N/A</v>
      </c>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c r="KA76" s="11"/>
      <c r="KB76" s="11"/>
      <c r="KC76" s="11"/>
      <c r="KD76" s="11"/>
      <c r="KE76" s="11"/>
      <c r="KF76" s="11"/>
      <c r="KG76" s="11"/>
      <c r="KH76" s="11"/>
      <c r="KI76" s="11"/>
      <c r="KJ76" s="11"/>
      <c r="KK76" s="11"/>
      <c r="KL76" s="11"/>
      <c r="KM76" s="11"/>
      <c r="KN76" s="11"/>
      <c r="KO76" s="11"/>
      <c r="KP76" s="11"/>
      <c r="KQ76" s="11"/>
      <c r="KR76" s="11"/>
      <c r="KS76" s="11"/>
      <c r="KT76" s="11"/>
      <c r="KU76" s="11"/>
      <c r="KV76" s="11"/>
      <c r="KW76" s="11"/>
      <c r="KX76" s="11"/>
      <c r="KY76" s="11"/>
      <c r="KZ76" s="11"/>
      <c r="LA76" s="11"/>
      <c r="LB76" s="11"/>
      <c r="LC76" s="11"/>
      <c r="LD76" s="11"/>
      <c r="LE76" s="11"/>
      <c r="LF76" s="11"/>
      <c r="LG76" s="11"/>
      <c r="LH76" s="11"/>
      <c r="LI76" s="11"/>
      <c r="LJ76" s="11"/>
      <c r="LK76" s="11"/>
      <c r="LL76" s="11"/>
      <c r="LM76" s="11"/>
      <c r="LN76" s="11"/>
      <c r="LO76" s="11"/>
      <c r="LP76" s="11"/>
      <c r="LQ76" s="11"/>
      <c r="LR76" s="11"/>
      <c r="LS76" s="11"/>
      <c r="LT76" s="11"/>
      <c r="LU76" s="11"/>
      <c r="LV76" s="11"/>
      <c r="LW76" s="11"/>
      <c r="LX76" s="11"/>
      <c r="LY76" s="11"/>
      <c r="LZ76" s="11"/>
      <c r="MA76" s="11"/>
      <c r="MB76" s="11"/>
      <c r="MC76" s="11"/>
      <c r="MD76" s="11"/>
      <c r="ME76" s="11"/>
      <c r="MF76" s="11"/>
      <c r="MG76" s="11"/>
      <c r="MH76" s="11"/>
      <c r="MI76" s="11"/>
      <c r="MJ76" s="11"/>
      <c r="MK76" s="11"/>
      <c r="ML76" s="11"/>
      <c r="MM76" s="11"/>
      <c r="MN76" s="11"/>
      <c r="MO76" s="11"/>
      <c r="MP76" s="11"/>
      <c r="MQ76" s="11"/>
      <c r="MR76" s="11"/>
      <c r="MS76" s="11"/>
      <c r="MT76" s="11"/>
      <c r="MU76" s="11"/>
      <c r="MV76" s="11"/>
      <c r="MW76" s="11"/>
      <c r="MX76" s="11"/>
      <c r="MY76" s="11"/>
      <c r="MZ76" s="11"/>
      <c r="NA76" s="11"/>
      <c r="NB76" s="11"/>
      <c r="NC76" s="11"/>
      <c r="ND76" s="11"/>
      <c r="NE76" s="11"/>
      <c r="NF76" s="11"/>
      <c r="NG76" s="11"/>
      <c r="NH76" s="11"/>
      <c r="NI76" s="11"/>
      <c r="NJ76" s="11"/>
      <c r="NK76" s="11"/>
      <c r="NL76" s="11"/>
      <c r="NM76" s="11"/>
      <c r="NN76" s="11"/>
      <c r="NO76" s="11"/>
      <c r="NP76" s="11"/>
      <c r="NQ76" s="11"/>
      <c r="NR76" s="11"/>
      <c r="NS76" s="11"/>
      <c r="NT76" s="11"/>
      <c r="NU76" s="11"/>
      <c r="NV76" s="11"/>
      <c r="NW76" s="11"/>
      <c r="NX76" s="11"/>
      <c r="NY76" s="11"/>
      <c r="NZ76" s="11"/>
      <c r="OA76" s="11"/>
      <c r="OB76" s="11"/>
      <c r="OC76" s="11"/>
      <c r="OD76" s="11"/>
      <c r="OE76" s="11"/>
      <c r="OF76" s="11"/>
      <c r="OG76" s="11"/>
      <c r="OH76" s="11"/>
      <c r="OI76" s="11"/>
      <c r="OJ76" s="11"/>
      <c r="OK76" s="11"/>
      <c r="OL76" s="11"/>
      <c r="OM76" s="11"/>
      <c r="ON76" s="11"/>
      <c r="OO76" s="11"/>
      <c r="OP76" s="11"/>
      <c r="OQ76" s="11"/>
      <c r="OR76" s="11"/>
      <c r="OS76" s="11"/>
      <c r="OT76" s="11"/>
      <c r="OU76" s="11"/>
      <c r="OV76" s="11"/>
      <c r="OW76" s="11"/>
      <c r="OX76" s="11"/>
      <c r="OY76" s="11"/>
      <c r="OZ76" s="11"/>
      <c r="PA76" s="11"/>
      <c r="PB76" s="11"/>
      <c r="PC76" s="11"/>
      <c r="PD76" s="11"/>
      <c r="PE76" s="11"/>
      <c r="PF76" s="11"/>
      <c r="PG76" s="11"/>
      <c r="PH76" s="11"/>
      <c r="PI76" s="11"/>
      <c r="PJ76" s="11"/>
      <c r="PK76" s="11"/>
      <c r="PL76" s="11"/>
      <c r="PM76" s="11"/>
      <c r="PN76" s="11"/>
      <c r="PO76" s="11"/>
      <c r="PP76" s="11"/>
      <c r="PQ76" s="11"/>
      <c r="PR76" s="11"/>
      <c r="PS76" s="11"/>
      <c r="PT76" s="11"/>
      <c r="PU76" s="11"/>
      <c r="PV76" s="11"/>
      <c r="PW76" s="11"/>
      <c r="PX76" s="11"/>
      <c r="PY76" s="11"/>
      <c r="PZ76" s="11"/>
      <c r="QA76" s="11"/>
      <c r="QB76" s="11"/>
      <c r="QC76" s="11"/>
      <c r="QD76" s="11"/>
      <c r="QE76" s="11"/>
      <c r="QF76" s="11"/>
      <c r="QG76" s="11"/>
      <c r="QH76" s="11"/>
      <c r="QI76" s="11"/>
      <c r="QJ76" s="11"/>
      <c r="QK76" s="11"/>
      <c r="QL76" s="11"/>
      <c r="QM76" s="11"/>
      <c r="QN76" s="11"/>
      <c r="QO76" s="11"/>
      <c r="QP76" s="11"/>
      <c r="QQ76" s="11"/>
      <c r="QR76" s="11"/>
      <c r="QS76" s="11"/>
      <c r="QT76" s="11"/>
      <c r="QU76" s="11"/>
      <c r="QV76" s="11"/>
      <c r="QW76" s="11"/>
      <c r="QX76" s="11"/>
      <c r="QY76" s="11"/>
      <c r="QZ76" s="11"/>
      <c r="RA76" s="11"/>
      <c r="RB76" s="11"/>
      <c r="RC76" s="11"/>
      <c r="RD76" s="11"/>
      <c r="RE76" s="11"/>
      <c r="RF76" s="11"/>
      <c r="RG76" s="11"/>
      <c r="RH76" s="11"/>
      <c r="RI76" s="11"/>
      <c r="RJ76" s="11"/>
      <c r="RK76" s="11"/>
      <c r="RL76" s="11"/>
      <c r="RM76" s="11"/>
      <c r="RN76" s="11"/>
      <c r="RO76" s="11"/>
      <c r="RP76" s="11"/>
      <c r="RQ76" s="11"/>
      <c r="RR76" s="11"/>
      <c r="RS76" s="11"/>
      <c r="RT76" s="11"/>
      <c r="RU76" s="11"/>
      <c r="RV76" s="11"/>
      <c r="RW76" s="11"/>
      <c r="RX76" s="11"/>
      <c r="RY76" s="11"/>
      <c r="RZ76" s="11"/>
      <c r="SA76" s="11"/>
      <c r="SB76" s="11"/>
      <c r="SC76" s="11"/>
      <c r="SD76" s="11"/>
      <c r="SE76" s="11"/>
      <c r="SF76" s="11"/>
      <c r="SG76" s="11"/>
      <c r="SH76" s="11"/>
      <c r="SI76" s="11"/>
      <c r="SJ76" s="11"/>
      <c r="SK76" s="11"/>
      <c r="SL76" s="11"/>
      <c r="SM76" s="11"/>
      <c r="SN76" s="11"/>
      <c r="SO76" s="11"/>
      <c r="SP76" s="11"/>
      <c r="SQ76" s="11"/>
      <c r="SR76" s="11"/>
      <c r="SS76" s="11"/>
      <c r="ST76" s="11"/>
      <c r="SU76" s="11"/>
      <c r="SV76" s="11"/>
      <c r="SW76" s="11"/>
      <c r="SX76" s="11"/>
      <c r="SY76" s="11"/>
      <c r="SZ76" s="11"/>
      <c r="TA76" s="11"/>
      <c r="TB76" s="11"/>
      <c r="TC76" s="11"/>
      <c r="TD76" s="11"/>
      <c r="TE76" s="11"/>
      <c r="TF76" s="11"/>
      <c r="TG76" s="11"/>
      <c r="TH76" s="11"/>
      <c r="TI76" s="11"/>
      <c r="TJ76" s="11"/>
      <c r="TK76" s="11"/>
      <c r="TL76" s="11"/>
      <c r="TM76" s="11"/>
      <c r="TN76" s="11"/>
      <c r="TO76" s="11"/>
      <c r="TP76" s="11"/>
      <c r="TQ76" s="11"/>
      <c r="TR76" s="11"/>
      <c r="TS76" s="11"/>
      <c r="TT76" s="11"/>
      <c r="TU76" s="11"/>
      <c r="TV76" s="11"/>
      <c r="TW76" s="11"/>
      <c r="TX76" s="11"/>
      <c r="TY76" s="11"/>
      <c r="TZ76" s="11"/>
      <c r="UA76" s="11"/>
      <c r="UB76" s="11"/>
      <c r="UC76" s="11"/>
      <c r="UD76" s="11"/>
      <c r="UE76" s="11"/>
      <c r="UF76" s="11"/>
      <c r="UG76" s="11"/>
      <c r="UH76" s="11"/>
      <c r="UI76" s="11"/>
      <c r="UJ76" s="11"/>
      <c r="UK76" s="11"/>
      <c r="UL76" s="11"/>
      <c r="UM76" s="11"/>
      <c r="UN76" s="11"/>
      <c r="UO76" s="11"/>
      <c r="UP76" s="11"/>
      <c r="UQ76" s="11"/>
      <c r="UR76" s="11"/>
      <c r="US76" s="11"/>
      <c r="UT76" s="11"/>
      <c r="UU76" s="11"/>
      <c r="UV76" s="11"/>
      <c r="UW76" s="11"/>
      <c r="UX76" s="11"/>
      <c r="UY76" s="11"/>
      <c r="UZ76" s="11"/>
      <c r="VA76" s="11"/>
      <c r="VB76" s="11"/>
      <c r="VC76" s="11"/>
      <c r="VD76" s="11"/>
      <c r="VE76" s="11"/>
      <c r="VF76" s="11"/>
      <c r="VG76" s="11"/>
      <c r="VH76" s="11"/>
      <c r="VI76" s="11"/>
      <c r="VJ76" s="11"/>
      <c r="VK76" s="11"/>
      <c r="VL76" s="11"/>
      <c r="VM76" s="11"/>
      <c r="VN76" s="11"/>
      <c r="VO76" s="11"/>
      <c r="VP76" s="11"/>
      <c r="VQ76" s="11"/>
      <c r="VR76" s="11"/>
      <c r="VS76" s="11"/>
      <c r="VT76" s="11"/>
      <c r="VU76" s="11"/>
      <c r="VV76" s="11"/>
      <c r="VW76" s="11"/>
      <c r="VX76" s="11"/>
      <c r="VY76" s="11"/>
      <c r="VZ76" s="11"/>
      <c r="WA76" s="11"/>
      <c r="WB76" s="11"/>
      <c r="WC76" s="11"/>
      <c r="WD76" s="11"/>
      <c r="WE76" s="11"/>
      <c r="WF76" s="11"/>
      <c r="WG76" s="11"/>
      <c r="WH76" s="11"/>
      <c r="WI76" s="11"/>
      <c r="WJ76" s="11"/>
      <c r="WK76" s="11"/>
      <c r="WL76" s="11"/>
      <c r="WM76" s="11"/>
      <c r="WN76" s="11"/>
      <c r="WO76" s="11"/>
      <c r="WP76" s="11"/>
      <c r="WQ76" s="11"/>
      <c r="WR76" s="11"/>
      <c r="WS76" s="11"/>
      <c r="WT76" s="11"/>
      <c r="WU76" s="11"/>
      <c r="WV76" s="11"/>
      <c r="WW76" s="11"/>
      <c r="WX76" s="11"/>
      <c r="WY76" s="11"/>
      <c r="WZ76" s="11"/>
      <c r="XA76" s="11"/>
      <c r="XB76" s="11"/>
      <c r="XC76" s="11"/>
      <c r="XD76" s="11"/>
      <c r="XE76" s="11"/>
      <c r="XF76" s="11"/>
      <c r="XG76" s="11"/>
      <c r="XH76" s="11"/>
      <c r="XI76" s="11"/>
      <c r="XJ76" s="11"/>
      <c r="XK76" s="11"/>
      <c r="XL76" s="11"/>
      <c r="XM76" s="11"/>
      <c r="XN76" s="11"/>
      <c r="XO76" s="11"/>
      <c r="XP76" s="11"/>
      <c r="XQ76" s="11"/>
      <c r="XR76" s="11"/>
      <c r="XS76" s="11"/>
      <c r="XT76" s="11"/>
      <c r="XU76" s="11"/>
      <c r="XV76" s="11"/>
      <c r="XW76" s="11"/>
      <c r="XX76" s="11"/>
      <c r="XY76" s="11"/>
      <c r="XZ76" s="11"/>
      <c r="YA76" s="11"/>
      <c r="YB76" s="11"/>
      <c r="YC76" s="11"/>
      <c r="YD76" s="11"/>
      <c r="YE76" s="11"/>
      <c r="YF76" s="11"/>
      <c r="YG76" s="11"/>
      <c r="YH76" s="11"/>
      <c r="YI76" s="11"/>
      <c r="YJ76" s="11"/>
      <c r="YK76" s="11"/>
      <c r="YL76" s="11"/>
      <c r="YM76" s="11"/>
      <c r="YN76" s="11"/>
      <c r="YO76" s="11"/>
      <c r="YP76" s="11"/>
      <c r="YQ76" s="11"/>
      <c r="YR76" s="11"/>
      <c r="YS76" s="11"/>
      <c r="YT76" s="11"/>
      <c r="YU76" s="11"/>
      <c r="YV76" s="11"/>
      <c r="YW76" s="11"/>
      <c r="YX76" s="11"/>
      <c r="YY76" s="11"/>
      <c r="YZ76" s="11"/>
      <c r="ZA76" s="11"/>
      <c r="ZB76" s="11"/>
      <c r="ZC76" s="11"/>
      <c r="ZD76" s="11"/>
      <c r="ZE76" s="11"/>
      <c r="ZF76" s="11"/>
      <c r="ZG76" s="11"/>
      <c r="ZH76" s="11"/>
      <c r="ZI76" s="11"/>
      <c r="ZJ76" s="11"/>
      <c r="ZK76" s="11"/>
      <c r="ZL76" s="11"/>
      <c r="ZM76" s="11"/>
      <c r="ZN76" s="11"/>
      <c r="ZO76" s="11"/>
      <c r="ZP76" s="11"/>
      <c r="ZQ76" s="11"/>
      <c r="ZR76" s="11"/>
      <c r="ZS76" s="11"/>
      <c r="ZT76" s="11"/>
      <c r="ZU76" s="11"/>
      <c r="ZV76" s="11"/>
      <c r="ZW76" s="11"/>
      <c r="ZX76" s="11"/>
      <c r="ZY76" s="11"/>
      <c r="ZZ76" s="11"/>
      <c r="AAA76" s="11"/>
      <c r="AAB76" s="11"/>
      <c r="AAC76" s="11"/>
      <c r="AAD76" s="11"/>
      <c r="AAE76" s="11"/>
      <c r="AAF76" s="11"/>
      <c r="AAG76" s="11"/>
      <c r="AAH76" s="11"/>
      <c r="AAI76" s="11"/>
      <c r="AAJ76" s="11"/>
      <c r="AAK76" s="11"/>
      <c r="AAL76" s="11"/>
      <c r="AAM76" s="11"/>
      <c r="AAN76" s="11"/>
      <c r="AAO76" s="11"/>
      <c r="AAP76" s="11"/>
      <c r="AAQ76" s="11"/>
      <c r="AAR76" s="11"/>
      <c r="AAS76" s="11"/>
      <c r="AAT76" s="11"/>
      <c r="AAU76" s="11"/>
      <c r="AAV76" s="11"/>
      <c r="AAW76" s="11"/>
      <c r="AAX76" s="11"/>
      <c r="AAY76" s="11"/>
      <c r="AAZ76" s="11"/>
      <c r="ABA76" s="11"/>
      <c r="ABB76" s="11"/>
      <c r="ABC76" s="11"/>
      <c r="ABD76" s="11"/>
      <c r="ABE76" s="11"/>
      <c r="ABF76" s="11"/>
      <c r="ABG76" s="11"/>
      <c r="ABH76" s="11"/>
      <c r="ABI76" s="11"/>
      <c r="ABJ76" s="11"/>
      <c r="ABK76" s="11"/>
      <c r="ABL76" s="11"/>
      <c r="ABM76" s="11"/>
      <c r="ABN76" s="11"/>
      <c r="ABO76" s="11"/>
      <c r="ABP76" s="11"/>
      <c r="ABQ76" s="11"/>
      <c r="ABR76" s="11"/>
      <c r="ABS76" s="11"/>
      <c r="ABT76" s="11"/>
      <c r="ABU76" s="11"/>
      <c r="ABV76" s="11"/>
      <c r="ABW76" s="11"/>
      <c r="ABX76" s="11"/>
      <c r="ABY76" s="11"/>
      <c r="ABZ76" s="11"/>
      <c r="ACA76" s="11"/>
      <c r="ACB76" s="11"/>
      <c r="ACC76" s="11"/>
      <c r="ACD76" s="11"/>
      <c r="ACE76" s="11"/>
      <c r="ACF76" s="11"/>
      <c r="ACG76" s="11"/>
      <c r="ACH76" s="11"/>
      <c r="ACI76" s="11"/>
      <c r="ACJ76" s="11"/>
      <c r="ACK76" s="11"/>
      <c r="ACL76" s="11"/>
      <c r="ACM76" s="11"/>
      <c r="ACN76" s="11"/>
      <c r="ACO76" s="11"/>
      <c r="ACP76" s="11"/>
      <c r="ACQ76" s="11"/>
      <c r="ACR76" s="11"/>
      <c r="ACS76" s="11"/>
      <c r="ACT76" s="11"/>
      <c r="ACU76" s="11"/>
      <c r="ACV76" s="11"/>
      <c r="ACW76" s="11"/>
      <c r="ACX76" s="11"/>
      <c r="ACY76" s="11"/>
      <c r="ACZ76" s="11"/>
      <c r="ADA76" s="11"/>
      <c r="ADB76" s="11"/>
      <c r="ADC76" s="11"/>
      <c r="ADD76" s="11"/>
      <c r="ADE76" s="11"/>
      <c r="ADF76" s="11"/>
      <c r="ADG76" s="11"/>
      <c r="ADH76" s="11"/>
      <c r="ADI76" s="11"/>
      <c r="ADJ76" s="11"/>
      <c r="ADK76" s="11"/>
      <c r="ADL76" s="11"/>
      <c r="ADM76" s="11"/>
      <c r="ADN76" s="11"/>
      <c r="ADO76" s="11"/>
      <c r="ADP76" s="11"/>
      <c r="ADQ76" s="11"/>
      <c r="ADR76" s="11"/>
      <c r="ADS76" s="11"/>
      <c r="ADT76" s="11"/>
      <c r="ADU76" s="11"/>
      <c r="ADV76" s="11"/>
      <c r="ADW76" s="11"/>
      <c r="ADX76" s="11"/>
      <c r="ADY76" s="11"/>
      <c r="ADZ76" s="11"/>
      <c r="AEA76" s="11"/>
      <c r="AEB76" s="11"/>
      <c r="AEC76" s="11"/>
      <c r="AED76" s="11"/>
      <c r="AEE76" s="11"/>
      <c r="AEF76" s="11"/>
      <c r="AEG76" s="11"/>
      <c r="AEH76" s="11"/>
      <c r="AEI76" s="11"/>
      <c r="AEJ76" s="11"/>
      <c r="AEK76" s="11"/>
      <c r="AEL76" s="11"/>
      <c r="AEM76" s="11"/>
      <c r="AEN76" s="11"/>
      <c r="AEO76" s="11"/>
      <c r="AEP76" s="11"/>
      <c r="AEQ76" s="11"/>
      <c r="AER76" s="11"/>
      <c r="AES76" s="11"/>
      <c r="AET76" s="11"/>
      <c r="AEU76" s="11"/>
      <c r="AEV76" s="11"/>
      <c r="AEW76" s="11"/>
      <c r="AEX76" s="11"/>
      <c r="AEY76" s="11"/>
      <c r="AEZ76" s="11"/>
      <c r="AFA76" s="11"/>
      <c r="AFB76" s="11"/>
      <c r="AFC76" s="11"/>
      <c r="AFD76" s="11"/>
      <c r="AFE76" s="11"/>
      <c r="AFF76" s="11"/>
      <c r="AFG76" s="11"/>
      <c r="AFH76" s="11"/>
      <c r="AFI76" s="11"/>
    </row>
    <row r="77" spans="2:841">
      <c r="B77" s="11"/>
      <c r="C77" s="657"/>
      <c r="D77" s="289" t="str">
        <f>IF(Idioma=Castellano,"Consumo nulo",IF(Idioma=Valencià,"Consum nul","Consumo nulo"))</f>
        <v>Consumo nulo</v>
      </c>
      <c r="E77" s="551">
        <f>SUMIFS(M_Datos!$N$38:$N$40,M_Datos!$O$38:$O$40,M_Lista!G25)</f>
        <v>0</v>
      </c>
      <c r="F77" s="312">
        <v>0</v>
      </c>
      <c r="G77" s="313">
        <v>0</v>
      </c>
      <c r="H77" s="551">
        <f>SUMIFS(M_Datos!$P$38:$P$40,M_Datos!$Q$38:$Q$40,M_Lista!G25)</f>
        <v>0</v>
      </c>
      <c r="I77" s="312">
        <v>0</v>
      </c>
      <c r="J77" s="313">
        <v>0</v>
      </c>
      <c r="K77" s="551">
        <f>SUMIFS(M_Datos!$R$38:$R$40,M_Datos!$S$38:$S$40,M_Lista!G25)</f>
        <v>0</v>
      </c>
      <c r="L77" s="312">
        <v>0</v>
      </c>
      <c r="M77" s="313">
        <v>0</v>
      </c>
      <c r="N77" s="551">
        <f>SUMIFS(M_Datos!$T$38:$T$40,M_Datos!$U$38:$U$40,M_Lista!G25)</f>
        <v>0</v>
      </c>
      <c r="O77" s="312">
        <v>0</v>
      </c>
      <c r="P77" s="313">
        <v>0</v>
      </c>
      <c r="Q77" s="551">
        <f>SUMIFS(M_Datos!$V$38:$V$40,M_Datos!$W$38:$W$40,M_Lista!G25)</f>
        <v>0</v>
      </c>
      <c r="R77" s="312">
        <v>0</v>
      </c>
      <c r="S77" s="313">
        <v>0</v>
      </c>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c r="JH77" s="11"/>
      <c r="JI77" s="11"/>
      <c r="JJ77" s="11"/>
      <c r="JK77" s="11"/>
      <c r="JL77" s="11"/>
      <c r="JM77" s="11"/>
      <c r="JN77" s="11"/>
      <c r="JO77" s="11"/>
      <c r="JP77" s="11"/>
      <c r="JQ77" s="11"/>
      <c r="JR77" s="11"/>
      <c r="JS77" s="11"/>
      <c r="JT77" s="11"/>
      <c r="JU77" s="11"/>
      <c r="JV77" s="11"/>
      <c r="JW77" s="11"/>
      <c r="JX77" s="11"/>
      <c r="JY77" s="11"/>
      <c r="JZ77" s="11"/>
      <c r="KA77" s="11"/>
      <c r="KB77" s="11"/>
      <c r="KC77" s="11"/>
      <c r="KD77" s="11"/>
      <c r="KE77" s="11"/>
      <c r="KF77" s="11"/>
      <c r="KG77" s="11"/>
      <c r="KH77" s="11"/>
      <c r="KI77" s="11"/>
      <c r="KJ77" s="11"/>
      <c r="KK77" s="11"/>
      <c r="KL77" s="11"/>
      <c r="KM77" s="11"/>
      <c r="KN77" s="11"/>
      <c r="KO77" s="11"/>
      <c r="KP77" s="11"/>
      <c r="KQ77" s="11"/>
      <c r="KR77" s="11"/>
      <c r="KS77" s="11"/>
      <c r="KT77" s="11"/>
      <c r="KU77" s="11"/>
      <c r="KV77" s="11"/>
      <c r="KW77" s="11"/>
      <c r="KX77" s="11"/>
      <c r="KY77" s="11"/>
      <c r="KZ77" s="11"/>
      <c r="LA77" s="11"/>
      <c r="LB77" s="11"/>
      <c r="LC77" s="11"/>
      <c r="LD77" s="11"/>
      <c r="LE77" s="11"/>
      <c r="LF77" s="11"/>
      <c r="LG77" s="11"/>
      <c r="LH77" s="11"/>
      <c r="LI77" s="11"/>
      <c r="LJ77" s="11"/>
      <c r="LK77" s="11"/>
      <c r="LL77" s="11"/>
      <c r="LM77" s="11"/>
      <c r="LN77" s="11"/>
      <c r="LO77" s="11"/>
      <c r="LP77" s="11"/>
      <c r="LQ77" s="11"/>
      <c r="LR77" s="11"/>
      <c r="LS77" s="11"/>
      <c r="LT77" s="11"/>
      <c r="LU77" s="11"/>
      <c r="LV77" s="11"/>
      <c r="LW77" s="11"/>
      <c r="LX77" s="11"/>
      <c r="LY77" s="11"/>
      <c r="LZ77" s="11"/>
      <c r="MA77" s="11"/>
      <c r="MB77" s="11"/>
      <c r="MC77" s="11"/>
      <c r="MD77" s="11"/>
      <c r="ME77" s="11"/>
      <c r="MF77" s="11"/>
      <c r="MG77" s="11"/>
      <c r="MH77" s="11"/>
      <c r="MI77" s="11"/>
      <c r="MJ77" s="11"/>
      <c r="MK77" s="11"/>
      <c r="ML77" s="11"/>
      <c r="MM77" s="11"/>
      <c r="MN77" s="11"/>
      <c r="MO77" s="11"/>
      <c r="MP77" s="11"/>
      <c r="MQ77" s="11"/>
      <c r="MR77" s="11"/>
      <c r="MS77" s="11"/>
      <c r="MT77" s="11"/>
      <c r="MU77" s="11"/>
      <c r="MV77" s="11"/>
      <c r="MW77" s="11"/>
      <c r="MX77" s="11"/>
      <c r="MY77" s="11"/>
      <c r="MZ77" s="11"/>
      <c r="NA77" s="11"/>
      <c r="NB77" s="11"/>
      <c r="NC77" s="11"/>
      <c r="ND77" s="11"/>
      <c r="NE77" s="11"/>
      <c r="NF77" s="11"/>
      <c r="NG77" s="11"/>
      <c r="NH77" s="11"/>
      <c r="NI77" s="11"/>
      <c r="NJ77" s="11"/>
      <c r="NK77" s="11"/>
      <c r="NL77" s="11"/>
      <c r="NM77" s="11"/>
      <c r="NN77" s="11"/>
      <c r="NO77" s="11"/>
      <c r="NP77" s="11"/>
      <c r="NQ77" s="11"/>
      <c r="NR77" s="11"/>
      <c r="NS77" s="11"/>
      <c r="NT77" s="11"/>
      <c r="NU77" s="11"/>
      <c r="NV77" s="11"/>
      <c r="NW77" s="11"/>
      <c r="NX77" s="11"/>
      <c r="NY77" s="11"/>
      <c r="NZ77" s="11"/>
      <c r="OA77" s="11"/>
      <c r="OB77" s="11"/>
      <c r="OC77" s="11"/>
      <c r="OD77" s="11"/>
      <c r="OE77" s="11"/>
      <c r="OF77" s="11"/>
      <c r="OG77" s="11"/>
      <c r="OH77" s="11"/>
      <c r="OI77" s="11"/>
      <c r="OJ77" s="11"/>
      <c r="OK77" s="11"/>
      <c r="OL77" s="11"/>
      <c r="OM77" s="11"/>
      <c r="ON77" s="11"/>
      <c r="OO77" s="11"/>
      <c r="OP77" s="11"/>
      <c r="OQ77" s="11"/>
      <c r="OR77" s="11"/>
      <c r="OS77" s="11"/>
      <c r="OT77" s="11"/>
      <c r="OU77" s="11"/>
      <c r="OV77" s="11"/>
      <c r="OW77" s="11"/>
      <c r="OX77" s="11"/>
      <c r="OY77" s="11"/>
      <c r="OZ77" s="11"/>
      <c r="PA77" s="11"/>
      <c r="PB77" s="11"/>
      <c r="PC77" s="11"/>
      <c r="PD77" s="11"/>
      <c r="PE77" s="11"/>
      <c r="PF77" s="11"/>
      <c r="PG77" s="11"/>
      <c r="PH77" s="11"/>
      <c r="PI77" s="11"/>
      <c r="PJ77" s="11"/>
      <c r="PK77" s="11"/>
      <c r="PL77" s="11"/>
      <c r="PM77" s="11"/>
      <c r="PN77" s="11"/>
      <c r="PO77" s="11"/>
      <c r="PP77" s="11"/>
      <c r="PQ77" s="11"/>
      <c r="PR77" s="11"/>
      <c r="PS77" s="11"/>
      <c r="PT77" s="11"/>
      <c r="PU77" s="11"/>
      <c r="PV77" s="11"/>
      <c r="PW77" s="11"/>
      <c r="PX77" s="11"/>
      <c r="PY77" s="11"/>
      <c r="PZ77" s="11"/>
      <c r="QA77" s="11"/>
      <c r="QB77" s="11"/>
      <c r="QC77" s="11"/>
      <c r="QD77" s="11"/>
      <c r="QE77" s="11"/>
      <c r="QF77" s="11"/>
      <c r="QG77" s="11"/>
      <c r="QH77" s="11"/>
      <c r="QI77" s="11"/>
      <c r="QJ77" s="11"/>
      <c r="QK77" s="11"/>
      <c r="QL77" s="11"/>
      <c r="QM77" s="11"/>
      <c r="QN77" s="11"/>
      <c r="QO77" s="11"/>
      <c r="QP77" s="11"/>
      <c r="QQ77" s="11"/>
      <c r="QR77" s="11"/>
      <c r="QS77" s="11"/>
      <c r="QT77" s="11"/>
      <c r="QU77" s="11"/>
      <c r="QV77" s="11"/>
      <c r="QW77" s="11"/>
      <c r="QX77" s="11"/>
      <c r="QY77" s="11"/>
      <c r="QZ77" s="11"/>
      <c r="RA77" s="11"/>
      <c r="RB77" s="11"/>
      <c r="RC77" s="11"/>
      <c r="RD77" s="11"/>
      <c r="RE77" s="11"/>
      <c r="RF77" s="11"/>
      <c r="RG77" s="11"/>
      <c r="RH77" s="11"/>
      <c r="RI77" s="11"/>
      <c r="RJ77" s="11"/>
      <c r="RK77" s="11"/>
      <c r="RL77" s="11"/>
      <c r="RM77" s="11"/>
      <c r="RN77" s="11"/>
      <c r="RO77" s="11"/>
      <c r="RP77" s="11"/>
      <c r="RQ77" s="11"/>
      <c r="RR77" s="11"/>
      <c r="RS77" s="11"/>
      <c r="RT77" s="11"/>
      <c r="RU77" s="11"/>
      <c r="RV77" s="11"/>
      <c r="RW77" s="11"/>
      <c r="RX77" s="11"/>
      <c r="RY77" s="11"/>
      <c r="RZ77" s="11"/>
      <c r="SA77" s="11"/>
      <c r="SB77" s="11"/>
      <c r="SC77" s="11"/>
      <c r="SD77" s="11"/>
      <c r="SE77" s="11"/>
      <c r="SF77" s="11"/>
      <c r="SG77" s="11"/>
      <c r="SH77" s="11"/>
      <c r="SI77" s="11"/>
      <c r="SJ77" s="11"/>
      <c r="SK77" s="11"/>
      <c r="SL77" s="11"/>
      <c r="SM77" s="11"/>
      <c r="SN77" s="11"/>
      <c r="SO77" s="11"/>
      <c r="SP77" s="11"/>
      <c r="SQ77" s="11"/>
      <c r="SR77" s="11"/>
      <c r="SS77" s="11"/>
      <c r="ST77" s="11"/>
      <c r="SU77" s="11"/>
      <c r="SV77" s="11"/>
      <c r="SW77" s="11"/>
      <c r="SX77" s="11"/>
      <c r="SY77" s="11"/>
      <c r="SZ77" s="11"/>
      <c r="TA77" s="11"/>
      <c r="TB77" s="11"/>
      <c r="TC77" s="11"/>
      <c r="TD77" s="11"/>
      <c r="TE77" s="11"/>
      <c r="TF77" s="11"/>
      <c r="TG77" s="11"/>
      <c r="TH77" s="11"/>
      <c r="TI77" s="11"/>
      <c r="TJ77" s="11"/>
      <c r="TK77" s="11"/>
      <c r="TL77" s="11"/>
      <c r="TM77" s="11"/>
      <c r="TN77" s="11"/>
      <c r="TO77" s="11"/>
      <c r="TP77" s="11"/>
      <c r="TQ77" s="11"/>
      <c r="TR77" s="11"/>
      <c r="TS77" s="11"/>
      <c r="TT77" s="11"/>
      <c r="TU77" s="11"/>
      <c r="TV77" s="11"/>
      <c r="TW77" s="11"/>
      <c r="TX77" s="11"/>
      <c r="TY77" s="11"/>
      <c r="TZ77" s="11"/>
      <c r="UA77" s="11"/>
      <c r="UB77" s="11"/>
      <c r="UC77" s="11"/>
      <c r="UD77" s="11"/>
      <c r="UE77" s="11"/>
      <c r="UF77" s="11"/>
      <c r="UG77" s="11"/>
      <c r="UH77" s="11"/>
      <c r="UI77" s="11"/>
      <c r="UJ77" s="11"/>
      <c r="UK77" s="11"/>
      <c r="UL77" s="11"/>
      <c r="UM77" s="11"/>
      <c r="UN77" s="11"/>
      <c r="UO77" s="11"/>
      <c r="UP77" s="11"/>
      <c r="UQ77" s="11"/>
      <c r="UR77" s="11"/>
      <c r="US77" s="11"/>
      <c r="UT77" s="11"/>
      <c r="UU77" s="11"/>
      <c r="UV77" s="11"/>
      <c r="UW77" s="11"/>
      <c r="UX77" s="11"/>
      <c r="UY77" s="11"/>
      <c r="UZ77" s="11"/>
      <c r="VA77" s="11"/>
      <c r="VB77" s="11"/>
      <c r="VC77" s="11"/>
      <c r="VD77" s="11"/>
      <c r="VE77" s="11"/>
      <c r="VF77" s="11"/>
      <c r="VG77" s="11"/>
      <c r="VH77" s="11"/>
      <c r="VI77" s="11"/>
      <c r="VJ77" s="11"/>
      <c r="VK77" s="11"/>
      <c r="VL77" s="11"/>
      <c r="VM77" s="11"/>
      <c r="VN77" s="11"/>
      <c r="VO77" s="11"/>
      <c r="VP77" s="11"/>
      <c r="VQ77" s="11"/>
      <c r="VR77" s="11"/>
      <c r="VS77" s="11"/>
      <c r="VT77" s="11"/>
      <c r="VU77" s="11"/>
      <c r="VV77" s="11"/>
      <c r="VW77" s="11"/>
      <c r="VX77" s="11"/>
      <c r="VY77" s="11"/>
      <c r="VZ77" s="11"/>
      <c r="WA77" s="11"/>
      <c r="WB77" s="11"/>
      <c r="WC77" s="11"/>
      <c r="WD77" s="11"/>
      <c r="WE77" s="11"/>
      <c r="WF77" s="11"/>
      <c r="WG77" s="11"/>
      <c r="WH77" s="11"/>
      <c r="WI77" s="11"/>
      <c r="WJ77" s="11"/>
      <c r="WK77" s="11"/>
      <c r="WL77" s="11"/>
      <c r="WM77" s="11"/>
      <c r="WN77" s="11"/>
      <c r="WO77" s="11"/>
      <c r="WP77" s="11"/>
      <c r="WQ77" s="11"/>
      <c r="WR77" s="11"/>
      <c r="WS77" s="11"/>
      <c r="WT77" s="11"/>
      <c r="WU77" s="11"/>
      <c r="WV77" s="11"/>
      <c r="WW77" s="11"/>
      <c r="WX77" s="11"/>
      <c r="WY77" s="11"/>
      <c r="WZ77" s="11"/>
      <c r="XA77" s="11"/>
      <c r="XB77" s="11"/>
      <c r="XC77" s="11"/>
      <c r="XD77" s="11"/>
      <c r="XE77" s="11"/>
      <c r="XF77" s="11"/>
      <c r="XG77" s="11"/>
      <c r="XH77" s="11"/>
      <c r="XI77" s="11"/>
      <c r="XJ77" s="11"/>
      <c r="XK77" s="11"/>
      <c r="XL77" s="11"/>
      <c r="XM77" s="11"/>
      <c r="XN77" s="11"/>
      <c r="XO77" s="11"/>
      <c r="XP77" s="11"/>
      <c r="XQ77" s="11"/>
      <c r="XR77" s="11"/>
      <c r="XS77" s="11"/>
      <c r="XT77" s="11"/>
      <c r="XU77" s="11"/>
      <c r="XV77" s="11"/>
      <c r="XW77" s="11"/>
      <c r="XX77" s="11"/>
      <c r="XY77" s="11"/>
      <c r="XZ77" s="11"/>
      <c r="YA77" s="11"/>
      <c r="YB77" s="11"/>
      <c r="YC77" s="11"/>
      <c r="YD77" s="11"/>
      <c r="YE77" s="11"/>
      <c r="YF77" s="11"/>
      <c r="YG77" s="11"/>
      <c r="YH77" s="11"/>
      <c r="YI77" s="11"/>
      <c r="YJ77" s="11"/>
      <c r="YK77" s="11"/>
      <c r="YL77" s="11"/>
      <c r="YM77" s="11"/>
      <c r="YN77" s="11"/>
      <c r="YO77" s="11"/>
      <c r="YP77" s="11"/>
      <c r="YQ77" s="11"/>
      <c r="YR77" s="11"/>
      <c r="YS77" s="11"/>
      <c r="YT77" s="11"/>
      <c r="YU77" s="11"/>
      <c r="YV77" s="11"/>
      <c r="YW77" s="11"/>
      <c r="YX77" s="11"/>
      <c r="YY77" s="11"/>
      <c r="YZ77" s="11"/>
      <c r="ZA77" s="11"/>
      <c r="ZB77" s="11"/>
      <c r="ZC77" s="11"/>
      <c r="ZD77" s="11"/>
      <c r="ZE77" s="11"/>
      <c r="ZF77" s="11"/>
      <c r="ZG77" s="11"/>
      <c r="ZH77" s="11"/>
      <c r="ZI77" s="11"/>
      <c r="ZJ77" s="11"/>
      <c r="ZK77" s="11"/>
      <c r="ZL77" s="11"/>
      <c r="ZM77" s="11"/>
      <c r="ZN77" s="11"/>
      <c r="ZO77" s="11"/>
      <c r="ZP77" s="11"/>
      <c r="ZQ77" s="11"/>
      <c r="ZR77" s="11"/>
      <c r="ZS77" s="11"/>
      <c r="ZT77" s="11"/>
      <c r="ZU77" s="11"/>
      <c r="ZV77" s="11"/>
      <c r="ZW77" s="11"/>
      <c r="ZX77" s="11"/>
      <c r="ZY77" s="11"/>
      <c r="ZZ77" s="11"/>
      <c r="AAA77" s="11"/>
      <c r="AAB77" s="11"/>
      <c r="AAC77" s="11"/>
      <c r="AAD77" s="11"/>
      <c r="AAE77" s="11"/>
      <c r="AAF77" s="11"/>
      <c r="AAG77" s="11"/>
      <c r="AAH77" s="11"/>
      <c r="AAI77" s="11"/>
      <c r="AAJ77" s="11"/>
      <c r="AAK77" s="11"/>
      <c r="AAL77" s="11"/>
      <c r="AAM77" s="11"/>
      <c r="AAN77" s="11"/>
      <c r="AAO77" s="11"/>
      <c r="AAP77" s="11"/>
      <c r="AAQ77" s="11"/>
      <c r="AAR77" s="11"/>
      <c r="AAS77" s="11"/>
      <c r="AAT77" s="11"/>
      <c r="AAU77" s="11"/>
      <c r="AAV77" s="11"/>
      <c r="AAW77" s="11"/>
      <c r="AAX77" s="11"/>
      <c r="AAY77" s="11"/>
      <c r="AAZ77" s="11"/>
      <c r="ABA77" s="11"/>
      <c r="ABB77" s="11"/>
      <c r="ABC77" s="11"/>
      <c r="ABD77" s="11"/>
      <c r="ABE77" s="11"/>
      <c r="ABF77" s="11"/>
      <c r="ABG77" s="11"/>
      <c r="ABH77" s="11"/>
      <c r="ABI77" s="11"/>
      <c r="ABJ77" s="11"/>
      <c r="ABK77" s="11"/>
      <c r="ABL77" s="11"/>
      <c r="ABM77" s="11"/>
      <c r="ABN77" s="11"/>
      <c r="ABO77" s="11"/>
      <c r="ABP77" s="11"/>
      <c r="ABQ77" s="11"/>
      <c r="ABR77" s="11"/>
      <c r="ABS77" s="11"/>
      <c r="ABT77" s="11"/>
      <c r="ABU77" s="11"/>
      <c r="ABV77" s="11"/>
      <c r="ABW77" s="11"/>
      <c r="ABX77" s="11"/>
      <c r="ABY77" s="11"/>
      <c r="ABZ77" s="11"/>
      <c r="ACA77" s="11"/>
      <c r="ACB77" s="11"/>
      <c r="ACC77" s="11"/>
      <c r="ACD77" s="11"/>
      <c r="ACE77" s="11"/>
      <c r="ACF77" s="11"/>
      <c r="ACG77" s="11"/>
      <c r="ACH77" s="11"/>
      <c r="ACI77" s="11"/>
      <c r="ACJ77" s="11"/>
      <c r="ACK77" s="11"/>
      <c r="ACL77" s="11"/>
      <c r="ACM77" s="11"/>
      <c r="ACN77" s="11"/>
      <c r="ACO77" s="11"/>
      <c r="ACP77" s="11"/>
      <c r="ACQ77" s="11"/>
      <c r="ACR77" s="11"/>
      <c r="ACS77" s="11"/>
      <c r="ACT77" s="11"/>
      <c r="ACU77" s="11"/>
      <c r="ACV77" s="11"/>
      <c r="ACW77" s="11"/>
      <c r="ACX77" s="11"/>
      <c r="ACY77" s="11"/>
      <c r="ACZ77" s="11"/>
      <c r="ADA77" s="11"/>
      <c r="ADB77" s="11"/>
      <c r="ADC77" s="11"/>
      <c r="ADD77" s="11"/>
      <c r="ADE77" s="11"/>
      <c r="ADF77" s="11"/>
      <c r="ADG77" s="11"/>
      <c r="ADH77" s="11"/>
      <c r="ADI77" s="11"/>
      <c r="ADJ77" s="11"/>
      <c r="ADK77" s="11"/>
      <c r="ADL77" s="11"/>
      <c r="ADM77" s="11"/>
      <c r="ADN77" s="11"/>
      <c r="ADO77" s="11"/>
      <c r="ADP77" s="11"/>
      <c r="ADQ77" s="11"/>
      <c r="ADR77" s="11"/>
      <c r="ADS77" s="11"/>
      <c r="ADT77" s="11"/>
      <c r="ADU77" s="11"/>
      <c r="ADV77" s="11"/>
      <c r="ADW77" s="11"/>
      <c r="ADX77" s="11"/>
      <c r="ADY77" s="11"/>
      <c r="ADZ77" s="11"/>
      <c r="AEA77" s="11"/>
      <c r="AEB77" s="11"/>
      <c r="AEC77" s="11"/>
      <c r="AED77" s="11"/>
      <c r="AEE77" s="11"/>
      <c r="AEF77" s="11"/>
      <c r="AEG77" s="11"/>
      <c r="AEH77" s="11"/>
      <c r="AEI77" s="11"/>
      <c r="AEJ77" s="11"/>
      <c r="AEK77" s="11"/>
      <c r="AEL77" s="11"/>
      <c r="AEM77" s="11"/>
      <c r="AEN77" s="11"/>
      <c r="AEO77" s="11"/>
      <c r="AEP77" s="11"/>
      <c r="AEQ77" s="11"/>
      <c r="AER77" s="11"/>
      <c r="AES77" s="11"/>
      <c r="AET77" s="11"/>
      <c r="AEU77" s="11"/>
      <c r="AEV77" s="11"/>
      <c r="AEW77" s="11"/>
      <c r="AEX77" s="11"/>
      <c r="AEY77" s="11"/>
      <c r="AEZ77" s="11"/>
      <c r="AFA77" s="11"/>
      <c r="AFB77" s="11"/>
      <c r="AFC77" s="11"/>
      <c r="AFD77" s="11"/>
      <c r="AFE77" s="11"/>
      <c r="AFF77" s="11"/>
      <c r="AFG77" s="11"/>
      <c r="AFH77" s="11"/>
      <c r="AFI77" s="11"/>
    </row>
    <row r="78" spans="2:841">
      <c r="B78" s="11"/>
      <c r="C78" s="657"/>
      <c r="D78" s="315" t="s">
        <v>925</v>
      </c>
      <c r="E78" s="552">
        <f t="shared" ref="E78:S78" si="6">SUM(E70:E77)</f>
        <v>0</v>
      </c>
      <c r="F78" s="314" t="e">
        <f t="shared" si="6"/>
        <v>#N/A</v>
      </c>
      <c r="G78" s="317" t="e">
        <f t="shared" si="6"/>
        <v>#N/A</v>
      </c>
      <c r="H78" s="552">
        <f t="shared" si="6"/>
        <v>0</v>
      </c>
      <c r="I78" s="314" t="e">
        <f t="shared" si="6"/>
        <v>#N/A</v>
      </c>
      <c r="J78" s="317" t="e">
        <f t="shared" si="6"/>
        <v>#N/A</v>
      </c>
      <c r="K78" s="552">
        <f t="shared" si="6"/>
        <v>0</v>
      </c>
      <c r="L78" s="314" t="e">
        <f t="shared" si="6"/>
        <v>#N/A</v>
      </c>
      <c r="M78" s="317" t="e">
        <f t="shared" si="6"/>
        <v>#N/A</v>
      </c>
      <c r="N78" s="552">
        <f t="shared" si="6"/>
        <v>0</v>
      </c>
      <c r="O78" s="314" t="e">
        <f t="shared" si="6"/>
        <v>#N/A</v>
      </c>
      <c r="P78" s="317" t="e">
        <f t="shared" si="6"/>
        <v>#N/A</v>
      </c>
      <c r="Q78" s="552">
        <f t="shared" si="6"/>
        <v>0</v>
      </c>
      <c r="R78" s="314" t="e">
        <f t="shared" si="6"/>
        <v>#N/A</v>
      </c>
      <c r="S78" s="317" t="e">
        <f t="shared" si="6"/>
        <v>#N/A</v>
      </c>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c r="JH78" s="11"/>
      <c r="JI78" s="11"/>
      <c r="JJ78" s="11"/>
      <c r="JK78" s="11"/>
      <c r="JL78" s="11"/>
      <c r="JM78" s="11"/>
      <c r="JN78" s="11"/>
      <c r="JO78" s="11"/>
      <c r="JP78" s="11"/>
      <c r="JQ78" s="11"/>
      <c r="JR78" s="11"/>
      <c r="JS78" s="11"/>
      <c r="JT78" s="11"/>
      <c r="JU78" s="11"/>
      <c r="JV78" s="11"/>
      <c r="JW78" s="11"/>
      <c r="JX78" s="11"/>
      <c r="JY78" s="11"/>
      <c r="JZ78" s="11"/>
      <c r="KA78" s="11"/>
      <c r="KB78" s="11"/>
      <c r="KC78" s="11"/>
      <c r="KD78" s="11"/>
      <c r="KE78" s="11"/>
      <c r="KF78" s="11"/>
      <c r="KG78" s="11"/>
      <c r="KH78" s="11"/>
      <c r="KI78" s="11"/>
      <c r="KJ78" s="11"/>
      <c r="KK78" s="11"/>
      <c r="KL78" s="11"/>
      <c r="KM78" s="11"/>
      <c r="KN78" s="11"/>
      <c r="KO78" s="11"/>
      <c r="KP78" s="11"/>
      <c r="KQ78" s="11"/>
      <c r="KR78" s="11"/>
      <c r="KS78" s="11"/>
      <c r="KT78" s="11"/>
      <c r="KU78" s="11"/>
      <c r="KV78" s="11"/>
      <c r="KW78" s="11"/>
      <c r="KX78" s="11"/>
      <c r="KY78" s="11"/>
      <c r="KZ78" s="11"/>
      <c r="LA78" s="11"/>
      <c r="LB78" s="11"/>
      <c r="LC78" s="11"/>
      <c r="LD78" s="11"/>
      <c r="LE78" s="11"/>
      <c r="LF78" s="11"/>
      <c r="LG78" s="11"/>
      <c r="LH78" s="11"/>
      <c r="LI78" s="11"/>
      <c r="LJ78" s="11"/>
      <c r="LK78" s="11"/>
      <c r="LL78" s="11"/>
      <c r="LM78" s="11"/>
      <c r="LN78" s="11"/>
      <c r="LO78" s="11"/>
      <c r="LP78" s="11"/>
      <c r="LQ78" s="11"/>
      <c r="LR78" s="11"/>
      <c r="LS78" s="11"/>
      <c r="LT78" s="11"/>
      <c r="LU78" s="11"/>
      <c r="LV78" s="11"/>
      <c r="LW78" s="11"/>
      <c r="LX78" s="11"/>
      <c r="LY78" s="11"/>
      <c r="LZ78" s="11"/>
      <c r="MA78" s="11"/>
      <c r="MB78" s="11"/>
      <c r="MC78" s="11"/>
      <c r="MD78" s="11"/>
      <c r="ME78" s="11"/>
      <c r="MF78" s="11"/>
      <c r="MG78" s="11"/>
      <c r="MH78" s="11"/>
      <c r="MI78" s="11"/>
      <c r="MJ78" s="11"/>
      <c r="MK78" s="11"/>
      <c r="ML78" s="11"/>
      <c r="MM78" s="11"/>
      <c r="MN78" s="11"/>
      <c r="MO78" s="11"/>
      <c r="MP78" s="11"/>
      <c r="MQ78" s="11"/>
      <c r="MR78" s="11"/>
      <c r="MS78" s="11"/>
      <c r="MT78" s="11"/>
      <c r="MU78" s="11"/>
      <c r="MV78" s="11"/>
      <c r="MW78" s="11"/>
      <c r="MX78" s="11"/>
      <c r="MY78" s="11"/>
      <c r="MZ78" s="11"/>
      <c r="NA78" s="11"/>
      <c r="NB78" s="11"/>
      <c r="NC78" s="11"/>
      <c r="ND78" s="11"/>
      <c r="NE78" s="11"/>
      <c r="NF78" s="11"/>
      <c r="NG78" s="11"/>
      <c r="NH78" s="11"/>
      <c r="NI78" s="11"/>
      <c r="NJ78" s="11"/>
      <c r="NK78" s="11"/>
      <c r="NL78" s="11"/>
      <c r="NM78" s="11"/>
      <c r="NN78" s="11"/>
      <c r="NO78" s="11"/>
      <c r="NP78" s="11"/>
      <c r="NQ78" s="11"/>
      <c r="NR78" s="11"/>
      <c r="NS78" s="11"/>
      <c r="NT78" s="11"/>
      <c r="NU78" s="11"/>
      <c r="NV78" s="11"/>
      <c r="NW78" s="11"/>
      <c r="NX78" s="11"/>
      <c r="NY78" s="11"/>
      <c r="NZ78" s="11"/>
      <c r="OA78" s="11"/>
      <c r="OB78" s="11"/>
      <c r="OC78" s="11"/>
      <c r="OD78" s="11"/>
      <c r="OE78" s="11"/>
      <c r="OF78" s="11"/>
      <c r="OG78" s="11"/>
      <c r="OH78" s="11"/>
      <c r="OI78" s="11"/>
      <c r="OJ78" s="11"/>
      <c r="OK78" s="11"/>
      <c r="OL78" s="11"/>
      <c r="OM78" s="11"/>
      <c r="ON78" s="11"/>
      <c r="OO78" s="11"/>
      <c r="OP78" s="11"/>
      <c r="OQ78" s="11"/>
      <c r="OR78" s="11"/>
      <c r="OS78" s="11"/>
      <c r="OT78" s="11"/>
      <c r="OU78" s="11"/>
      <c r="OV78" s="11"/>
      <c r="OW78" s="11"/>
      <c r="OX78" s="11"/>
      <c r="OY78" s="11"/>
      <c r="OZ78" s="11"/>
      <c r="PA78" s="11"/>
      <c r="PB78" s="11"/>
      <c r="PC78" s="11"/>
      <c r="PD78" s="11"/>
      <c r="PE78" s="11"/>
      <c r="PF78" s="11"/>
      <c r="PG78" s="11"/>
      <c r="PH78" s="11"/>
      <c r="PI78" s="11"/>
      <c r="PJ78" s="11"/>
      <c r="PK78" s="11"/>
      <c r="PL78" s="11"/>
      <c r="PM78" s="11"/>
      <c r="PN78" s="11"/>
      <c r="PO78" s="11"/>
      <c r="PP78" s="11"/>
      <c r="PQ78" s="11"/>
      <c r="PR78" s="11"/>
      <c r="PS78" s="11"/>
      <c r="PT78" s="11"/>
      <c r="PU78" s="11"/>
      <c r="PV78" s="11"/>
      <c r="PW78" s="11"/>
      <c r="PX78" s="11"/>
      <c r="PY78" s="11"/>
      <c r="PZ78" s="11"/>
      <c r="QA78" s="11"/>
      <c r="QB78" s="11"/>
      <c r="QC78" s="11"/>
      <c r="QD78" s="11"/>
      <c r="QE78" s="11"/>
      <c r="QF78" s="11"/>
      <c r="QG78" s="11"/>
      <c r="QH78" s="11"/>
      <c r="QI78" s="11"/>
      <c r="QJ78" s="11"/>
      <c r="QK78" s="11"/>
      <c r="QL78" s="11"/>
      <c r="QM78" s="11"/>
      <c r="QN78" s="11"/>
      <c r="QO78" s="11"/>
      <c r="QP78" s="11"/>
      <c r="QQ78" s="11"/>
      <c r="QR78" s="11"/>
      <c r="QS78" s="11"/>
      <c r="QT78" s="11"/>
      <c r="QU78" s="11"/>
      <c r="QV78" s="11"/>
      <c r="QW78" s="11"/>
      <c r="QX78" s="11"/>
      <c r="QY78" s="11"/>
      <c r="QZ78" s="11"/>
      <c r="RA78" s="11"/>
      <c r="RB78" s="11"/>
      <c r="RC78" s="11"/>
      <c r="RD78" s="11"/>
      <c r="RE78" s="11"/>
      <c r="RF78" s="11"/>
      <c r="RG78" s="11"/>
      <c r="RH78" s="11"/>
      <c r="RI78" s="11"/>
      <c r="RJ78" s="11"/>
      <c r="RK78" s="11"/>
      <c r="RL78" s="11"/>
      <c r="RM78" s="11"/>
      <c r="RN78" s="11"/>
      <c r="RO78" s="11"/>
      <c r="RP78" s="11"/>
      <c r="RQ78" s="11"/>
      <c r="RR78" s="11"/>
      <c r="RS78" s="11"/>
      <c r="RT78" s="11"/>
      <c r="RU78" s="11"/>
      <c r="RV78" s="11"/>
      <c r="RW78" s="11"/>
      <c r="RX78" s="11"/>
      <c r="RY78" s="11"/>
      <c r="RZ78" s="11"/>
      <c r="SA78" s="11"/>
      <c r="SB78" s="11"/>
      <c r="SC78" s="11"/>
      <c r="SD78" s="11"/>
      <c r="SE78" s="11"/>
      <c r="SF78" s="11"/>
      <c r="SG78" s="11"/>
      <c r="SH78" s="11"/>
      <c r="SI78" s="11"/>
      <c r="SJ78" s="11"/>
      <c r="SK78" s="11"/>
      <c r="SL78" s="11"/>
      <c r="SM78" s="11"/>
      <c r="SN78" s="11"/>
      <c r="SO78" s="11"/>
      <c r="SP78" s="11"/>
      <c r="SQ78" s="11"/>
      <c r="SR78" s="11"/>
      <c r="SS78" s="11"/>
      <c r="ST78" s="11"/>
      <c r="SU78" s="11"/>
      <c r="SV78" s="11"/>
      <c r="SW78" s="11"/>
      <c r="SX78" s="11"/>
      <c r="SY78" s="11"/>
      <c r="SZ78" s="11"/>
      <c r="TA78" s="11"/>
      <c r="TB78" s="11"/>
      <c r="TC78" s="11"/>
      <c r="TD78" s="11"/>
      <c r="TE78" s="11"/>
      <c r="TF78" s="11"/>
      <c r="TG78" s="11"/>
      <c r="TH78" s="11"/>
      <c r="TI78" s="11"/>
      <c r="TJ78" s="11"/>
      <c r="TK78" s="11"/>
      <c r="TL78" s="11"/>
      <c r="TM78" s="11"/>
      <c r="TN78" s="11"/>
      <c r="TO78" s="11"/>
      <c r="TP78" s="11"/>
      <c r="TQ78" s="11"/>
      <c r="TR78" s="11"/>
      <c r="TS78" s="11"/>
      <c r="TT78" s="11"/>
      <c r="TU78" s="11"/>
      <c r="TV78" s="11"/>
      <c r="TW78" s="11"/>
      <c r="TX78" s="11"/>
      <c r="TY78" s="11"/>
      <c r="TZ78" s="11"/>
      <c r="UA78" s="11"/>
      <c r="UB78" s="11"/>
      <c r="UC78" s="11"/>
      <c r="UD78" s="11"/>
      <c r="UE78" s="11"/>
      <c r="UF78" s="11"/>
      <c r="UG78" s="11"/>
      <c r="UH78" s="11"/>
      <c r="UI78" s="11"/>
      <c r="UJ78" s="11"/>
      <c r="UK78" s="11"/>
      <c r="UL78" s="11"/>
      <c r="UM78" s="11"/>
      <c r="UN78" s="11"/>
      <c r="UO78" s="11"/>
      <c r="UP78" s="11"/>
      <c r="UQ78" s="11"/>
      <c r="UR78" s="11"/>
      <c r="US78" s="11"/>
      <c r="UT78" s="11"/>
      <c r="UU78" s="11"/>
      <c r="UV78" s="11"/>
      <c r="UW78" s="11"/>
      <c r="UX78" s="11"/>
      <c r="UY78" s="11"/>
      <c r="UZ78" s="11"/>
      <c r="VA78" s="11"/>
      <c r="VB78" s="11"/>
      <c r="VC78" s="11"/>
      <c r="VD78" s="11"/>
      <c r="VE78" s="11"/>
      <c r="VF78" s="11"/>
      <c r="VG78" s="11"/>
      <c r="VH78" s="11"/>
      <c r="VI78" s="11"/>
      <c r="VJ78" s="11"/>
      <c r="VK78" s="11"/>
      <c r="VL78" s="11"/>
      <c r="VM78" s="11"/>
      <c r="VN78" s="11"/>
      <c r="VO78" s="11"/>
      <c r="VP78" s="11"/>
      <c r="VQ78" s="11"/>
      <c r="VR78" s="11"/>
      <c r="VS78" s="11"/>
      <c r="VT78" s="11"/>
      <c r="VU78" s="11"/>
      <c r="VV78" s="11"/>
      <c r="VW78" s="11"/>
      <c r="VX78" s="11"/>
      <c r="VY78" s="11"/>
      <c r="VZ78" s="11"/>
      <c r="WA78" s="11"/>
      <c r="WB78" s="11"/>
      <c r="WC78" s="11"/>
      <c r="WD78" s="11"/>
      <c r="WE78" s="11"/>
      <c r="WF78" s="11"/>
      <c r="WG78" s="11"/>
      <c r="WH78" s="11"/>
      <c r="WI78" s="11"/>
      <c r="WJ78" s="11"/>
      <c r="WK78" s="11"/>
      <c r="WL78" s="11"/>
      <c r="WM78" s="11"/>
      <c r="WN78" s="11"/>
      <c r="WO78" s="11"/>
      <c r="WP78" s="11"/>
      <c r="WQ78" s="11"/>
      <c r="WR78" s="11"/>
      <c r="WS78" s="11"/>
      <c r="WT78" s="11"/>
      <c r="WU78" s="11"/>
      <c r="WV78" s="11"/>
      <c r="WW78" s="11"/>
      <c r="WX78" s="11"/>
      <c r="WY78" s="11"/>
      <c r="WZ78" s="11"/>
      <c r="XA78" s="11"/>
      <c r="XB78" s="11"/>
      <c r="XC78" s="11"/>
      <c r="XD78" s="11"/>
      <c r="XE78" s="11"/>
      <c r="XF78" s="11"/>
      <c r="XG78" s="11"/>
      <c r="XH78" s="11"/>
      <c r="XI78" s="11"/>
      <c r="XJ78" s="11"/>
      <c r="XK78" s="11"/>
      <c r="XL78" s="11"/>
      <c r="XM78" s="11"/>
      <c r="XN78" s="11"/>
      <c r="XO78" s="11"/>
      <c r="XP78" s="11"/>
      <c r="XQ78" s="11"/>
      <c r="XR78" s="11"/>
      <c r="XS78" s="11"/>
      <c r="XT78" s="11"/>
      <c r="XU78" s="11"/>
      <c r="XV78" s="11"/>
      <c r="XW78" s="11"/>
      <c r="XX78" s="11"/>
      <c r="XY78" s="11"/>
      <c r="XZ78" s="11"/>
      <c r="YA78" s="11"/>
      <c r="YB78" s="11"/>
      <c r="YC78" s="11"/>
      <c r="YD78" s="11"/>
      <c r="YE78" s="11"/>
      <c r="YF78" s="11"/>
      <c r="YG78" s="11"/>
      <c r="YH78" s="11"/>
      <c r="YI78" s="11"/>
      <c r="YJ78" s="11"/>
      <c r="YK78" s="11"/>
      <c r="YL78" s="11"/>
      <c r="YM78" s="11"/>
      <c r="YN78" s="11"/>
      <c r="YO78" s="11"/>
      <c r="YP78" s="11"/>
      <c r="YQ78" s="11"/>
      <c r="YR78" s="11"/>
      <c r="YS78" s="11"/>
      <c r="YT78" s="11"/>
      <c r="YU78" s="11"/>
      <c r="YV78" s="11"/>
      <c r="YW78" s="11"/>
      <c r="YX78" s="11"/>
      <c r="YY78" s="11"/>
      <c r="YZ78" s="11"/>
      <c r="ZA78" s="11"/>
      <c r="ZB78" s="11"/>
      <c r="ZC78" s="11"/>
      <c r="ZD78" s="11"/>
      <c r="ZE78" s="11"/>
      <c r="ZF78" s="11"/>
      <c r="ZG78" s="11"/>
      <c r="ZH78" s="11"/>
      <c r="ZI78" s="11"/>
      <c r="ZJ78" s="11"/>
      <c r="ZK78" s="11"/>
      <c r="ZL78" s="11"/>
      <c r="ZM78" s="11"/>
      <c r="ZN78" s="11"/>
      <c r="ZO78" s="11"/>
      <c r="ZP78" s="11"/>
      <c r="ZQ78" s="11"/>
      <c r="ZR78" s="11"/>
      <c r="ZS78" s="11"/>
      <c r="ZT78" s="11"/>
      <c r="ZU78" s="11"/>
      <c r="ZV78" s="11"/>
      <c r="ZW78" s="11"/>
      <c r="ZX78" s="11"/>
      <c r="ZY78" s="11"/>
      <c r="ZZ78" s="11"/>
      <c r="AAA78" s="11"/>
      <c r="AAB78" s="11"/>
      <c r="AAC78" s="11"/>
      <c r="AAD78" s="11"/>
      <c r="AAE78" s="11"/>
      <c r="AAF78" s="11"/>
      <c r="AAG78" s="11"/>
      <c r="AAH78" s="11"/>
      <c r="AAI78" s="11"/>
      <c r="AAJ78" s="11"/>
      <c r="AAK78" s="11"/>
      <c r="AAL78" s="11"/>
      <c r="AAM78" s="11"/>
      <c r="AAN78" s="11"/>
      <c r="AAO78" s="11"/>
      <c r="AAP78" s="11"/>
      <c r="AAQ78" s="11"/>
      <c r="AAR78" s="11"/>
      <c r="AAS78" s="11"/>
      <c r="AAT78" s="11"/>
      <c r="AAU78" s="11"/>
      <c r="AAV78" s="11"/>
      <c r="AAW78" s="11"/>
      <c r="AAX78" s="11"/>
      <c r="AAY78" s="11"/>
      <c r="AAZ78" s="11"/>
      <c r="ABA78" s="11"/>
      <c r="ABB78" s="11"/>
      <c r="ABC78" s="11"/>
      <c r="ABD78" s="11"/>
      <c r="ABE78" s="11"/>
      <c r="ABF78" s="11"/>
      <c r="ABG78" s="11"/>
      <c r="ABH78" s="11"/>
      <c r="ABI78" s="11"/>
      <c r="ABJ78" s="11"/>
      <c r="ABK78" s="11"/>
      <c r="ABL78" s="11"/>
      <c r="ABM78" s="11"/>
      <c r="ABN78" s="11"/>
      <c r="ABO78" s="11"/>
      <c r="ABP78" s="11"/>
      <c r="ABQ78" s="11"/>
      <c r="ABR78" s="11"/>
      <c r="ABS78" s="11"/>
      <c r="ABT78" s="11"/>
      <c r="ABU78" s="11"/>
      <c r="ABV78" s="11"/>
      <c r="ABW78" s="11"/>
      <c r="ABX78" s="11"/>
      <c r="ABY78" s="11"/>
      <c r="ABZ78" s="11"/>
      <c r="ACA78" s="11"/>
      <c r="ACB78" s="11"/>
      <c r="ACC78" s="11"/>
      <c r="ACD78" s="11"/>
      <c r="ACE78" s="11"/>
      <c r="ACF78" s="11"/>
      <c r="ACG78" s="11"/>
      <c r="ACH78" s="11"/>
      <c r="ACI78" s="11"/>
      <c r="ACJ78" s="11"/>
      <c r="ACK78" s="11"/>
      <c r="ACL78" s="11"/>
      <c r="ACM78" s="11"/>
      <c r="ACN78" s="11"/>
      <c r="ACO78" s="11"/>
      <c r="ACP78" s="11"/>
      <c r="ACQ78" s="11"/>
      <c r="ACR78" s="11"/>
      <c r="ACS78" s="11"/>
      <c r="ACT78" s="11"/>
      <c r="ACU78" s="11"/>
      <c r="ACV78" s="11"/>
      <c r="ACW78" s="11"/>
      <c r="ACX78" s="11"/>
      <c r="ACY78" s="11"/>
      <c r="ACZ78" s="11"/>
      <c r="ADA78" s="11"/>
      <c r="ADB78" s="11"/>
      <c r="ADC78" s="11"/>
      <c r="ADD78" s="11"/>
      <c r="ADE78" s="11"/>
      <c r="ADF78" s="11"/>
      <c r="ADG78" s="11"/>
      <c r="ADH78" s="11"/>
      <c r="ADI78" s="11"/>
      <c r="ADJ78" s="11"/>
      <c r="ADK78" s="11"/>
      <c r="ADL78" s="11"/>
      <c r="ADM78" s="11"/>
      <c r="ADN78" s="11"/>
      <c r="ADO78" s="11"/>
      <c r="ADP78" s="11"/>
      <c r="ADQ78" s="11"/>
      <c r="ADR78" s="11"/>
      <c r="ADS78" s="11"/>
      <c r="ADT78" s="11"/>
      <c r="ADU78" s="11"/>
      <c r="ADV78" s="11"/>
      <c r="ADW78" s="11"/>
      <c r="ADX78" s="11"/>
      <c r="ADY78" s="11"/>
      <c r="ADZ78" s="11"/>
      <c r="AEA78" s="11"/>
      <c r="AEB78" s="11"/>
      <c r="AEC78" s="11"/>
      <c r="AED78" s="11"/>
      <c r="AEE78" s="11"/>
      <c r="AEF78" s="11"/>
      <c r="AEG78" s="11"/>
      <c r="AEH78" s="11"/>
      <c r="AEI78" s="11"/>
      <c r="AEJ78" s="11"/>
      <c r="AEK78" s="11"/>
      <c r="AEL78" s="11"/>
      <c r="AEM78" s="11"/>
      <c r="AEN78" s="11"/>
      <c r="AEO78" s="11"/>
      <c r="AEP78" s="11"/>
      <c r="AEQ78" s="11"/>
      <c r="AER78" s="11"/>
      <c r="AES78" s="11"/>
      <c r="AET78" s="11"/>
      <c r="AEU78" s="11"/>
      <c r="AEV78" s="11"/>
      <c r="AEW78" s="11"/>
      <c r="AEX78" s="11"/>
      <c r="AEY78" s="11"/>
      <c r="AEZ78" s="11"/>
      <c r="AFA78" s="11"/>
      <c r="AFB78" s="11"/>
      <c r="AFC78" s="11"/>
      <c r="AFD78" s="11"/>
      <c r="AFE78" s="11"/>
      <c r="AFF78" s="11"/>
      <c r="AFG78" s="11"/>
      <c r="AFH78" s="11"/>
      <c r="AFI78" s="11"/>
    </row>
    <row r="79" spans="2:841">
      <c r="B79" s="11"/>
      <c r="C79" s="657" t="str">
        <f>M_Datos!L41</f>
        <v>Sanitario</v>
      </c>
      <c r="D79" s="289" t="s">
        <v>622</v>
      </c>
      <c r="E79" s="488" t="s">
        <v>623</v>
      </c>
      <c r="F79" s="488" t="s">
        <v>948</v>
      </c>
      <c r="G79" s="488" t="s">
        <v>624</v>
      </c>
      <c r="H79" s="488" t="s">
        <v>623</v>
      </c>
      <c r="I79" s="488" t="s">
        <v>948</v>
      </c>
      <c r="J79" s="488" t="s">
        <v>624</v>
      </c>
      <c r="K79" s="488" t="s">
        <v>623</v>
      </c>
      <c r="L79" s="488" t="s">
        <v>948</v>
      </c>
      <c r="M79" s="488" t="s">
        <v>624</v>
      </c>
      <c r="N79" s="488" t="s">
        <v>623</v>
      </c>
      <c r="O79" s="488" t="s">
        <v>948</v>
      </c>
      <c r="P79" s="488" t="s">
        <v>624</v>
      </c>
      <c r="Q79" s="488" t="s">
        <v>623</v>
      </c>
      <c r="R79" s="488" t="s">
        <v>948</v>
      </c>
      <c r="S79" s="488" t="s">
        <v>624</v>
      </c>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c r="PU79" s="11"/>
      <c r="PV79" s="11"/>
      <c r="PW79" s="11"/>
      <c r="PX79" s="11"/>
      <c r="PY79" s="11"/>
      <c r="PZ79" s="11"/>
      <c r="QA79" s="11"/>
      <c r="QB79" s="11"/>
      <c r="QC79" s="11"/>
      <c r="QD79" s="11"/>
      <c r="QE79" s="11"/>
      <c r="QF79" s="11"/>
      <c r="QG79" s="11"/>
      <c r="QH79" s="11"/>
      <c r="QI79" s="11"/>
      <c r="QJ79" s="11"/>
      <c r="QK79" s="11"/>
      <c r="QL79" s="11"/>
      <c r="QM79" s="11"/>
      <c r="QN79" s="11"/>
      <c r="QO79" s="11"/>
      <c r="QP79" s="11"/>
      <c r="QQ79" s="11"/>
      <c r="QR79" s="11"/>
      <c r="QS79" s="11"/>
      <c r="QT79" s="11"/>
      <c r="QU79" s="11"/>
      <c r="QV79" s="11"/>
      <c r="QW79" s="11"/>
      <c r="QX79" s="11"/>
      <c r="QY79" s="11"/>
      <c r="QZ79" s="11"/>
      <c r="RA79" s="11"/>
      <c r="RB79" s="11"/>
      <c r="RC79" s="11"/>
      <c r="RD79" s="11"/>
      <c r="RE79" s="11"/>
      <c r="RF79" s="11"/>
      <c r="RG79" s="11"/>
      <c r="RH79" s="11"/>
      <c r="RI79" s="11"/>
      <c r="RJ79" s="11"/>
      <c r="RK79" s="11"/>
      <c r="RL79" s="11"/>
      <c r="RM79" s="11"/>
      <c r="RN79" s="11"/>
      <c r="RO79" s="11"/>
      <c r="RP79" s="11"/>
      <c r="RQ79" s="11"/>
      <c r="RR79" s="11"/>
      <c r="RS79" s="11"/>
      <c r="RT79" s="11"/>
      <c r="RU79" s="11"/>
      <c r="RV79" s="11"/>
      <c r="RW79" s="11"/>
      <c r="RX79" s="11"/>
      <c r="RY79" s="11"/>
      <c r="RZ79" s="11"/>
      <c r="SA79" s="11"/>
      <c r="SB79" s="11"/>
      <c r="SC79" s="11"/>
      <c r="SD79" s="11"/>
      <c r="SE79" s="11"/>
      <c r="SF79" s="11"/>
      <c r="SG79" s="11"/>
      <c r="SH79" s="11"/>
      <c r="SI79" s="11"/>
      <c r="SJ79" s="11"/>
      <c r="SK79" s="11"/>
      <c r="SL79" s="11"/>
      <c r="SM79" s="11"/>
      <c r="SN79" s="11"/>
      <c r="SO79" s="11"/>
      <c r="SP79" s="11"/>
      <c r="SQ79" s="11"/>
      <c r="SR79" s="11"/>
      <c r="SS79" s="11"/>
      <c r="ST79" s="11"/>
      <c r="SU79" s="11"/>
      <c r="SV79" s="11"/>
      <c r="SW79" s="11"/>
      <c r="SX79" s="11"/>
      <c r="SY79" s="11"/>
      <c r="SZ79" s="11"/>
      <c r="TA79" s="11"/>
      <c r="TB79" s="11"/>
      <c r="TC79" s="11"/>
      <c r="TD79" s="11"/>
      <c r="TE79" s="11"/>
      <c r="TF79" s="11"/>
      <c r="TG79" s="11"/>
      <c r="TH79" s="11"/>
      <c r="TI79" s="11"/>
      <c r="TJ79" s="11"/>
      <c r="TK79" s="11"/>
      <c r="TL79" s="11"/>
      <c r="TM79" s="11"/>
      <c r="TN79" s="11"/>
      <c r="TO79" s="11"/>
      <c r="TP79" s="11"/>
      <c r="TQ79" s="11"/>
      <c r="TR79" s="11"/>
      <c r="TS79" s="11"/>
      <c r="TT79" s="11"/>
      <c r="TU79" s="11"/>
      <c r="TV79" s="11"/>
      <c r="TW79" s="11"/>
      <c r="TX79" s="11"/>
      <c r="TY79" s="11"/>
      <c r="TZ79" s="11"/>
      <c r="UA79" s="11"/>
      <c r="UB79" s="11"/>
      <c r="UC79" s="11"/>
      <c r="UD79" s="11"/>
      <c r="UE79" s="11"/>
      <c r="UF79" s="11"/>
      <c r="UG79" s="11"/>
      <c r="UH79" s="11"/>
      <c r="UI79" s="11"/>
      <c r="UJ79" s="11"/>
      <c r="UK79" s="11"/>
      <c r="UL79" s="11"/>
      <c r="UM79" s="11"/>
      <c r="UN79" s="11"/>
      <c r="UO79" s="11"/>
      <c r="UP79" s="11"/>
      <c r="UQ79" s="11"/>
      <c r="UR79" s="11"/>
      <c r="US79" s="11"/>
      <c r="UT79" s="11"/>
      <c r="UU79" s="11"/>
      <c r="UV79" s="11"/>
      <c r="UW79" s="11"/>
      <c r="UX79" s="11"/>
      <c r="UY79" s="11"/>
      <c r="UZ79" s="11"/>
      <c r="VA79" s="11"/>
      <c r="VB79" s="11"/>
      <c r="VC79" s="11"/>
      <c r="VD79" s="11"/>
      <c r="VE79" s="11"/>
      <c r="VF79" s="11"/>
      <c r="VG79" s="11"/>
      <c r="VH79" s="11"/>
      <c r="VI79" s="11"/>
      <c r="VJ79" s="11"/>
      <c r="VK79" s="11"/>
      <c r="VL79" s="11"/>
      <c r="VM79" s="11"/>
      <c r="VN79" s="11"/>
      <c r="VO79" s="11"/>
      <c r="VP79" s="11"/>
      <c r="VQ79" s="11"/>
      <c r="VR79" s="11"/>
      <c r="VS79" s="11"/>
      <c r="VT79" s="11"/>
      <c r="VU79" s="11"/>
      <c r="VV79" s="11"/>
      <c r="VW79" s="11"/>
      <c r="VX79" s="11"/>
      <c r="VY79" s="11"/>
      <c r="VZ79" s="11"/>
      <c r="WA79" s="11"/>
      <c r="WB79" s="11"/>
      <c r="WC79" s="11"/>
      <c r="WD79" s="11"/>
      <c r="WE79" s="11"/>
      <c r="WF79" s="11"/>
      <c r="WG79" s="11"/>
      <c r="WH79" s="11"/>
      <c r="WI79" s="11"/>
      <c r="WJ79" s="11"/>
      <c r="WK79" s="11"/>
      <c r="WL79" s="11"/>
      <c r="WM79" s="11"/>
      <c r="WN79" s="11"/>
      <c r="WO79" s="11"/>
      <c r="WP79" s="11"/>
      <c r="WQ79" s="11"/>
      <c r="WR79" s="11"/>
      <c r="WS79" s="11"/>
      <c r="WT79" s="11"/>
      <c r="WU79" s="11"/>
      <c r="WV79" s="11"/>
      <c r="WW79" s="11"/>
      <c r="WX79" s="11"/>
      <c r="WY79" s="11"/>
      <c r="WZ79" s="11"/>
      <c r="XA79" s="11"/>
      <c r="XB79" s="11"/>
      <c r="XC79" s="11"/>
      <c r="XD79" s="11"/>
      <c r="XE79" s="11"/>
      <c r="XF79" s="11"/>
      <c r="XG79" s="11"/>
      <c r="XH79" s="11"/>
      <c r="XI79" s="11"/>
      <c r="XJ79" s="11"/>
      <c r="XK79" s="11"/>
      <c r="XL79" s="11"/>
      <c r="XM79" s="11"/>
      <c r="XN79" s="11"/>
      <c r="XO79" s="11"/>
      <c r="XP79" s="11"/>
      <c r="XQ79" s="11"/>
      <c r="XR79" s="11"/>
      <c r="XS79" s="11"/>
      <c r="XT79" s="11"/>
      <c r="XU79" s="11"/>
      <c r="XV79" s="11"/>
      <c r="XW79" s="11"/>
      <c r="XX79" s="11"/>
      <c r="XY79" s="11"/>
      <c r="XZ79" s="11"/>
      <c r="YA79" s="11"/>
      <c r="YB79" s="11"/>
      <c r="YC79" s="11"/>
      <c r="YD79" s="11"/>
      <c r="YE79" s="11"/>
      <c r="YF79" s="11"/>
      <c r="YG79" s="11"/>
      <c r="YH79" s="11"/>
      <c r="YI79" s="11"/>
      <c r="YJ79" s="11"/>
      <c r="YK79" s="11"/>
      <c r="YL79" s="11"/>
      <c r="YM79" s="11"/>
      <c r="YN79" s="11"/>
      <c r="YO79" s="11"/>
      <c r="YP79" s="11"/>
      <c r="YQ79" s="11"/>
      <c r="YR79" s="11"/>
      <c r="YS79" s="11"/>
      <c r="YT79" s="11"/>
      <c r="YU79" s="11"/>
      <c r="YV79" s="11"/>
      <c r="YW79" s="11"/>
      <c r="YX79" s="11"/>
      <c r="YY79" s="11"/>
      <c r="YZ79" s="11"/>
      <c r="ZA79" s="11"/>
      <c r="ZB79" s="11"/>
      <c r="ZC79" s="11"/>
      <c r="ZD79" s="11"/>
      <c r="ZE79" s="11"/>
      <c r="ZF79" s="11"/>
      <c r="ZG79" s="11"/>
      <c r="ZH79" s="11"/>
      <c r="ZI79" s="11"/>
      <c r="ZJ79" s="11"/>
      <c r="ZK79" s="11"/>
      <c r="ZL79" s="11"/>
      <c r="ZM79" s="11"/>
      <c r="ZN79" s="11"/>
      <c r="ZO79" s="11"/>
      <c r="ZP79" s="11"/>
      <c r="ZQ79" s="11"/>
      <c r="ZR79" s="11"/>
      <c r="ZS79" s="11"/>
      <c r="ZT79" s="11"/>
      <c r="ZU79" s="11"/>
      <c r="ZV79" s="11"/>
      <c r="ZW79" s="11"/>
      <c r="ZX79" s="11"/>
      <c r="ZY79" s="11"/>
      <c r="ZZ79" s="11"/>
      <c r="AAA79" s="11"/>
      <c r="AAB79" s="11"/>
      <c r="AAC79" s="11"/>
      <c r="AAD79" s="11"/>
      <c r="AAE79" s="11"/>
      <c r="AAF79" s="11"/>
      <c r="AAG79" s="11"/>
      <c r="AAH79" s="11"/>
      <c r="AAI79" s="11"/>
      <c r="AAJ79" s="11"/>
      <c r="AAK79" s="11"/>
      <c r="AAL79" s="11"/>
      <c r="AAM79" s="11"/>
      <c r="AAN79" s="11"/>
      <c r="AAO79" s="11"/>
      <c r="AAP79" s="11"/>
      <c r="AAQ79" s="11"/>
      <c r="AAR79" s="11"/>
      <c r="AAS79" s="11"/>
      <c r="AAT79" s="11"/>
      <c r="AAU79" s="11"/>
      <c r="AAV79" s="11"/>
      <c r="AAW79" s="11"/>
      <c r="AAX79" s="11"/>
      <c r="AAY79" s="11"/>
      <c r="AAZ79" s="11"/>
      <c r="ABA79" s="11"/>
      <c r="ABB79" s="11"/>
      <c r="ABC79" s="11"/>
      <c r="ABD79" s="11"/>
      <c r="ABE79" s="11"/>
      <c r="ABF79" s="11"/>
      <c r="ABG79" s="11"/>
      <c r="ABH79" s="11"/>
      <c r="ABI79" s="11"/>
      <c r="ABJ79" s="11"/>
      <c r="ABK79" s="11"/>
      <c r="ABL79" s="11"/>
      <c r="ABM79" s="11"/>
      <c r="ABN79" s="11"/>
      <c r="ABO79" s="11"/>
      <c r="ABP79" s="11"/>
      <c r="ABQ79" s="11"/>
      <c r="ABR79" s="11"/>
      <c r="ABS79" s="11"/>
      <c r="ABT79" s="11"/>
      <c r="ABU79" s="11"/>
      <c r="ABV79" s="11"/>
      <c r="ABW79" s="11"/>
      <c r="ABX79" s="11"/>
      <c r="ABY79" s="11"/>
      <c r="ABZ79" s="11"/>
      <c r="ACA79" s="11"/>
      <c r="ACB79" s="11"/>
      <c r="ACC79" s="11"/>
      <c r="ACD79" s="11"/>
      <c r="ACE79" s="11"/>
      <c r="ACF79" s="11"/>
      <c r="ACG79" s="11"/>
      <c r="ACH79" s="11"/>
      <c r="ACI79" s="11"/>
      <c r="ACJ79" s="11"/>
      <c r="ACK79" s="11"/>
      <c r="ACL79" s="11"/>
      <c r="ACM79" s="11"/>
      <c r="ACN79" s="11"/>
      <c r="ACO79" s="11"/>
      <c r="ACP79" s="11"/>
      <c r="ACQ79" s="11"/>
      <c r="ACR79" s="11"/>
      <c r="ACS79" s="11"/>
      <c r="ACT79" s="11"/>
      <c r="ACU79" s="11"/>
      <c r="ACV79" s="11"/>
      <c r="ACW79" s="11"/>
      <c r="ACX79" s="11"/>
      <c r="ACY79" s="11"/>
      <c r="ACZ79" s="11"/>
      <c r="ADA79" s="11"/>
      <c r="ADB79" s="11"/>
      <c r="ADC79" s="11"/>
      <c r="ADD79" s="11"/>
      <c r="ADE79" s="11"/>
      <c r="ADF79" s="11"/>
      <c r="ADG79" s="11"/>
      <c r="ADH79" s="11"/>
      <c r="ADI79" s="11"/>
      <c r="ADJ79" s="11"/>
      <c r="ADK79" s="11"/>
      <c r="ADL79" s="11"/>
      <c r="ADM79" s="11"/>
      <c r="ADN79" s="11"/>
      <c r="ADO79" s="11"/>
      <c r="ADP79" s="11"/>
      <c r="ADQ79" s="11"/>
      <c r="ADR79" s="11"/>
      <c r="ADS79" s="11"/>
      <c r="ADT79" s="11"/>
      <c r="ADU79" s="11"/>
      <c r="ADV79" s="11"/>
      <c r="ADW79" s="11"/>
      <c r="ADX79" s="11"/>
      <c r="ADY79" s="11"/>
      <c r="ADZ79" s="11"/>
      <c r="AEA79" s="11"/>
      <c r="AEB79" s="11"/>
      <c r="AEC79" s="11"/>
      <c r="AED79" s="11"/>
      <c r="AEE79" s="11"/>
      <c r="AEF79" s="11"/>
      <c r="AEG79" s="11"/>
      <c r="AEH79" s="11"/>
      <c r="AEI79" s="11"/>
      <c r="AEJ79" s="11"/>
      <c r="AEK79" s="11"/>
      <c r="AEL79" s="11"/>
      <c r="AEM79" s="11"/>
      <c r="AEN79" s="11"/>
      <c r="AEO79" s="11"/>
      <c r="AEP79" s="11"/>
      <c r="AEQ79" s="11"/>
      <c r="AER79" s="11"/>
      <c r="AES79" s="11"/>
      <c r="AET79" s="11"/>
      <c r="AEU79" s="11"/>
      <c r="AEV79" s="11"/>
      <c r="AEW79" s="11"/>
      <c r="AEX79" s="11"/>
      <c r="AEY79" s="11"/>
      <c r="AEZ79" s="11"/>
      <c r="AFA79" s="11"/>
      <c r="AFB79" s="11"/>
      <c r="AFC79" s="11"/>
      <c r="AFD79" s="11"/>
      <c r="AFE79" s="11"/>
      <c r="AFF79" s="11"/>
      <c r="AFG79" s="11"/>
      <c r="AFH79" s="11"/>
      <c r="AFI79" s="11"/>
    </row>
    <row r="80" spans="2:841">
      <c r="B80" s="11"/>
      <c r="C80" s="657"/>
      <c r="D80" s="289" t="str">
        <f>IF(Idioma=Castellano,"Existente",IF(Idioma=Valencià,"Existent","Existente"))</f>
        <v>Existente</v>
      </c>
      <c r="E80" s="551">
        <f>SUMIFS(M_Datos!$N$41:$N$43,M_Datos!$O$41:$O$43,M_Lista!G18)</f>
        <v>0</v>
      </c>
      <c r="F80" s="312" t="e">
        <f>IF(AND(M_FactoresComplement!$G$439="No",M_FactoresComplement!$G$441="No"),M_Cálculos!E80*VLOOKUP(M_Datos!$E$12&amp;M_Cálculos!D80,M_Factores!$M$10:$P$108,2,FALSE)/(10^3),IF(AND(M_FactoresComplement!$G$439="Sí",M_FactoresComplement!$G$441="No"),E80*M_FactoresComplement!G446/(10^3),E80*VLOOKUP(M_FactoresComplement!$C$467&amp;M_Datos!$E$12&amp;M_Lista!G17,M_FactoresComplement!$F$446:$I$781,2,FALSE)/(10^3)))</f>
        <v>#N/A</v>
      </c>
      <c r="G80" s="313" t="e">
        <f>IF(AND(M_FactoresComplement!$G$439="No",M_FactoresComplement!$G$441="No"),M_Cálculos!E80*VLOOKUP(M_Datos!$E$12&amp;M_Cálculos!D80,M_Factores!$M$10:$P$108,3,FALSE)/(10^3),IF(AND(M_FactoresComplement!$G$439="Sí",M_FactoresComplement!$G$441="No"),E80*M_FactoresComplement!H446/(10^3),E80*VLOOKUP(M_FactoresComplement!$C$467&amp;M_Datos!$E$12&amp;M_Lista!G17,M_FactoresComplement!$F$446:$I$781,3,FALSE)/(10^3)))</f>
        <v>#N/A</v>
      </c>
      <c r="H80" s="551">
        <f>SUMIFS(M_Datos!$P$41:$P$43,M_Datos!$Q$41:$Q$43,M_Lista!G18)</f>
        <v>0</v>
      </c>
      <c r="I80" s="312" t="e">
        <f>IF(AND(M_FactoresComplement!$G$439="No",M_FactoresComplement!$G$441="No"),M_Cálculos!H80*VLOOKUP(M_Datos!$E$12&amp;M_Cálculos!D80,M_Factores!$M$10:$P$108,2,FALSE)/(10^3),IF(AND(M_FactoresComplement!$G$439="Sí",M_FactoresComplement!$G$441="No"),H80*M_FactoresComplement!G446/(10^3),H80*VLOOKUP(M_FactoresComplement!$C$467&amp;M_Datos!$E$12&amp;M_Lista!G17,M_FactoresComplement!$F$446:$I$781,2,FALSE)/(10^3)))</f>
        <v>#N/A</v>
      </c>
      <c r="J80" s="313" t="e">
        <f>IF(AND(M_FactoresComplement!$G$439="No",M_FactoresComplement!$G$441="No"),M_Cálculos!H80*VLOOKUP(M_Datos!$E$12&amp;M_Cálculos!D80,M_Factores!$M$10:$P$108,3,FALSE)/(10^3),IF(AND(M_FactoresComplement!$G$439="Sí",M_FactoresComplement!$G$441="No"),H80*M_FactoresComplement!H446/(10^3),H80*VLOOKUP(M_FactoresComplement!$C$467&amp;M_Datos!$E$12&amp;M_Lista!G17,M_FactoresComplement!$F$446:$I$781,3,FALSE)/(10^3)))</f>
        <v>#N/A</v>
      </c>
      <c r="K80" s="551">
        <f>SUMIFS(M_Datos!$R$41:$R$43,M_Datos!$S$41:$S$43,M_Lista!G18)</f>
        <v>0</v>
      </c>
      <c r="L80" s="312" t="e">
        <f>IF(AND(M_FactoresComplement!$G$439="No",M_FactoresComplement!$G$441="No"),M_Cálculos!K80*VLOOKUP(M_Datos!$E$12&amp;M_Cálculos!D80,M_Factores!$M$10:$P$108,2,FALSE)/(10^3),IF(AND(M_FactoresComplement!$G$439="Sí",M_FactoresComplement!$G$441="No"),K80*M_FactoresComplement!G446/(10^3),K80*VLOOKUP(M_FactoresComplement!$C$467&amp;M_Datos!$E$12&amp;M_Lista!G17,M_FactoresComplement!$F$446:$I$781,2,FALSE)/(10^3)))</f>
        <v>#N/A</v>
      </c>
      <c r="M80" s="313" t="e">
        <f>IF(AND(M_FactoresComplement!$G$439="No",M_FactoresComplement!$G$441="No"),M_Cálculos!K80*VLOOKUP(M_Datos!$E$12&amp;M_Cálculos!D80,M_Factores!$M$10:$P$108,3,FALSE)/(10^3),IF(AND(M_FactoresComplement!$G$439="Sí",M_FactoresComplement!$G$441="No"),K80*M_FactoresComplement!H446/(10^3),K80*VLOOKUP(M_FactoresComplement!$C$467&amp;M_Datos!$E$12&amp;M_Lista!G17,M_FactoresComplement!$F$446:$I$781,3,FALSE)/(10^3)))</f>
        <v>#N/A</v>
      </c>
      <c r="N80" s="551">
        <f>SUMIFS(M_Datos!$T$41:$T$43,M_Datos!$U$41:$U$43,M_Lista!G18)</f>
        <v>0</v>
      </c>
      <c r="O80" s="312" t="e">
        <f>IF(AND(M_FactoresComplement!$G$439="No",M_FactoresComplement!$G$441="No"),M_Cálculos!N80*VLOOKUP(M_Datos!$E$12&amp;M_Cálculos!D80,M_Factores!$M$10:$P$108,2,FALSE)/(10^3),IF(AND(M_FactoresComplement!$G$439="Sí",M_FactoresComplement!$G$441="No"),N80*M_FactoresComplement!G446/(10^3),N80*VLOOKUP(M_FactoresComplement!$C$467&amp;M_Datos!$E$12&amp;M_Lista!G17,M_FactoresComplement!$F$446:$I$781,2,FALSE)/(10^3)))</f>
        <v>#N/A</v>
      </c>
      <c r="P80" s="313" t="e">
        <f>IF(AND(M_FactoresComplement!$G$439="No",M_FactoresComplement!$G$441="No"),M_Cálculos!N80*VLOOKUP(M_Datos!$E$12&amp;M_Cálculos!D80,M_Factores!$M$10:$P$108,3,FALSE)/(10^3),IF(AND(M_FactoresComplement!$G$439="Sí",M_FactoresComplement!$G$441="No"),N80*M_FactoresComplement!H446/(10^3),N80*VLOOKUP(M_FactoresComplement!$C$467&amp;M_Datos!$E$12&amp;M_Lista!G17,M_FactoresComplement!$F$446:$I$781,3,FALSE)/(10^3)))</f>
        <v>#N/A</v>
      </c>
      <c r="Q80" s="551">
        <f>SUMIFS(M_Datos!$V$41:$V$43,M_Datos!$W$41:$W$43,M_Lista!G18)</f>
        <v>0</v>
      </c>
      <c r="R80" s="312" t="e">
        <f>IF(AND(M_FactoresComplement!$G$439="No",M_FactoresComplement!$G$441="No"),M_Cálculos!Q80*VLOOKUP(M_Datos!$E$12&amp;M_Cálculos!D80,M_Factores!$M$10:$P$108,2,FALSE)/(10^3),IF(AND(M_FactoresComplement!$G$439="Sí",M_FactoresComplement!$G$441="No"),Q80*M_FactoresComplement!G446/(10^3),Q80*VLOOKUP(M_FactoresComplement!$C$467&amp;M_Datos!$E$12&amp;M_Lista!G17,M_FactoresComplement!$F$446:$I$781,2,FALSE)/(10^3)))</f>
        <v>#N/A</v>
      </c>
      <c r="S80" s="313" t="e">
        <f>IF(AND(M_FactoresComplement!$G$439="No",M_FactoresComplement!$G$441="No"),M_Cálculos!Q80*VLOOKUP(M_Datos!$E$12&amp;M_Cálculos!D80,M_Factores!$M$10:$P$108,3,FALSE)/(10^3),IF(AND(M_FactoresComplement!$G$439="Sí",M_FactoresComplement!$G$441="No"),Q80*M_FactoresComplement!H446/(10^3),Q80*VLOOKUP(M_FactoresComplement!$C$467&amp;M_Datos!$E$12&amp;M_Lista!G17,M_FactoresComplement!$F$446:$I$781,3,FALSE)/(10^3)))</f>
        <v>#N/A</v>
      </c>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c r="JH80" s="11"/>
      <c r="JI80" s="11"/>
      <c r="JJ80" s="11"/>
      <c r="JK80" s="11"/>
      <c r="JL80" s="11"/>
      <c r="JM80" s="11"/>
      <c r="JN80" s="11"/>
      <c r="JO80" s="11"/>
      <c r="JP80" s="11"/>
      <c r="JQ80" s="11"/>
      <c r="JR80" s="11"/>
      <c r="JS80" s="11"/>
      <c r="JT80" s="11"/>
      <c r="JU80" s="11"/>
      <c r="JV80" s="11"/>
      <c r="JW80" s="11"/>
      <c r="JX80" s="11"/>
      <c r="JY80" s="11"/>
      <c r="JZ80" s="11"/>
      <c r="KA80" s="11"/>
      <c r="KB80" s="11"/>
      <c r="KC80" s="11"/>
      <c r="KD80" s="11"/>
      <c r="KE80" s="11"/>
      <c r="KF80" s="11"/>
      <c r="KG80" s="11"/>
      <c r="KH80" s="11"/>
      <c r="KI80" s="11"/>
      <c r="KJ80" s="11"/>
      <c r="KK80" s="11"/>
      <c r="KL80" s="11"/>
      <c r="KM80" s="11"/>
      <c r="KN80" s="11"/>
      <c r="KO80" s="11"/>
      <c r="KP80" s="11"/>
      <c r="KQ80" s="11"/>
      <c r="KR80" s="11"/>
      <c r="KS80" s="11"/>
      <c r="KT80" s="11"/>
      <c r="KU80" s="11"/>
      <c r="KV80" s="11"/>
      <c r="KW80" s="11"/>
      <c r="KX80" s="11"/>
      <c r="KY80" s="11"/>
      <c r="KZ80" s="11"/>
      <c r="LA80" s="11"/>
      <c r="LB80" s="11"/>
      <c r="LC80" s="11"/>
      <c r="LD80" s="11"/>
      <c r="LE80" s="11"/>
      <c r="LF80" s="11"/>
      <c r="LG80" s="11"/>
      <c r="LH80" s="11"/>
      <c r="LI80" s="11"/>
      <c r="LJ80" s="11"/>
      <c r="LK80" s="11"/>
      <c r="LL80" s="11"/>
      <c r="LM80" s="11"/>
      <c r="LN80" s="11"/>
      <c r="LO80" s="11"/>
      <c r="LP80" s="11"/>
      <c r="LQ80" s="11"/>
      <c r="LR80" s="11"/>
      <c r="LS80" s="11"/>
      <c r="LT80" s="11"/>
      <c r="LU80" s="11"/>
      <c r="LV80" s="11"/>
      <c r="LW80" s="11"/>
      <c r="LX80" s="11"/>
      <c r="LY80" s="11"/>
      <c r="LZ80" s="11"/>
      <c r="MA80" s="11"/>
      <c r="MB80" s="11"/>
      <c r="MC80" s="11"/>
      <c r="MD80" s="11"/>
      <c r="ME80" s="11"/>
      <c r="MF80" s="11"/>
      <c r="MG80" s="11"/>
      <c r="MH80" s="11"/>
      <c r="MI80" s="11"/>
      <c r="MJ80" s="11"/>
      <c r="MK80" s="11"/>
      <c r="ML80" s="11"/>
      <c r="MM80" s="11"/>
      <c r="MN80" s="11"/>
      <c r="MO80" s="11"/>
      <c r="MP80" s="11"/>
      <c r="MQ80" s="11"/>
      <c r="MR80" s="11"/>
      <c r="MS80" s="11"/>
      <c r="MT80" s="11"/>
      <c r="MU80" s="11"/>
      <c r="MV80" s="11"/>
      <c r="MW80" s="11"/>
      <c r="MX80" s="11"/>
      <c r="MY80" s="11"/>
      <c r="MZ80" s="11"/>
      <c r="NA80" s="11"/>
      <c r="NB80" s="11"/>
      <c r="NC80" s="11"/>
      <c r="ND80" s="11"/>
      <c r="NE80" s="11"/>
      <c r="NF80" s="11"/>
      <c r="NG80" s="11"/>
      <c r="NH80" s="11"/>
      <c r="NI80" s="11"/>
      <c r="NJ80" s="11"/>
      <c r="NK80" s="11"/>
      <c r="NL80" s="11"/>
      <c r="NM80" s="11"/>
      <c r="NN80" s="11"/>
      <c r="NO80" s="11"/>
      <c r="NP80" s="11"/>
      <c r="NQ80" s="11"/>
      <c r="NR80" s="11"/>
      <c r="NS80" s="11"/>
      <c r="NT80" s="11"/>
      <c r="NU80" s="11"/>
      <c r="NV80" s="11"/>
      <c r="NW80" s="11"/>
      <c r="NX80" s="11"/>
      <c r="NY80" s="11"/>
      <c r="NZ80" s="11"/>
      <c r="OA80" s="11"/>
      <c r="OB80" s="11"/>
      <c r="OC80" s="11"/>
      <c r="OD80" s="11"/>
      <c r="OE80" s="11"/>
      <c r="OF80" s="11"/>
      <c r="OG80" s="11"/>
      <c r="OH80" s="11"/>
      <c r="OI80" s="11"/>
      <c r="OJ80" s="11"/>
      <c r="OK80" s="11"/>
      <c r="OL80" s="11"/>
      <c r="OM80" s="11"/>
      <c r="ON80" s="11"/>
      <c r="OO80" s="11"/>
      <c r="OP80" s="11"/>
      <c r="OQ80" s="11"/>
      <c r="OR80" s="11"/>
      <c r="OS80" s="11"/>
      <c r="OT80" s="11"/>
      <c r="OU80" s="11"/>
      <c r="OV80" s="11"/>
      <c r="OW80" s="11"/>
      <c r="OX80" s="11"/>
      <c r="OY80" s="11"/>
      <c r="OZ80" s="11"/>
      <c r="PA80" s="11"/>
      <c r="PB80" s="11"/>
      <c r="PC80" s="11"/>
      <c r="PD80" s="11"/>
      <c r="PE80" s="11"/>
      <c r="PF80" s="11"/>
      <c r="PG80" s="11"/>
      <c r="PH80" s="11"/>
      <c r="PI80" s="11"/>
      <c r="PJ80" s="11"/>
      <c r="PK80" s="11"/>
      <c r="PL80" s="11"/>
      <c r="PM80" s="11"/>
      <c r="PN80" s="11"/>
      <c r="PO80" s="11"/>
      <c r="PP80" s="11"/>
      <c r="PQ80" s="11"/>
      <c r="PR80" s="11"/>
      <c r="PS80" s="11"/>
      <c r="PT80" s="11"/>
      <c r="PU80" s="11"/>
      <c r="PV80" s="11"/>
      <c r="PW80" s="11"/>
      <c r="PX80" s="11"/>
      <c r="PY80" s="11"/>
      <c r="PZ80" s="11"/>
      <c r="QA80" s="11"/>
      <c r="QB80" s="11"/>
      <c r="QC80" s="11"/>
      <c r="QD80" s="11"/>
      <c r="QE80" s="11"/>
      <c r="QF80" s="11"/>
      <c r="QG80" s="11"/>
      <c r="QH80" s="11"/>
      <c r="QI80" s="11"/>
      <c r="QJ80" s="11"/>
      <c r="QK80" s="11"/>
      <c r="QL80" s="11"/>
      <c r="QM80" s="11"/>
      <c r="QN80" s="11"/>
      <c r="QO80" s="11"/>
      <c r="QP80" s="11"/>
      <c r="QQ80" s="11"/>
      <c r="QR80" s="11"/>
      <c r="QS80" s="11"/>
      <c r="QT80" s="11"/>
      <c r="QU80" s="11"/>
      <c r="QV80" s="11"/>
      <c r="QW80" s="11"/>
      <c r="QX80" s="11"/>
      <c r="QY80" s="11"/>
      <c r="QZ80" s="11"/>
      <c r="RA80" s="11"/>
      <c r="RB80" s="11"/>
      <c r="RC80" s="11"/>
      <c r="RD80" s="11"/>
      <c r="RE80" s="11"/>
      <c r="RF80" s="11"/>
      <c r="RG80" s="11"/>
      <c r="RH80" s="11"/>
      <c r="RI80" s="11"/>
      <c r="RJ80" s="11"/>
      <c r="RK80" s="11"/>
      <c r="RL80" s="11"/>
      <c r="RM80" s="11"/>
      <c r="RN80" s="11"/>
      <c r="RO80" s="11"/>
      <c r="RP80" s="11"/>
      <c r="RQ80" s="11"/>
      <c r="RR80" s="11"/>
      <c r="RS80" s="11"/>
      <c r="RT80" s="11"/>
      <c r="RU80" s="11"/>
      <c r="RV80" s="11"/>
      <c r="RW80" s="11"/>
      <c r="RX80" s="11"/>
      <c r="RY80" s="11"/>
      <c r="RZ80" s="11"/>
      <c r="SA80" s="11"/>
      <c r="SB80" s="11"/>
      <c r="SC80" s="11"/>
      <c r="SD80" s="11"/>
      <c r="SE80" s="11"/>
      <c r="SF80" s="11"/>
      <c r="SG80" s="11"/>
      <c r="SH80" s="11"/>
      <c r="SI80" s="11"/>
      <c r="SJ80" s="11"/>
      <c r="SK80" s="11"/>
      <c r="SL80" s="11"/>
      <c r="SM80" s="11"/>
      <c r="SN80" s="11"/>
      <c r="SO80" s="11"/>
      <c r="SP80" s="11"/>
      <c r="SQ80" s="11"/>
      <c r="SR80" s="11"/>
      <c r="SS80" s="11"/>
      <c r="ST80" s="11"/>
      <c r="SU80" s="11"/>
      <c r="SV80" s="11"/>
      <c r="SW80" s="11"/>
      <c r="SX80" s="11"/>
      <c r="SY80" s="11"/>
      <c r="SZ80" s="11"/>
      <c r="TA80" s="11"/>
      <c r="TB80" s="11"/>
      <c r="TC80" s="11"/>
      <c r="TD80" s="11"/>
      <c r="TE80" s="11"/>
      <c r="TF80" s="11"/>
      <c r="TG80" s="11"/>
      <c r="TH80" s="11"/>
      <c r="TI80" s="11"/>
      <c r="TJ80" s="11"/>
      <c r="TK80" s="11"/>
      <c r="TL80" s="11"/>
      <c r="TM80" s="11"/>
      <c r="TN80" s="11"/>
      <c r="TO80" s="11"/>
      <c r="TP80" s="11"/>
      <c r="TQ80" s="11"/>
      <c r="TR80" s="11"/>
      <c r="TS80" s="11"/>
      <c r="TT80" s="11"/>
      <c r="TU80" s="11"/>
      <c r="TV80" s="11"/>
      <c r="TW80" s="11"/>
      <c r="TX80" s="11"/>
      <c r="TY80" s="11"/>
      <c r="TZ80" s="11"/>
      <c r="UA80" s="11"/>
      <c r="UB80" s="11"/>
      <c r="UC80" s="11"/>
      <c r="UD80" s="11"/>
      <c r="UE80" s="11"/>
      <c r="UF80" s="11"/>
      <c r="UG80" s="11"/>
      <c r="UH80" s="11"/>
      <c r="UI80" s="11"/>
      <c r="UJ80" s="11"/>
      <c r="UK80" s="11"/>
      <c r="UL80" s="11"/>
      <c r="UM80" s="11"/>
      <c r="UN80" s="11"/>
      <c r="UO80" s="11"/>
      <c r="UP80" s="11"/>
      <c r="UQ80" s="11"/>
      <c r="UR80" s="11"/>
      <c r="US80" s="11"/>
      <c r="UT80" s="11"/>
      <c r="UU80" s="11"/>
      <c r="UV80" s="11"/>
      <c r="UW80" s="11"/>
      <c r="UX80" s="11"/>
      <c r="UY80" s="11"/>
      <c r="UZ80" s="11"/>
      <c r="VA80" s="11"/>
      <c r="VB80" s="11"/>
      <c r="VC80" s="11"/>
      <c r="VD80" s="11"/>
      <c r="VE80" s="11"/>
      <c r="VF80" s="11"/>
      <c r="VG80" s="11"/>
      <c r="VH80" s="11"/>
      <c r="VI80" s="11"/>
      <c r="VJ80" s="11"/>
      <c r="VK80" s="11"/>
      <c r="VL80" s="11"/>
      <c r="VM80" s="11"/>
      <c r="VN80" s="11"/>
      <c r="VO80" s="11"/>
      <c r="VP80" s="11"/>
      <c r="VQ80" s="11"/>
      <c r="VR80" s="11"/>
      <c r="VS80" s="11"/>
      <c r="VT80" s="11"/>
      <c r="VU80" s="11"/>
      <c r="VV80" s="11"/>
      <c r="VW80" s="11"/>
      <c r="VX80" s="11"/>
      <c r="VY80" s="11"/>
      <c r="VZ80" s="11"/>
      <c r="WA80" s="11"/>
      <c r="WB80" s="11"/>
      <c r="WC80" s="11"/>
      <c r="WD80" s="11"/>
      <c r="WE80" s="11"/>
      <c r="WF80" s="11"/>
      <c r="WG80" s="11"/>
      <c r="WH80" s="11"/>
      <c r="WI80" s="11"/>
      <c r="WJ80" s="11"/>
      <c r="WK80" s="11"/>
      <c r="WL80" s="11"/>
      <c r="WM80" s="11"/>
      <c r="WN80" s="11"/>
      <c r="WO80" s="11"/>
      <c r="WP80" s="11"/>
      <c r="WQ80" s="11"/>
      <c r="WR80" s="11"/>
      <c r="WS80" s="11"/>
      <c r="WT80" s="11"/>
      <c r="WU80" s="11"/>
      <c r="WV80" s="11"/>
      <c r="WW80" s="11"/>
      <c r="WX80" s="11"/>
      <c r="WY80" s="11"/>
      <c r="WZ80" s="11"/>
      <c r="XA80" s="11"/>
      <c r="XB80" s="11"/>
      <c r="XC80" s="11"/>
      <c r="XD80" s="11"/>
      <c r="XE80" s="11"/>
      <c r="XF80" s="11"/>
      <c r="XG80" s="11"/>
      <c r="XH80" s="11"/>
      <c r="XI80" s="11"/>
      <c r="XJ80" s="11"/>
      <c r="XK80" s="11"/>
      <c r="XL80" s="11"/>
      <c r="XM80" s="11"/>
      <c r="XN80" s="11"/>
      <c r="XO80" s="11"/>
      <c r="XP80" s="11"/>
      <c r="XQ80" s="11"/>
      <c r="XR80" s="11"/>
      <c r="XS80" s="11"/>
      <c r="XT80" s="11"/>
      <c r="XU80" s="11"/>
      <c r="XV80" s="11"/>
      <c r="XW80" s="11"/>
      <c r="XX80" s="11"/>
      <c r="XY80" s="11"/>
      <c r="XZ80" s="11"/>
      <c r="YA80" s="11"/>
      <c r="YB80" s="11"/>
      <c r="YC80" s="11"/>
      <c r="YD80" s="11"/>
      <c r="YE80" s="11"/>
      <c r="YF80" s="11"/>
      <c r="YG80" s="11"/>
      <c r="YH80" s="11"/>
      <c r="YI80" s="11"/>
      <c r="YJ80" s="11"/>
      <c r="YK80" s="11"/>
      <c r="YL80" s="11"/>
      <c r="YM80" s="11"/>
      <c r="YN80" s="11"/>
      <c r="YO80" s="11"/>
      <c r="YP80" s="11"/>
      <c r="YQ80" s="11"/>
      <c r="YR80" s="11"/>
      <c r="YS80" s="11"/>
      <c r="YT80" s="11"/>
      <c r="YU80" s="11"/>
      <c r="YV80" s="11"/>
      <c r="YW80" s="11"/>
      <c r="YX80" s="11"/>
      <c r="YY80" s="11"/>
      <c r="YZ80" s="11"/>
      <c r="ZA80" s="11"/>
      <c r="ZB80" s="11"/>
      <c r="ZC80" s="11"/>
      <c r="ZD80" s="11"/>
      <c r="ZE80" s="11"/>
      <c r="ZF80" s="11"/>
      <c r="ZG80" s="11"/>
      <c r="ZH80" s="11"/>
      <c r="ZI80" s="11"/>
      <c r="ZJ80" s="11"/>
      <c r="ZK80" s="11"/>
      <c r="ZL80" s="11"/>
      <c r="ZM80" s="11"/>
      <c r="ZN80" s="11"/>
      <c r="ZO80" s="11"/>
      <c r="ZP80" s="11"/>
      <c r="ZQ80" s="11"/>
      <c r="ZR80" s="11"/>
      <c r="ZS80" s="11"/>
      <c r="ZT80" s="11"/>
      <c r="ZU80" s="11"/>
      <c r="ZV80" s="11"/>
      <c r="ZW80" s="11"/>
      <c r="ZX80" s="11"/>
      <c r="ZY80" s="11"/>
      <c r="ZZ80" s="11"/>
      <c r="AAA80" s="11"/>
      <c r="AAB80" s="11"/>
      <c r="AAC80" s="11"/>
      <c r="AAD80" s="11"/>
      <c r="AAE80" s="11"/>
      <c r="AAF80" s="11"/>
      <c r="AAG80" s="11"/>
      <c r="AAH80" s="11"/>
      <c r="AAI80" s="11"/>
      <c r="AAJ80" s="11"/>
      <c r="AAK80" s="11"/>
      <c r="AAL80" s="11"/>
      <c r="AAM80" s="11"/>
      <c r="AAN80" s="11"/>
      <c r="AAO80" s="11"/>
      <c r="AAP80" s="11"/>
      <c r="AAQ80" s="11"/>
      <c r="AAR80" s="11"/>
      <c r="AAS80" s="11"/>
      <c r="AAT80" s="11"/>
      <c r="AAU80" s="11"/>
      <c r="AAV80" s="11"/>
      <c r="AAW80" s="11"/>
      <c r="AAX80" s="11"/>
      <c r="AAY80" s="11"/>
      <c r="AAZ80" s="11"/>
      <c r="ABA80" s="11"/>
      <c r="ABB80" s="11"/>
      <c r="ABC80" s="11"/>
      <c r="ABD80" s="11"/>
      <c r="ABE80" s="11"/>
      <c r="ABF80" s="11"/>
      <c r="ABG80" s="11"/>
      <c r="ABH80" s="11"/>
      <c r="ABI80" s="11"/>
      <c r="ABJ80" s="11"/>
      <c r="ABK80" s="11"/>
      <c r="ABL80" s="11"/>
      <c r="ABM80" s="11"/>
      <c r="ABN80" s="11"/>
      <c r="ABO80" s="11"/>
      <c r="ABP80" s="11"/>
      <c r="ABQ80" s="11"/>
      <c r="ABR80" s="11"/>
      <c r="ABS80" s="11"/>
      <c r="ABT80" s="11"/>
      <c r="ABU80" s="11"/>
      <c r="ABV80" s="11"/>
      <c r="ABW80" s="11"/>
      <c r="ABX80" s="11"/>
      <c r="ABY80" s="11"/>
      <c r="ABZ80" s="11"/>
      <c r="ACA80" s="11"/>
      <c r="ACB80" s="11"/>
      <c r="ACC80" s="11"/>
      <c r="ACD80" s="11"/>
      <c r="ACE80" s="11"/>
      <c r="ACF80" s="11"/>
      <c r="ACG80" s="11"/>
      <c r="ACH80" s="11"/>
      <c r="ACI80" s="11"/>
      <c r="ACJ80" s="11"/>
      <c r="ACK80" s="11"/>
      <c r="ACL80" s="11"/>
      <c r="ACM80" s="11"/>
      <c r="ACN80" s="11"/>
      <c r="ACO80" s="11"/>
      <c r="ACP80" s="11"/>
      <c r="ACQ80" s="11"/>
      <c r="ACR80" s="11"/>
      <c r="ACS80" s="11"/>
      <c r="ACT80" s="11"/>
      <c r="ACU80" s="11"/>
      <c r="ACV80" s="11"/>
      <c r="ACW80" s="11"/>
      <c r="ACX80" s="11"/>
      <c r="ACY80" s="11"/>
      <c r="ACZ80" s="11"/>
      <c r="ADA80" s="11"/>
      <c r="ADB80" s="11"/>
      <c r="ADC80" s="11"/>
      <c r="ADD80" s="11"/>
      <c r="ADE80" s="11"/>
      <c r="ADF80" s="11"/>
      <c r="ADG80" s="11"/>
      <c r="ADH80" s="11"/>
      <c r="ADI80" s="11"/>
      <c r="ADJ80" s="11"/>
      <c r="ADK80" s="11"/>
      <c r="ADL80" s="11"/>
      <c r="ADM80" s="11"/>
      <c r="ADN80" s="11"/>
      <c r="ADO80" s="11"/>
      <c r="ADP80" s="11"/>
      <c r="ADQ80" s="11"/>
      <c r="ADR80" s="11"/>
      <c r="ADS80" s="11"/>
      <c r="ADT80" s="11"/>
      <c r="ADU80" s="11"/>
      <c r="ADV80" s="11"/>
      <c r="ADW80" s="11"/>
      <c r="ADX80" s="11"/>
      <c r="ADY80" s="11"/>
      <c r="ADZ80" s="11"/>
      <c r="AEA80" s="11"/>
      <c r="AEB80" s="11"/>
      <c r="AEC80" s="11"/>
      <c r="AED80" s="11"/>
      <c r="AEE80" s="11"/>
      <c r="AEF80" s="11"/>
      <c r="AEG80" s="11"/>
      <c r="AEH80" s="11"/>
      <c r="AEI80" s="11"/>
      <c r="AEJ80" s="11"/>
      <c r="AEK80" s="11"/>
      <c r="AEL80" s="11"/>
      <c r="AEM80" s="11"/>
      <c r="AEN80" s="11"/>
      <c r="AEO80" s="11"/>
      <c r="AEP80" s="11"/>
      <c r="AEQ80" s="11"/>
      <c r="AER80" s="11"/>
      <c r="AES80" s="11"/>
      <c r="AET80" s="11"/>
      <c r="AEU80" s="11"/>
      <c r="AEV80" s="11"/>
      <c r="AEW80" s="11"/>
      <c r="AEX80" s="11"/>
      <c r="AEY80" s="11"/>
      <c r="AEZ80" s="11"/>
      <c r="AFA80" s="11"/>
      <c r="AFB80" s="11"/>
      <c r="AFC80" s="11"/>
      <c r="AFD80" s="11"/>
      <c r="AFE80" s="11"/>
      <c r="AFF80" s="11"/>
      <c r="AFG80" s="11"/>
      <c r="AFH80" s="11"/>
      <c r="AFI80" s="11"/>
    </row>
    <row r="81" spans="2:841">
      <c r="B81" s="11"/>
      <c r="C81" s="657"/>
      <c r="D81" s="289" t="s">
        <v>625</v>
      </c>
      <c r="E81" s="551">
        <f>SUMIFS(M_Datos!$N$41:$N$43,M_Datos!$O$41:$O$43,M_Lista!G19)</f>
        <v>0</v>
      </c>
      <c r="F81" s="312" t="e">
        <f>IF(AND(M_FactoresComplement!$G$439="No",M_FactoresComplement!$G$441="No"),M_Cálculos!E81*VLOOKUP(M_Datos!$E$12&amp;M_Cálculos!D81,M_Factores!$M$10:$P$108,2,FALSE)/(10^3),IF(AND(M_FactoresComplement!$G$439="Sí",M_FactoresComplement!$G$441="No"),E81*M_FactoresComplement!G447/(10^3),E81*VLOOKUP(M_FactoresComplement!$C$467&amp;M_Datos!$E$12&amp;M_Lista!G18,M_FactoresComplement!$F$446:$I$781,2,FALSE)/(10^3)))</f>
        <v>#N/A</v>
      </c>
      <c r="G81" s="313" t="e">
        <f>IF(AND(M_FactoresComplement!$G$439="No",M_FactoresComplement!$G$441="No"),M_Cálculos!E81*VLOOKUP(M_Datos!$E$12&amp;M_Cálculos!D81,M_Factores!$M$10:$P$108,3,FALSE)/(10^3),IF(AND(M_FactoresComplement!$G$439="Sí",M_FactoresComplement!$G$441="No"),E81*M_FactoresComplement!H447/(10^3),E81*VLOOKUP(M_FactoresComplement!$C$467&amp;M_Datos!$E$12&amp;M_Lista!G18,M_FactoresComplement!$F$446:$I$781,3,FALSE)/(10^3)))</f>
        <v>#N/A</v>
      </c>
      <c r="H81" s="551">
        <f>SUMIFS(M_Datos!$P$41:$P$43,M_Datos!$Q$41:$Q$43,M_Lista!G19)</f>
        <v>0</v>
      </c>
      <c r="I81" s="312" t="e">
        <f>IF(AND(M_FactoresComplement!$G$439="No",M_FactoresComplement!$G$441="No"),M_Cálculos!H81*VLOOKUP(M_Datos!$E$12&amp;M_Cálculos!D81,M_Factores!$M$10:$P$108,2,FALSE)/(10^3),IF(AND(M_FactoresComplement!$G$439="Sí",M_FactoresComplement!$G$441="No"),H81*M_FactoresComplement!G447/(10^3),H81*VLOOKUP(M_FactoresComplement!$C$467&amp;M_Datos!$E$12&amp;M_Lista!G18,M_FactoresComplement!$F$446:$I$781,2,FALSE)/(10^3)))</f>
        <v>#N/A</v>
      </c>
      <c r="J81" s="313" t="e">
        <f>IF(AND(M_FactoresComplement!$G$439="No",M_FactoresComplement!$G$441="No"),M_Cálculos!H81*VLOOKUP(M_Datos!$E$12&amp;M_Cálculos!D81,M_Factores!$M$10:$P$108,3,FALSE)/(10^3),IF(AND(M_FactoresComplement!$G$439="Sí",M_FactoresComplement!$G$441="No"),H81*M_FactoresComplement!H447/(10^3),H81*VLOOKUP(M_FactoresComplement!$C$467&amp;M_Datos!$E$12&amp;M_Lista!G18,M_FactoresComplement!$F$446:$I$781,3,FALSE)/(10^3)))</f>
        <v>#N/A</v>
      </c>
      <c r="K81" s="551">
        <f>SUMIFS(M_Datos!$R$41:$R$43,M_Datos!$S$41:$S$43,M_Lista!G19)</f>
        <v>0</v>
      </c>
      <c r="L81" s="312" t="e">
        <f>IF(AND(M_FactoresComplement!$G$439="No",M_FactoresComplement!$G$441="No"),M_Cálculos!K81*VLOOKUP(M_Datos!$E$12&amp;M_Cálculos!D81,M_Factores!$M$10:$P$108,2,FALSE)/(10^3),IF(AND(M_FactoresComplement!$G$439="Sí",M_FactoresComplement!$G$441="No"),K81*M_FactoresComplement!G447/(10^3),K81*VLOOKUP(M_FactoresComplement!$C$467&amp;M_Datos!$E$12&amp;M_Lista!G18,M_FactoresComplement!$F$446:$I$781,2,FALSE)/(10^3)))</f>
        <v>#N/A</v>
      </c>
      <c r="M81" s="313" t="e">
        <f>IF(AND(M_FactoresComplement!$G$439="No",M_FactoresComplement!$G$441="No"),M_Cálculos!K81*VLOOKUP(M_Datos!$E$12&amp;M_Cálculos!D81,M_Factores!$M$10:$P$108,3,FALSE)/(10^3),IF(AND(M_FactoresComplement!$G$439="Sí",M_FactoresComplement!$G$441="No"),K81*M_FactoresComplement!H447/(10^3),K81*VLOOKUP(M_FactoresComplement!$C$467&amp;M_Datos!$E$12&amp;M_Lista!G18,M_FactoresComplement!$F$446:$I$781,3,FALSE)/(10^3)))</f>
        <v>#N/A</v>
      </c>
      <c r="N81" s="551">
        <f>SUMIFS(M_Datos!$T$41:$T$43,M_Datos!$U$41:$U$43,M_Lista!G19)</f>
        <v>0</v>
      </c>
      <c r="O81" s="312" t="e">
        <f>IF(AND(M_FactoresComplement!$G$439="No",M_FactoresComplement!$G$441="No"),M_Cálculos!N81*VLOOKUP(M_Datos!$E$12&amp;M_Cálculos!D81,M_Factores!$M$10:$P$108,2,FALSE)/(10^3),IF(AND(M_FactoresComplement!$G$439="Sí",M_FactoresComplement!$G$441="No"),N81*M_FactoresComplement!G447/(10^3),N81*VLOOKUP(M_FactoresComplement!$C$467&amp;M_Datos!$E$12&amp;M_Lista!G18,M_FactoresComplement!$F$446:$I$781,2,FALSE)/(10^3)))</f>
        <v>#N/A</v>
      </c>
      <c r="P81" s="313" t="e">
        <f>IF(AND(M_FactoresComplement!$G$439="No",M_FactoresComplement!$G$441="No"),M_Cálculos!N81*VLOOKUP(M_Datos!$E$12&amp;M_Cálculos!D81,M_Factores!$M$10:$P$108,3,FALSE)/(10^3),IF(AND(M_FactoresComplement!$G$439="Sí",M_FactoresComplement!$G$441="No"),N81*M_FactoresComplement!H447/(10^3),N81*VLOOKUP(M_FactoresComplement!$C$467&amp;M_Datos!$E$12&amp;M_Lista!G18,M_FactoresComplement!$F$446:$I$781,3,FALSE)/(10^3)))</f>
        <v>#N/A</v>
      </c>
      <c r="Q81" s="551">
        <f>SUMIFS(M_Datos!$V$41:$V$43,M_Datos!$W$41:$W$43,M_Lista!G19)</f>
        <v>0</v>
      </c>
      <c r="R81" s="312" t="e">
        <f>IF(AND(M_FactoresComplement!$G$439="No",M_FactoresComplement!$G$441="No"),M_Cálculos!Q81*VLOOKUP(M_Datos!$E$12&amp;M_Cálculos!D81,M_Factores!$M$10:$P$108,2,FALSE)/(10^3),IF(AND(M_FactoresComplement!$G$439="Sí",M_FactoresComplement!$G$441="No"),Q81*M_FactoresComplement!G447/(10^3),Q81*VLOOKUP(M_FactoresComplement!$C$467&amp;M_Datos!$E$12&amp;M_Lista!G18,M_FactoresComplement!$F$446:$I$781,2,FALSE)/(10^3)))</f>
        <v>#N/A</v>
      </c>
      <c r="S81" s="313" t="e">
        <f>IF(AND(M_FactoresComplement!$G$439="No",M_FactoresComplement!$G$441="No"),M_Cálculos!Q81*VLOOKUP(M_Datos!$E$12&amp;M_Cálculos!D81,M_Factores!$M$10:$P$108,3,FALSE)/(10^3),IF(AND(M_FactoresComplement!$G$439="Sí",M_FactoresComplement!$G$441="No"),Q81*M_FactoresComplement!H447/(10^3),Q81*VLOOKUP(M_FactoresComplement!$C$467&amp;M_Datos!$E$12&amp;M_Lista!G18,M_FactoresComplement!$F$446:$I$781,3,FALSE)/(10^3)))</f>
        <v>#N/A</v>
      </c>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c r="JH81" s="11"/>
      <c r="JI81" s="11"/>
      <c r="JJ81" s="11"/>
      <c r="JK81" s="11"/>
      <c r="JL81" s="11"/>
      <c r="JM81" s="11"/>
      <c r="JN81" s="11"/>
      <c r="JO81" s="11"/>
      <c r="JP81" s="11"/>
      <c r="JQ81" s="11"/>
      <c r="JR81" s="11"/>
      <c r="JS81" s="11"/>
      <c r="JT81" s="11"/>
      <c r="JU81" s="11"/>
      <c r="JV81" s="11"/>
      <c r="JW81" s="11"/>
      <c r="JX81" s="11"/>
      <c r="JY81" s="11"/>
      <c r="JZ81" s="11"/>
      <c r="KA81" s="11"/>
      <c r="KB81" s="11"/>
      <c r="KC81" s="11"/>
      <c r="KD81" s="11"/>
      <c r="KE81" s="11"/>
      <c r="KF81" s="11"/>
      <c r="KG81" s="11"/>
      <c r="KH81" s="11"/>
      <c r="KI81" s="11"/>
      <c r="KJ81" s="11"/>
      <c r="KK81" s="11"/>
      <c r="KL81" s="11"/>
      <c r="KM81" s="11"/>
      <c r="KN81" s="11"/>
      <c r="KO81" s="11"/>
      <c r="KP81" s="11"/>
      <c r="KQ81" s="11"/>
      <c r="KR81" s="11"/>
      <c r="KS81" s="11"/>
      <c r="KT81" s="11"/>
      <c r="KU81" s="11"/>
      <c r="KV81" s="11"/>
      <c r="KW81" s="11"/>
      <c r="KX81" s="11"/>
      <c r="KY81" s="11"/>
      <c r="KZ81" s="11"/>
      <c r="LA81" s="11"/>
      <c r="LB81" s="11"/>
      <c r="LC81" s="11"/>
      <c r="LD81" s="11"/>
      <c r="LE81" s="11"/>
      <c r="LF81" s="11"/>
      <c r="LG81" s="11"/>
      <c r="LH81" s="11"/>
      <c r="LI81" s="11"/>
      <c r="LJ81" s="11"/>
      <c r="LK81" s="11"/>
      <c r="LL81" s="11"/>
      <c r="LM81" s="11"/>
      <c r="LN81" s="11"/>
      <c r="LO81" s="11"/>
      <c r="LP81" s="11"/>
      <c r="LQ81" s="11"/>
      <c r="LR81" s="11"/>
      <c r="LS81" s="11"/>
      <c r="LT81" s="11"/>
      <c r="LU81" s="11"/>
      <c r="LV81" s="11"/>
      <c r="LW81" s="11"/>
      <c r="LX81" s="11"/>
      <c r="LY81" s="11"/>
      <c r="LZ81" s="11"/>
      <c r="MA81" s="11"/>
      <c r="MB81" s="11"/>
      <c r="MC81" s="11"/>
      <c r="MD81" s="11"/>
      <c r="ME81" s="11"/>
      <c r="MF81" s="11"/>
      <c r="MG81" s="11"/>
      <c r="MH81" s="11"/>
      <c r="MI81" s="11"/>
      <c r="MJ81" s="11"/>
      <c r="MK81" s="11"/>
      <c r="ML81" s="11"/>
      <c r="MM81" s="11"/>
      <c r="MN81" s="11"/>
      <c r="MO81" s="11"/>
      <c r="MP81" s="11"/>
      <c r="MQ81" s="11"/>
      <c r="MR81" s="11"/>
      <c r="MS81" s="11"/>
      <c r="MT81" s="11"/>
      <c r="MU81" s="11"/>
      <c r="MV81" s="11"/>
      <c r="MW81" s="11"/>
      <c r="MX81" s="11"/>
      <c r="MY81" s="11"/>
      <c r="MZ81" s="11"/>
      <c r="NA81" s="11"/>
      <c r="NB81" s="11"/>
      <c r="NC81" s="11"/>
      <c r="ND81" s="11"/>
      <c r="NE81" s="11"/>
      <c r="NF81" s="11"/>
      <c r="NG81" s="11"/>
      <c r="NH81" s="11"/>
      <c r="NI81" s="11"/>
      <c r="NJ81" s="11"/>
      <c r="NK81" s="11"/>
      <c r="NL81" s="11"/>
      <c r="NM81" s="11"/>
      <c r="NN81" s="11"/>
      <c r="NO81" s="11"/>
      <c r="NP81" s="11"/>
      <c r="NQ81" s="11"/>
      <c r="NR81" s="11"/>
      <c r="NS81" s="11"/>
      <c r="NT81" s="11"/>
      <c r="NU81" s="11"/>
      <c r="NV81" s="11"/>
      <c r="NW81" s="11"/>
      <c r="NX81" s="11"/>
      <c r="NY81" s="11"/>
      <c r="NZ81" s="11"/>
      <c r="OA81" s="11"/>
      <c r="OB81" s="11"/>
      <c r="OC81" s="11"/>
      <c r="OD81" s="11"/>
      <c r="OE81" s="11"/>
      <c r="OF81" s="11"/>
      <c r="OG81" s="11"/>
      <c r="OH81" s="11"/>
      <c r="OI81" s="11"/>
      <c r="OJ81" s="11"/>
      <c r="OK81" s="11"/>
      <c r="OL81" s="11"/>
      <c r="OM81" s="11"/>
      <c r="ON81" s="11"/>
      <c r="OO81" s="11"/>
      <c r="OP81" s="11"/>
      <c r="OQ81" s="11"/>
      <c r="OR81" s="11"/>
      <c r="OS81" s="11"/>
      <c r="OT81" s="11"/>
      <c r="OU81" s="11"/>
      <c r="OV81" s="11"/>
      <c r="OW81" s="11"/>
      <c r="OX81" s="11"/>
      <c r="OY81" s="11"/>
      <c r="OZ81" s="11"/>
      <c r="PA81" s="11"/>
      <c r="PB81" s="11"/>
      <c r="PC81" s="11"/>
      <c r="PD81" s="11"/>
      <c r="PE81" s="11"/>
      <c r="PF81" s="11"/>
      <c r="PG81" s="11"/>
      <c r="PH81" s="11"/>
      <c r="PI81" s="11"/>
      <c r="PJ81" s="11"/>
      <c r="PK81" s="11"/>
      <c r="PL81" s="11"/>
      <c r="PM81" s="11"/>
      <c r="PN81" s="11"/>
      <c r="PO81" s="11"/>
      <c r="PP81" s="11"/>
      <c r="PQ81" s="11"/>
      <c r="PR81" s="11"/>
      <c r="PS81" s="11"/>
      <c r="PT81" s="11"/>
      <c r="PU81" s="11"/>
      <c r="PV81" s="11"/>
      <c r="PW81" s="11"/>
      <c r="PX81" s="11"/>
      <c r="PY81" s="11"/>
      <c r="PZ81" s="11"/>
      <c r="QA81" s="11"/>
      <c r="QB81" s="11"/>
      <c r="QC81" s="11"/>
      <c r="QD81" s="11"/>
      <c r="QE81" s="11"/>
      <c r="QF81" s="11"/>
      <c r="QG81" s="11"/>
      <c r="QH81" s="11"/>
      <c r="QI81" s="11"/>
      <c r="QJ81" s="11"/>
      <c r="QK81" s="11"/>
      <c r="QL81" s="11"/>
      <c r="QM81" s="11"/>
      <c r="QN81" s="11"/>
      <c r="QO81" s="11"/>
      <c r="QP81" s="11"/>
      <c r="QQ81" s="11"/>
      <c r="QR81" s="11"/>
      <c r="QS81" s="11"/>
      <c r="QT81" s="11"/>
      <c r="QU81" s="11"/>
      <c r="QV81" s="11"/>
      <c r="QW81" s="11"/>
      <c r="QX81" s="11"/>
      <c r="QY81" s="11"/>
      <c r="QZ81" s="11"/>
      <c r="RA81" s="11"/>
      <c r="RB81" s="11"/>
      <c r="RC81" s="11"/>
      <c r="RD81" s="11"/>
      <c r="RE81" s="11"/>
      <c r="RF81" s="11"/>
      <c r="RG81" s="11"/>
      <c r="RH81" s="11"/>
      <c r="RI81" s="11"/>
      <c r="RJ81" s="11"/>
      <c r="RK81" s="11"/>
      <c r="RL81" s="11"/>
      <c r="RM81" s="11"/>
      <c r="RN81" s="11"/>
      <c r="RO81" s="11"/>
      <c r="RP81" s="11"/>
      <c r="RQ81" s="11"/>
      <c r="RR81" s="11"/>
      <c r="RS81" s="11"/>
      <c r="RT81" s="11"/>
      <c r="RU81" s="11"/>
      <c r="RV81" s="11"/>
      <c r="RW81" s="11"/>
      <c r="RX81" s="11"/>
      <c r="RY81" s="11"/>
      <c r="RZ81" s="11"/>
      <c r="SA81" s="11"/>
      <c r="SB81" s="11"/>
      <c r="SC81" s="11"/>
      <c r="SD81" s="11"/>
      <c r="SE81" s="11"/>
      <c r="SF81" s="11"/>
      <c r="SG81" s="11"/>
      <c r="SH81" s="11"/>
      <c r="SI81" s="11"/>
      <c r="SJ81" s="11"/>
      <c r="SK81" s="11"/>
      <c r="SL81" s="11"/>
      <c r="SM81" s="11"/>
      <c r="SN81" s="11"/>
      <c r="SO81" s="11"/>
      <c r="SP81" s="11"/>
      <c r="SQ81" s="11"/>
      <c r="SR81" s="11"/>
      <c r="SS81" s="11"/>
      <c r="ST81" s="11"/>
      <c r="SU81" s="11"/>
      <c r="SV81" s="11"/>
      <c r="SW81" s="11"/>
      <c r="SX81" s="11"/>
      <c r="SY81" s="11"/>
      <c r="SZ81" s="11"/>
      <c r="TA81" s="11"/>
      <c r="TB81" s="11"/>
      <c r="TC81" s="11"/>
      <c r="TD81" s="11"/>
      <c r="TE81" s="11"/>
      <c r="TF81" s="11"/>
      <c r="TG81" s="11"/>
      <c r="TH81" s="11"/>
      <c r="TI81" s="11"/>
      <c r="TJ81" s="11"/>
      <c r="TK81" s="11"/>
      <c r="TL81" s="11"/>
      <c r="TM81" s="11"/>
      <c r="TN81" s="11"/>
      <c r="TO81" s="11"/>
      <c r="TP81" s="11"/>
      <c r="TQ81" s="11"/>
      <c r="TR81" s="11"/>
      <c r="TS81" s="11"/>
      <c r="TT81" s="11"/>
      <c r="TU81" s="11"/>
      <c r="TV81" s="11"/>
      <c r="TW81" s="11"/>
      <c r="TX81" s="11"/>
      <c r="TY81" s="11"/>
      <c r="TZ81" s="11"/>
      <c r="UA81" s="11"/>
      <c r="UB81" s="11"/>
      <c r="UC81" s="11"/>
      <c r="UD81" s="11"/>
      <c r="UE81" s="11"/>
      <c r="UF81" s="11"/>
      <c r="UG81" s="11"/>
      <c r="UH81" s="11"/>
      <c r="UI81" s="11"/>
      <c r="UJ81" s="11"/>
      <c r="UK81" s="11"/>
      <c r="UL81" s="11"/>
      <c r="UM81" s="11"/>
      <c r="UN81" s="11"/>
      <c r="UO81" s="11"/>
      <c r="UP81" s="11"/>
      <c r="UQ81" s="11"/>
      <c r="UR81" s="11"/>
      <c r="US81" s="11"/>
      <c r="UT81" s="11"/>
      <c r="UU81" s="11"/>
      <c r="UV81" s="11"/>
      <c r="UW81" s="11"/>
      <c r="UX81" s="11"/>
      <c r="UY81" s="11"/>
      <c r="UZ81" s="11"/>
      <c r="VA81" s="11"/>
      <c r="VB81" s="11"/>
      <c r="VC81" s="11"/>
      <c r="VD81" s="11"/>
      <c r="VE81" s="11"/>
      <c r="VF81" s="11"/>
      <c r="VG81" s="11"/>
      <c r="VH81" s="11"/>
      <c r="VI81" s="11"/>
      <c r="VJ81" s="11"/>
      <c r="VK81" s="11"/>
      <c r="VL81" s="11"/>
      <c r="VM81" s="11"/>
      <c r="VN81" s="11"/>
      <c r="VO81" s="11"/>
      <c r="VP81" s="11"/>
      <c r="VQ81" s="11"/>
      <c r="VR81" s="11"/>
      <c r="VS81" s="11"/>
      <c r="VT81" s="11"/>
      <c r="VU81" s="11"/>
      <c r="VV81" s="11"/>
      <c r="VW81" s="11"/>
      <c r="VX81" s="11"/>
      <c r="VY81" s="11"/>
      <c r="VZ81" s="11"/>
      <c r="WA81" s="11"/>
      <c r="WB81" s="11"/>
      <c r="WC81" s="11"/>
      <c r="WD81" s="11"/>
      <c r="WE81" s="11"/>
      <c r="WF81" s="11"/>
      <c r="WG81" s="11"/>
      <c r="WH81" s="11"/>
      <c r="WI81" s="11"/>
      <c r="WJ81" s="11"/>
      <c r="WK81" s="11"/>
      <c r="WL81" s="11"/>
      <c r="WM81" s="11"/>
      <c r="WN81" s="11"/>
      <c r="WO81" s="11"/>
      <c r="WP81" s="11"/>
      <c r="WQ81" s="11"/>
      <c r="WR81" s="11"/>
      <c r="WS81" s="11"/>
      <c r="WT81" s="11"/>
      <c r="WU81" s="11"/>
      <c r="WV81" s="11"/>
      <c r="WW81" s="11"/>
      <c r="WX81" s="11"/>
      <c r="WY81" s="11"/>
      <c r="WZ81" s="11"/>
      <c r="XA81" s="11"/>
      <c r="XB81" s="11"/>
      <c r="XC81" s="11"/>
      <c r="XD81" s="11"/>
      <c r="XE81" s="11"/>
      <c r="XF81" s="11"/>
      <c r="XG81" s="11"/>
      <c r="XH81" s="11"/>
      <c r="XI81" s="11"/>
      <c r="XJ81" s="11"/>
      <c r="XK81" s="11"/>
      <c r="XL81" s="11"/>
      <c r="XM81" s="11"/>
      <c r="XN81" s="11"/>
      <c r="XO81" s="11"/>
      <c r="XP81" s="11"/>
      <c r="XQ81" s="11"/>
      <c r="XR81" s="11"/>
      <c r="XS81" s="11"/>
      <c r="XT81" s="11"/>
      <c r="XU81" s="11"/>
      <c r="XV81" s="11"/>
      <c r="XW81" s="11"/>
      <c r="XX81" s="11"/>
      <c r="XY81" s="11"/>
      <c r="XZ81" s="11"/>
      <c r="YA81" s="11"/>
      <c r="YB81" s="11"/>
      <c r="YC81" s="11"/>
      <c r="YD81" s="11"/>
      <c r="YE81" s="11"/>
      <c r="YF81" s="11"/>
      <c r="YG81" s="11"/>
      <c r="YH81" s="11"/>
      <c r="YI81" s="11"/>
      <c r="YJ81" s="11"/>
      <c r="YK81" s="11"/>
      <c r="YL81" s="11"/>
      <c r="YM81" s="11"/>
      <c r="YN81" s="11"/>
      <c r="YO81" s="11"/>
      <c r="YP81" s="11"/>
      <c r="YQ81" s="11"/>
      <c r="YR81" s="11"/>
      <c r="YS81" s="11"/>
      <c r="YT81" s="11"/>
      <c r="YU81" s="11"/>
      <c r="YV81" s="11"/>
      <c r="YW81" s="11"/>
      <c r="YX81" s="11"/>
      <c r="YY81" s="11"/>
      <c r="YZ81" s="11"/>
      <c r="ZA81" s="11"/>
      <c r="ZB81" s="11"/>
      <c r="ZC81" s="11"/>
      <c r="ZD81" s="11"/>
      <c r="ZE81" s="11"/>
      <c r="ZF81" s="11"/>
      <c r="ZG81" s="11"/>
      <c r="ZH81" s="11"/>
      <c r="ZI81" s="11"/>
      <c r="ZJ81" s="11"/>
      <c r="ZK81" s="11"/>
      <c r="ZL81" s="11"/>
      <c r="ZM81" s="11"/>
      <c r="ZN81" s="11"/>
      <c r="ZO81" s="11"/>
      <c r="ZP81" s="11"/>
      <c r="ZQ81" s="11"/>
      <c r="ZR81" s="11"/>
      <c r="ZS81" s="11"/>
      <c r="ZT81" s="11"/>
      <c r="ZU81" s="11"/>
      <c r="ZV81" s="11"/>
      <c r="ZW81" s="11"/>
      <c r="ZX81" s="11"/>
      <c r="ZY81" s="11"/>
      <c r="ZZ81" s="11"/>
      <c r="AAA81" s="11"/>
      <c r="AAB81" s="11"/>
      <c r="AAC81" s="11"/>
      <c r="AAD81" s="11"/>
      <c r="AAE81" s="11"/>
      <c r="AAF81" s="11"/>
      <c r="AAG81" s="11"/>
      <c r="AAH81" s="11"/>
      <c r="AAI81" s="11"/>
      <c r="AAJ81" s="11"/>
      <c r="AAK81" s="11"/>
      <c r="AAL81" s="11"/>
      <c r="AAM81" s="11"/>
      <c r="AAN81" s="11"/>
      <c r="AAO81" s="11"/>
      <c r="AAP81" s="11"/>
      <c r="AAQ81" s="11"/>
      <c r="AAR81" s="11"/>
      <c r="AAS81" s="11"/>
      <c r="AAT81" s="11"/>
      <c r="AAU81" s="11"/>
      <c r="AAV81" s="11"/>
      <c r="AAW81" s="11"/>
      <c r="AAX81" s="11"/>
      <c r="AAY81" s="11"/>
      <c r="AAZ81" s="11"/>
      <c r="ABA81" s="11"/>
      <c r="ABB81" s="11"/>
      <c r="ABC81" s="11"/>
      <c r="ABD81" s="11"/>
      <c r="ABE81" s="11"/>
      <c r="ABF81" s="11"/>
      <c r="ABG81" s="11"/>
      <c r="ABH81" s="11"/>
      <c r="ABI81" s="11"/>
      <c r="ABJ81" s="11"/>
      <c r="ABK81" s="11"/>
      <c r="ABL81" s="11"/>
      <c r="ABM81" s="11"/>
      <c r="ABN81" s="11"/>
      <c r="ABO81" s="11"/>
      <c r="ABP81" s="11"/>
      <c r="ABQ81" s="11"/>
      <c r="ABR81" s="11"/>
      <c r="ABS81" s="11"/>
      <c r="ABT81" s="11"/>
      <c r="ABU81" s="11"/>
      <c r="ABV81" s="11"/>
      <c r="ABW81" s="11"/>
      <c r="ABX81" s="11"/>
      <c r="ABY81" s="11"/>
      <c r="ABZ81" s="11"/>
      <c r="ACA81" s="11"/>
      <c r="ACB81" s="11"/>
      <c r="ACC81" s="11"/>
      <c r="ACD81" s="11"/>
      <c r="ACE81" s="11"/>
      <c r="ACF81" s="11"/>
      <c r="ACG81" s="11"/>
      <c r="ACH81" s="11"/>
      <c r="ACI81" s="11"/>
      <c r="ACJ81" s="11"/>
      <c r="ACK81" s="11"/>
      <c r="ACL81" s="11"/>
      <c r="ACM81" s="11"/>
      <c r="ACN81" s="11"/>
      <c r="ACO81" s="11"/>
      <c r="ACP81" s="11"/>
      <c r="ACQ81" s="11"/>
      <c r="ACR81" s="11"/>
      <c r="ACS81" s="11"/>
      <c r="ACT81" s="11"/>
      <c r="ACU81" s="11"/>
      <c r="ACV81" s="11"/>
      <c r="ACW81" s="11"/>
      <c r="ACX81" s="11"/>
      <c r="ACY81" s="11"/>
      <c r="ACZ81" s="11"/>
      <c r="ADA81" s="11"/>
      <c r="ADB81" s="11"/>
      <c r="ADC81" s="11"/>
      <c r="ADD81" s="11"/>
      <c r="ADE81" s="11"/>
      <c r="ADF81" s="11"/>
      <c r="ADG81" s="11"/>
      <c r="ADH81" s="11"/>
      <c r="ADI81" s="11"/>
      <c r="ADJ81" s="11"/>
      <c r="ADK81" s="11"/>
      <c r="ADL81" s="11"/>
      <c r="ADM81" s="11"/>
      <c r="ADN81" s="11"/>
      <c r="ADO81" s="11"/>
      <c r="ADP81" s="11"/>
      <c r="ADQ81" s="11"/>
      <c r="ADR81" s="11"/>
      <c r="ADS81" s="11"/>
      <c r="ADT81" s="11"/>
      <c r="ADU81" s="11"/>
      <c r="ADV81" s="11"/>
      <c r="ADW81" s="11"/>
      <c r="ADX81" s="11"/>
      <c r="ADY81" s="11"/>
      <c r="ADZ81" s="11"/>
      <c r="AEA81" s="11"/>
      <c r="AEB81" s="11"/>
      <c r="AEC81" s="11"/>
      <c r="AED81" s="11"/>
      <c r="AEE81" s="11"/>
      <c r="AEF81" s="11"/>
      <c r="AEG81" s="11"/>
      <c r="AEH81" s="11"/>
      <c r="AEI81" s="11"/>
      <c r="AEJ81" s="11"/>
      <c r="AEK81" s="11"/>
      <c r="AEL81" s="11"/>
      <c r="AEM81" s="11"/>
      <c r="AEN81" s="11"/>
      <c r="AEO81" s="11"/>
      <c r="AEP81" s="11"/>
      <c r="AEQ81" s="11"/>
      <c r="AER81" s="11"/>
      <c r="AES81" s="11"/>
      <c r="AET81" s="11"/>
      <c r="AEU81" s="11"/>
      <c r="AEV81" s="11"/>
      <c r="AEW81" s="11"/>
      <c r="AEX81" s="11"/>
      <c r="AEY81" s="11"/>
      <c r="AEZ81" s="11"/>
      <c r="AFA81" s="11"/>
      <c r="AFB81" s="11"/>
      <c r="AFC81" s="11"/>
      <c r="AFD81" s="11"/>
      <c r="AFE81" s="11"/>
      <c r="AFF81" s="11"/>
      <c r="AFG81" s="11"/>
      <c r="AFH81" s="11"/>
      <c r="AFI81" s="11"/>
    </row>
    <row r="82" spans="2:841">
      <c r="B82" s="11"/>
      <c r="C82" s="657"/>
      <c r="D82" s="289" t="s">
        <v>626</v>
      </c>
      <c r="E82" s="551">
        <f>SUMIFS(M_Datos!$N$41:$N$43,M_Datos!$O$41:$O$43,M_Lista!G20)</f>
        <v>0</v>
      </c>
      <c r="F82" s="312" t="e">
        <f>IF(AND(M_FactoresComplement!$G$439="No",M_FactoresComplement!$G$441="No"),M_Cálculos!E82*VLOOKUP(M_Datos!$E$12&amp;M_Cálculos!D82,M_Factores!$M$10:$P$108,2,FALSE)/(10^3),IF(AND(M_FactoresComplement!$G$439="Sí",M_FactoresComplement!$G$441="No"),E82*M_FactoresComplement!G448/(10^3),E82*VLOOKUP(M_FactoresComplement!$C$467&amp;M_Datos!$E$12&amp;M_Lista!G19,M_FactoresComplement!$F$446:$I$781,2,FALSE)/(10^3)))</f>
        <v>#N/A</v>
      </c>
      <c r="G82" s="313" t="e">
        <f>IF(AND(M_FactoresComplement!$G$439="No",M_FactoresComplement!$G$441="No"),M_Cálculos!E82*VLOOKUP(M_Datos!$E$12&amp;M_Cálculos!D82,M_Factores!$M$10:$P$108,3,FALSE)/(10^3),IF(AND(M_FactoresComplement!$G$439="Sí",M_FactoresComplement!$G$441="No"),E82*M_FactoresComplement!H448/(10^3),E82*VLOOKUP(M_FactoresComplement!$C$467&amp;M_Datos!$E$12&amp;M_Lista!G19,M_FactoresComplement!$F$446:$I$781,3,FALSE)/(10^3)))</f>
        <v>#N/A</v>
      </c>
      <c r="H82" s="551">
        <f>SUMIFS(M_Datos!$P$41:$P$43,M_Datos!$Q$41:$Q$43,M_Lista!G20)</f>
        <v>0</v>
      </c>
      <c r="I82" s="312" t="e">
        <f>IF(AND(M_FactoresComplement!$G$439="No",M_FactoresComplement!$G$441="No"),M_Cálculos!H82*VLOOKUP(M_Datos!$E$12&amp;M_Cálculos!D82,M_Factores!$M$10:$P$108,2,FALSE)/(10^3),IF(AND(M_FactoresComplement!$G$439="Sí",M_FactoresComplement!$G$441="No"),H82*M_FactoresComplement!G448/(10^3),H82*VLOOKUP(M_FactoresComplement!$C$467&amp;M_Datos!$E$12&amp;M_Lista!G19,M_FactoresComplement!$F$446:$I$781,2,FALSE)/(10^3)))</f>
        <v>#N/A</v>
      </c>
      <c r="J82" s="313" t="e">
        <f>IF(AND(M_FactoresComplement!$G$439="No",M_FactoresComplement!$G$441="No"),M_Cálculos!H82*VLOOKUP(M_Datos!$E$12&amp;M_Cálculos!D82,M_Factores!$M$10:$P$108,3,FALSE)/(10^3),IF(AND(M_FactoresComplement!$G$439="Sí",M_FactoresComplement!$G$441="No"),H82*M_FactoresComplement!H448/(10^3),H82*VLOOKUP(M_FactoresComplement!$C$467&amp;M_Datos!$E$12&amp;M_Lista!G19,M_FactoresComplement!$F$446:$I$781,3,FALSE)/(10^3)))</f>
        <v>#N/A</v>
      </c>
      <c r="K82" s="551">
        <f>SUMIFS(M_Datos!$R$41:$R$43,M_Datos!$S$41:$S$43,M_Lista!G20)</f>
        <v>0</v>
      </c>
      <c r="L82" s="312" t="e">
        <f>IF(AND(M_FactoresComplement!$G$439="No",M_FactoresComplement!$G$441="No"),M_Cálculos!K82*VLOOKUP(M_Datos!$E$12&amp;M_Cálculos!D82,M_Factores!$M$10:$P$108,2,FALSE)/(10^3),IF(AND(M_FactoresComplement!$G$439="Sí",M_FactoresComplement!$G$441="No"),K82*M_FactoresComplement!G448/(10^3),K82*VLOOKUP(M_FactoresComplement!$C$467&amp;M_Datos!$E$12&amp;M_Lista!G19,M_FactoresComplement!$F$446:$I$781,2,FALSE)/(10^3)))</f>
        <v>#N/A</v>
      </c>
      <c r="M82" s="313" t="e">
        <f>IF(AND(M_FactoresComplement!$G$439="No",M_FactoresComplement!$G$441="No"),M_Cálculos!K82*VLOOKUP(M_Datos!$E$12&amp;M_Cálculos!D82,M_Factores!$M$10:$P$108,3,FALSE)/(10^3),IF(AND(M_FactoresComplement!$G$439="Sí",M_FactoresComplement!$G$441="No"),K82*M_FactoresComplement!H448/(10^3),K82*VLOOKUP(M_FactoresComplement!$C$467&amp;M_Datos!$E$12&amp;M_Lista!G19,M_FactoresComplement!$F$446:$I$781,3,FALSE)/(10^3)))</f>
        <v>#N/A</v>
      </c>
      <c r="N82" s="551">
        <f>SUMIFS(M_Datos!$T$41:$T$43,M_Datos!$U$41:$U$43,M_Lista!G20)</f>
        <v>0</v>
      </c>
      <c r="O82" s="312" t="e">
        <f>IF(AND(M_FactoresComplement!$G$439="No",M_FactoresComplement!$G$441="No"),M_Cálculos!N82*VLOOKUP(M_Datos!$E$12&amp;M_Cálculos!D82,M_Factores!$M$10:$P$108,2,FALSE)/(10^3),IF(AND(M_FactoresComplement!$G$439="Sí",M_FactoresComplement!$G$441="No"),N82*M_FactoresComplement!G448/(10^3),N82*VLOOKUP(M_FactoresComplement!$C$467&amp;M_Datos!$E$12&amp;M_Lista!G19,M_FactoresComplement!$F$446:$I$781,2,FALSE)/(10^3)))</f>
        <v>#N/A</v>
      </c>
      <c r="P82" s="313" t="e">
        <f>IF(AND(M_FactoresComplement!$G$439="No",M_FactoresComplement!$G$441="No"),M_Cálculos!N82*VLOOKUP(M_Datos!$E$12&amp;M_Cálculos!D82,M_Factores!$M$10:$P$108,3,FALSE)/(10^3),IF(AND(M_FactoresComplement!$G$439="Sí",M_FactoresComplement!$G$441="No"),N82*M_FactoresComplement!H448/(10^3),N82*VLOOKUP(M_FactoresComplement!$C$467&amp;M_Datos!$E$12&amp;M_Lista!G19,M_FactoresComplement!$F$446:$I$781,3,FALSE)/(10^3)))</f>
        <v>#N/A</v>
      </c>
      <c r="Q82" s="551">
        <f>SUMIFS(M_Datos!$V$41:$V$43,M_Datos!$W$41:$W$43,M_Lista!G20)</f>
        <v>0</v>
      </c>
      <c r="R82" s="312" t="e">
        <f>IF(AND(M_FactoresComplement!$G$439="No",M_FactoresComplement!$G$441="No"),M_Cálculos!Q82*VLOOKUP(M_Datos!$E$12&amp;M_Cálculos!D82,M_Factores!$M$10:$P$108,2,FALSE)/(10^3),IF(AND(M_FactoresComplement!$G$439="Sí",M_FactoresComplement!$G$441="No"),Q82*M_FactoresComplement!G448/(10^3),Q82*VLOOKUP(M_FactoresComplement!$C$467&amp;M_Datos!$E$12&amp;M_Lista!G19,M_FactoresComplement!$F$446:$I$781,2,FALSE)/(10^3)))</f>
        <v>#N/A</v>
      </c>
      <c r="S82" s="313" t="e">
        <f>IF(AND(M_FactoresComplement!$G$439="No",M_FactoresComplement!$G$441="No"),M_Cálculos!Q82*VLOOKUP(M_Datos!$E$12&amp;M_Cálculos!D82,M_Factores!$M$10:$P$108,3,FALSE)/(10^3),IF(AND(M_FactoresComplement!$G$439="Sí",M_FactoresComplement!$G$441="No"),Q82*M_FactoresComplement!H448/(10^3),Q82*VLOOKUP(M_FactoresComplement!$C$467&amp;M_Datos!$E$12&amp;M_Lista!G19,M_FactoresComplement!$F$446:$I$781,3,FALSE)/(10^3)))</f>
        <v>#N/A</v>
      </c>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c r="JH82" s="11"/>
      <c r="JI82" s="11"/>
      <c r="JJ82" s="11"/>
      <c r="JK82" s="11"/>
      <c r="JL82" s="11"/>
      <c r="JM82" s="11"/>
      <c r="JN82" s="11"/>
      <c r="JO82" s="11"/>
      <c r="JP82" s="11"/>
      <c r="JQ82" s="11"/>
      <c r="JR82" s="11"/>
      <c r="JS82" s="11"/>
      <c r="JT82" s="11"/>
      <c r="JU82" s="11"/>
      <c r="JV82" s="11"/>
      <c r="JW82" s="11"/>
      <c r="JX82" s="11"/>
      <c r="JY82" s="11"/>
      <c r="JZ82" s="11"/>
      <c r="KA82" s="11"/>
      <c r="KB82" s="11"/>
      <c r="KC82" s="11"/>
      <c r="KD82" s="11"/>
      <c r="KE82" s="11"/>
      <c r="KF82" s="11"/>
      <c r="KG82" s="11"/>
      <c r="KH82" s="11"/>
      <c r="KI82" s="11"/>
      <c r="KJ82" s="11"/>
      <c r="KK82" s="11"/>
      <c r="KL82" s="11"/>
      <c r="KM82" s="11"/>
      <c r="KN82" s="11"/>
      <c r="KO82" s="11"/>
      <c r="KP82" s="11"/>
      <c r="KQ82" s="11"/>
      <c r="KR82" s="11"/>
      <c r="KS82" s="11"/>
      <c r="KT82" s="11"/>
      <c r="KU82" s="11"/>
      <c r="KV82" s="11"/>
      <c r="KW82" s="11"/>
      <c r="KX82" s="11"/>
      <c r="KY82" s="11"/>
      <c r="KZ82" s="11"/>
      <c r="LA82" s="11"/>
      <c r="LB82" s="11"/>
      <c r="LC82" s="11"/>
      <c r="LD82" s="11"/>
      <c r="LE82" s="11"/>
      <c r="LF82" s="11"/>
      <c r="LG82" s="11"/>
      <c r="LH82" s="11"/>
      <c r="LI82" s="11"/>
      <c r="LJ82" s="11"/>
      <c r="LK82" s="11"/>
      <c r="LL82" s="11"/>
      <c r="LM82" s="11"/>
      <c r="LN82" s="11"/>
      <c r="LO82" s="11"/>
      <c r="LP82" s="11"/>
      <c r="LQ82" s="11"/>
      <c r="LR82" s="11"/>
      <c r="LS82" s="11"/>
      <c r="LT82" s="11"/>
      <c r="LU82" s="11"/>
      <c r="LV82" s="11"/>
      <c r="LW82" s="11"/>
      <c r="LX82" s="11"/>
      <c r="LY82" s="11"/>
      <c r="LZ82" s="11"/>
      <c r="MA82" s="11"/>
      <c r="MB82" s="11"/>
      <c r="MC82" s="11"/>
      <c r="MD82" s="11"/>
      <c r="ME82" s="11"/>
      <c r="MF82" s="11"/>
      <c r="MG82" s="11"/>
      <c r="MH82" s="11"/>
      <c r="MI82" s="11"/>
      <c r="MJ82" s="11"/>
      <c r="MK82" s="11"/>
      <c r="ML82" s="11"/>
      <c r="MM82" s="11"/>
      <c r="MN82" s="11"/>
      <c r="MO82" s="11"/>
      <c r="MP82" s="11"/>
      <c r="MQ82" s="11"/>
      <c r="MR82" s="11"/>
      <c r="MS82" s="11"/>
      <c r="MT82" s="11"/>
      <c r="MU82" s="11"/>
      <c r="MV82" s="11"/>
      <c r="MW82" s="11"/>
      <c r="MX82" s="11"/>
      <c r="MY82" s="11"/>
      <c r="MZ82" s="11"/>
      <c r="NA82" s="11"/>
      <c r="NB82" s="11"/>
      <c r="NC82" s="11"/>
      <c r="ND82" s="11"/>
      <c r="NE82" s="11"/>
      <c r="NF82" s="11"/>
      <c r="NG82" s="11"/>
      <c r="NH82" s="11"/>
      <c r="NI82" s="11"/>
      <c r="NJ82" s="11"/>
      <c r="NK82" s="11"/>
      <c r="NL82" s="11"/>
      <c r="NM82" s="11"/>
      <c r="NN82" s="11"/>
      <c r="NO82" s="11"/>
      <c r="NP82" s="11"/>
      <c r="NQ82" s="11"/>
      <c r="NR82" s="11"/>
      <c r="NS82" s="11"/>
      <c r="NT82" s="11"/>
      <c r="NU82" s="11"/>
      <c r="NV82" s="11"/>
      <c r="NW82" s="11"/>
      <c r="NX82" s="11"/>
      <c r="NY82" s="11"/>
      <c r="NZ82" s="11"/>
      <c r="OA82" s="11"/>
      <c r="OB82" s="11"/>
      <c r="OC82" s="11"/>
      <c r="OD82" s="11"/>
      <c r="OE82" s="11"/>
      <c r="OF82" s="11"/>
      <c r="OG82" s="11"/>
      <c r="OH82" s="11"/>
      <c r="OI82" s="11"/>
      <c r="OJ82" s="11"/>
      <c r="OK82" s="11"/>
      <c r="OL82" s="11"/>
      <c r="OM82" s="11"/>
      <c r="ON82" s="11"/>
      <c r="OO82" s="11"/>
      <c r="OP82" s="11"/>
      <c r="OQ82" s="11"/>
      <c r="OR82" s="11"/>
      <c r="OS82" s="11"/>
      <c r="OT82" s="11"/>
      <c r="OU82" s="11"/>
      <c r="OV82" s="11"/>
      <c r="OW82" s="11"/>
      <c r="OX82" s="11"/>
      <c r="OY82" s="11"/>
      <c r="OZ82" s="11"/>
      <c r="PA82" s="11"/>
      <c r="PB82" s="11"/>
      <c r="PC82" s="11"/>
      <c r="PD82" s="11"/>
      <c r="PE82" s="11"/>
      <c r="PF82" s="11"/>
      <c r="PG82" s="11"/>
      <c r="PH82" s="11"/>
      <c r="PI82" s="11"/>
      <c r="PJ82" s="11"/>
      <c r="PK82" s="11"/>
      <c r="PL82" s="11"/>
      <c r="PM82" s="11"/>
      <c r="PN82" s="11"/>
      <c r="PO82" s="11"/>
      <c r="PP82" s="11"/>
      <c r="PQ82" s="11"/>
      <c r="PR82" s="11"/>
      <c r="PS82" s="11"/>
      <c r="PT82" s="11"/>
      <c r="PU82" s="11"/>
      <c r="PV82" s="11"/>
      <c r="PW82" s="11"/>
      <c r="PX82" s="11"/>
      <c r="PY82" s="11"/>
      <c r="PZ82" s="11"/>
      <c r="QA82" s="11"/>
      <c r="QB82" s="11"/>
      <c r="QC82" s="11"/>
      <c r="QD82" s="11"/>
      <c r="QE82" s="11"/>
      <c r="QF82" s="11"/>
      <c r="QG82" s="11"/>
      <c r="QH82" s="11"/>
      <c r="QI82" s="11"/>
      <c r="QJ82" s="11"/>
      <c r="QK82" s="11"/>
      <c r="QL82" s="11"/>
      <c r="QM82" s="11"/>
      <c r="QN82" s="11"/>
      <c r="QO82" s="11"/>
      <c r="QP82" s="11"/>
      <c r="QQ82" s="11"/>
      <c r="QR82" s="11"/>
      <c r="QS82" s="11"/>
      <c r="QT82" s="11"/>
      <c r="QU82" s="11"/>
      <c r="QV82" s="11"/>
      <c r="QW82" s="11"/>
      <c r="QX82" s="11"/>
      <c r="QY82" s="11"/>
      <c r="QZ82" s="11"/>
      <c r="RA82" s="11"/>
      <c r="RB82" s="11"/>
      <c r="RC82" s="11"/>
      <c r="RD82" s="11"/>
      <c r="RE82" s="11"/>
      <c r="RF82" s="11"/>
      <c r="RG82" s="11"/>
      <c r="RH82" s="11"/>
      <c r="RI82" s="11"/>
      <c r="RJ82" s="11"/>
      <c r="RK82" s="11"/>
      <c r="RL82" s="11"/>
      <c r="RM82" s="11"/>
      <c r="RN82" s="11"/>
      <c r="RO82" s="11"/>
      <c r="RP82" s="11"/>
      <c r="RQ82" s="11"/>
      <c r="RR82" s="11"/>
      <c r="RS82" s="11"/>
      <c r="RT82" s="11"/>
      <c r="RU82" s="11"/>
      <c r="RV82" s="11"/>
      <c r="RW82" s="11"/>
      <c r="RX82" s="11"/>
      <c r="RY82" s="11"/>
      <c r="RZ82" s="11"/>
      <c r="SA82" s="11"/>
      <c r="SB82" s="11"/>
      <c r="SC82" s="11"/>
      <c r="SD82" s="11"/>
      <c r="SE82" s="11"/>
      <c r="SF82" s="11"/>
      <c r="SG82" s="11"/>
      <c r="SH82" s="11"/>
      <c r="SI82" s="11"/>
      <c r="SJ82" s="11"/>
      <c r="SK82" s="11"/>
      <c r="SL82" s="11"/>
      <c r="SM82" s="11"/>
      <c r="SN82" s="11"/>
      <c r="SO82" s="11"/>
      <c r="SP82" s="11"/>
      <c r="SQ82" s="11"/>
      <c r="SR82" s="11"/>
      <c r="SS82" s="11"/>
      <c r="ST82" s="11"/>
      <c r="SU82" s="11"/>
      <c r="SV82" s="11"/>
      <c r="SW82" s="11"/>
      <c r="SX82" s="11"/>
      <c r="SY82" s="11"/>
      <c r="SZ82" s="11"/>
      <c r="TA82" s="11"/>
      <c r="TB82" s="11"/>
      <c r="TC82" s="11"/>
      <c r="TD82" s="11"/>
      <c r="TE82" s="11"/>
      <c r="TF82" s="11"/>
      <c r="TG82" s="11"/>
      <c r="TH82" s="11"/>
      <c r="TI82" s="11"/>
      <c r="TJ82" s="11"/>
      <c r="TK82" s="11"/>
      <c r="TL82" s="11"/>
      <c r="TM82" s="11"/>
      <c r="TN82" s="11"/>
      <c r="TO82" s="11"/>
      <c r="TP82" s="11"/>
      <c r="TQ82" s="11"/>
      <c r="TR82" s="11"/>
      <c r="TS82" s="11"/>
      <c r="TT82" s="11"/>
      <c r="TU82" s="11"/>
      <c r="TV82" s="11"/>
      <c r="TW82" s="11"/>
      <c r="TX82" s="11"/>
      <c r="TY82" s="11"/>
      <c r="TZ82" s="11"/>
      <c r="UA82" s="11"/>
      <c r="UB82" s="11"/>
      <c r="UC82" s="11"/>
      <c r="UD82" s="11"/>
      <c r="UE82" s="11"/>
      <c r="UF82" s="11"/>
      <c r="UG82" s="11"/>
      <c r="UH82" s="11"/>
      <c r="UI82" s="11"/>
      <c r="UJ82" s="11"/>
      <c r="UK82" s="11"/>
      <c r="UL82" s="11"/>
      <c r="UM82" s="11"/>
      <c r="UN82" s="11"/>
      <c r="UO82" s="11"/>
      <c r="UP82" s="11"/>
      <c r="UQ82" s="11"/>
      <c r="UR82" s="11"/>
      <c r="US82" s="11"/>
      <c r="UT82" s="11"/>
      <c r="UU82" s="11"/>
      <c r="UV82" s="11"/>
      <c r="UW82" s="11"/>
      <c r="UX82" s="11"/>
      <c r="UY82" s="11"/>
      <c r="UZ82" s="11"/>
      <c r="VA82" s="11"/>
      <c r="VB82" s="11"/>
      <c r="VC82" s="11"/>
      <c r="VD82" s="11"/>
      <c r="VE82" s="11"/>
      <c r="VF82" s="11"/>
      <c r="VG82" s="11"/>
      <c r="VH82" s="11"/>
      <c r="VI82" s="11"/>
      <c r="VJ82" s="11"/>
      <c r="VK82" s="11"/>
      <c r="VL82" s="11"/>
      <c r="VM82" s="11"/>
      <c r="VN82" s="11"/>
      <c r="VO82" s="11"/>
      <c r="VP82" s="11"/>
      <c r="VQ82" s="11"/>
      <c r="VR82" s="11"/>
      <c r="VS82" s="11"/>
      <c r="VT82" s="11"/>
      <c r="VU82" s="11"/>
      <c r="VV82" s="11"/>
      <c r="VW82" s="11"/>
      <c r="VX82" s="11"/>
      <c r="VY82" s="11"/>
      <c r="VZ82" s="11"/>
      <c r="WA82" s="11"/>
      <c r="WB82" s="11"/>
      <c r="WC82" s="11"/>
      <c r="WD82" s="11"/>
      <c r="WE82" s="11"/>
      <c r="WF82" s="11"/>
      <c r="WG82" s="11"/>
      <c r="WH82" s="11"/>
      <c r="WI82" s="11"/>
      <c r="WJ82" s="11"/>
      <c r="WK82" s="11"/>
      <c r="WL82" s="11"/>
      <c r="WM82" s="11"/>
      <c r="WN82" s="11"/>
      <c r="WO82" s="11"/>
      <c r="WP82" s="11"/>
      <c r="WQ82" s="11"/>
      <c r="WR82" s="11"/>
      <c r="WS82" s="11"/>
      <c r="WT82" s="11"/>
      <c r="WU82" s="11"/>
      <c r="WV82" s="11"/>
      <c r="WW82" s="11"/>
      <c r="WX82" s="11"/>
      <c r="WY82" s="11"/>
      <c r="WZ82" s="11"/>
      <c r="XA82" s="11"/>
      <c r="XB82" s="11"/>
      <c r="XC82" s="11"/>
      <c r="XD82" s="11"/>
      <c r="XE82" s="11"/>
      <c r="XF82" s="11"/>
      <c r="XG82" s="11"/>
      <c r="XH82" s="11"/>
      <c r="XI82" s="11"/>
      <c r="XJ82" s="11"/>
      <c r="XK82" s="11"/>
      <c r="XL82" s="11"/>
      <c r="XM82" s="11"/>
      <c r="XN82" s="11"/>
      <c r="XO82" s="11"/>
      <c r="XP82" s="11"/>
      <c r="XQ82" s="11"/>
      <c r="XR82" s="11"/>
      <c r="XS82" s="11"/>
      <c r="XT82" s="11"/>
      <c r="XU82" s="11"/>
      <c r="XV82" s="11"/>
      <c r="XW82" s="11"/>
      <c r="XX82" s="11"/>
      <c r="XY82" s="11"/>
      <c r="XZ82" s="11"/>
      <c r="YA82" s="11"/>
      <c r="YB82" s="11"/>
      <c r="YC82" s="11"/>
      <c r="YD82" s="11"/>
      <c r="YE82" s="11"/>
      <c r="YF82" s="11"/>
      <c r="YG82" s="11"/>
      <c r="YH82" s="11"/>
      <c r="YI82" s="11"/>
      <c r="YJ82" s="11"/>
      <c r="YK82" s="11"/>
      <c r="YL82" s="11"/>
      <c r="YM82" s="11"/>
      <c r="YN82" s="11"/>
      <c r="YO82" s="11"/>
      <c r="YP82" s="11"/>
      <c r="YQ82" s="11"/>
      <c r="YR82" s="11"/>
      <c r="YS82" s="11"/>
      <c r="YT82" s="11"/>
      <c r="YU82" s="11"/>
      <c r="YV82" s="11"/>
      <c r="YW82" s="11"/>
      <c r="YX82" s="11"/>
      <c r="YY82" s="11"/>
      <c r="YZ82" s="11"/>
      <c r="ZA82" s="11"/>
      <c r="ZB82" s="11"/>
      <c r="ZC82" s="11"/>
      <c r="ZD82" s="11"/>
      <c r="ZE82" s="11"/>
      <c r="ZF82" s="11"/>
      <c r="ZG82" s="11"/>
      <c r="ZH82" s="11"/>
      <c r="ZI82" s="11"/>
      <c r="ZJ82" s="11"/>
      <c r="ZK82" s="11"/>
      <c r="ZL82" s="11"/>
      <c r="ZM82" s="11"/>
      <c r="ZN82" s="11"/>
      <c r="ZO82" s="11"/>
      <c r="ZP82" s="11"/>
      <c r="ZQ82" s="11"/>
      <c r="ZR82" s="11"/>
      <c r="ZS82" s="11"/>
      <c r="ZT82" s="11"/>
      <c r="ZU82" s="11"/>
      <c r="ZV82" s="11"/>
      <c r="ZW82" s="11"/>
      <c r="ZX82" s="11"/>
      <c r="ZY82" s="11"/>
      <c r="ZZ82" s="11"/>
      <c r="AAA82" s="11"/>
      <c r="AAB82" s="11"/>
      <c r="AAC82" s="11"/>
      <c r="AAD82" s="11"/>
      <c r="AAE82" s="11"/>
      <c r="AAF82" s="11"/>
      <c r="AAG82" s="11"/>
      <c r="AAH82" s="11"/>
      <c r="AAI82" s="11"/>
      <c r="AAJ82" s="11"/>
      <c r="AAK82" s="11"/>
      <c r="AAL82" s="11"/>
      <c r="AAM82" s="11"/>
      <c r="AAN82" s="11"/>
      <c r="AAO82" s="11"/>
      <c r="AAP82" s="11"/>
      <c r="AAQ82" s="11"/>
      <c r="AAR82" s="11"/>
      <c r="AAS82" s="11"/>
      <c r="AAT82" s="11"/>
      <c r="AAU82" s="11"/>
      <c r="AAV82" s="11"/>
      <c r="AAW82" s="11"/>
      <c r="AAX82" s="11"/>
      <c r="AAY82" s="11"/>
      <c r="AAZ82" s="11"/>
      <c r="ABA82" s="11"/>
      <c r="ABB82" s="11"/>
      <c r="ABC82" s="11"/>
      <c r="ABD82" s="11"/>
      <c r="ABE82" s="11"/>
      <c r="ABF82" s="11"/>
      <c r="ABG82" s="11"/>
      <c r="ABH82" s="11"/>
      <c r="ABI82" s="11"/>
      <c r="ABJ82" s="11"/>
      <c r="ABK82" s="11"/>
      <c r="ABL82" s="11"/>
      <c r="ABM82" s="11"/>
      <c r="ABN82" s="11"/>
      <c r="ABO82" s="11"/>
      <c r="ABP82" s="11"/>
      <c r="ABQ82" s="11"/>
      <c r="ABR82" s="11"/>
      <c r="ABS82" s="11"/>
      <c r="ABT82" s="11"/>
      <c r="ABU82" s="11"/>
      <c r="ABV82" s="11"/>
      <c r="ABW82" s="11"/>
      <c r="ABX82" s="11"/>
      <c r="ABY82" s="11"/>
      <c r="ABZ82" s="11"/>
      <c r="ACA82" s="11"/>
      <c r="ACB82" s="11"/>
      <c r="ACC82" s="11"/>
      <c r="ACD82" s="11"/>
      <c r="ACE82" s="11"/>
      <c r="ACF82" s="11"/>
      <c r="ACG82" s="11"/>
      <c r="ACH82" s="11"/>
      <c r="ACI82" s="11"/>
      <c r="ACJ82" s="11"/>
      <c r="ACK82" s="11"/>
      <c r="ACL82" s="11"/>
      <c r="ACM82" s="11"/>
      <c r="ACN82" s="11"/>
      <c r="ACO82" s="11"/>
      <c r="ACP82" s="11"/>
      <c r="ACQ82" s="11"/>
      <c r="ACR82" s="11"/>
      <c r="ACS82" s="11"/>
      <c r="ACT82" s="11"/>
      <c r="ACU82" s="11"/>
      <c r="ACV82" s="11"/>
      <c r="ACW82" s="11"/>
      <c r="ACX82" s="11"/>
      <c r="ACY82" s="11"/>
      <c r="ACZ82" s="11"/>
      <c r="ADA82" s="11"/>
      <c r="ADB82" s="11"/>
      <c r="ADC82" s="11"/>
      <c r="ADD82" s="11"/>
      <c r="ADE82" s="11"/>
      <c r="ADF82" s="11"/>
      <c r="ADG82" s="11"/>
      <c r="ADH82" s="11"/>
      <c r="ADI82" s="11"/>
      <c r="ADJ82" s="11"/>
      <c r="ADK82" s="11"/>
      <c r="ADL82" s="11"/>
      <c r="ADM82" s="11"/>
      <c r="ADN82" s="11"/>
      <c r="ADO82" s="11"/>
      <c r="ADP82" s="11"/>
      <c r="ADQ82" s="11"/>
      <c r="ADR82" s="11"/>
      <c r="ADS82" s="11"/>
      <c r="ADT82" s="11"/>
      <c r="ADU82" s="11"/>
      <c r="ADV82" s="11"/>
      <c r="ADW82" s="11"/>
      <c r="ADX82" s="11"/>
      <c r="ADY82" s="11"/>
      <c r="ADZ82" s="11"/>
      <c r="AEA82" s="11"/>
      <c r="AEB82" s="11"/>
      <c r="AEC82" s="11"/>
      <c r="AED82" s="11"/>
      <c r="AEE82" s="11"/>
      <c r="AEF82" s="11"/>
      <c r="AEG82" s="11"/>
      <c r="AEH82" s="11"/>
      <c r="AEI82" s="11"/>
      <c r="AEJ82" s="11"/>
      <c r="AEK82" s="11"/>
      <c r="AEL82" s="11"/>
      <c r="AEM82" s="11"/>
      <c r="AEN82" s="11"/>
      <c r="AEO82" s="11"/>
      <c r="AEP82" s="11"/>
      <c r="AEQ82" s="11"/>
      <c r="AER82" s="11"/>
      <c r="AES82" s="11"/>
      <c r="AET82" s="11"/>
      <c r="AEU82" s="11"/>
      <c r="AEV82" s="11"/>
      <c r="AEW82" s="11"/>
      <c r="AEX82" s="11"/>
      <c r="AEY82" s="11"/>
      <c r="AEZ82" s="11"/>
      <c r="AFA82" s="11"/>
      <c r="AFB82" s="11"/>
      <c r="AFC82" s="11"/>
      <c r="AFD82" s="11"/>
      <c r="AFE82" s="11"/>
      <c r="AFF82" s="11"/>
      <c r="AFG82" s="11"/>
      <c r="AFH82" s="11"/>
      <c r="AFI82" s="11"/>
    </row>
    <row r="83" spans="2:841">
      <c r="B83" s="11"/>
      <c r="C83" s="657"/>
      <c r="D83" s="289" t="s">
        <v>627</v>
      </c>
      <c r="E83" s="551">
        <f>SUMIFS(M_Datos!$N$41:$N$43,M_Datos!$O$41:$O$43,M_Lista!G21)</f>
        <v>0</v>
      </c>
      <c r="F83" s="312" t="e">
        <f>IF(AND(M_FactoresComplement!$G$439="No",M_FactoresComplement!$G$441="No"),M_Cálculos!E83*VLOOKUP(M_Datos!$E$12&amp;M_Cálculos!D83,M_Factores!$M$10:$P$108,2,FALSE)/(10^3),IF(AND(M_FactoresComplement!$G$439="Sí",M_FactoresComplement!$G$441="No"),E83*M_FactoresComplement!G449/(10^3),E83*VLOOKUP(M_FactoresComplement!$C$467&amp;M_Datos!$E$12&amp;M_Lista!G20,M_FactoresComplement!$F$446:$I$781,2,FALSE)/(10^3)))</f>
        <v>#N/A</v>
      </c>
      <c r="G83" s="313" t="e">
        <f>IF(AND(M_FactoresComplement!$G$439="No",M_FactoresComplement!$G$441="No"),M_Cálculos!E83*VLOOKUP(M_Datos!$E$12&amp;M_Cálculos!D83,M_Factores!$M$10:$P$108,3,FALSE)/(10^3),IF(AND(M_FactoresComplement!$G$439="Sí",M_FactoresComplement!$G$441="No"),E83*M_FactoresComplement!H449/(10^3),E83*VLOOKUP(M_FactoresComplement!$C$467&amp;M_Datos!$E$12&amp;M_Lista!G20,M_FactoresComplement!$F$446:$I$781,3,FALSE)/(10^3)))</f>
        <v>#N/A</v>
      </c>
      <c r="H83" s="551">
        <f>SUMIFS(M_Datos!$P$41:$P$43,M_Datos!$Q$41:$Q$43,M_Lista!G21)</f>
        <v>0</v>
      </c>
      <c r="I83" s="312" t="e">
        <f>IF(AND(M_FactoresComplement!$G$439="No",M_FactoresComplement!$G$441="No"),M_Cálculos!H83*VLOOKUP(M_Datos!$E$12&amp;M_Cálculos!D83,M_Factores!$M$10:$P$108,2,FALSE)/(10^3),IF(AND(M_FactoresComplement!$G$439="Sí",M_FactoresComplement!$G$441="No"),H83*M_FactoresComplement!G449/(10^3),H83*VLOOKUP(M_FactoresComplement!$C$467&amp;M_Datos!$E$12&amp;M_Lista!G20,M_FactoresComplement!$F$446:$I$781,2,FALSE)/(10^3)))</f>
        <v>#N/A</v>
      </c>
      <c r="J83" s="313" t="e">
        <f>IF(AND(M_FactoresComplement!$G$439="No",M_FactoresComplement!$G$441="No"),M_Cálculos!H83*VLOOKUP(M_Datos!$E$12&amp;M_Cálculos!D83,M_Factores!$M$10:$P$108,3,FALSE)/(10^3),IF(AND(M_FactoresComplement!$G$439="Sí",M_FactoresComplement!$G$441="No"),H83*M_FactoresComplement!H449/(10^3),H83*VLOOKUP(M_FactoresComplement!$C$467&amp;M_Datos!$E$12&amp;M_Lista!G20,M_FactoresComplement!$F$446:$I$781,3,FALSE)/(10^3)))</f>
        <v>#N/A</v>
      </c>
      <c r="K83" s="551">
        <f>SUMIFS(M_Datos!$R$41:$R$43,M_Datos!$S$41:$S$43,M_Lista!G21)</f>
        <v>0</v>
      </c>
      <c r="L83" s="312" t="e">
        <f>IF(AND(M_FactoresComplement!$G$439="No",M_FactoresComplement!$G$441="No"),M_Cálculos!K83*VLOOKUP(M_Datos!$E$12&amp;M_Cálculos!D83,M_Factores!$M$10:$P$108,2,FALSE)/(10^3),IF(AND(M_FactoresComplement!$G$439="Sí",M_FactoresComplement!$G$441="No"),K83*M_FactoresComplement!G449/(10^3),K83*VLOOKUP(M_FactoresComplement!$C$467&amp;M_Datos!$E$12&amp;M_Lista!G20,M_FactoresComplement!$F$446:$I$781,2,FALSE)/(10^3)))</f>
        <v>#N/A</v>
      </c>
      <c r="M83" s="313" t="e">
        <f>IF(AND(M_FactoresComplement!$G$439="No",M_FactoresComplement!$G$441="No"),M_Cálculos!K83*VLOOKUP(M_Datos!$E$12&amp;M_Cálculos!D83,M_Factores!$M$10:$P$108,3,FALSE)/(10^3),IF(AND(M_FactoresComplement!$G$439="Sí",M_FactoresComplement!$G$441="No"),K83*M_FactoresComplement!H449/(10^3),K83*VLOOKUP(M_FactoresComplement!$C$467&amp;M_Datos!$E$12&amp;M_Lista!G20,M_FactoresComplement!$F$446:$I$781,3,FALSE)/(10^3)))</f>
        <v>#N/A</v>
      </c>
      <c r="N83" s="551">
        <f>SUMIFS(M_Datos!$T$41:$T$43,M_Datos!$U$41:$U$43,M_Lista!G21)</f>
        <v>0</v>
      </c>
      <c r="O83" s="312" t="e">
        <f>IF(AND(M_FactoresComplement!$G$439="No",M_FactoresComplement!$G$441="No"),M_Cálculos!N83*VLOOKUP(M_Datos!$E$12&amp;M_Cálculos!D83,M_Factores!$M$10:$P$108,2,FALSE)/(10^3),IF(AND(M_FactoresComplement!$G$439="Sí",M_FactoresComplement!$G$441="No"),N83*M_FactoresComplement!G449/(10^3),N83*VLOOKUP(M_FactoresComplement!$C$467&amp;M_Datos!$E$12&amp;M_Lista!G20,M_FactoresComplement!$F$446:$I$781,2,FALSE)/(10^3)))</f>
        <v>#N/A</v>
      </c>
      <c r="P83" s="313" t="e">
        <f>IF(AND(M_FactoresComplement!$G$439="No",M_FactoresComplement!$G$441="No"),M_Cálculos!N83*VLOOKUP(M_Datos!$E$12&amp;M_Cálculos!D83,M_Factores!$M$10:$P$108,3,FALSE)/(10^3),IF(AND(M_FactoresComplement!$G$439="Sí",M_FactoresComplement!$G$441="No"),N83*M_FactoresComplement!H449/(10^3),N83*VLOOKUP(M_FactoresComplement!$C$467&amp;M_Datos!$E$12&amp;M_Lista!G20,M_FactoresComplement!$F$446:$I$781,3,FALSE)/(10^3)))</f>
        <v>#N/A</v>
      </c>
      <c r="Q83" s="551">
        <f>SUMIFS(M_Datos!$V$41:$V$43,M_Datos!$W$41:$W$43,M_Lista!G21)</f>
        <v>0</v>
      </c>
      <c r="R83" s="312" t="e">
        <f>IF(AND(M_FactoresComplement!$G$439="No",M_FactoresComplement!$G$441="No"),M_Cálculos!Q83*VLOOKUP(M_Datos!$E$12&amp;M_Cálculos!D83,M_Factores!$M$10:$P$108,2,FALSE)/(10^3),IF(AND(M_FactoresComplement!$G$439="Sí",M_FactoresComplement!$G$441="No"),Q83*M_FactoresComplement!G449/(10^3),Q83*VLOOKUP(M_FactoresComplement!$C$467&amp;M_Datos!$E$12&amp;M_Lista!G20,M_FactoresComplement!$F$446:$I$781,2,FALSE)/(10^3)))</f>
        <v>#N/A</v>
      </c>
      <c r="S83" s="313" t="e">
        <f>IF(AND(M_FactoresComplement!$G$439="No",M_FactoresComplement!$G$441="No"),M_Cálculos!Q83*VLOOKUP(M_Datos!$E$12&amp;M_Cálculos!D83,M_Factores!$M$10:$P$108,3,FALSE)/(10^3),IF(AND(M_FactoresComplement!$G$439="Sí",M_FactoresComplement!$G$441="No"),Q83*M_FactoresComplement!H449/(10^3),Q83*VLOOKUP(M_FactoresComplement!$C$467&amp;M_Datos!$E$12&amp;M_Lista!G20,M_FactoresComplement!$F$446:$I$781,3,FALSE)/(10^3)))</f>
        <v>#N/A</v>
      </c>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c r="KE83" s="11"/>
      <c r="KF83" s="11"/>
      <c r="KG83" s="11"/>
      <c r="KH83" s="11"/>
      <c r="KI83" s="11"/>
      <c r="KJ83" s="11"/>
      <c r="KK83" s="11"/>
      <c r="KL83" s="11"/>
      <c r="KM83" s="11"/>
      <c r="KN83" s="11"/>
      <c r="KO83" s="11"/>
      <c r="KP83" s="11"/>
      <c r="KQ83" s="11"/>
      <c r="KR83" s="11"/>
      <c r="KS83" s="11"/>
      <c r="KT83" s="11"/>
      <c r="KU83" s="11"/>
      <c r="KV83" s="11"/>
      <c r="KW83" s="11"/>
      <c r="KX83" s="11"/>
      <c r="KY83" s="11"/>
      <c r="KZ83" s="11"/>
      <c r="LA83" s="11"/>
      <c r="LB83" s="11"/>
      <c r="LC83" s="11"/>
      <c r="LD83" s="11"/>
      <c r="LE83" s="11"/>
      <c r="LF83" s="11"/>
      <c r="LG83" s="11"/>
      <c r="LH83" s="11"/>
      <c r="LI83" s="11"/>
      <c r="LJ83" s="11"/>
      <c r="LK83" s="11"/>
      <c r="LL83" s="11"/>
      <c r="LM83" s="11"/>
      <c r="LN83" s="11"/>
      <c r="LO83" s="11"/>
      <c r="LP83" s="11"/>
      <c r="LQ83" s="11"/>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c r="PE83" s="11"/>
      <c r="PF83" s="11"/>
      <c r="PG83" s="11"/>
      <c r="PH83" s="11"/>
      <c r="PI83" s="11"/>
      <c r="PJ83" s="11"/>
      <c r="PK83" s="11"/>
      <c r="PL83" s="11"/>
      <c r="PM83" s="11"/>
      <c r="PN83" s="11"/>
      <c r="PO83" s="11"/>
      <c r="PP83" s="11"/>
      <c r="PQ83" s="11"/>
      <c r="PR83" s="11"/>
      <c r="PS83" s="11"/>
      <c r="PT83" s="11"/>
      <c r="PU83" s="11"/>
      <c r="PV83" s="11"/>
      <c r="PW83" s="11"/>
      <c r="PX83" s="11"/>
      <c r="PY83" s="11"/>
      <c r="PZ83" s="11"/>
      <c r="QA83" s="11"/>
      <c r="QB83" s="11"/>
      <c r="QC83" s="11"/>
      <c r="QD83" s="11"/>
      <c r="QE83" s="11"/>
      <c r="QF83" s="11"/>
      <c r="QG83" s="11"/>
      <c r="QH83" s="11"/>
      <c r="QI83" s="11"/>
      <c r="QJ83" s="11"/>
      <c r="QK83" s="11"/>
      <c r="QL83" s="11"/>
      <c r="QM83" s="11"/>
      <c r="QN83" s="11"/>
      <c r="QO83" s="11"/>
      <c r="QP83" s="11"/>
      <c r="QQ83" s="11"/>
      <c r="QR83" s="11"/>
      <c r="QS83" s="11"/>
      <c r="QT83" s="11"/>
      <c r="QU83" s="11"/>
      <c r="QV83" s="11"/>
      <c r="QW83" s="11"/>
      <c r="QX83" s="11"/>
      <c r="QY83" s="11"/>
      <c r="QZ83" s="11"/>
      <c r="RA83" s="11"/>
      <c r="RB83" s="11"/>
      <c r="RC83" s="11"/>
      <c r="RD83" s="11"/>
      <c r="RE83" s="11"/>
      <c r="RF83" s="11"/>
      <c r="RG83" s="11"/>
      <c r="RH83" s="11"/>
      <c r="RI83" s="11"/>
      <c r="RJ83" s="11"/>
      <c r="RK83" s="11"/>
      <c r="RL83" s="11"/>
      <c r="RM83" s="11"/>
      <c r="RN83" s="11"/>
      <c r="RO83" s="11"/>
      <c r="RP83" s="11"/>
      <c r="RQ83" s="11"/>
      <c r="RR83" s="11"/>
      <c r="RS83" s="11"/>
      <c r="RT83" s="11"/>
      <c r="RU83" s="11"/>
      <c r="RV83" s="11"/>
      <c r="RW83" s="11"/>
      <c r="RX83" s="11"/>
      <c r="RY83" s="11"/>
      <c r="RZ83" s="11"/>
      <c r="SA83" s="11"/>
      <c r="SB83" s="11"/>
      <c r="SC83" s="11"/>
      <c r="SD83" s="11"/>
      <c r="SE83" s="11"/>
      <c r="SF83" s="11"/>
      <c r="SG83" s="11"/>
      <c r="SH83" s="11"/>
      <c r="SI83" s="11"/>
      <c r="SJ83" s="11"/>
      <c r="SK83" s="11"/>
      <c r="SL83" s="11"/>
      <c r="SM83" s="11"/>
      <c r="SN83" s="11"/>
      <c r="SO83" s="11"/>
      <c r="SP83" s="11"/>
      <c r="SQ83" s="11"/>
      <c r="SR83" s="11"/>
      <c r="SS83" s="11"/>
      <c r="ST83" s="11"/>
      <c r="SU83" s="11"/>
      <c r="SV83" s="11"/>
      <c r="SW83" s="11"/>
      <c r="SX83" s="11"/>
      <c r="SY83" s="11"/>
      <c r="SZ83" s="11"/>
      <c r="TA83" s="11"/>
      <c r="TB83" s="11"/>
      <c r="TC83" s="11"/>
      <c r="TD83" s="11"/>
      <c r="TE83" s="11"/>
      <c r="TF83" s="11"/>
      <c r="TG83" s="11"/>
      <c r="TH83" s="11"/>
      <c r="TI83" s="11"/>
      <c r="TJ83" s="11"/>
      <c r="TK83" s="11"/>
      <c r="TL83" s="11"/>
      <c r="TM83" s="11"/>
      <c r="TN83" s="11"/>
      <c r="TO83" s="11"/>
      <c r="TP83" s="11"/>
      <c r="TQ83" s="11"/>
      <c r="TR83" s="11"/>
      <c r="TS83" s="11"/>
      <c r="TT83" s="11"/>
      <c r="TU83" s="11"/>
      <c r="TV83" s="11"/>
      <c r="TW83" s="11"/>
      <c r="TX83" s="11"/>
      <c r="TY83" s="11"/>
      <c r="TZ83" s="11"/>
      <c r="UA83" s="11"/>
      <c r="UB83" s="11"/>
      <c r="UC83" s="11"/>
      <c r="UD83" s="11"/>
      <c r="UE83" s="11"/>
      <c r="UF83" s="11"/>
      <c r="UG83" s="11"/>
      <c r="UH83" s="11"/>
      <c r="UI83" s="11"/>
      <c r="UJ83" s="11"/>
      <c r="UK83" s="11"/>
      <c r="UL83" s="11"/>
      <c r="UM83" s="11"/>
      <c r="UN83" s="11"/>
      <c r="UO83" s="11"/>
      <c r="UP83" s="11"/>
      <c r="UQ83" s="11"/>
      <c r="UR83" s="11"/>
      <c r="US83" s="11"/>
      <c r="UT83" s="11"/>
      <c r="UU83" s="11"/>
      <c r="UV83" s="11"/>
      <c r="UW83" s="11"/>
      <c r="UX83" s="11"/>
      <c r="UY83" s="11"/>
      <c r="UZ83" s="11"/>
      <c r="VA83" s="11"/>
      <c r="VB83" s="11"/>
      <c r="VC83" s="11"/>
      <c r="VD83" s="11"/>
      <c r="VE83" s="11"/>
      <c r="VF83" s="11"/>
      <c r="VG83" s="11"/>
      <c r="VH83" s="11"/>
      <c r="VI83" s="11"/>
      <c r="VJ83" s="11"/>
      <c r="VK83" s="11"/>
      <c r="VL83" s="11"/>
      <c r="VM83" s="11"/>
      <c r="VN83" s="11"/>
      <c r="VO83" s="11"/>
      <c r="VP83" s="11"/>
      <c r="VQ83" s="11"/>
      <c r="VR83" s="11"/>
      <c r="VS83" s="11"/>
      <c r="VT83" s="11"/>
      <c r="VU83" s="11"/>
      <c r="VV83" s="11"/>
      <c r="VW83" s="11"/>
      <c r="VX83" s="11"/>
      <c r="VY83" s="11"/>
      <c r="VZ83" s="11"/>
      <c r="WA83" s="11"/>
      <c r="WB83" s="11"/>
      <c r="WC83" s="11"/>
      <c r="WD83" s="11"/>
      <c r="WE83" s="11"/>
      <c r="WF83" s="11"/>
      <c r="WG83" s="11"/>
      <c r="WH83" s="11"/>
      <c r="WI83" s="11"/>
      <c r="WJ83" s="11"/>
      <c r="WK83" s="11"/>
      <c r="WL83" s="11"/>
      <c r="WM83" s="11"/>
      <c r="WN83" s="11"/>
      <c r="WO83" s="11"/>
      <c r="WP83" s="11"/>
      <c r="WQ83" s="11"/>
      <c r="WR83" s="11"/>
      <c r="WS83" s="11"/>
      <c r="WT83" s="11"/>
      <c r="WU83" s="11"/>
      <c r="WV83" s="11"/>
      <c r="WW83" s="11"/>
      <c r="WX83" s="11"/>
      <c r="WY83" s="11"/>
      <c r="WZ83" s="11"/>
      <c r="XA83" s="11"/>
      <c r="XB83" s="11"/>
      <c r="XC83" s="11"/>
      <c r="XD83" s="11"/>
      <c r="XE83" s="11"/>
      <c r="XF83" s="11"/>
      <c r="XG83" s="11"/>
      <c r="XH83" s="11"/>
      <c r="XI83" s="11"/>
      <c r="XJ83" s="11"/>
      <c r="XK83" s="11"/>
      <c r="XL83" s="11"/>
      <c r="XM83" s="11"/>
      <c r="XN83" s="11"/>
      <c r="XO83" s="11"/>
      <c r="XP83" s="11"/>
      <c r="XQ83" s="11"/>
      <c r="XR83" s="11"/>
      <c r="XS83" s="11"/>
      <c r="XT83" s="11"/>
      <c r="XU83" s="11"/>
      <c r="XV83" s="11"/>
      <c r="XW83" s="11"/>
      <c r="XX83" s="11"/>
      <c r="XY83" s="11"/>
      <c r="XZ83" s="11"/>
      <c r="YA83" s="11"/>
      <c r="YB83" s="11"/>
      <c r="YC83" s="11"/>
      <c r="YD83" s="11"/>
      <c r="YE83" s="11"/>
      <c r="YF83" s="11"/>
      <c r="YG83" s="11"/>
      <c r="YH83" s="11"/>
      <c r="YI83" s="11"/>
      <c r="YJ83" s="11"/>
      <c r="YK83" s="11"/>
      <c r="YL83" s="11"/>
      <c r="YM83" s="11"/>
      <c r="YN83" s="11"/>
      <c r="YO83" s="11"/>
      <c r="YP83" s="11"/>
      <c r="YQ83" s="11"/>
      <c r="YR83" s="11"/>
      <c r="YS83" s="11"/>
      <c r="YT83" s="11"/>
      <c r="YU83" s="11"/>
      <c r="YV83" s="11"/>
      <c r="YW83" s="11"/>
      <c r="YX83" s="11"/>
      <c r="YY83" s="11"/>
      <c r="YZ83" s="11"/>
      <c r="ZA83" s="11"/>
      <c r="ZB83" s="11"/>
      <c r="ZC83" s="11"/>
      <c r="ZD83" s="11"/>
      <c r="ZE83" s="11"/>
      <c r="ZF83" s="11"/>
      <c r="ZG83" s="11"/>
      <c r="ZH83" s="11"/>
      <c r="ZI83" s="11"/>
      <c r="ZJ83" s="11"/>
      <c r="ZK83" s="11"/>
      <c r="ZL83" s="11"/>
      <c r="ZM83" s="11"/>
      <c r="ZN83" s="11"/>
      <c r="ZO83" s="11"/>
      <c r="ZP83" s="11"/>
      <c r="ZQ83" s="11"/>
      <c r="ZR83" s="11"/>
      <c r="ZS83" s="11"/>
      <c r="ZT83" s="11"/>
      <c r="ZU83" s="11"/>
      <c r="ZV83" s="11"/>
      <c r="ZW83" s="11"/>
      <c r="ZX83" s="11"/>
      <c r="ZY83" s="11"/>
      <c r="ZZ83" s="11"/>
      <c r="AAA83" s="11"/>
      <c r="AAB83" s="11"/>
      <c r="AAC83" s="11"/>
      <c r="AAD83" s="11"/>
      <c r="AAE83" s="11"/>
      <c r="AAF83" s="11"/>
      <c r="AAG83" s="11"/>
      <c r="AAH83" s="11"/>
      <c r="AAI83" s="11"/>
      <c r="AAJ83" s="11"/>
      <c r="AAK83" s="11"/>
      <c r="AAL83" s="11"/>
      <c r="AAM83" s="11"/>
      <c r="AAN83" s="11"/>
      <c r="AAO83" s="11"/>
      <c r="AAP83" s="11"/>
      <c r="AAQ83" s="11"/>
      <c r="AAR83" s="11"/>
      <c r="AAS83" s="11"/>
      <c r="AAT83" s="11"/>
      <c r="AAU83" s="11"/>
      <c r="AAV83" s="11"/>
      <c r="AAW83" s="11"/>
      <c r="AAX83" s="11"/>
      <c r="AAY83" s="11"/>
      <c r="AAZ83" s="11"/>
      <c r="ABA83" s="11"/>
      <c r="ABB83" s="11"/>
      <c r="ABC83" s="11"/>
      <c r="ABD83" s="11"/>
      <c r="ABE83" s="11"/>
      <c r="ABF83" s="11"/>
      <c r="ABG83" s="11"/>
      <c r="ABH83" s="11"/>
      <c r="ABI83" s="11"/>
      <c r="ABJ83" s="11"/>
      <c r="ABK83" s="11"/>
      <c r="ABL83" s="11"/>
      <c r="ABM83" s="11"/>
      <c r="ABN83" s="11"/>
      <c r="ABO83" s="11"/>
      <c r="ABP83" s="11"/>
      <c r="ABQ83" s="11"/>
      <c r="ABR83" s="11"/>
      <c r="ABS83" s="11"/>
      <c r="ABT83" s="11"/>
      <c r="ABU83" s="11"/>
      <c r="ABV83" s="11"/>
      <c r="ABW83" s="11"/>
      <c r="ABX83" s="11"/>
      <c r="ABY83" s="11"/>
      <c r="ABZ83" s="11"/>
      <c r="ACA83" s="11"/>
      <c r="ACB83" s="11"/>
      <c r="ACC83" s="11"/>
      <c r="ACD83" s="11"/>
      <c r="ACE83" s="11"/>
      <c r="ACF83" s="11"/>
      <c r="ACG83" s="11"/>
      <c r="ACH83" s="11"/>
      <c r="ACI83" s="11"/>
      <c r="ACJ83" s="11"/>
      <c r="ACK83" s="11"/>
      <c r="ACL83" s="11"/>
      <c r="ACM83" s="11"/>
      <c r="ACN83" s="11"/>
      <c r="ACO83" s="11"/>
      <c r="ACP83" s="11"/>
      <c r="ACQ83" s="11"/>
      <c r="ACR83" s="11"/>
      <c r="ACS83" s="11"/>
      <c r="ACT83" s="11"/>
      <c r="ACU83" s="11"/>
      <c r="ACV83" s="11"/>
      <c r="ACW83" s="11"/>
      <c r="ACX83" s="11"/>
      <c r="ACY83" s="11"/>
      <c r="ACZ83" s="11"/>
      <c r="ADA83" s="11"/>
      <c r="ADB83" s="11"/>
      <c r="ADC83" s="11"/>
      <c r="ADD83" s="11"/>
      <c r="ADE83" s="11"/>
      <c r="ADF83" s="11"/>
      <c r="ADG83" s="11"/>
      <c r="ADH83" s="11"/>
      <c r="ADI83" s="11"/>
      <c r="ADJ83" s="11"/>
      <c r="ADK83" s="11"/>
      <c r="ADL83" s="11"/>
      <c r="ADM83" s="11"/>
      <c r="ADN83" s="11"/>
      <c r="ADO83" s="11"/>
      <c r="ADP83" s="11"/>
      <c r="ADQ83" s="11"/>
      <c r="ADR83" s="11"/>
      <c r="ADS83" s="11"/>
      <c r="ADT83" s="11"/>
      <c r="ADU83" s="11"/>
      <c r="ADV83" s="11"/>
      <c r="ADW83" s="11"/>
      <c r="ADX83" s="11"/>
      <c r="ADY83" s="11"/>
      <c r="ADZ83" s="11"/>
      <c r="AEA83" s="11"/>
      <c r="AEB83" s="11"/>
      <c r="AEC83" s="11"/>
      <c r="AED83" s="11"/>
      <c r="AEE83" s="11"/>
      <c r="AEF83" s="11"/>
      <c r="AEG83" s="11"/>
      <c r="AEH83" s="11"/>
      <c r="AEI83" s="11"/>
      <c r="AEJ83" s="11"/>
      <c r="AEK83" s="11"/>
      <c r="AEL83" s="11"/>
      <c r="AEM83" s="11"/>
      <c r="AEN83" s="11"/>
      <c r="AEO83" s="11"/>
      <c r="AEP83" s="11"/>
      <c r="AEQ83" s="11"/>
      <c r="AER83" s="11"/>
      <c r="AES83" s="11"/>
      <c r="AET83" s="11"/>
      <c r="AEU83" s="11"/>
      <c r="AEV83" s="11"/>
      <c r="AEW83" s="11"/>
      <c r="AEX83" s="11"/>
      <c r="AEY83" s="11"/>
      <c r="AEZ83" s="11"/>
      <c r="AFA83" s="11"/>
      <c r="AFB83" s="11"/>
      <c r="AFC83" s="11"/>
      <c r="AFD83" s="11"/>
      <c r="AFE83" s="11"/>
      <c r="AFF83" s="11"/>
      <c r="AFG83" s="11"/>
      <c r="AFH83" s="11"/>
      <c r="AFI83" s="11"/>
    </row>
    <row r="84" spans="2:841">
      <c r="B84" s="11"/>
      <c r="C84" s="657"/>
      <c r="D84" s="289" t="s">
        <v>628</v>
      </c>
      <c r="E84" s="551">
        <f>SUMIFS(M_Datos!$N$41:$N$43,M_Datos!$O$41:$O$43,M_Lista!G22)</f>
        <v>0</v>
      </c>
      <c r="F84" s="312" t="e">
        <f>IF(AND(M_FactoresComplement!$G$439="No",M_FactoresComplement!$G$441="No"),M_Cálculos!E84*VLOOKUP(M_Datos!$E$12&amp;M_Cálculos!D84,M_Factores!$M$10:$P$108,2,FALSE)/(10^3),IF(AND(M_FactoresComplement!$G$439="Sí",M_FactoresComplement!$G$441="No"),E84*M_FactoresComplement!G450/(10^3),E84*VLOOKUP(M_FactoresComplement!$C$467&amp;M_Datos!$E$12&amp;M_Lista!G21,M_FactoresComplement!$F$446:$I$781,2,FALSE)/(10^3)))</f>
        <v>#N/A</v>
      </c>
      <c r="G84" s="313" t="e">
        <f>IF(AND(M_FactoresComplement!$G$439="No",M_FactoresComplement!$G$441="No"),M_Cálculos!E84*VLOOKUP(M_Datos!$E$12&amp;M_Cálculos!D84,M_Factores!$M$10:$P$108,3,FALSE)/(10^3),IF(AND(M_FactoresComplement!$G$439="Sí",M_FactoresComplement!$G$441="No"),E84*M_FactoresComplement!H450/(10^3),E84*VLOOKUP(M_FactoresComplement!$C$467&amp;M_Datos!$E$12&amp;M_Lista!G21,M_FactoresComplement!$F$446:$I$781,3,FALSE)/(10^3)))</f>
        <v>#N/A</v>
      </c>
      <c r="H84" s="551">
        <f>SUMIFS(M_Datos!$P$41:$P$43,M_Datos!$Q$41:$Q$43,M_Lista!G22)</f>
        <v>0</v>
      </c>
      <c r="I84" s="312" t="e">
        <f>IF(AND(M_FactoresComplement!$G$439="No",M_FactoresComplement!$G$441="No"),M_Cálculos!H84*VLOOKUP(M_Datos!$E$12&amp;M_Cálculos!D84,M_Factores!$M$10:$P$108,2,FALSE)/(10^3),IF(AND(M_FactoresComplement!$G$439="Sí",M_FactoresComplement!$G$441="No"),H84*M_FactoresComplement!G450/(10^3),H84*VLOOKUP(M_FactoresComplement!$C$467&amp;M_Datos!$E$12&amp;M_Lista!G21,M_FactoresComplement!$F$446:$I$781,2,FALSE)/(10^3)))</f>
        <v>#N/A</v>
      </c>
      <c r="J84" s="313" t="e">
        <f>IF(AND(M_FactoresComplement!$G$439="No",M_FactoresComplement!$G$441="No"),M_Cálculos!H84*VLOOKUP(M_Datos!$E$12&amp;M_Cálculos!D84,M_Factores!$M$10:$P$108,3,FALSE)/(10^3),IF(AND(M_FactoresComplement!$G$439="Sí",M_FactoresComplement!$G$441="No"),H84*M_FactoresComplement!H450/(10^3),H84*VLOOKUP(M_FactoresComplement!$C$467&amp;M_Datos!$E$12&amp;M_Lista!G21,M_FactoresComplement!$F$446:$I$781,3,FALSE)/(10^3)))</f>
        <v>#N/A</v>
      </c>
      <c r="K84" s="551">
        <f>SUMIFS(M_Datos!$R$41:$R$43,M_Datos!$S$41:$S$43,M_Lista!G22)</f>
        <v>0</v>
      </c>
      <c r="L84" s="312" t="e">
        <f>IF(AND(M_FactoresComplement!$G$439="No",M_FactoresComplement!$G$441="No"),M_Cálculos!K84*VLOOKUP(M_Datos!$E$12&amp;M_Cálculos!D84,M_Factores!$M$10:$P$108,2,FALSE)/(10^3),IF(AND(M_FactoresComplement!$G$439="Sí",M_FactoresComplement!$G$441="No"),K84*M_FactoresComplement!G450/(10^3),K84*VLOOKUP(M_FactoresComplement!$C$467&amp;M_Datos!$E$12&amp;M_Lista!G21,M_FactoresComplement!$F$446:$I$781,2,FALSE)/(10^3)))</f>
        <v>#N/A</v>
      </c>
      <c r="M84" s="313" t="e">
        <f>IF(AND(M_FactoresComplement!$G$439="No",M_FactoresComplement!$G$441="No"),M_Cálculos!K84*VLOOKUP(M_Datos!$E$12&amp;M_Cálculos!D84,M_Factores!$M$10:$P$108,3,FALSE)/(10^3),IF(AND(M_FactoresComplement!$G$439="Sí",M_FactoresComplement!$G$441="No"),K84*M_FactoresComplement!H450/(10^3),K84*VLOOKUP(M_FactoresComplement!$C$467&amp;M_Datos!$E$12&amp;M_Lista!G21,M_FactoresComplement!$F$446:$I$781,3,FALSE)/(10^3)))</f>
        <v>#N/A</v>
      </c>
      <c r="N84" s="551">
        <f>SUMIFS(M_Datos!$T$41:$T$43,M_Datos!$U$41:$U$43,M_Lista!G22)</f>
        <v>0</v>
      </c>
      <c r="O84" s="312" t="e">
        <f>IF(AND(M_FactoresComplement!$G$439="No",M_FactoresComplement!$G$441="No"),M_Cálculos!N84*VLOOKUP(M_Datos!$E$12&amp;M_Cálculos!D84,M_Factores!$M$10:$P$108,2,FALSE)/(10^3),IF(AND(M_FactoresComplement!$G$439="Sí",M_FactoresComplement!$G$441="No"),N84*M_FactoresComplement!G450/(10^3),N84*VLOOKUP(M_FactoresComplement!$C$467&amp;M_Datos!$E$12&amp;M_Lista!G21,M_FactoresComplement!$F$446:$I$781,2,FALSE)/(10^3)))</f>
        <v>#N/A</v>
      </c>
      <c r="P84" s="313" t="e">
        <f>IF(AND(M_FactoresComplement!$G$439="No",M_FactoresComplement!$G$441="No"),M_Cálculos!N84*VLOOKUP(M_Datos!$E$12&amp;M_Cálculos!D84,M_Factores!$M$10:$P$108,3,FALSE)/(10^3),IF(AND(M_FactoresComplement!$G$439="Sí",M_FactoresComplement!$G$441="No"),N84*M_FactoresComplement!H450/(10^3),N84*VLOOKUP(M_FactoresComplement!$C$467&amp;M_Datos!$E$12&amp;M_Lista!G21,M_FactoresComplement!$F$446:$I$781,3,FALSE)/(10^3)))</f>
        <v>#N/A</v>
      </c>
      <c r="Q84" s="551">
        <f>SUMIFS(M_Datos!$V$41:$V$43,M_Datos!$W$41:$W$43,M_Lista!G22)</f>
        <v>0</v>
      </c>
      <c r="R84" s="312" t="e">
        <f>IF(AND(M_FactoresComplement!$G$439="No",M_FactoresComplement!$G$441="No"),M_Cálculos!Q84*VLOOKUP(M_Datos!$E$12&amp;M_Cálculos!D84,M_Factores!$M$10:$P$108,2,FALSE)/(10^3),IF(AND(M_FactoresComplement!$G$439="Sí",M_FactoresComplement!$G$441="No"),Q84*M_FactoresComplement!G450/(10^3),Q84*VLOOKUP(M_FactoresComplement!$C$467&amp;M_Datos!$E$12&amp;M_Lista!G21,M_FactoresComplement!$F$446:$I$781,2,FALSE)/(10^3)))</f>
        <v>#N/A</v>
      </c>
      <c r="S84" s="313" t="e">
        <f>IF(AND(M_FactoresComplement!$G$439="No",M_FactoresComplement!$G$441="No"),M_Cálculos!Q84*VLOOKUP(M_Datos!$E$12&amp;M_Cálculos!D84,M_Factores!$M$10:$P$108,3,FALSE)/(10^3),IF(AND(M_FactoresComplement!$G$439="Sí",M_FactoresComplement!$G$441="No"),Q84*M_FactoresComplement!H450/(10^3),Q84*VLOOKUP(M_FactoresComplement!$C$467&amp;M_Datos!$E$12&amp;M_Lista!G21,M_FactoresComplement!$F$446:$I$781,3,FALSE)/(10^3)))</f>
        <v>#N/A</v>
      </c>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c r="JH84" s="11"/>
      <c r="JI84" s="11"/>
      <c r="JJ84" s="11"/>
      <c r="JK84" s="11"/>
      <c r="JL84" s="11"/>
      <c r="JM84" s="11"/>
      <c r="JN84" s="11"/>
      <c r="JO84" s="11"/>
      <c r="JP84" s="11"/>
      <c r="JQ84" s="11"/>
      <c r="JR84" s="11"/>
      <c r="JS84" s="11"/>
      <c r="JT84" s="11"/>
      <c r="JU84" s="11"/>
      <c r="JV84" s="11"/>
      <c r="JW84" s="11"/>
      <c r="JX84" s="11"/>
      <c r="JY84" s="11"/>
      <c r="JZ84" s="11"/>
      <c r="KA84" s="11"/>
      <c r="KB84" s="11"/>
      <c r="KC84" s="11"/>
      <c r="KD84" s="11"/>
      <c r="KE84" s="11"/>
      <c r="KF84" s="11"/>
      <c r="KG84" s="11"/>
      <c r="KH84" s="11"/>
      <c r="KI84" s="11"/>
      <c r="KJ84" s="11"/>
      <c r="KK84" s="11"/>
      <c r="KL84" s="11"/>
      <c r="KM84" s="11"/>
      <c r="KN84" s="11"/>
      <c r="KO84" s="11"/>
      <c r="KP84" s="11"/>
      <c r="KQ84" s="11"/>
      <c r="KR84" s="11"/>
      <c r="KS84" s="11"/>
      <c r="KT84" s="11"/>
      <c r="KU84" s="11"/>
      <c r="KV84" s="11"/>
      <c r="KW84" s="11"/>
      <c r="KX84" s="11"/>
      <c r="KY84" s="11"/>
      <c r="KZ84" s="11"/>
      <c r="LA84" s="11"/>
      <c r="LB84" s="11"/>
      <c r="LC84" s="11"/>
      <c r="LD84" s="11"/>
      <c r="LE84" s="11"/>
      <c r="LF84" s="11"/>
      <c r="LG84" s="11"/>
      <c r="LH84" s="11"/>
      <c r="LI84" s="11"/>
      <c r="LJ84" s="11"/>
      <c r="LK84" s="11"/>
      <c r="LL84" s="11"/>
      <c r="LM84" s="11"/>
      <c r="LN84" s="11"/>
      <c r="LO84" s="11"/>
      <c r="LP84" s="11"/>
      <c r="LQ84" s="11"/>
      <c r="LR84" s="11"/>
      <c r="LS84" s="11"/>
      <c r="LT84" s="11"/>
      <c r="LU84" s="11"/>
      <c r="LV84" s="11"/>
      <c r="LW84" s="11"/>
      <c r="LX84" s="11"/>
      <c r="LY84" s="11"/>
      <c r="LZ84" s="11"/>
      <c r="MA84" s="11"/>
      <c r="MB84" s="11"/>
      <c r="MC84" s="11"/>
      <c r="MD84" s="11"/>
      <c r="ME84" s="11"/>
      <c r="MF84" s="11"/>
      <c r="MG84" s="11"/>
      <c r="MH84" s="11"/>
      <c r="MI84" s="11"/>
      <c r="MJ84" s="11"/>
      <c r="MK84" s="11"/>
      <c r="ML84" s="11"/>
      <c r="MM84" s="11"/>
      <c r="MN84" s="11"/>
      <c r="MO84" s="11"/>
      <c r="MP84" s="11"/>
      <c r="MQ84" s="11"/>
      <c r="MR84" s="11"/>
      <c r="MS84" s="11"/>
      <c r="MT84" s="11"/>
      <c r="MU84" s="11"/>
      <c r="MV84" s="11"/>
      <c r="MW84" s="11"/>
      <c r="MX84" s="11"/>
      <c r="MY84" s="11"/>
      <c r="MZ84" s="11"/>
      <c r="NA84" s="11"/>
      <c r="NB84" s="11"/>
      <c r="NC84" s="11"/>
      <c r="ND84" s="11"/>
      <c r="NE84" s="11"/>
      <c r="NF84" s="11"/>
      <c r="NG84" s="11"/>
      <c r="NH84" s="11"/>
      <c r="NI84" s="11"/>
      <c r="NJ84" s="11"/>
      <c r="NK84" s="11"/>
      <c r="NL84" s="11"/>
      <c r="NM84" s="11"/>
      <c r="NN84" s="11"/>
      <c r="NO84" s="11"/>
      <c r="NP84" s="11"/>
      <c r="NQ84" s="11"/>
      <c r="NR84" s="11"/>
      <c r="NS84" s="11"/>
      <c r="NT84" s="11"/>
      <c r="NU84" s="11"/>
      <c r="NV84" s="11"/>
      <c r="NW84" s="11"/>
      <c r="NX84" s="11"/>
      <c r="NY84" s="11"/>
      <c r="NZ84" s="11"/>
      <c r="OA84" s="11"/>
      <c r="OB84" s="11"/>
      <c r="OC84" s="11"/>
      <c r="OD84" s="11"/>
      <c r="OE84" s="11"/>
      <c r="OF84" s="11"/>
      <c r="OG84" s="11"/>
      <c r="OH84" s="11"/>
      <c r="OI84" s="11"/>
      <c r="OJ84" s="11"/>
      <c r="OK84" s="11"/>
      <c r="OL84" s="11"/>
      <c r="OM84" s="11"/>
      <c r="ON84" s="11"/>
      <c r="OO84" s="11"/>
      <c r="OP84" s="11"/>
      <c r="OQ84" s="11"/>
      <c r="OR84" s="11"/>
      <c r="OS84" s="11"/>
      <c r="OT84" s="11"/>
      <c r="OU84" s="11"/>
      <c r="OV84" s="11"/>
      <c r="OW84" s="11"/>
      <c r="OX84" s="11"/>
      <c r="OY84" s="11"/>
      <c r="OZ84" s="11"/>
      <c r="PA84" s="11"/>
      <c r="PB84" s="11"/>
      <c r="PC84" s="11"/>
      <c r="PD84" s="11"/>
      <c r="PE84" s="11"/>
      <c r="PF84" s="11"/>
      <c r="PG84" s="11"/>
      <c r="PH84" s="11"/>
      <c r="PI84" s="11"/>
      <c r="PJ84" s="11"/>
      <c r="PK84" s="11"/>
      <c r="PL84" s="11"/>
      <c r="PM84" s="11"/>
      <c r="PN84" s="11"/>
      <c r="PO84" s="11"/>
      <c r="PP84" s="11"/>
      <c r="PQ84" s="11"/>
      <c r="PR84" s="11"/>
      <c r="PS84" s="11"/>
      <c r="PT84" s="11"/>
      <c r="PU84" s="11"/>
      <c r="PV84" s="11"/>
      <c r="PW84" s="11"/>
      <c r="PX84" s="11"/>
      <c r="PY84" s="11"/>
      <c r="PZ84" s="11"/>
      <c r="QA84" s="11"/>
      <c r="QB84" s="11"/>
      <c r="QC84" s="11"/>
      <c r="QD84" s="11"/>
      <c r="QE84" s="11"/>
      <c r="QF84" s="11"/>
      <c r="QG84" s="11"/>
      <c r="QH84" s="11"/>
      <c r="QI84" s="11"/>
      <c r="QJ84" s="11"/>
      <c r="QK84" s="11"/>
      <c r="QL84" s="11"/>
      <c r="QM84" s="11"/>
      <c r="QN84" s="11"/>
      <c r="QO84" s="11"/>
      <c r="QP84" s="11"/>
      <c r="QQ84" s="11"/>
      <c r="QR84" s="11"/>
      <c r="QS84" s="11"/>
      <c r="QT84" s="11"/>
      <c r="QU84" s="11"/>
      <c r="QV84" s="11"/>
      <c r="QW84" s="11"/>
      <c r="QX84" s="11"/>
      <c r="QY84" s="11"/>
      <c r="QZ84" s="11"/>
      <c r="RA84" s="11"/>
      <c r="RB84" s="11"/>
      <c r="RC84" s="11"/>
      <c r="RD84" s="11"/>
      <c r="RE84" s="11"/>
      <c r="RF84" s="11"/>
      <c r="RG84" s="11"/>
      <c r="RH84" s="11"/>
      <c r="RI84" s="11"/>
      <c r="RJ84" s="11"/>
      <c r="RK84" s="11"/>
      <c r="RL84" s="11"/>
      <c r="RM84" s="11"/>
      <c r="RN84" s="11"/>
      <c r="RO84" s="11"/>
      <c r="RP84" s="11"/>
      <c r="RQ84" s="11"/>
      <c r="RR84" s="11"/>
      <c r="RS84" s="11"/>
      <c r="RT84" s="11"/>
      <c r="RU84" s="11"/>
      <c r="RV84" s="11"/>
      <c r="RW84" s="11"/>
      <c r="RX84" s="11"/>
      <c r="RY84" s="11"/>
      <c r="RZ84" s="11"/>
      <c r="SA84" s="11"/>
      <c r="SB84" s="11"/>
      <c r="SC84" s="11"/>
      <c r="SD84" s="11"/>
      <c r="SE84" s="11"/>
      <c r="SF84" s="11"/>
      <c r="SG84" s="11"/>
      <c r="SH84" s="11"/>
      <c r="SI84" s="11"/>
      <c r="SJ84" s="11"/>
      <c r="SK84" s="11"/>
      <c r="SL84" s="11"/>
      <c r="SM84" s="11"/>
      <c r="SN84" s="11"/>
      <c r="SO84" s="11"/>
      <c r="SP84" s="11"/>
      <c r="SQ84" s="11"/>
      <c r="SR84" s="11"/>
      <c r="SS84" s="11"/>
      <c r="ST84" s="11"/>
      <c r="SU84" s="11"/>
      <c r="SV84" s="11"/>
      <c r="SW84" s="11"/>
      <c r="SX84" s="11"/>
      <c r="SY84" s="11"/>
      <c r="SZ84" s="11"/>
      <c r="TA84" s="11"/>
      <c r="TB84" s="11"/>
      <c r="TC84" s="11"/>
      <c r="TD84" s="11"/>
      <c r="TE84" s="11"/>
      <c r="TF84" s="11"/>
      <c r="TG84" s="11"/>
      <c r="TH84" s="11"/>
      <c r="TI84" s="11"/>
      <c r="TJ84" s="11"/>
      <c r="TK84" s="11"/>
      <c r="TL84" s="11"/>
      <c r="TM84" s="11"/>
      <c r="TN84" s="11"/>
      <c r="TO84" s="11"/>
      <c r="TP84" s="11"/>
      <c r="TQ84" s="11"/>
      <c r="TR84" s="11"/>
      <c r="TS84" s="11"/>
      <c r="TT84" s="11"/>
      <c r="TU84" s="11"/>
      <c r="TV84" s="11"/>
      <c r="TW84" s="11"/>
      <c r="TX84" s="11"/>
      <c r="TY84" s="11"/>
      <c r="TZ84" s="11"/>
      <c r="UA84" s="11"/>
      <c r="UB84" s="11"/>
      <c r="UC84" s="11"/>
      <c r="UD84" s="11"/>
      <c r="UE84" s="11"/>
      <c r="UF84" s="11"/>
      <c r="UG84" s="11"/>
      <c r="UH84" s="11"/>
      <c r="UI84" s="11"/>
      <c r="UJ84" s="11"/>
      <c r="UK84" s="11"/>
      <c r="UL84" s="11"/>
      <c r="UM84" s="11"/>
      <c r="UN84" s="11"/>
      <c r="UO84" s="11"/>
      <c r="UP84" s="11"/>
      <c r="UQ84" s="11"/>
      <c r="UR84" s="11"/>
      <c r="US84" s="11"/>
      <c r="UT84" s="11"/>
      <c r="UU84" s="11"/>
      <c r="UV84" s="11"/>
      <c r="UW84" s="11"/>
      <c r="UX84" s="11"/>
      <c r="UY84" s="11"/>
      <c r="UZ84" s="11"/>
      <c r="VA84" s="11"/>
      <c r="VB84" s="11"/>
      <c r="VC84" s="11"/>
      <c r="VD84" s="11"/>
      <c r="VE84" s="11"/>
      <c r="VF84" s="11"/>
      <c r="VG84" s="11"/>
      <c r="VH84" s="11"/>
      <c r="VI84" s="11"/>
      <c r="VJ84" s="11"/>
      <c r="VK84" s="11"/>
      <c r="VL84" s="11"/>
      <c r="VM84" s="11"/>
      <c r="VN84" s="11"/>
      <c r="VO84" s="11"/>
      <c r="VP84" s="11"/>
      <c r="VQ84" s="11"/>
      <c r="VR84" s="11"/>
      <c r="VS84" s="11"/>
      <c r="VT84" s="11"/>
      <c r="VU84" s="11"/>
      <c r="VV84" s="11"/>
      <c r="VW84" s="11"/>
      <c r="VX84" s="11"/>
      <c r="VY84" s="11"/>
      <c r="VZ84" s="11"/>
      <c r="WA84" s="11"/>
      <c r="WB84" s="11"/>
      <c r="WC84" s="11"/>
      <c r="WD84" s="11"/>
      <c r="WE84" s="11"/>
      <c r="WF84" s="11"/>
      <c r="WG84" s="11"/>
      <c r="WH84" s="11"/>
      <c r="WI84" s="11"/>
      <c r="WJ84" s="11"/>
      <c r="WK84" s="11"/>
      <c r="WL84" s="11"/>
      <c r="WM84" s="11"/>
      <c r="WN84" s="11"/>
      <c r="WO84" s="11"/>
      <c r="WP84" s="11"/>
      <c r="WQ84" s="11"/>
      <c r="WR84" s="11"/>
      <c r="WS84" s="11"/>
      <c r="WT84" s="11"/>
      <c r="WU84" s="11"/>
      <c r="WV84" s="11"/>
      <c r="WW84" s="11"/>
      <c r="WX84" s="11"/>
      <c r="WY84" s="11"/>
      <c r="WZ84" s="11"/>
      <c r="XA84" s="11"/>
      <c r="XB84" s="11"/>
      <c r="XC84" s="11"/>
      <c r="XD84" s="11"/>
      <c r="XE84" s="11"/>
      <c r="XF84" s="11"/>
      <c r="XG84" s="11"/>
      <c r="XH84" s="11"/>
      <c r="XI84" s="11"/>
      <c r="XJ84" s="11"/>
      <c r="XK84" s="11"/>
      <c r="XL84" s="11"/>
      <c r="XM84" s="11"/>
      <c r="XN84" s="11"/>
      <c r="XO84" s="11"/>
      <c r="XP84" s="11"/>
      <c r="XQ84" s="11"/>
      <c r="XR84" s="11"/>
      <c r="XS84" s="11"/>
      <c r="XT84" s="11"/>
      <c r="XU84" s="11"/>
      <c r="XV84" s="11"/>
      <c r="XW84" s="11"/>
      <c r="XX84" s="11"/>
      <c r="XY84" s="11"/>
      <c r="XZ84" s="11"/>
      <c r="YA84" s="11"/>
      <c r="YB84" s="11"/>
      <c r="YC84" s="11"/>
      <c r="YD84" s="11"/>
      <c r="YE84" s="11"/>
      <c r="YF84" s="11"/>
      <c r="YG84" s="11"/>
      <c r="YH84" s="11"/>
      <c r="YI84" s="11"/>
      <c r="YJ84" s="11"/>
      <c r="YK84" s="11"/>
      <c r="YL84" s="11"/>
      <c r="YM84" s="11"/>
      <c r="YN84" s="11"/>
      <c r="YO84" s="11"/>
      <c r="YP84" s="11"/>
      <c r="YQ84" s="11"/>
      <c r="YR84" s="11"/>
      <c r="YS84" s="11"/>
      <c r="YT84" s="11"/>
      <c r="YU84" s="11"/>
      <c r="YV84" s="11"/>
      <c r="YW84" s="11"/>
      <c r="YX84" s="11"/>
      <c r="YY84" s="11"/>
      <c r="YZ84" s="11"/>
      <c r="ZA84" s="11"/>
      <c r="ZB84" s="11"/>
      <c r="ZC84" s="11"/>
      <c r="ZD84" s="11"/>
      <c r="ZE84" s="11"/>
      <c r="ZF84" s="11"/>
      <c r="ZG84" s="11"/>
      <c r="ZH84" s="11"/>
      <c r="ZI84" s="11"/>
      <c r="ZJ84" s="11"/>
      <c r="ZK84" s="11"/>
      <c r="ZL84" s="11"/>
      <c r="ZM84" s="11"/>
      <c r="ZN84" s="11"/>
      <c r="ZO84" s="11"/>
      <c r="ZP84" s="11"/>
      <c r="ZQ84" s="11"/>
      <c r="ZR84" s="11"/>
      <c r="ZS84" s="11"/>
      <c r="ZT84" s="11"/>
      <c r="ZU84" s="11"/>
      <c r="ZV84" s="11"/>
      <c r="ZW84" s="11"/>
      <c r="ZX84" s="11"/>
      <c r="ZY84" s="11"/>
      <c r="ZZ84" s="11"/>
      <c r="AAA84" s="11"/>
      <c r="AAB84" s="11"/>
      <c r="AAC84" s="11"/>
      <c r="AAD84" s="11"/>
      <c r="AAE84" s="11"/>
      <c r="AAF84" s="11"/>
      <c r="AAG84" s="11"/>
      <c r="AAH84" s="11"/>
      <c r="AAI84" s="11"/>
      <c r="AAJ84" s="11"/>
      <c r="AAK84" s="11"/>
      <c r="AAL84" s="11"/>
      <c r="AAM84" s="11"/>
      <c r="AAN84" s="11"/>
      <c r="AAO84" s="11"/>
      <c r="AAP84" s="11"/>
      <c r="AAQ84" s="11"/>
      <c r="AAR84" s="11"/>
      <c r="AAS84" s="11"/>
      <c r="AAT84" s="11"/>
      <c r="AAU84" s="11"/>
      <c r="AAV84" s="11"/>
      <c r="AAW84" s="11"/>
      <c r="AAX84" s="11"/>
      <c r="AAY84" s="11"/>
      <c r="AAZ84" s="11"/>
      <c r="ABA84" s="11"/>
      <c r="ABB84" s="11"/>
      <c r="ABC84" s="11"/>
      <c r="ABD84" s="11"/>
      <c r="ABE84" s="11"/>
      <c r="ABF84" s="11"/>
      <c r="ABG84" s="11"/>
      <c r="ABH84" s="11"/>
      <c r="ABI84" s="11"/>
      <c r="ABJ84" s="11"/>
      <c r="ABK84" s="11"/>
      <c r="ABL84" s="11"/>
      <c r="ABM84" s="11"/>
      <c r="ABN84" s="11"/>
      <c r="ABO84" s="11"/>
      <c r="ABP84" s="11"/>
      <c r="ABQ84" s="11"/>
      <c r="ABR84" s="11"/>
      <c r="ABS84" s="11"/>
      <c r="ABT84" s="11"/>
      <c r="ABU84" s="11"/>
      <c r="ABV84" s="11"/>
      <c r="ABW84" s="11"/>
      <c r="ABX84" s="11"/>
      <c r="ABY84" s="11"/>
      <c r="ABZ84" s="11"/>
      <c r="ACA84" s="11"/>
      <c r="ACB84" s="11"/>
      <c r="ACC84" s="11"/>
      <c r="ACD84" s="11"/>
      <c r="ACE84" s="11"/>
      <c r="ACF84" s="11"/>
      <c r="ACG84" s="11"/>
      <c r="ACH84" s="11"/>
      <c r="ACI84" s="11"/>
      <c r="ACJ84" s="11"/>
      <c r="ACK84" s="11"/>
      <c r="ACL84" s="11"/>
      <c r="ACM84" s="11"/>
      <c r="ACN84" s="11"/>
      <c r="ACO84" s="11"/>
      <c r="ACP84" s="11"/>
      <c r="ACQ84" s="11"/>
      <c r="ACR84" s="11"/>
      <c r="ACS84" s="11"/>
      <c r="ACT84" s="11"/>
      <c r="ACU84" s="11"/>
      <c r="ACV84" s="11"/>
      <c r="ACW84" s="11"/>
      <c r="ACX84" s="11"/>
      <c r="ACY84" s="11"/>
      <c r="ACZ84" s="11"/>
      <c r="ADA84" s="11"/>
      <c r="ADB84" s="11"/>
      <c r="ADC84" s="11"/>
      <c r="ADD84" s="11"/>
      <c r="ADE84" s="11"/>
      <c r="ADF84" s="11"/>
      <c r="ADG84" s="11"/>
      <c r="ADH84" s="11"/>
      <c r="ADI84" s="11"/>
      <c r="ADJ84" s="11"/>
      <c r="ADK84" s="11"/>
      <c r="ADL84" s="11"/>
      <c r="ADM84" s="11"/>
      <c r="ADN84" s="11"/>
      <c r="ADO84" s="11"/>
      <c r="ADP84" s="11"/>
      <c r="ADQ84" s="11"/>
      <c r="ADR84" s="11"/>
      <c r="ADS84" s="11"/>
      <c r="ADT84" s="11"/>
      <c r="ADU84" s="11"/>
      <c r="ADV84" s="11"/>
      <c r="ADW84" s="11"/>
      <c r="ADX84" s="11"/>
      <c r="ADY84" s="11"/>
      <c r="ADZ84" s="11"/>
      <c r="AEA84" s="11"/>
      <c r="AEB84" s="11"/>
      <c r="AEC84" s="11"/>
      <c r="AED84" s="11"/>
      <c r="AEE84" s="11"/>
      <c r="AEF84" s="11"/>
      <c r="AEG84" s="11"/>
      <c r="AEH84" s="11"/>
      <c r="AEI84" s="11"/>
      <c r="AEJ84" s="11"/>
      <c r="AEK84" s="11"/>
      <c r="AEL84" s="11"/>
      <c r="AEM84" s="11"/>
      <c r="AEN84" s="11"/>
      <c r="AEO84" s="11"/>
      <c r="AEP84" s="11"/>
      <c r="AEQ84" s="11"/>
      <c r="AER84" s="11"/>
      <c r="AES84" s="11"/>
      <c r="AET84" s="11"/>
      <c r="AEU84" s="11"/>
      <c r="AEV84" s="11"/>
      <c r="AEW84" s="11"/>
      <c r="AEX84" s="11"/>
      <c r="AEY84" s="11"/>
      <c r="AEZ84" s="11"/>
      <c r="AFA84" s="11"/>
      <c r="AFB84" s="11"/>
      <c r="AFC84" s="11"/>
      <c r="AFD84" s="11"/>
      <c r="AFE84" s="11"/>
      <c r="AFF84" s="11"/>
      <c r="AFG84" s="11"/>
      <c r="AFH84" s="11"/>
      <c r="AFI84" s="11"/>
    </row>
    <row r="85" spans="2:841">
      <c r="B85" s="11"/>
      <c r="C85" s="657"/>
      <c r="D85" s="289" t="s">
        <v>629</v>
      </c>
      <c r="E85" s="551">
        <f>SUMIFS(M_Datos!$N$41:$N$43,M_Datos!$O$41:$O$43,M_Lista!G23)</f>
        <v>0</v>
      </c>
      <c r="F85" s="312" t="e">
        <f>IF(AND(M_FactoresComplement!$G$439="No",M_FactoresComplement!$G$441="No"),M_Cálculos!E85*VLOOKUP(M_Datos!$E$12&amp;M_Cálculos!D85,M_Factores!$M$10:$P$108,2,FALSE)/(10^3),IF(AND(M_FactoresComplement!$G$439="Sí",M_FactoresComplement!$G$441="No"),E85*M_FactoresComplement!G451/(10^3),E85*VLOOKUP(M_FactoresComplement!$C$467&amp;M_Datos!$E$12&amp;M_Lista!G22,M_FactoresComplement!$F$446:$I$781,2,FALSE)/(10^3)))</f>
        <v>#N/A</v>
      </c>
      <c r="G85" s="313" t="e">
        <f>IF(AND(M_FactoresComplement!$G$439="No",M_FactoresComplement!$G$441="No"),M_Cálculos!E85*VLOOKUP(M_Datos!$E$12&amp;M_Cálculos!D85,M_Factores!$M$10:$P$108,3,FALSE)/(10^3),IF(AND(M_FactoresComplement!$G$439="Sí",M_FactoresComplement!$G$441="No"),E85*M_FactoresComplement!H451/(10^3),E85*VLOOKUP(M_FactoresComplement!$C$467&amp;M_Datos!$E$12&amp;M_Lista!G22,M_FactoresComplement!$F$446:$I$781,3,FALSE)/(10^3)))</f>
        <v>#N/A</v>
      </c>
      <c r="H85" s="551">
        <f>SUMIFS(M_Datos!$P$41:$P$43,M_Datos!$Q$41:$Q$43,M_Lista!G23)</f>
        <v>0</v>
      </c>
      <c r="I85" s="312" t="e">
        <f>IF(AND(M_FactoresComplement!$G$439="No",M_FactoresComplement!$G$441="No"),M_Cálculos!H85*VLOOKUP(M_Datos!$E$12&amp;M_Cálculos!D85,M_Factores!$M$10:$P$108,2,FALSE)/(10^3),IF(AND(M_FactoresComplement!$G$439="Sí",M_FactoresComplement!$G$441="No"),H85*M_FactoresComplement!G451/(10^3),H85*VLOOKUP(M_FactoresComplement!$C$467&amp;M_Datos!$E$12&amp;M_Lista!G22,M_FactoresComplement!$F$446:$I$781,2,FALSE)/(10^3)))</f>
        <v>#N/A</v>
      </c>
      <c r="J85" s="313" t="e">
        <f>IF(AND(M_FactoresComplement!$G$439="No",M_FactoresComplement!$G$441="No"),M_Cálculos!H85*VLOOKUP(M_Datos!$E$12&amp;M_Cálculos!D85,M_Factores!$M$10:$P$108,3,FALSE)/(10^3),IF(AND(M_FactoresComplement!$G$439="Sí",M_FactoresComplement!$G$441="No"),H85*M_FactoresComplement!H451/(10^3),H85*VLOOKUP(M_FactoresComplement!$C$467&amp;M_Datos!$E$12&amp;M_Lista!G22,M_FactoresComplement!$F$446:$I$781,3,FALSE)/(10^3)))</f>
        <v>#N/A</v>
      </c>
      <c r="K85" s="551">
        <f>SUMIFS(M_Datos!$R$41:$R$43,M_Datos!$S$41:$S$43,M_Lista!G23)</f>
        <v>0</v>
      </c>
      <c r="L85" s="312" t="e">
        <f>IF(AND(M_FactoresComplement!$G$439="No",M_FactoresComplement!$G$441="No"),M_Cálculos!K85*VLOOKUP(M_Datos!$E$12&amp;M_Cálculos!D85,M_Factores!$M$10:$P$108,2,FALSE)/(10^3),IF(AND(M_FactoresComplement!$G$439="Sí",M_FactoresComplement!$G$441="No"),K85*M_FactoresComplement!G451/(10^3),K85*VLOOKUP(M_FactoresComplement!$C$467&amp;M_Datos!$E$12&amp;M_Lista!G22,M_FactoresComplement!$F$446:$I$781,2,FALSE)/(10^3)))</f>
        <v>#N/A</v>
      </c>
      <c r="M85" s="313" t="e">
        <f>IF(AND(M_FactoresComplement!$G$439="No",M_FactoresComplement!$G$441="No"),M_Cálculos!K85*VLOOKUP(M_Datos!$E$12&amp;M_Cálculos!D85,M_Factores!$M$10:$P$108,3,FALSE)/(10^3),IF(AND(M_FactoresComplement!$G$439="Sí",M_FactoresComplement!$G$441="No"),K85*M_FactoresComplement!H451/(10^3),K85*VLOOKUP(M_FactoresComplement!$C$467&amp;M_Datos!$E$12&amp;M_Lista!G22,M_FactoresComplement!$F$446:$I$781,3,FALSE)/(10^3)))</f>
        <v>#N/A</v>
      </c>
      <c r="N85" s="551">
        <f>SUMIFS(M_Datos!$T$41:$T$43,M_Datos!$U$41:$U$43,M_Lista!G23)</f>
        <v>0</v>
      </c>
      <c r="O85" s="312" t="e">
        <f>IF(AND(M_FactoresComplement!$G$439="No",M_FactoresComplement!$G$441="No"),M_Cálculos!N85*VLOOKUP(M_Datos!$E$12&amp;M_Cálculos!D85,M_Factores!$M$10:$P$108,2,FALSE)/(10^3),IF(AND(M_FactoresComplement!$G$439="Sí",M_FactoresComplement!$G$441="No"),N85*M_FactoresComplement!G451/(10^3),N85*VLOOKUP(M_FactoresComplement!$C$467&amp;M_Datos!$E$12&amp;M_Lista!G22,M_FactoresComplement!$F$446:$I$781,2,FALSE)/(10^3)))</f>
        <v>#N/A</v>
      </c>
      <c r="P85" s="313" t="e">
        <f>IF(AND(M_FactoresComplement!$G$439="No",M_FactoresComplement!$G$441="No"),M_Cálculos!N85*VLOOKUP(M_Datos!$E$12&amp;M_Cálculos!D85,M_Factores!$M$10:$P$108,3,FALSE)/(10^3),IF(AND(M_FactoresComplement!$G$439="Sí",M_FactoresComplement!$G$441="No"),N85*M_FactoresComplement!H451/(10^3),N85*VLOOKUP(M_FactoresComplement!$C$467&amp;M_Datos!$E$12&amp;M_Lista!G22,M_FactoresComplement!$F$446:$I$781,3,FALSE)/(10^3)))</f>
        <v>#N/A</v>
      </c>
      <c r="Q85" s="551">
        <f>SUMIFS(M_Datos!$V$41:$V$43,M_Datos!$W$41:$W$43,M_Lista!G23)</f>
        <v>0</v>
      </c>
      <c r="R85" s="312" t="e">
        <f>IF(AND(M_FactoresComplement!$G$439="No",M_FactoresComplement!$G$441="No"),M_Cálculos!Q85*VLOOKUP(M_Datos!$E$12&amp;M_Cálculos!D85,M_Factores!$M$10:$P$108,2,FALSE)/(10^3),IF(AND(M_FactoresComplement!$G$439="Sí",M_FactoresComplement!$G$441="No"),Q85*M_FactoresComplement!G451/(10^3),Q85*VLOOKUP(M_FactoresComplement!$C$467&amp;M_Datos!$E$12&amp;M_Lista!G22,M_FactoresComplement!$F$446:$I$781,2,FALSE)/(10^3)))</f>
        <v>#N/A</v>
      </c>
      <c r="S85" s="313" t="e">
        <f>IF(AND(M_FactoresComplement!$G$439="No",M_FactoresComplement!$G$441="No"),M_Cálculos!Q85*VLOOKUP(M_Datos!$E$12&amp;M_Cálculos!D85,M_Factores!$M$10:$P$108,3,FALSE)/(10^3),IF(AND(M_FactoresComplement!$G$439="Sí",M_FactoresComplement!$G$441="No"),Q85*M_FactoresComplement!H451/(10^3),Q85*VLOOKUP(M_FactoresComplement!$C$467&amp;M_Datos!$E$12&amp;M_Lista!G22,M_FactoresComplement!$F$446:$I$781,3,FALSE)/(10^3)))</f>
        <v>#N/A</v>
      </c>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c r="JH85" s="11"/>
      <c r="JI85" s="11"/>
      <c r="JJ85" s="11"/>
      <c r="JK85" s="11"/>
      <c r="JL85" s="11"/>
      <c r="JM85" s="11"/>
      <c r="JN85" s="11"/>
      <c r="JO85" s="11"/>
      <c r="JP85" s="11"/>
      <c r="JQ85" s="11"/>
      <c r="JR85" s="11"/>
      <c r="JS85" s="11"/>
      <c r="JT85" s="11"/>
      <c r="JU85" s="11"/>
      <c r="JV85" s="11"/>
      <c r="JW85" s="11"/>
      <c r="JX85" s="11"/>
      <c r="JY85" s="11"/>
      <c r="JZ85" s="11"/>
      <c r="KA85" s="11"/>
      <c r="KB85" s="11"/>
      <c r="KC85" s="11"/>
      <c r="KD85" s="11"/>
      <c r="KE85" s="11"/>
      <c r="KF85" s="11"/>
      <c r="KG85" s="11"/>
      <c r="KH85" s="11"/>
      <c r="KI85" s="11"/>
      <c r="KJ85" s="11"/>
      <c r="KK85" s="11"/>
      <c r="KL85" s="11"/>
      <c r="KM85" s="11"/>
      <c r="KN85" s="11"/>
      <c r="KO85" s="11"/>
      <c r="KP85" s="11"/>
      <c r="KQ85" s="11"/>
      <c r="KR85" s="11"/>
      <c r="KS85" s="11"/>
      <c r="KT85" s="11"/>
      <c r="KU85" s="11"/>
      <c r="KV85" s="11"/>
      <c r="KW85" s="11"/>
      <c r="KX85" s="11"/>
      <c r="KY85" s="11"/>
      <c r="KZ85" s="11"/>
      <c r="LA85" s="11"/>
      <c r="LB85" s="11"/>
      <c r="LC85" s="11"/>
      <c r="LD85" s="11"/>
      <c r="LE85" s="11"/>
      <c r="LF85" s="11"/>
      <c r="LG85" s="11"/>
      <c r="LH85" s="11"/>
      <c r="LI85" s="11"/>
      <c r="LJ85" s="11"/>
      <c r="LK85" s="11"/>
      <c r="LL85" s="11"/>
      <c r="LM85" s="11"/>
      <c r="LN85" s="11"/>
      <c r="LO85" s="11"/>
      <c r="LP85" s="11"/>
      <c r="LQ85" s="11"/>
      <c r="LR85" s="11"/>
      <c r="LS85" s="11"/>
      <c r="LT85" s="11"/>
      <c r="LU85" s="11"/>
      <c r="LV85" s="11"/>
      <c r="LW85" s="11"/>
      <c r="LX85" s="11"/>
      <c r="LY85" s="11"/>
      <c r="LZ85" s="11"/>
      <c r="MA85" s="11"/>
      <c r="MB85" s="11"/>
      <c r="MC85" s="11"/>
      <c r="MD85" s="11"/>
      <c r="ME85" s="11"/>
      <c r="MF85" s="11"/>
      <c r="MG85" s="11"/>
      <c r="MH85" s="11"/>
      <c r="MI85" s="11"/>
      <c r="MJ85" s="11"/>
      <c r="MK85" s="11"/>
      <c r="ML85" s="11"/>
      <c r="MM85" s="11"/>
      <c r="MN85" s="11"/>
      <c r="MO85" s="11"/>
      <c r="MP85" s="11"/>
      <c r="MQ85" s="11"/>
      <c r="MR85" s="11"/>
      <c r="MS85" s="11"/>
      <c r="MT85" s="11"/>
      <c r="MU85" s="11"/>
      <c r="MV85" s="11"/>
      <c r="MW85" s="11"/>
      <c r="MX85" s="11"/>
      <c r="MY85" s="11"/>
      <c r="MZ85" s="11"/>
      <c r="NA85" s="11"/>
      <c r="NB85" s="11"/>
      <c r="NC85" s="11"/>
      <c r="ND85" s="11"/>
      <c r="NE85" s="11"/>
      <c r="NF85" s="11"/>
      <c r="NG85" s="11"/>
      <c r="NH85" s="11"/>
      <c r="NI85" s="11"/>
      <c r="NJ85" s="11"/>
      <c r="NK85" s="11"/>
      <c r="NL85" s="11"/>
      <c r="NM85" s="11"/>
      <c r="NN85" s="11"/>
      <c r="NO85" s="11"/>
      <c r="NP85" s="11"/>
      <c r="NQ85" s="11"/>
      <c r="NR85" s="11"/>
      <c r="NS85" s="11"/>
      <c r="NT85" s="11"/>
      <c r="NU85" s="11"/>
      <c r="NV85" s="11"/>
      <c r="NW85" s="11"/>
      <c r="NX85" s="11"/>
      <c r="NY85" s="11"/>
      <c r="NZ85" s="11"/>
      <c r="OA85" s="11"/>
      <c r="OB85" s="11"/>
      <c r="OC85" s="11"/>
      <c r="OD85" s="11"/>
      <c r="OE85" s="11"/>
      <c r="OF85" s="11"/>
      <c r="OG85" s="11"/>
      <c r="OH85" s="11"/>
      <c r="OI85" s="11"/>
      <c r="OJ85" s="11"/>
      <c r="OK85" s="11"/>
      <c r="OL85" s="11"/>
      <c r="OM85" s="11"/>
      <c r="ON85" s="11"/>
      <c r="OO85" s="11"/>
      <c r="OP85" s="11"/>
      <c r="OQ85" s="11"/>
      <c r="OR85" s="11"/>
      <c r="OS85" s="11"/>
      <c r="OT85" s="11"/>
      <c r="OU85" s="11"/>
      <c r="OV85" s="11"/>
      <c r="OW85" s="11"/>
      <c r="OX85" s="11"/>
      <c r="OY85" s="11"/>
      <c r="OZ85" s="11"/>
      <c r="PA85" s="11"/>
      <c r="PB85" s="11"/>
      <c r="PC85" s="11"/>
      <c r="PD85" s="11"/>
      <c r="PE85" s="11"/>
      <c r="PF85" s="11"/>
      <c r="PG85" s="11"/>
      <c r="PH85" s="11"/>
      <c r="PI85" s="11"/>
      <c r="PJ85" s="11"/>
      <c r="PK85" s="11"/>
      <c r="PL85" s="11"/>
      <c r="PM85" s="11"/>
      <c r="PN85" s="11"/>
      <c r="PO85" s="11"/>
      <c r="PP85" s="11"/>
      <c r="PQ85" s="11"/>
      <c r="PR85" s="11"/>
      <c r="PS85" s="11"/>
      <c r="PT85" s="11"/>
      <c r="PU85" s="11"/>
      <c r="PV85" s="11"/>
      <c r="PW85" s="11"/>
      <c r="PX85" s="11"/>
      <c r="PY85" s="11"/>
      <c r="PZ85" s="11"/>
      <c r="QA85" s="11"/>
      <c r="QB85" s="11"/>
      <c r="QC85" s="11"/>
      <c r="QD85" s="11"/>
      <c r="QE85" s="11"/>
      <c r="QF85" s="11"/>
      <c r="QG85" s="11"/>
      <c r="QH85" s="11"/>
      <c r="QI85" s="11"/>
      <c r="QJ85" s="11"/>
      <c r="QK85" s="11"/>
      <c r="QL85" s="11"/>
      <c r="QM85" s="11"/>
      <c r="QN85" s="11"/>
      <c r="QO85" s="11"/>
      <c r="QP85" s="11"/>
      <c r="QQ85" s="11"/>
      <c r="QR85" s="11"/>
      <c r="QS85" s="11"/>
      <c r="QT85" s="11"/>
      <c r="QU85" s="11"/>
      <c r="QV85" s="11"/>
      <c r="QW85" s="11"/>
      <c r="QX85" s="11"/>
      <c r="QY85" s="11"/>
      <c r="QZ85" s="11"/>
      <c r="RA85" s="11"/>
      <c r="RB85" s="11"/>
      <c r="RC85" s="11"/>
      <c r="RD85" s="11"/>
      <c r="RE85" s="11"/>
      <c r="RF85" s="11"/>
      <c r="RG85" s="11"/>
      <c r="RH85" s="11"/>
      <c r="RI85" s="11"/>
      <c r="RJ85" s="11"/>
      <c r="RK85" s="11"/>
      <c r="RL85" s="11"/>
      <c r="RM85" s="11"/>
      <c r="RN85" s="11"/>
      <c r="RO85" s="11"/>
      <c r="RP85" s="11"/>
      <c r="RQ85" s="11"/>
      <c r="RR85" s="11"/>
      <c r="RS85" s="11"/>
      <c r="RT85" s="11"/>
      <c r="RU85" s="11"/>
      <c r="RV85" s="11"/>
      <c r="RW85" s="11"/>
      <c r="RX85" s="11"/>
      <c r="RY85" s="11"/>
      <c r="RZ85" s="11"/>
      <c r="SA85" s="11"/>
      <c r="SB85" s="11"/>
      <c r="SC85" s="11"/>
      <c r="SD85" s="11"/>
      <c r="SE85" s="11"/>
      <c r="SF85" s="11"/>
      <c r="SG85" s="11"/>
      <c r="SH85" s="11"/>
      <c r="SI85" s="11"/>
      <c r="SJ85" s="11"/>
      <c r="SK85" s="11"/>
      <c r="SL85" s="11"/>
      <c r="SM85" s="11"/>
      <c r="SN85" s="11"/>
      <c r="SO85" s="11"/>
      <c r="SP85" s="11"/>
      <c r="SQ85" s="11"/>
      <c r="SR85" s="11"/>
      <c r="SS85" s="11"/>
      <c r="ST85" s="11"/>
      <c r="SU85" s="11"/>
      <c r="SV85" s="11"/>
      <c r="SW85" s="11"/>
      <c r="SX85" s="11"/>
      <c r="SY85" s="11"/>
      <c r="SZ85" s="11"/>
      <c r="TA85" s="11"/>
      <c r="TB85" s="11"/>
      <c r="TC85" s="11"/>
      <c r="TD85" s="11"/>
      <c r="TE85" s="11"/>
      <c r="TF85" s="11"/>
      <c r="TG85" s="11"/>
      <c r="TH85" s="11"/>
      <c r="TI85" s="11"/>
      <c r="TJ85" s="11"/>
      <c r="TK85" s="11"/>
      <c r="TL85" s="11"/>
      <c r="TM85" s="11"/>
      <c r="TN85" s="11"/>
      <c r="TO85" s="11"/>
      <c r="TP85" s="11"/>
      <c r="TQ85" s="11"/>
      <c r="TR85" s="11"/>
      <c r="TS85" s="11"/>
      <c r="TT85" s="11"/>
      <c r="TU85" s="11"/>
      <c r="TV85" s="11"/>
      <c r="TW85" s="11"/>
      <c r="TX85" s="11"/>
      <c r="TY85" s="11"/>
      <c r="TZ85" s="11"/>
      <c r="UA85" s="11"/>
      <c r="UB85" s="11"/>
      <c r="UC85" s="11"/>
      <c r="UD85" s="11"/>
      <c r="UE85" s="11"/>
      <c r="UF85" s="11"/>
      <c r="UG85" s="11"/>
      <c r="UH85" s="11"/>
      <c r="UI85" s="11"/>
      <c r="UJ85" s="11"/>
      <c r="UK85" s="11"/>
      <c r="UL85" s="11"/>
      <c r="UM85" s="11"/>
      <c r="UN85" s="11"/>
      <c r="UO85" s="11"/>
      <c r="UP85" s="11"/>
      <c r="UQ85" s="11"/>
      <c r="UR85" s="11"/>
      <c r="US85" s="11"/>
      <c r="UT85" s="11"/>
      <c r="UU85" s="11"/>
      <c r="UV85" s="11"/>
      <c r="UW85" s="11"/>
      <c r="UX85" s="11"/>
      <c r="UY85" s="11"/>
      <c r="UZ85" s="11"/>
      <c r="VA85" s="11"/>
      <c r="VB85" s="11"/>
      <c r="VC85" s="11"/>
      <c r="VD85" s="11"/>
      <c r="VE85" s="11"/>
      <c r="VF85" s="11"/>
      <c r="VG85" s="11"/>
      <c r="VH85" s="11"/>
      <c r="VI85" s="11"/>
      <c r="VJ85" s="11"/>
      <c r="VK85" s="11"/>
      <c r="VL85" s="11"/>
      <c r="VM85" s="11"/>
      <c r="VN85" s="11"/>
      <c r="VO85" s="11"/>
      <c r="VP85" s="11"/>
      <c r="VQ85" s="11"/>
      <c r="VR85" s="11"/>
      <c r="VS85" s="11"/>
      <c r="VT85" s="11"/>
      <c r="VU85" s="11"/>
      <c r="VV85" s="11"/>
      <c r="VW85" s="11"/>
      <c r="VX85" s="11"/>
      <c r="VY85" s="11"/>
      <c r="VZ85" s="11"/>
      <c r="WA85" s="11"/>
      <c r="WB85" s="11"/>
      <c r="WC85" s="11"/>
      <c r="WD85" s="11"/>
      <c r="WE85" s="11"/>
      <c r="WF85" s="11"/>
      <c r="WG85" s="11"/>
      <c r="WH85" s="11"/>
      <c r="WI85" s="11"/>
      <c r="WJ85" s="11"/>
      <c r="WK85" s="11"/>
      <c r="WL85" s="11"/>
      <c r="WM85" s="11"/>
      <c r="WN85" s="11"/>
      <c r="WO85" s="11"/>
      <c r="WP85" s="11"/>
      <c r="WQ85" s="11"/>
      <c r="WR85" s="11"/>
      <c r="WS85" s="11"/>
      <c r="WT85" s="11"/>
      <c r="WU85" s="11"/>
      <c r="WV85" s="11"/>
      <c r="WW85" s="11"/>
      <c r="WX85" s="11"/>
      <c r="WY85" s="11"/>
      <c r="WZ85" s="11"/>
      <c r="XA85" s="11"/>
      <c r="XB85" s="11"/>
      <c r="XC85" s="11"/>
      <c r="XD85" s="11"/>
      <c r="XE85" s="11"/>
      <c r="XF85" s="11"/>
      <c r="XG85" s="11"/>
      <c r="XH85" s="11"/>
      <c r="XI85" s="11"/>
      <c r="XJ85" s="11"/>
      <c r="XK85" s="11"/>
      <c r="XL85" s="11"/>
      <c r="XM85" s="11"/>
      <c r="XN85" s="11"/>
      <c r="XO85" s="11"/>
      <c r="XP85" s="11"/>
      <c r="XQ85" s="11"/>
      <c r="XR85" s="11"/>
      <c r="XS85" s="11"/>
      <c r="XT85" s="11"/>
      <c r="XU85" s="11"/>
      <c r="XV85" s="11"/>
      <c r="XW85" s="11"/>
      <c r="XX85" s="11"/>
      <c r="XY85" s="11"/>
      <c r="XZ85" s="11"/>
      <c r="YA85" s="11"/>
      <c r="YB85" s="11"/>
      <c r="YC85" s="11"/>
      <c r="YD85" s="11"/>
      <c r="YE85" s="11"/>
      <c r="YF85" s="11"/>
      <c r="YG85" s="11"/>
      <c r="YH85" s="11"/>
      <c r="YI85" s="11"/>
      <c r="YJ85" s="11"/>
      <c r="YK85" s="11"/>
      <c r="YL85" s="11"/>
      <c r="YM85" s="11"/>
      <c r="YN85" s="11"/>
      <c r="YO85" s="11"/>
      <c r="YP85" s="11"/>
      <c r="YQ85" s="11"/>
      <c r="YR85" s="11"/>
      <c r="YS85" s="11"/>
      <c r="YT85" s="11"/>
      <c r="YU85" s="11"/>
      <c r="YV85" s="11"/>
      <c r="YW85" s="11"/>
      <c r="YX85" s="11"/>
      <c r="YY85" s="11"/>
      <c r="YZ85" s="11"/>
      <c r="ZA85" s="11"/>
      <c r="ZB85" s="11"/>
      <c r="ZC85" s="11"/>
      <c r="ZD85" s="11"/>
      <c r="ZE85" s="11"/>
      <c r="ZF85" s="11"/>
      <c r="ZG85" s="11"/>
      <c r="ZH85" s="11"/>
      <c r="ZI85" s="11"/>
      <c r="ZJ85" s="11"/>
      <c r="ZK85" s="11"/>
      <c r="ZL85" s="11"/>
      <c r="ZM85" s="11"/>
      <c r="ZN85" s="11"/>
      <c r="ZO85" s="11"/>
      <c r="ZP85" s="11"/>
      <c r="ZQ85" s="11"/>
      <c r="ZR85" s="11"/>
      <c r="ZS85" s="11"/>
      <c r="ZT85" s="11"/>
      <c r="ZU85" s="11"/>
      <c r="ZV85" s="11"/>
      <c r="ZW85" s="11"/>
      <c r="ZX85" s="11"/>
      <c r="ZY85" s="11"/>
      <c r="ZZ85" s="11"/>
      <c r="AAA85" s="11"/>
      <c r="AAB85" s="11"/>
      <c r="AAC85" s="11"/>
      <c r="AAD85" s="11"/>
      <c r="AAE85" s="11"/>
      <c r="AAF85" s="11"/>
      <c r="AAG85" s="11"/>
      <c r="AAH85" s="11"/>
      <c r="AAI85" s="11"/>
      <c r="AAJ85" s="11"/>
      <c r="AAK85" s="11"/>
      <c r="AAL85" s="11"/>
      <c r="AAM85" s="11"/>
      <c r="AAN85" s="11"/>
      <c r="AAO85" s="11"/>
      <c r="AAP85" s="11"/>
      <c r="AAQ85" s="11"/>
      <c r="AAR85" s="11"/>
      <c r="AAS85" s="11"/>
      <c r="AAT85" s="11"/>
      <c r="AAU85" s="11"/>
      <c r="AAV85" s="11"/>
      <c r="AAW85" s="11"/>
      <c r="AAX85" s="11"/>
      <c r="AAY85" s="11"/>
      <c r="AAZ85" s="11"/>
      <c r="ABA85" s="11"/>
      <c r="ABB85" s="11"/>
      <c r="ABC85" s="11"/>
      <c r="ABD85" s="11"/>
      <c r="ABE85" s="11"/>
      <c r="ABF85" s="11"/>
      <c r="ABG85" s="11"/>
      <c r="ABH85" s="11"/>
      <c r="ABI85" s="11"/>
      <c r="ABJ85" s="11"/>
      <c r="ABK85" s="11"/>
      <c r="ABL85" s="11"/>
      <c r="ABM85" s="11"/>
      <c r="ABN85" s="11"/>
      <c r="ABO85" s="11"/>
      <c r="ABP85" s="11"/>
      <c r="ABQ85" s="11"/>
      <c r="ABR85" s="11"/>
      <c r="ABS85" s="11"/>
      <c r="ABT85" s="11"/>
      <c r="ABU85" s="11"/>
      <c r="ABV85" s="11"/>
      <c r="ABW85" s="11"/>
      <c r="ABX85" s="11"/>
      <c r="ABY85" s="11"/>
      <c r="ABZ85" s="11"/>
      <c r="ACA85" s="11"/>
      <c r="ACB85" s="11"/>
      <c r="ACC85" s="11"/>
      <c r="ACD85" s="11"/>
      <c r="ACE85" s="11"/>
      <c r="ACF85" s="11"/>
      <c r="ACG85" s="11"/>
      <c r="ACH85" s="11"/>
      <c r="ACI85" s="11"/>
      <c r="ACJ85" s="11"/>
      <c r="ACK85" s="11"/>
      <c r="ACL85" s="11"/>
      <c r="ACM85" s="11"/>
      <c r="ACN85" s="11"/>
      <c r="ACO85" s="11"/>
      <c r="ACP85" s="11"/>
      <c r="ACQ85" s="11"/>
      <c r="ACR85" s="11"/>
      <c r="ACS85" s="11"/>
      <c r="ACT85" s="11"/>
      <c r="ACU85" s="11"/>
      <c r="ACV85" s="11"/>
      <c r="ACW85" s="11"/>
      <c r="ACX85" s="11"/>
      <c r="ACY85" s="11"/>
      <c r="ACZ85" s="11"/>
      <c r="ADA85" s="11"/>
      <c r="ADB85" s="11"/>
      <c r="ADC85" s="11"/>
      <c r="ADD85" s="11"/>
      <c r="ADE85" s="11"/>
      <c r="ADF85" s="11"/>
      <c r="ADG85" s="11"/>
      <c r="ADH85" s="11"/>
      <c r="ADI85" s="11"/>
      <c r="ADJ85" s="11"/>
      <c r="ADK85" s="11"/>
      <c r="ADL85" s="11"/>
      <c r="ADM85" s="11"/>
      <c r="ADN85" s="11"/>
      <c r="ADO85" s="11"/>
      <c r="ADP85" s="11"/>
      <c r="ADQ85" s="11"/>
      <c r="ADR85" s="11"/>
      <c r="ADS85" s="11"/>
      <c r="ADT85" s="11"/>
      <c r="ADU85" s="11"/>
      <c r="ADV85" s="11"/>
      <c r="ADW85" s="11"/>
      <c r="ADX85" s="11"/>
      <c r="ADY85" s="11"/>
      <c r="ADZ85" s="11"/>
      <c r="AEA85" s="11"/>
      <c r="AEB85" s="11"/>
      <c r="AEC85" s="11"/>
      <c r="AED85" s="11"/>
      <c r="AEE85" s="11"/>
      <c r="AEF85" s="11"/>
      <c r="AEG85" s="11"/>
      <c r="AEH85" s="11"/>
      <c r="AEI85" s="11"/>
      <c r="AEJ85" s="11"/>
      <c r="AEK85" s="11"/>
      <c r="AEL85" s="11"/>
      <c r="AEM85" s="11"/>
      <c r="AEN85" s="11"/>
      <c r="AEO85" s="11"/>
      <c r="AEP85" s="11"/>
      <c r="AEQ85" s="11"/>
      <c r="AER85" s="11"/>
      <c r="AES85" s="11"/>
      <c r="AET85" s="11"/>
      <c r="AEU85" s="11"/>
      <c r="AEV85" s="11"/>
      <c r="AEW85" s="11"/>
      <c r="AEX85" s="11"/>
      <c r="AEY85" s="11"/>
      <c r="AEZ85" s="11"/>
      <c r="AFA85" s="11"/>
      <c r="AFB85" s="11"/>
      <c r="AFC85" s="11"/>
      <c r="AFD85" s="11"/>
      <c r="AFE85" s="11"/>
      <c r="AFF85" s="11"/>
      <c r="AFG85" s="11"/>
      <c r="AFH85" s="11"/>
      <c r="AFI85" s="11"/>
    </row>
    <row r="86" spans="2:841">
      <c r="B86" s="11"/>
      <c r="C86" s="657"/>
      <c r="D86" s="289" t="str">
        <f>IF(Idioma=Castellano,"Sin definir",IF(Idioma=Valencià,"Sense definir","Sin definir"))</f>
        <v>Sin definir</v>
      </c>
      <c r="E86" s="551">
        <f>SUMIFS(M_Datos!$N$41:$N$43,M_Datos!$O$41:$O$43,M_Lista!G24)</f>
        <v>0</v>
      </c>
      <c r="F86" s="312" t="e">
        <f>IF(AND(M_FactoresComplement!$G$439="No",M_FactoresComplement!$G$441="No"),M_Cálculos!E86*VLOOKUP(M_Datos!$E$12&amp;M_Cálculos!D86,M_Factores!$M$10:$P$108,2,FALSE)/(10^3),IF(AND(M_FactoresComplement!$G$439="Sí",M_FactoresComplement!$G$441="No"),E86*M_FactoresComplement!G452/(10^3),E86*VLOOKUP(M_FactoresComplement!$C$467&amp;M_Datos!$E$12&amp;M_Lista!G23,M_FactoresComplement!$F$446:$I$781,2,FALSE)/(10^3)))</f>
        <v>#N/A</v>
      </c>
      <c r="G86" s="313" t="e">
        <f>IF(AND(M_FactoresComplement!$G$439="No",M_FactoresComplement!$G$441="No"),M_Cálculos!E86*VLOOKUP(M_Datos!$E$12&amp;M_Cálculos!D86,M_Factores!$M$10:$P$108,3,FALSE)/(10^3),IF(AND(M_FactoresComplement!$G$439="Sí",M_FactoresComplement!$G$441="No"),E86*M_FactoresComplement!H452/(10^3),E86*VLOOKUP(M_FactoresComplement!$C$467&amp;M_Datos!$E$12&amp;M_Lista!G23,M_FactoresComplement!$F$446:$I$781,3,FALSE)/(10^3)))</f>
        <v>#N/A</v>
      </c>
      <c r="H86" s="551">
        <f>SUMIFS(M_Datos!$P$41:$P$43,M_Datos!$Q$41:$Q$43,M_Lista!G24)</f>
        <v>0</v>
      </c>
      <c r="I86" s="312" t="e">
        <f>IF(AND(M_FactoresComplement!$G$439="No",M_FactoresComplement!$G$441="No"),M_Cálculos!H86*VLOOKUP(M_Datos!$E$12&amp;M_Cálculos!D86,M_Factores!$M$10:$P$108,2,FALSE)/(10^3),IF(AND(M_FactoresComplement!$G$439="Sí",M_FactoresComplement!$G$441="No"),H86*M_FactoresComplement!G452/(10^3),H86*VLOOKUP(M_FactoresComplement!$C$467&amp;M_Datos!$E$12&amp;M_Lista!G23,M_FactoresComplement!$F$446:$I$781,2,FALSE)/(10^3)))</f>
        <v>#N/A</v>
      </c>
      <c r="J86" s="313" t="e">
        <f>IF(AND(M_FactoresComplement!$G$439="No",M_FactoresComplement!$G$441="No"),M_Cálculos!H86*VLOOKUP(M_Datos!$E$12&amp;M_Cálculos!D86,M_Factores!$M$10:$P$108,3,FALSE)/(10^3),IF(AND(M_FactoresComplement!$G$439="Sí",M_FactoresComplement!$G$441="No"),H86*M_FactoresComplement!H452/(10^3),H86*VLOOKUP(M_FactoresComplement!$C$467&amp;M_Datos!$E$12&amp;M_Lista!G23,M_FactoresComplement!$F$446:$I$781,3,FALSE)/(10^3)))</f>
        <v>#N/A</v>
      </c>
      <c r="K86" s="551">
        <f>SUMIFS(M_Datos!$R$41:$R$43,M_Datos!$S$41:$S$43,M_Lista!G24)</f>
        <v>0</v>
      </c>
      <c r="L86" s="312" t="e">
        <f>IF(AND(M_FactoresComplement!$G$439="No",M_FactoresComplement!$G$441="No"),M_Cálculos!K86*VLOOKUP(M_Datos!$E$12&amp;M_Cálculos!D86,M_Factores!$M$10:$P$108,2,FALSE)/(10^3),IF(AND(M_FactoresComplement!$G$439="Sí",M_FactoresComplement!$G$441="No"),K86*M_FactoresComplement!G452/(10^3),K86*VLOOKUP(M_FactoresComplement!$C$467&amp;M_Datos!$E$12&amp;M_Lista!G23,M_FactoresComplement!$F$446:$I$781,2,FALSE)/(10^3)))</f>
        <v>#N/A</v>
      </c>
      <c r="M86" s="313" t="e">
        <f>IF(AND(M_FactoresComplement!$G$439="No",M_FactoresComplement!$G$441="No"),M_Cálculos!K86*VLOOKUP(M_Datos!$E$12&amp;M_Cálculos!D86,M_Factores!$M$10:$P$108,3,FALSE)/(10^3),IF(AND(M_FactoresComplement!$G$439="Sí",M_FactoresComplement!$G$441="No"),K86*M_FactoresComplement!H452/(10^3),K86*VLOOKUP(M_FactoresComplement!$C$467&amp;M_Datos!$E$12&amp;M_Lista!G23,M_FactoresComplement!$F$446:$I$781,3,FALSE)/(10^3)))</f>
        <v>#N/A</v>
      </c>
      <c r="N86" s="551">
        <f>SUMIFS(M_Datos!$T$41:$T$43,M_Datos!$U$41:$U$43,M_Lista!G24)</f>
        <v>0</v>
      </c>
      <c r="O86" s="312" t="e">
        <f>IF(AND(M_FactoresComplement!$G$439="No",M_FactoresComplement!$G$441="No"),M_Cálculos!N86*VLOOKUP(M_Datos!$E$12&amp;M_Cálculos!D86,M_Factores!$M$10:$P$108,2,FALSE)/(10^3),IF(AND(M_FactoresComplement!$G$439="Sí",M_FactoresComplement!$G$441="No"),N86*M_FactoresComplement!G452/(10^3),N86*VLOOKUP(M_FactoresComplement!$C$467&amp;M_Datos!$E$12&amp;M_Lista!G23,M_FactoresComplement!$F$446:$I$781,2,FALSE)/(10^3)))</f>
        <v>#N/A</v>
      </c>
      <c r="P86" s="313" t="e">
        <f>IF(AND(M_FactoresComplement!$G$439="No",M_FactoresComplement!$G$441="No"),M_Cálculos!N86*VLOOKUP(M_Datos!$E$12&amp;M_Cálculos!D86,M_Factores!$M$10:$P$108,3,FALSE)/(10^3),IF(AND(M_FactoresComplement!$G$439="Sí",M_FactoresComplement!$G$441="No"),N86*M_FactoresComplement!H452/(10^3),N86*VLOOKUP(M_FactoresComplement!$C$467&amp;M_Datos!$E$12&amp;M_Lista!G23,M_FactoresComplement!$F$446:$I$781,3,FALSE)/(10^3)))</f>
        <v>#N/A</v>
      </c>
      <c r="Q86" s="551">
        <f>SUMIFS(M_Datos!$V$41:$V$43,M_Datos!$W$41:$W$43,M_Lista!G24)</f>
        <v>0</v>
      </c>
      <c r="R86" s="312" t="e">
        <f>IF(AND(M_FactoresComplement!$G$439="No",M_FactoresComplement!$G$441="No"),M_Cálculos!Q86*VLOOKUP(M_Datos!$E$12&amp;M_Cálculos!D86,M_Factores!$M$10:$P$108,2,FALSE)/(10^3),IF(AND(M_FactoresComplement!$G$439="Sí",M_FactoresComplement!$G$441="No"),Q86*M_FactoresComplement!G452/(10^3),Q86*VLOOKUP(M_FactoresComplement!$C$467&amp;M_Datos!$E$12&amp;M_Lista!G23,M_FactoresComplement!$F$446:$I$781,2,FALSE)/(10^3)))</f>
        <v>#N/A</v>
      </c>
      <c r="S86" s="313" t="e">
        <f>IF(AND(M_FactoresComplement!$G$439="No",M_FactoresComplement!$G$441="No"),M_Cálculos!Q86*VLOOKUP(M_Datos!$E$12&amp;M_Cálculos!D86,M_Factores!$M$10:$P$108,3,FALSE)/(10^3),IF(AND(M_FactoresComplement!$G$439="Sí",M_FactoresComplement!$G$441="No"),Q86*M_FactoresComplement!H452/(10^3),Q86*VLOOKUP(M_FactoresComplement!$C$467&amp;M_Datos!$E$12&amp;M_Lista!G23,M_FactoresComplement!$F$446:$I$781,3,FALSE)/(10^3)))</f>
        <v>#N/A</v>
      </c>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c r="JH86" s="11"/>
      <c r="JI86" s="11"/>
      <c r="JJ86" s="11"/>
      <c r="JK86" s="11"/>
      <c r="JL86" s="11"/>
      <c r="JM86" s="11"/>
      <c r="JN86" s="11"/>
      <c r="JO86" s="11"/>
      <c r="JP86" s="11"/>
      <c r="JQ86" s="11"/>
      <c r="JR86" s="11"/>
      <c r="JS86" s="11"/>
      <c r="JT86" s="11"/>
      <c r="JU86" s="11"/>
      <c r="JV86" s="11"/>
      <c r="JW86" s="11"/>
      <c r="JX86" s="11"/>
      <c r="JY86" s="11"/>
      <c r="JZ86" s="11"/>
      <c r="KA86" s="11"/>
      <c r="KB86" s="11"/>
      <c r="KC86" s="11"/>
      <c r="KD86" s="11"/>
      <c r="KE86" s="11"/>
      <c r="KF86" s="11"/>
      <c r="KG86" s="11"/>
      <c r="KH86" s="11"/>
      <c r="KI86" s="11"/>
      <c r="KJ86" s="11"/>
      <c r="KK86" s="11"/>
      <c r="KL86" s="11"/>
      <c r="KM86" s="11"/>
      <c r="KN86" s="11"/>
      <c r="KO86" s="11"/>
      <c r="KP86" s="11"/>
      <c r="KQ86" s="11"/>
      <c r="KR86" s="11"/>
      <c r="KS86" s="11"/>
      <c r="KT86" s="11"/>
      <c r="KU86" s="11"/>
      <c r="KV86" s="11"/>
      <c r="KW86" s="11"/>
      <c r="KX86" s="11"/>
      <c r="KY86" s="11"/>
      <c r="KZ86" s="11"/>
      <c r="LA86" s="11"/>
      <c r="LB86" s="11"/>
      <c r="LC86" s="11"/>
      <c r="LD86" s="11"/>
      <c r="LE86" s="11"/>
      <c r="LF86" s="11"/>
      <c r="LG86" s="11"/>
      <c r="LH86" s="11"/>
      <c r="LI86" s="11"/>
      <c r="LJ86" s="11"/>
      <c r="LK86" s="11"/>
      <c r="LL86" s="11"/>
      <c r="LM86" s="11"/>
      <c r="LN86" s="11"/>
      <c r="LO86" s="11"/>
      <c r="LP86" s="11"/>
      <c r="LQ86" s="11"/>
      <c r="LR86" s="11"/>
      <c r="LS86" s="11"/>
      <c r="LT86" s="11"/>
      <c r="LU86" s="11"/>
      <c r="LV86" s="11"/>
      <c r="LW86" s="11"/>
      <c r="LX86" s="11"/>
      <c r="LY86" s="11"/>
      <c r="LZ86" s="11"/>
      <c r="MA86" s="11"/>
      <c r="MB86" s="11"/>
      <c r="MC86" s="11"/>
      <c r="MD86" s="11"/>
      <c r="ME86" s="11"/>
      <c r="MF86" s="11"/>
      <c r="MG86" s="11"/>
      <c r="MH86" s="11"/>
      <c r="MI86" s="11"/>
      <c r="MJ86" s="11"/>
      <c r="MK86" s="11"/>
      <c r="ML86" s="11"/>
      <c r="MM86" s="11"/>
      <c r="MN86" s="11"/>
      <c r="MO86" s="11"/>
      <c r="MP86" s="11"/>
      <c r="MQ86" s="11"/>
      <c r="MR86" s="11"/>
      <c r="MS86" s="11"/>
      <c r="MT86" s="11"/>
      <c r="MU86" s="11"/>
      <c r="MV86" s="11"/>
      <c r="MW86" s="11"/>
      <c r="MX86" s="11"/>
      <c r="MY86" s="11"/>
      <c r="MZ86" s="11"/>
      <c r="NA86" s="11"/>
      <c r="NB86" s="11"/>
      <c r="NC86" s="11"/>
      <c r="ND86" s="11"/>
      <c r="NE86" s="11"/>
      <c r="NF86" s="11"/>
      <c r="NG86" s="11"/>
      <c r="NH86" s="11"/>
      <c r="NI86" s="11"/>
      <c r="NJ86" s="11"/>
      <c r="NK86" s="11"/>
      <c r="NL86" s="11"/>
      <c r="NM86" s="11"/>
      <c r="NN86" s="11"/>
      <c r="NO86" s="11"/>
      <c r="NP86" s="11"/>
      <c r="NQ86" s="11"/>
      <c r="NR86" s="11"/>
      <c r="NS86" s="11"/>
      <c r="NT86" s="11"/>
      <c r="NU86" s="11"/>
      <c r="NV86" s="11"/>
      <c r="NW86" s="11"/>
      <c r="NX86" s="11"/>
      <c r="NY86" s="11"/>
      <c r="NZ86" s="11"/>
      <c r="OA86" s="11"/>
      <c r="OB86" s="11"/>
      <c r="OC86" s="11"/>
      <c r="OD86" s="11"/>
      <c r="OE86" s="11"/>
      <c r="OF86" s="11"/>
      <c r="OG86" s="11"/>
      <c r="OH86" s="11"/>
      <c r="OI86" s="11"/>
      <c r="OJ86" s="11"/>
      <c r="OK86" s="11"/>
      <c r="OL86" s="11"/>
      <c r="OM86" s="11"/>
      <c r="ON86" s="11"/>
      <c r="OO86" s="11"/>
      <c r="OP86" s="11"/>
      <c r="OQ86" s="11"/>
      <c r="OR86" s="11"/>
      <c r="OS86" s="11"/>
      <c r="OT86" s="11"/>
      <c r="OU86" s="11"/>
      <c r="OV86" s="11"/>
      <c r="OW86" s="11"/>
      <c r="OX86" s="11"/>
      <c r="OY86" s="11"/>
      <c r="OZ86" s="11"/>
      <c r="PA86" s="11"/>
      <c r="PB86" s="11"/>
      <c r="PC86" s="11"/>
      <c r="PD86" s="11"/>
      <c r="PE86" s="11"/>
      <c r="PF86" s="11"/>
      <c r="PG86" s="11"/>
      <c r="PH86" s="11"/>
      <c r="PI86" s="11"/>
      <c r="PJ86" s="11"/>
      <c r="PK86" s="11"/>
      <c r="PL86" s="11"/>
      <c r="PM86" s="11"/>
      <c r="PN86" s="11"/>
      <c r="PO86" s="11"/>
      <c r="PP86" s="11"/>
      <c r="PQ86" s="11"/>
      <c r="PR86" s="11"/>
      <c r="PS86" s="11"/>
      <c r="PT86" s="11"/>
      <c r="PU86" s="11"/>
      <c r="PV86" s="11"/>
      <c r="PW86" s="11"/>
      <c r="PX86" s="11"/>
      <c r="PY86" s="11"/>
      <c r="PZ86" s="11"/>
      <c r="QA86" s="11"/>
      <c r="QB86" s="11"/>
      <c r="QC86" s="11"/>
      <c r="QD86" s="11"/>
      <c r="QE86" s="11"/>
      <c r="QF86" s="11"/>
      <c r="QG86" s="11"/>
      <c r="QH86" s="11"/>
      <c r="QI86" s="11"/>
      <c r="QJ86" s="11"/>
      <c r="QK86" s="11"/>
      <c r="QL86" s="11"/>
      <c r="QM86" s="11"/>
      <c r="QN86" s="11"/>
      <c r="QO86" s="11"/>
      <c r="QP86" s="11"/>
      <c r="QQ86" s="11"/>
      <c r="QR86" s="11"/>
      <c r="QS86" s="11"/>
      <c r="QT86" s="11"/>
      <c r="QU86" s="11"/>
      <c r="QV86" s="11"/>
      <c r="QW86" s="11"/>
      <c r="QX86" s="11"/>
      <c r="QY86" s="11"/>
      <c r="QZ86" s="11"/>
      <c r="RA86" s="11"/>
      <c r="RB86" s="11"/>
      <c r="RC86" s="11"/>
      <c r="RD86" s="11"/>
      <c r="RE86" s="11"/>
      <c r="RF86" s="11"/>
      <c r="RG86" s="11"/>
      <c r="RH86" s="11"/>
      <c r="RI86" s="11"/>
      <c r="RJ86" s="11"/>
      <c r="RK86" s="11"/>
      <c r="RL86" s="11"/>
      <c r="RM86" s="11"/>
      <c r="RN86" s="11"/>
      <c r="RO86" s="11"/>
      <c r="RP86" s="11"/>
      <c r="RQ86" s="11"/>
      <c r="RR86" s="11"/>
      <c r="RS86" s="11"/>
      <c r="RT86" s="11"/>
      <c r="RU86" s="11"/>
      <c r="RV86" s="11"/>
      <c r="RW86" s="11"/>
      <c r="RX86" s="11"/>
      <c r="RY86" s="11"/>
      <c r="RZ86" s="11"/>
      <c r="SA86" s="11"/>
      <c r="SB86" s="11"/>
      <c r="SC86" s="11"/>
      <c r="SD86" s="11"/>
      <c r="SE86" s="11"/>
      <c r="SF86" s="11"/>
      <c r="SG86" s="11"/>
      <c r="SH86" s="11"/>
      <c r="SI86" s="11"/>
      <c r="SJ86" s="11"/>
      <c r="SK86" s="11"/>
      <c r="SL86" s="11"/>
      <c r="SM86" s="11"/>
      <c r="SN86" s="11"/>
      <c r="SO86" s="11"/>
      <c r="SP86" s="11"/>
      <c r="SQ86" s="11"/>
      <c r="SR86" s="11"/>
      <c r="SS86" s="11"/>
      <c r="ST86" s="11"/>
      <c r="SU86" s="11"/>
      <c r="SV86" s="11"/>
      <c r="SW86" s="11"/>
      <c r="SX86" s="11"/>
      <c r="SY86" s="11"/>
      <c r="SZ86" s="11"/>
      <c r="TA86" s="11"/>
      <c r="TB86" s="11"/>
      <c r="TC86" s="11"/>
      <c r="TD86" s="11"/>
      <c r="TE86" s="11"/>
      <c r="TF86" s="11"/>
      <c r="TG86" s="11"/>
      <c r="TH86" s="11"/>
      <c r="TI86" s="11"/>
      <c r="TJ86" s="11"/>
      <c r="TK86" s="11"/>
      <c r="TL86" s="11"/>
      <c r="TM86" s="11"/>
      <c r="TN86" s="11"/>
      <c r="TO86" s="11"/>
      <c r="TP86" s="11"/>
      <c r="TQ86" s="11"/>
      <c r="TR86" s="11"/>
      <c r="TS86" s="11"/>
      <c r="TT86" s="11"/>
      <c r="TU86" s="11"/>
      <c r="TV86" s="11"/>
      <c r="TW86" s="11"/>
      <c r="TX86" s="11"/>
      <c r="TY86" s="11"/>
      <c r="TZ86" s="11"/>
      <c r="UA86" s="11"/>
      <c r="UB86" s="11"/>
      <c r="UC86" s="11"/>
      <c r="UD86" s="11"/>
      <c r="UE86" s="11"/>
      <c r="UF86" s="11"/>
      <c r="UG86" s="11"/>
      <c r="UH86" s="11"/>
      <c r="UI86" s="11"/>
      <c r="UJ86" s="11"/>
      <c r="UK86" s="11"/>
      <c r="UL86" s="11"/>
      <c r="UM86" s="11"/>
      <c r="UN86" s="11"/>
      <c r="UO86" s="11"/>
      <c r="UP86" s="11"/>
      <c r="UQ86" s="11"/>
      <c r="UR86" s="11"/>
      <c r="US86" s="11"/>
      <c r="UT86" s="11"/>
      <c r="UU86" s="11"/>
      <c r="UV86" s="11"/>
      <c r="UW86" s="11"/>
      <c r="UX86" s="11"/>
      <c r="UY86" s="11"/>
      <c r="UZ86" s="11"/>
      <c r="VA86" s="11"/>
      <c r="VB86" s="11"/>
      <c r="VC86" s="11"/>
      <c r="VD86" s="11"/>
      <c r="VE86" s="11"/>
      <c r="VF86" s="11"/>
      <c r="VG86" s="11"/>
      <c r="VH86" s="11"/>
      <c r="VI86" s="11"/>
      <c r="VJ86" s="11"/>
      <c r="VK86" s="11"/>
      <c r="VL86" s="11"/>
      <c r="VM86" s="11"/>
      <c r="VN86" s="11"/>
      <c r="VO86" s="11"/>
      <c r="VP86" s="11"/>
      <c r="VQ86" s="11"/>
      <c r="VR86" s="11"/>
      <c r="VS86" s="11"/>
      <c r="VT86" s="11"/>
      <c r="VU86" s="11"/>
      <c r="VV86" s="11"/>
      <c r="VW86" s="11"/>
      <c r="VX86" s="11"/>
      <c r="VY86" s="11"/>
      <c r="VZ86" s="11"/>
      <c r="WA86" s="11"/>
      <c r="WB86" s="11"/>
      <c r="WC86" s="11"/>
      <c r="WD86" s="11"/>
      <c r="WE86" s="11"/>
      <c r="WF86" s="11"/>
      <c r="WG86" s="11"/>
      <c r="WH86" s="11"/>
      <c r="WI86" s="11"/>
      <c r="WJ86" s="11"/>
      <c r="WK86" s="11"/>
      <c r="WL86" s="11"/>
      <c r="WM86" s="11"/>
      <c r="WN86" s="11"/>
      <c r="WO86" s="11"/>
      <c r="WP86" s="11"/>
      <c r="WQ86" s="11"/>
      <c r="WR86" s="11"/>
      <c r="WS86" s="11"/>
      <c r="WT86" s="11"/>
      <c r="WU86" s="11"/>
      <c r="WV86" s="11"/>
      <c r="WW86" s="11"/>
      <c r="WX86" s="11"/>
      <c r="WY86" s="11"/>
      <c r="WZ86" s="11"/>
      <c r="XA86" s="11"/>
      <c r="XB86" s="11"/>
      <c r="XC86" s="11"/>
      <c r="XD86" s="11"/>
      <c r="XE86" s="11"/>
      <c r="XF86" s="11"/>
      <c r="XG86" s="11"/>
      <c r="XH86" s="11"/>
      <c r="XI86" s="11"/>
      <c r="XJ86" s="11"/>
      <c r="XK86" s="11"/>
      <c r="XL86" s="11"/>
      <c r="XM86" s="11"/>
      <c r="XN86" s="11"/>
      <c r="XO86" s="11"/>
      <c r="XP86" s="11"/>
      <c r="XQ86" s="11"/>
      <c r="XR86" s="11"/>
      <c r="XS86" s="11"/>
      <c r="XT86" s="11"/>
      <c r="XU86" s="11"/>
      <c r="XV86" s="11"/>
      <c r="XW86" s="11"/>
      <c r="XX86" s="11"/>
      <c r="XY86" s="11"/>
      <c r="XZ86" s="11"/>
      <c r="YA86" s="11"/>
      <c r="YB86" s="11"/>
      <c r="YC86" s="11"/>
      <c r="YD86" s="11"/>
      <c r="YE86" s="11"/>
      <c r="YF86" s="11"/>
      <c r="YG86" s="11"/>
      <c r="YH86" s="11"/>
      <c r="YI86" s="11"/>
      <c r="YJ86" s="11"/>
      <c r="YK86" s="11"/>
      <c r="YL86" s="11"/>
      <c r="YM86" s="11"/>
      <c r="YN86" s="11"/>
      <c r="YO86" s="11"/>
      <c r="YP86" s="11"/>
      <c r="YQ86" s="11"/>
      <c r="YR86" s="11"/>
      <c r="YS86" s="11"/>
      <c r="YT86" s="11"/>
      <c r="YU86" s="11"/>
      <c r="YV86" s="11"/>
      <c r="YW86" s="11"/>
      <c r="YX86" s="11"/>
      <c r="YY86" s="11"/>
      <c r="YZ86" s="11"/>
      <c r="ZA86" s="11"/>
      <c r="ZB86" s="11"/>
      <c r="ZC86" s="11"/>
      <c r="ZD86" s="11"/>
      <c r="ZE86" s="11"/>
      <c r="ZF86" s="11"/>
      <c r="ZG86" s="11"/>
      <c r="ZH86" s="11"/>
      <c r="ZI86" s="11"/>
      <c r="ZJ86" s="11"/>
      <c r="ZK86" s="11"/>
      <c r="ZL86" s="11"/>
      <c r="ZM86" s="11"/>
      <c r="ZN86" s="11"/>
      <c r="ZO86" s="11"/>
      <c r="ZP86" s="11"/>
      <c r="ZQ86" s="11"/>
      <c r="ZR86" s="11"/>
      <c r="ZS86" s="11"/>
      <c r="ZT86" s="11"/>
      <c r="ZU86" s="11"/>
      <c r="ZV86" s="11"/>
      <c r="ZW86" s="11"/>
      <c r="ZX86" s="11"/>
      <c r="ZY86" s="11"/>
      <c r="ZZ86" s="11"/>
      <c r="AAA86" s="11"/>
      <c r="AAB86" s="11"/>
      <c r="AAC86" s="11"/>
      <c r="AAD86" s="11"/>
      <c r="AAE86" s="11"/>
      <c r="AAF86" s="11"/>
      <c r="AAG86" s="11"/>
      <c r="AAH86" s="11"/>
      <c r="AAI86" s="11"/>
      <c r="AAJ86" s="11"/>
      <c r="AAK86" s="11"/>
      <c r="AAL86" s="11"/>
      <c r="AAM86" s="11"/>
      <c r="AAN86" s="11"/>
      <c r="AAO86" s="11"/>
      <c r="AAP86" s="11"/>
      <c r="AAQ86" s="11"/>
      <c r="AAR86" s="11"/>
      <c r="AAS86" s="11"/>
      <c r="AAT86" s="11"/>
      <c r="AAU86" s="11"/>
      <c r="AAV86" s="11"/>
      <c r="AAW86" s="11"/>
      <c r="AAX86" s="11"/>
      <c r="AAY86" s="11"/>
      <c r="AAZ86" s="11"/>
      <c r="ABA86" s="11"/>
      <c r="ABB86" s="11"/>
      <c r="ABC86" s="11"/>
      <c r="ABD86" s="11"/>
      <c r="ABE86" s="11"/>
      <c r="ABF86" s="11"/>
      <c r="ABG86" s="11"/>
      <c r="ABH86" s="11"/>
      <c r="ABI86" s="11"/>
      <c r="ABJ86" s="11"/>
      <c r="ABK86" s="11"/>
      <c r="ABL86" s="11"/>
      <c r="ABM86" s="11"/>
      <c r="ABN86" s="11"/>
      <c r="ABO86" s="11"/>
      <c r="ABP86" s="11"/>
      <c r="ABQ86" s="11"/>
      <c r="ABR86" s="11"/>
      <c r="ABS86" s="11"/>
      <c r="ABT86" s="11"/>
      <c r="ABU86" s="11"/>
      <c r="ABV86" s="11"/>
      <c r="ABW86" s="11"/>
      <c r="ABX86" s="11"/>
      <c r="ABY86" s="11"/>
      <c r="ABZ86" s="11"/>
      <c r="ACA86" s="11"/>
      <c r="ACB86" s="11"/>
      <c r="ACC86" s="11"/>
      <c r="ACD86" s="11"/>
      <c r="ACE86" s="11"/>
      <c r="ACF86" s="11"/>
      <c r="ACG86" s="11"/>
      <c r="ACH86" s="11"/>
      <c r="ACI86" s="11"/>
      <c r="ACJ86" s="11"/>
      <c r="ACK86" s="11"/>
      <c r="ACL86" s="11"/>
      <c r="ACM86" s="11"/>
      <c r="ACN86" s="11"/>
      <c r="ACO86" s="11"/>
      <c r="ACP86" s="11"/>
      <c r="ACQ86" s="11"/>
      <c r="ACR86" s="11"/>
      <c r="ACS86" s="11"/>
      <c r="ACT86" s="11"/>
      <c r="ACU86" s="11"/>
      <c r="ACV86" s="11"/>
      <c r="ACW86" s="11"/>
      <c r="ACX86" s="11"/>
      <c r="ACY86" s="11"/>
      <c r="ACZ86" s="11"/>
      <c r="ADA86" s="11"/>
      <c r="ADB86" s="11"/>
      <c r="ADC86" s="11"/>
      <c r="ADD86" s="11"/>
      <c r="ADE86" s="11"/>
      <c r="ADF86" s="11"/>
      <c r="ADG86" s="11"/>
      <c r="ADH86" s="11"/>
      <c r="ADI86" s="11"/>
      <c r="ADJ86" s="11"/>
      <c r="ADK86" s="11"/>
      <c r="ADL86" s="11"/>
      <c r="ADM86" s="11"/>
      <c r="ADN86" s="11"/>
      <c r="ADO86" s="11"/>
      <c r="ADP86" s="11"/>
      <c r="ADQ86" s="11"/>
      <c r="ADR86" s="11"/>
      <c r="ADS86" s="11"/>
      <c r="ADT86" s="11"/>
      <c r="ADU86" s="11"/>
      <c r="ADV86" s="11"/>
      <c r="ADW86" s="11"/>
      <c r="ADX86" s="11"/>
      <c r="ADY86" s="11"/>
      <c r="ADZ86" s="11"/>
      <c r="AEA86" s="11"/>
      <c r="AEB86" s="11"/>
      <c r="AEC86" s="11"/>
      <c r="AED86" s="11"/>
      <c r="AEE86" s="11"/>
      <c r="AEF86" s="11"/>
      <c r="AEG86" s="11"/>
      <c r="AEH86" s="11"/>
      <c r="AEI86" s="11"/>
      <c r="AEJ86" s="11"/>
      <c r="AEK86" s="11"/>
      <c r="AEL86" s="11"/>
      <c r="AEM86" s="11"/>
      <c r="AEN86" s="11"/>
      <c r="AEO86" s="11"/>
      <c r="AEP86" s="11"/>
      <c r="AEQ86" s="11"/>
      <c r="AER86" s="11"/>
      <c r="AES86" s="11"/>
      <c r="AET86" s="11"/>
      <c r="AEU86" s="11"/>
      <c r="AEV86" s="11"/>
      <c r="AEW86" s="11"/>
      <c r="AEX86" s="11"/>
      <c r="AEY86" s="11"/>
      <c r="AEZ86" s="11"/>
      <c r="AFA86" s="11"/>
      <c r="AFB86" s="11"/>
      <c r="AFC86" s="11"/>
      <c r="AFD86" s="11"/>
      <c r="AFE86" s="11"/>
      <c r="AFF86" s="11"/>
      <c r="AFG86" s="11"/>
      <c r="AFH86" s="11"/>
      <c r="AFI86" s="11"/>
    </row>
    <row r="87" spans="2:841">
      <c r="B87" s="11"/>
      <c r="C87" s="657"/>
      <c r="D87" s="289" t="str">
        <f>IF(Idioma=Castellano,"Consumo nulo",IF(Idioma=Valencià,"Consum nul","Consumo nulo"))</f>
        <v>Consumo nulo</v>
      </c>
      <c r="E87" s="551">
        <f>SUMIFS(M_Datos!$N$41:$N$43,M_Datos!$O$41:$O$43,M_Lista!G25)</f>
        <v>0</v>
      </c>
      <c r="F87" s="312">
        <v>0</v>
      </c>
      <c r="G87" s="313">
        <v>0</v>
      </c>
      <c r="H87" s="551">
        <f>SUMIFS(M_Datos!$P$41:$P$43,M_Datos!$Q$41:$Q$43,M_Lista!G25)</f>
        <v>0</v>
      </c>
      <c r="I87" s="312">
        <v>0</v>
      </c>
      <c r="J87" s="313">
        <v>0</v>
      </c>
      <c r="K87" s="551">
        <f>SUMIFS(M_Datos!$R$41:$R$43,M_Datos!$S$41:$S$43,M_Lista!G25)</f>
        <v>0</v>
      </c>
      <c r="L87" s="312">
        <v>0</v>
      </c>
      <c r="M87" s="313">
        <v>0</v>
      </c>
      <c r="N87" s="551">
        <f>SUMIFS(M_Datos!$T$41:$T$43,M_Datos!$U$41:$U$43,M_Lista!G25)</f>
        <v>0</v>
      </c>
      <c r="O87" s="312">
        <v>0</v>
      </c>
      <c r="P87" s="313">
        <v>0</v>
      </c>
      <c r="Q87" s="551">
        <f>SUMIFS(M_Datos!$V$41:$V$43,M_Datos!$W$41:$W$43,M_Lista!G25)</f>
        <v>0</v>
      </c>
      <c r="R87" s="312">
        <v>0</v>
      </c>
      <c r="S87" s="313">
        <v>0</v>
      </c>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1"/>
      <c r="JA87" s="11"/>
      <c r="JB87" s="11"/>
      <c r="JC87" s="11"/>
      <c r="JD87" s="11"/>
      <c r="JE87" s="11"/>
      <c r="JF87" s="11"/>
      <c r="JG87" s="11"/>
      <c r="JH87" s="11"/>
      <c r="JI87" s="11"/>
      <c r="JJ87" s="11"/>
      <c r="JK87" s="11"/>
      <c r="JL87" s="11"/>
      <c r="JM87" s="11"/>
      <c r="JN87" s="11"/>
      <c r="JO87" s="11"/>
      <c r="JP87" s="11"/>
      <c r="JQ87" s="11"/>
      <c r="JR87" s="11"/>
      <c r="JS87" s="11"/>
      <c r="JT87" s="11"/>
      <c r="JU87" s="11"/>
      <c r="JV87" s="11"/>
      <c r="JW87" s="11"/>
      <c r="JX87" s="11"/>
      <c r="JY87" s="11"/>
      <c r="JZ87" s="11"/>
      <c r="KA87" s="11"/>
      <c r="KB87" s="11"/>
      <c r="KC87" s="11"/>
      <c r="KD87" s="11"/>
      <c r="KE87" s="11"/>
      <c r="KF87" s="11"/>
      <c r="KG87" s="11"/>
      <c r="KH87" s="11"/>
      <c r="KI87" s="11"/>
      <c r="KJ87" s="11"/>
      <c r="KK87" s="11"/>
      <c r="KL87" s="11"/>
      <c r="KM87" s="11"/>
      <c r="KN87" s="11"/>
      <c r="KO87" s="11"/>
      <c r="KP87" s="11"/>
      <c r="KQ87" s="11"/>
      <c r="KR87" s="11"/>
      <c r="KS87" s="11"/>
      <c r="KT87" s="11"/>
      <c r="KU87" s="11"/>
      <c r="KV87" s="11"/>
      <c r="KW87" s="11"/>
      <c r="KX87" s="11"/>
      <c r="KY87" s="11"/>
      <c r="KZ87" s="11"/>
      <c r="LA87" s="11"/>
      <c r="LB87" s="11"/>
      <c r="LC87" s="11"/>
      <c r="LD87" s="11"/>
      <c r="LE87" s="11"/>
      <c r="LF87" s="11"/>
      <c r="LG87" s="11"/>
      <c r="LH87" s="11"/>
      <c r="LI87" s="11"/>
      <c r="LJ87" s="11"/>
      <c r="LK87" s="11"/>
      <c r="LL87" s="11"/>
      <c r="LM87" s="11"/>
      <c r="LN87" s="11"/>
      <c r="LO87" s="11"/>
      <c r="LP87" s="11"/>
      <c r="LQ87" s="11"/>
      <c r="LR87" s="11"/>
      <c r="LS87" s="11"/>
      <c r="LT87" s="11"/>
      <c r="LU87" s="11"/>
      <c r="LV87" s="11"/>
      <c r="LW87" s="11"/>
      <c r="LX87" s="11"/>
      <c r="LY87" s="11"/>
      <c r="LZ87" s="11"/>
      <c r="MA87" s="11"/>
      <c r="MB87" s="11"/>
      <c r="MC87" s="11"/>
      <c r="MD87" s="11"/>
      <c r="ME87" s="11"/>
      <c r="MF87" s="11"/>
      <c r="MG87" s="11"/>
      <c r="MH87" s="11"/>
      <c r="MI87" s="11"/>
      <c r="MJ87" s="11"/>
      <c r="MK87" s="11"/>
      <c r="ML87" s="11"/>
      <c r="MM87" s="11"/>
      <c r="MN87" s="11"/>
      <c r="MO87" s="11"/>
      <c r="MP87" s="11"/>
      <c r="MQ87" s="11"/>
      <c r="MR87" s="11"/>
      <c r="MS87" s="11"/>
      <c r="MT87" s="11"/>
      <c r="MU87" s="11"/>
      <c r="MV87" s="11"/>
      <c r="MW87" s="11"/>
      <c r="MX87" s="11"/>
      <c r="MY87" s="11"/>
      <c r="MZ87" s="11"/>
      <c r="NA87" s="11"/>
      <c r="NB87" s="11"/>
      <c r="NC87" s="11"/>
      <c r="ND87" s="11"/>
      <c r="NE87" s="11"/>
      <c r="NF87" s="11"/>
      <c r="NG87" s="11"/>
      <c r="NH87" s="11"/>
      <c r="NI87" s="11"/>
      <c r="NJ87" s="11"/>
      <c r="NK87" s="11"/>
      <c r="NL87" s="11"/>
      <c r="NM87" s="11"/>
      <c r="NN87" s="11"/>
      <c r="NO87" s="11"/>
      <c r="NP87" s="11"/>
      <c r="NQ87" s="11"/>
      <c r="NR87" s="11"/>
      <c r="NS87" s="11"/>
      <c r="NT87" s="11"/>
      <c r="NU87" s="11"/>
      <c r="NV87" s="11"/>
      <c r="NW87" s="11"/>
      <c r="NX87" s="11"/>
      <c r="NY87" s="11"/>
      <c r="NZ87" s="11"/>
      <c r="OA87" s="11"/>
      <c r="OB87" s="11"/>
      <c r="OC87" s="11"/>
      <c r="OD87" s="11"/>
      <c r="OE87" s="11"/>
      <c r="OF87" s="11"/>
      <c r="OG87" s="11"/>
      <c r="OH87" s="11"/>
      <c r="OI87" s="11"/>
      <c r="OJ87" s="11"/>
      <c r="OK87" s="11"/>
      <c r="OL87" s="11"/>
      <c r="OM87" s="11"/>
      <c r="ON87" s="11"/>
      <c r="OO87" s="11"/>
      <c r="OP87" s="11"/>
      <c r="OQ87" s="11"/>
      <c r="OR87" s="11"/>
      <c r="OS87" s="11"/>
      <c r="OT87" s="11"/>
      <c r="OU87" s="11"/>
      <c r="OV87" s="11"/>
      <c r="OW87" s="11"/>
      <c r="OX87" s="11"/>
      <c r="OY87" s="11"/>
      <c r="OZ87" s="11"/>
      <c r="PA87" s="11"/>
      <c r="PB87" s="11"/>
      <c r="PC87" s="11"/>
      <c r="PD87" s="11"/>
      <c r="PE87" s="11"/>
      <c r="PF87" s="11"/>
      <c r="PG87" s="11"/>
      <c r="PH87" s="11"/>
      <c r="PI87" s="11"/>
      <c r="PJ87" s="11"/>
      <c r="PK87" s="11"/>
      <c r="PL87" s="11"/>
      <c r="PM87" s="11"/>
      <c r="PN87" s="11"/>
      <c r="PO87" s="11"/>
      <c r="PP87" s="11"/>
      <c r="PQ87" s="11"/>
      <c r="PR87" s="11"/>
      <c r="PS87" s="11"/>
      <c r="PT87" s="11"/>
      <c r="PU87" s="11"/>
      <c r="PV87" s="11"/>
      <c r="PW87" s="11"/>
      <c r="PX87" s="11"/>
      <c r="PY87" s="11"/>
      <c r="PZ87" s="11"/>
      <c r="QA87" s="11"/>
      <c r="QB87" s="11"/>
      <c r="QC87" s="11"/>
      <c r="QD87" s="11"/>
      <c r="QE87" s="11"/>
      <c r="QF87" s="11"/>
      <c r="QG87" s="11"/>
      <c r="QH87" s="11"/>
      <c r="QI87" s="11"/>
      <c r="QJ87" s="11"/>
      <c r="QK87" s="11"/>
      <c r="QL87" s="11"/>
      <c r="QM87" s="11"/>
      <c r="QN87" s="11"/>
      <c r="QO87" s="11"/>
      <c r="QP87" s="11"/>
      <c r="QQ87" s="11"/>
      <c r="QR87" s="11"/>
      <c r="QS87" s="11"/>
      <c r="QT87" s="11"/>
      <c r="QU87" s="11"/>
      <c r="QV87" s="11"/>
      <c r="QW87" s="11"/>
      <c r="QX87" s="11"/>
      <c r="QY87" s="11"/>
      <c r="QZ87" s="11"/>
      <c r="RA87" s="11"/>
      <c r="RB87" s="11"/>
      <c r="RC87" s="11"/>
      <c r="RD87" s="11"/>
      <c r="RE87" s="11"/>
      <c r="RF87" s="11"/>
      <c r="RG87" s="11"/>
      <c r="RH87" s="11"/>
      <c r="RI87" s="11"/>
      <c r="RJ87" s="11"/>
      <c r="RK87" s="11"/>
      <c r="RL87" s="11"/>
      <c r="RM87" s="11"/>
      <c r="RN87" s="11"/>
      <c r="RO87" s="11"/>
      <c r="RP87" s="11"/>
      <c r="RQ87" s="11"/>
      <c r="RR87" s="11"/>
      <c r="RS87" s="11"/>
      <c r="RT87" s="11"/>
      <c r="RU87" s="11"/>
      <c r="RV87" s="11"/>
      <c r="RW87" s="11"/>
      <c r="RX87" s="11"/>
      <c r="RY87" s="11"/>
      <c r="RZ87" s="11"/>
      <c r="SA87" s="11"/>
      <c r="SB87" s="11"/>
      <c r="SC87" s="11"/>
      <c r="SD87" s="11"/>
      <c r="SE87" s="11"/>
      <c r="SF87" s="11"/>
      <c r="SG87" s="11"/>
      <c r="SH87" s="11"/>
      <c r="SI87" s="11"/>
      <c r="SJ87" s="11"/>
      <c r="SK87" s="11"/>
      <c r="SL87" s="11"/>
      <c r="SM87" s="11"/>
      <c r="SN87" s="11"/>
      <c r="SO87" s="11"/>
      <c r="SP87" s="11"/>
      <c r="SQ87" s="11"/>
      <c r="SR87" s="11"/>
      <c r="SS87" s="11"/>
      <c r="ST87" s="11"/>
      <c r="SU87" s="11"/>
      <c r="SV87" s="11"/>
      <c r="SW87" s="11"/>
      <c r="SX87" s="11"/>
      <c r="SY87" s="11"/>
      <c r="SZ87" s="11"/>
      <c r="TA87" s="11"/>
      <c r="TB87" s="11"/>
      <c r="TC87" s="11"/>
      <c r="TD87" s="11"/>
      <c r="TE87" s="11"/>
      <c r="TF87" s="11"/>
      <c r="TG87" s="11"/>
      <c r="TH87" s="11"/>
      <c r="TI87" s="11"/>
      <c r="TJ87" s="11"/>
      <c r="TK87" s="11"/>
      <c r="TL87" s="11"/>
      <c r="TM87" s="11"/>
      <c r="TN87" s="11"/>
      <c r="TO87" s="11"/>
      <c r="TP87" s="11"/>
      <c r="TQ87" s="11"/>
      <c r="TR87" s="11"/>
      <c r="TS87" s="11"/>
      <c r="TT87" s="11"/>
      <c r="TU87" s="11"/>
      <c r="TV87" s="11"/>
      <c r="TW87" s="11"/>
      <c r="TX87" s="11"/>
      <c r="TY87" s="11"/>
      <c r="TZ87" s="11"/>
      <c r="UA87" s="11"/>
      <c r="UB87" s="11"/>
      <c r="UC87" s="11"/>
      <c r="UD87" s="11"/>
      <c r="UE87" s="11"/>
      <c r="UF87" s="11"/>
      <c r="UG87" s="11"/>
      <c r="UH87" s="11"/>
      <c r="UI87" s="11"/>
      <c r="UJ87" s="11"/>
      <c r="UK87" s="11"/>
      <c r="UL87" s="11"/>
      <c r="UM87" s="11"/>
      <c r="UN87" s="11"/>
      <c r="UO87" s="11"/>
      <c r="UP87" s="11"/>
      <c r="UQ87" s="11"/>
      <c r="UR87" s="11"/>
      <c r="US87" s="11"/>
      <c r="UT87" s="11"/>
      <c r="UU87" s="11"/>
      <c r="UV87" s="11"/>
      <c r="UW87" s="11"/>
      <c r="UX87" s="11"/>
      <c r="UY87" s="11"/>
      <c r="UZ87" s="11"/>
      <c r="VA87" s="11"/>
      <c r="VB87" s="11"/>
      <c r="VC87" s="11"/>
      <c r="VD87" s="11"/>
      <c r="VE87" s="11"/>
      <c r="VF87" s="11"/>
      <c r="VG87" s="11"/>
      <c r="VH87" s="11"/>
      <c r="VI87" s="11"/>
      <c r="VJ87" s="11"/>
      <c r="VK87" s="11"/>
      <c r="VL87" s="11"/>
      <c r="VM87" s="11"/>
      <c r="VN87" s="11"/>
      <c r="VO87" s="11"/>
      <c r="VP87" s="11"/>
      <c r="VQ87" s="11"/>
      <c r="VR87" s="11"/>
      <c r="VS87" s="11"/>
      <c r="VT87" s="11"/>
      <c r="VU87" s="11"/>
      <c r="VV87" s="11"/>
      <c r="VW87" s="11"/>
      <c r="VX87" s="11"/>
      <c r="VY87" s="11"/>
      <c r="VZ87" s="11"/>
      <c r="WA87" s="11"/>
      <c r="WB87" s="11"/>
      <c r="WC87" s="11"/>
      <c r="WD87" s="11"/>
      <c r="WE87" s="11"/>
      <c r="WF87" s="11"/>
      <c r="WG87" s="11"/>
      <c r="WH87" s="11"/>
      <c r="WI87" s="11"/>
      <c r="WJ87" s="11"/>
      <c r="WK87" s="11"/>
      <c r="WL87" s="11"/>
      <c r="WM87" s="11"/>
      <c r="WN87" s="11"/>
      <c r="WO87" s="11"/>
      <c r="WP87" s="11"/>
      <c r="WQ87" s="11"/>
      <c r="WR87" s="11"/>
      <c r="WS87" s="11"/>
      <c r="WT87" s="11"/>
      <c r="WU87" s="11"/>
      <c r="WV87" s="11"/>
      <c r="WW87" s="11"/>
      <c r="WX87" s="11"/>
      <c r="WY87" s="11"/>
      <c r="WZ87" s="11"/>
      <c r="XA87" s="11"/>
      <c r="XB87" s="11"/>
      <c r="XC87" s="11"/>
      <c r="XD87" s="11"/>
      <c r="XE87" s="11"/>
      <c r="XF87" s="11"/>
      <c r="XG87" s="11"/>
      <c r="XH87" s="11"/>
      <c r="XI87" s="11"/>
      <c r="XJ87" s="11"/>
      <c r="XK87" s="11"/>
      <c r="XL87" s="11"/>
      <c r="XM87" s="11"/>
      <c r="XN87" s="11"/>
      <c r="XO87" s="11"/>
      <c r="XP87" s="11"/>
      <c r="XQ87" s="11"/>
      <c r="XR87" s="11"/>
      <c r="XS87" s="11"/>
      <c r="XT87" s="11"/>
      <c r="XU87" s="11"/>
      <c r="XV87" s="11"/>
      <c r="XW87" s="11"/>
      <c r="XX87" s="11"/>
      <c r="XY87" s="11"/>
      <c r="XZ87" s="11"/>
      <c r="YA87" s="11"/>
      <c r="YB87" s="11"/>
      <c r="YC87" s="11"/>
      <c r="YD87" s="11"/>
      <c r="YE87" s="11"/>
      <c r="YF87" s="11"/>
      <c r="YG87" s="11"/>
      <c r="YH87" s="11"/>
      <c r="YI87" s="11"/>
      <c r="YJ87" s="11"/>
      <c r="YK87" s="11"/>
      <c r="YL87" s="11"/>
      <c r="YM87" s="11"/>
      <c r="YN87" s="11"/>
      <c r="YO87" s="11"/>
      <c r="YP87" s="11"/>
      <c r="YQ87" s="11"/>
      <c r="YR87" s="11"/>
      <c r="YS87" s="11"/>
      <c r="YT87" s="11"/>
      <c r="YU87" s="11"/>
      <c r="YV87" s="11"/>
      <c r="YW87" s="11"/>
      <c r="YX87" s="11"/>
      <c r="YY87" s="11"/>
      <c r="YZ87" s="11"/>
      <c r="ZA87" s="11"/>
      <c r="ZB87" s="11"/>
      <c r="ZC87" s="11"/>
      <c r="ZD87" s="11"/>
      <c r="ZE87" s="11"/>
      <c r="ZF87" s="11"/>
      <c r="ZG87" s="11"/>
      <c r="ZH87" s="11"/>
      <c r="ZI87" s="11"/>
      <c r="ZJ87" s="11"/>
      <c r="ZK87" s="11"/>
      <c r="ZL87" s="11"/>
      <c r="ZM87" s="11"/>
      <c r="ZN87" s="11"/>
      <c r="ZO87" s="11"/>
      <c r="ZP87" s="11"/>
      <c r="ZQ87" s="11"/>
      <c r="ZR87" s="11"/>
      <c r="ZS87" s="11"/>
      <c r="ZT87" s="11"/>
      <c r="ZU87" s="11"/>
      <c r="ZV87" s="11"/>
      <c r="ZW87" s="11"/>
      <c r="ZX87" s="11"/>
      <c r="ZY87" s="11"/>
      <c r="ZZ87" s="11"/>
      <c r="AAA87" s="11"/>
      <c r="AAB87" s="11"/>
      <c r="AAC87" s="11"/>
      <c r="AAD87" s="11"/>
      <c r="AAE87" s="11"/>
      <c r="AAF87" s="11"/>
      <c r="AAG87" s="11"/>
      <c r="AAH87" s="11"/>
      <c r="AAI87" s="11"/>
      <c r="AAJ87" s="11"/>
      <c r="AAK87" s="11"/>
      <c r="AAL87" s="11"/>
      <c r="AAM87" s="11"/>
      <c r="AAN87" s="11"/>
      <c r="AAO87" s="11"/>
      <c r="AAP87" s="11"/>
      <c r="AAQ87" s="11"/>
      <c r="AAR87" s="11"/>
      <c r="AAS87" s="11"/>
      <c r="AAT87" s="11"/>
      <c r="AAU87" s="11"/>
      <c r="AAV87" s="11"/>
      <c r="AAW87" s="11"/>
      <c r="AAX87" s="11"/>
      <c r="AAY87" s="11"/>
      <c r="AAZ87" s="11"/>
      <c r="ABA87" s="11"/>
      <c r="ABB87" s="11"/>
      <c r="ABC87" s="11"/>
      <c r="ABD87" s="11"/>
      <c r="ABE87" s="11"/>
      <c r="ABF87" s="11"/>
      <c r="ABG87" s="11"/>
      <c r="ABH87" s="11"/>
      <c r="ABI87" s="11"/>
      <c r="ABJ87" s="11"/>
      <c r="ABK87" s="11"/>
      <c r="ABL87" s="11"/>
      <c r="ABM87" s="11"/>
      <c r="ABN87" s="11"/>
      <c r="ABO87" s="11"/>
      <c r="ABP87" s="11"/>
      <c r="ABQ87" s="11"/>
      <c r="ABR87" s="11"/>
      <c r="ABS87" s="11"/>
      <c r="ABT87" s="11"/>
      <c r="ABU87" s="11"/>
      <c r="ABV87" s="11"/>
      <c r="ABW87" s="11"/>
      <c r="ABX87" s="11"/>
      <c r="ABY87" s="11"/>
      <c r="ABZ87" s="11"/>
      <c r="ACA87" s="11"/>
      <c r="ACB87" s="11"/>
      <c r="ACC87" s="11"/>
      <c r="ACD87" s="11"/>
      <c r="ACE87" s="11"/>
      <c r="ACF87" s="11"/>
      <c r="ACG87" s="11"/>
      <c r="ACH87" s="11"/>
      <c r="ACI87" s="11"/>
      <c r="ACJ87" s="11"/>
      <c r="ACK87" s="11"/>
      <c r="ACL87" s="11"/>
      <c r="ACM87" s="11"/>
      <c r="ACN87" s="11"/>
      <c r="ACO87" s="11"/>
      <c r="ACP87" s="11"/>
      <c r="ACQ87" s="11"/>
      <c r="ACR87" s="11"/>
      <c r="ACS87" s="11"/>
      <c r="ACT87" s="11"/>
      <c r="ACU87" s="11"/>
      <c r="ACV87" s="11"/>
      <c r="ACW87" s="11"/>
      <c r="ACX87" s="11"/>
      <c r="ACY87" s="11"/>
      <c r="ACZ87" s="11"/>
      <c r="ADA87" s="11"/>
      <c r="ADB87" s="11"/>
      <c r="ADC87" s="11"/>
      <c r="ADD87" s="11"/>
      <c r="ADE87" s="11"/>
      <c r="ADF87" s="11"/>
      <c r="ADG87" s="11"/>
      <c r="ADH87" s="11"/>
      <c r="ADI87" s="11"/>
      <c r="ADJ87" s="11"/>
      <c r="ADK87" s="11"/>
      <c r="ADL87" s="11"/>
      <c r="ADM87" s="11"/>
      <c r="ADN87" s="11"/>
      <c r="ADO87" s="11"/>
      <c r="ADP87" s="11"/>
      <c r="ADQ87" s="11"/>
      <c r="ADR87" s="11"/>
      <c r="ADS87" s="11"/>
      <c r="ADT87" s="11"/>
      <c r="ADU87" s="11"/>
      <c r="ADV87" s="11"/>
      <c r="ADW87" s="11"/>
      <c r="ADX87" s="11"/>
      <c r="ADY87" s="11"/>
      <c r="ADZ87" s="11"/>
      <c r="AEA87" s="11"/>
      <c r="AEB87" s="11"/>
      <c r="AEC87" s="11"/>
      <c r="AED87" s="11"/>
      <c r="AEE87" s="11"/>
      <c r="AEF87" s="11"/>
      <c r="AEG87" s="11"/>
      <c r="AEH87" s="11"/>
      <c r="AEI87" s="11"/>
      <c r="AEJ87" s="11"/>
      <c r="AEK87" s="11"/>
      <c r="AEL87" s="11"/>
      <c r="AEM87" s="11"/>
      <c r="AEN87" s="11"/>
      <c r="AEO87" s="11"/>
      <c r="AEP87" s="11"/>
      <c r="AEQ87" s="11"/>
      <c r="AER87" s="11"/>
      <c r="AES87" s="11"/>
      <c r="AET87" s="11"/>
      <c r="AEU87" s="11"/>
      <c r="AEV87" s="11"/>
      <c r="AEW87" s="11"/>
      <c r="AEX87" s="11"/>
      <c r="AEY87" s="11"/>
      <c r="AEZ87" s="11"/>
      <c r="AFA87" s="11"/>
      <c r="AFB87" s="11"/>
      <c r="AFC87" s="11"/>
      <c r="AFD87" s="11"/>
      <c r="AFE87" s="11"/>
      <c r="AFF87" s="11"/>
      <c r="AFG87" s="11"/>
      <c r="AFH87" s="11"/>
      <c r="AFI87" s="11"/>
    </row>
    <row r="88" spans="2:841">
      <c r="B88" s="11"/>
      <c r="C88" s="657"/>
      <c r="D88" s="315" t="s">
        <v>925</v>
      </c>
      <c r="E88" s="552">
        <f t="shared" ref="E88:S88" si="7">SUM(E80:E87)</f>
        <v>0</v>
      </c>
      <c r="F88" s="314" t="e">
        <f t="shared" si="7"/>
        <v>#N/A</v>
      </c>
      <c r="G88" s="317" t="e">
        <f t="shared" si="7"/>
        <v>#N/A</v>
      </c>
      <c r="H88" s="552">
        <f t="shared" si="7"/>
        <v>0</v>
      </c>
      <c r="I88" s="314" t="e">
        <f t="shared" si="7"/>
        <v>#N/A</v>
      </c>
      <c r="J88" s="317" t="e">
        <f t="shared" si="7"/>
        <v>#N/A</v>
      </c>
      <c r="K88" s="552">
        <f t="shared" si="7"/>
        <v>0</v>
      </c>
      <c r="L88" s="314" t="e">
        <f t="shared" si="7"/>
        <v>#N/A</v>
      </c>
      <c r="M88" s="317" t="e">
        <f t="shared" si="7"/>
        <v>#N/A</v>
      </c>
      <c r="N88" s="552">
        <f t="shared" si="7"/>
        <v>0</v>
      </c>
      <c r="O88" s="314" t="e">
        <f t="shared" si="7"/>
        <v>#N/A</v>
      </c>
      <c r="P88" s="317" t="e">
        <f t="shared" si="7"/>
        <v>#N/A</v>
      </c>
      <c r="Q88" s="552">
        <f t="shared" si="7"/>
        <v>0</v>
      </c>
      <c r="R88" s="314" t="e">
        <f t="shared" si="7"/>
        <v>#N/A</v>
      </c>
      <c r="S88" s="317" t="e">
        <f t="shared" si="7"/>
        <v>#N/A</v>
      </c>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1"/>
      <c r="JA88" s="11"/>
      <c r="JB88" s="11"/>
      <c r="JC88" s="11"/>
      <c r="JD88" s="11"/>
      <c r="JE88" s="11"/>
      <c r="JF88" s="11"/>
      <c r="JG88" s="11"/>
      <c r="JH88" s="11"/>
      <c r="JI88" s="11"/>
      <c r="JJ88" s="11"/>
      <c r="JK88" s="11"/>
      <c r="JL88" s="11"/>
      <c r="JM88" s="11"/>
      <c r="JN88" s="11"/>
      <c r="JO88" s="11"/>
      <c r="JP88" s="11"/>
      <c r="JQ88" s="11"/>
      <c r="JR88" s="11"/>
      <c r="JS88" s="11"/>
      <c r="JT88" s="11"/>
      <c r="JU88" s="11"/>
      <c r="JV88" s="11"/>
      <c r="JW88" s="11"/>
      <c r="JX88" s="11"/>
      <c r="JY88" s="11"/>
      <c r="JZ88" s="11"/>
      <c r="KA88" s="11"/>
      <c r="KB88" s="11"/>
      <c r="KC88" s="11"/>
      <c r="KD88" s="11"/>
      <c r="KE88" s="11"/>
      <c r="KF88" s="11"/>
      <c r="KG88" s="11"/>
      <c r="KH88" s="11"/>
      <c r="KI88" s="11"/>
      <c r="KJ88" s="11"/>
      <c r="KK88" s="11"/>
      <c r="KL88" s="11"/>
      <c r="KM88" s="11"/>
      <c r="KN88" s="11"/>
      <c r="KO88" s="11"/>
      <c r="KP88" s="11"/>
      <c r="KQ88" s="11"/>
      <c r="KR88" s="11"/>
      <c r="KS88" s="11"/>
      <c r="KT88" s="11"/>
      <c r="KU88" s="11"/>
      <c r="KV88" s="11"/>
      <c r="KW88" s="11"/>
      <c r="KX88" s="11"/>
      <c r="KY88" s="11"/>
      <c r="KZ88" s="11"/>
      <c r="LA88" s="11"/>
      <c r="LB88" s="11"/>
      <c r="LC88" s="11"/>
      <c r="LD88" s="11"/>
      <c r="LE88" s="11"/>
      <c r="LF88" s="11"/>
      <c r="LG88" s="11"/>
      <c r="LH88" s="11"/>
      <c r="LI88" s="11"/>
      <c r="LJ88" s="11"/>
      <c r="LK88" s="11"/>
      <c r="LL88" s="11"/>
      <c r="LM88" s="11"/>
      <c r="LN88" s="11"/>
      <c r="LO88" s="11"/>
      <c r="LP88" s="11"/>
      <c r="LQ88" s="11"/>
      <c r="LR88" s="11"/>
      <c r="LS88" s="11"/>
      <c r="LT88" s="11"/>
      <c r="LU88" s="11"/>
      <c r="LV88" s="11"/>
      <c r="LW88" s="11"/>
      <c r="LX88" s="11"/>
      <c r="LY88" s="11"/>
      <c r="LZ88" s="11"/>
      <c r="MA88" s="11"/>
      <c r="MB88" s="11"/>
      <c r="MC88" s="11"/>
      <c r="MD88" s="11"/>
      <c r="ME88" s="11"/>
      <c r="MF88" s="11"/>
      <c r="MG88" s="11"/>
      <c r="MH88" s="11"/>
      <c r="MI88" s="11"/>
      <c r="MJ88" s="11"/>
      <c r="MK88" s="11"/>
      <c r="ML88" s="11"/>
      <c r="MM88" s="11"/>
      <c r="MN88" s="11"/>
      <c r="MO88" s="11"/>
      <c r="MP88" s="11"/>
      <c r="MQ88" s="11"/>
      <c r="MR88" s="11"/>
      <c r="MS88" s="11"/>
      <c r="MT88" s="11"/>
      <c r="MU88" s="11"/>
      <c r="MV88" s="11"/>
      <c r="MW88" s="11"/>
      <c r="MX88" s="11"/>
      <c r="MY88" s="11"/>
      <c r="MZ88" s="11"/>
      <c r="NA88" s="11"/>
      <c r="NB88" s="11"/>
      <c r="NC88" s="11"/>
      <c r="ND88" s="11"/>
      <c r="NE88" s="11"/>
      <c r="NF88" s="11"/>
      <c r="NG88" s="11"/>
      <c r="NH88" s="11"/>
      <c r="NI88" s="11"/>
      <c r="NJ88" s="11"/>
      <c r="NK88" s="11"/>
      <c r="NL88" s="11"/>
      <c r="NM88" s="11"/>
      <c r="NN88" s="11"/>
      <c r="NO88" s="11"/>
      <c r="NP88" s="11"/>
      <c r="NQ88" s="11"/>
      <c r="NR88" s="11"/>
      <c r="NS88" s="11"/>
      <c r="NT88" s="11"/>
      <c r="NU88" s="11"/>
      <c r="NV88" s="11"/>
      <c r="NW88" s="11"/>
      <c r="NX88" s="11"/>
      <c r="NY88" s="11"/>
      <c r="NZ88" s="11"/>
      <c r="OA88" s="11"/>
      <c r="OB88" s="11"/>
      <c r="OC88" s="11"/>
      <c r="OD88" s="11"/>
      <c r="OE88" s="11"/>
      <c r="OF88" s="11"/>
      <c r="OG88" s="11"/>
      <c r="OH88" s="11"/>
      <c r="OI88" s="11"/>
      <c r="OJ88" s="11"/>
      <c r="OK88" s="11"/>
      <c r="OL88" s="11"/>
      <c r="OM88" s="11"/>
      <c r="ON88" s="11"/>
      <c r="OO88" s="11"/>
      <c r="OP88" s="11"/>
      <c r="OQ88" s="11"/>
      <c r="OR88" s="11"/>
      <c r="OS88" s="11"/>
      <c r="OT88" s="11"/>
      <c r="OU88" s="11"/>
      <c r="OV88" s="11"/>
      <c r="OW88" s="11"/>
      <c r="OX88" s="11"/>
      <c r="OY88" s="11"/>
      <c r="OZ88" s="11"/>
      <c r="PA88" s="11"/>
      <c r="PB88" s="11"/>
      <c r="PC88" s="11"/>
      <c r="PD88" s="11"/>
      <c r="PE88" s="11"/>
      <c r="PF88" s="11"/>
      <c r="PG88" s="11"/>
      <c r="PH88" s="11"/>
      <c r="PI88" s="11"/>
      <c r="PJ88" s="11"/>
      <c r="PK88" s="11"/>
      <c r="PL88" s="11"/>
      <c r="PM88" s="11"/>
      <c r="PN88" s="11"/>
      <c r="PO88" s="11"/>
      <c r="PP88" s="11"/>
      <c r="PQ88" s="11"/>
      <c r="PR88" s="11"/>
      <c r="PS88" s="11"/>
      <c r="PT88" s="11"/>
      <c r="PU88" s="11"/>
      <c r="PV88" s="11"/>
      <c r="PW88" s="11"/>
      <c r="PX88" s="11"/>
      <c r="PY88" s="11"/>
      <c r="PZ88" s="11"/>
      <c r="QA88" s="11"/>
      <c r="QB88" s="11"/>
      <c r="QC88" s="11"/>
      <c r="QD88" s="11"/>
      <c r="QE88" s="11"/>
      <c r="QF88" s="11"/>
      <c r="QG88" s="11"/>
      <c r="QH88" s="11"/>
      <c r="QI88" s="11"/>
      <c r="QJ88" s="11"/>
      <c r="QK88" s="11"/>
      <c r="QL88" s="11"/>
      <c r="QM88" s="11"/>
      <c r="QN88" s="11"/>
      <c r="QO88" s="11"/>
      <c r="QP88" s="11"/>
      <c r="QQ88" s="11"/>
      <c r="QR88" s="11"/>
      <c r="QS88" s="11"/>
      <c r="QT88" s="11"/>
      <c r="QU88" s="11"/>
      <c r="QV88" s="11"/>
      <c r="QW88" s="11"/>
      <c r="QX88" s="11"/>
      <c r="QY88" s="11"/>
      <c r="QZ88" s="11"/>
      <c r="RA88" s="11"/>
      <c r="RB88" s="11"/>
      <c r="RC88" s="11"/>
      <c r="RD88" s="11"/>
      <c r="RE88" s="11"/>
      <c r="RF88" s="11"/>
      <c r="RG88" s="11"/>
      <c r="RH88" s="11"/>
      <c r="RI88" s="11"/>
      <c r="RJ88" s="11"/>
      <c r="RK88" s="11"/>
      <c r="RL88" s="11"/>
      <c r="RM88" s="11"/>
      <c r="RN88" s="11"/>
      <c r="RO88" s="11"/>
      <c r="RP88" s="11"/>
      <c r="RQ88" s="11"/>
      <c r="RR88" s="11"/>
      <c r="RS88" s="11"/>
      <c r="RT88" s="11"/>
      <c r="RU88" s="11"/>
      <c r="RV88" s="11"/>
      <c r="RW88" s="11"/>
      <c r="RX88" s="11"/>
      <c r="RY88" s="11"/>
      <c r="RZ88" s="11"/>
      <c r="SA88" s="11"/>
      <c r="SB88" s="11"/>
      <c r="SC88" s="11"/>
      <c r="SD88" s="11"/>
      <c r="SE88" s="11"/>
      <c r="SF88" s="11"/>
      <c r="SG88" s="11"/>
      <c r="SH88" s="11"/>
      <c r="SI88" s="11"/>
      <c r="SJ88" s="11"/>
      <c r="SK88" s="11"/>
      <c r="SL88" s="11"/>
      <c r="SM88" s="11"/>
      <c r="SN88" s="11"/>
      <c r="SO88" s="11"/>
      <c r="SP88" s="11"/>
      <c r="SQ88" s="11"/>
      <c r="SR88" s="11"/>
      <c r="SS88" s="11"/>
      <c r="ST88" s="11"/>
      <c r="SU88" s="11"/>
      <c r="SV88" s="11"/>
      <c r="SW88" s="11"/>
      <c r="SX88" s="11"/>
      <c r="SY88" s="11"/>
      <c r="SZ88" s="11"/>
      <c r="TA88" s="11"/>
      <c r="TB88" s="11"/>
      <c r="TC88" s="11"/>
      <c r="TD88" s="11"/>
      <c r="TE88" s="11"/>
      <c r="TF88" s="11"/>
      <c r="TG88" s="11"/>
      <c r="TH88" s="11"/>
      <c r="TI88" s="11"/>
      <c r="TJ88" s="11"/>
      <c r="TK88" s="11"/>
      <c r="TL88" s="11"/>
      <c r="TM88" s="11"/>
      <c r="TN88" s="11"/>
      <c r="TO88" s="11"/>
      <c r="TP88" s="11"/>
      <c r="TQ88" s="11"/>
      <c r="TR88" s="11"/>
      <c r="TS88" s="11"/>
      <c r="TT88" s="11"/>
      <c r="TU88" s="11"/>
      <c r="TV88" s="11"/>
      <c r="TW88" s="11"/>
      <c r="TX88" s="11"/>
      <c r="TY88" s="11"/>
      <c r="TZ88" s="11"/>
      <c r="UA88" s="11"/>
      <c r="UB88" s="11"/>
      <c r="UC88" s="11"/>
      <c r="UD88" s="11"/>
      <c r="UE88" s="11"/>
      <c r="UF88" s="11"/>
      <c r="UG88" s="11"/>
      <c r="UH88" s="11"/>
      <c r="UI88" s="11"/>
      <c r="UJ88" s="11"/>
      <c r="UK88" s="11"/>
      <c r="UL88" s="11"/>
      <c r="UM88" s="11"/>
      <c r="UN88" s="11"/>
      <c r="UO88" s="11"/>
      <c r="UP88" s="11"/>
      <c r="UQ88" s="11"/>
      <c r="UR88" s="11"/>
      <c r="US88" s="11"/>
      <c r="UT88" s="11"/>
      <c r="UU88" s="11"/>
      <c r="UV88" s="11"/>
      <c r="UW88" s="11"/>
      <c r="UX88" s="11"/>
      <c r="UY88" s="11"/>
      <c r="UZ88" s="11"/>
      <c r="VA88" s="11"/>
      <c r="VB88" s="11"/>
      <c r="VC88" s="11"/>
      <c r="VD88" s="11"/>
      <c r="VE88" s="11"/>
      <c r="VF88" s="11"/>
      <c r="VG88" s="11"/>
      <c r="VH88" s="11"/>
      <c r="VI88" s="11"/>
      <c r="VJ88" s="11"/>
      <c r="VK88" s="11"/>
      <c r="VL88" s="11"/>
      <c r="VM88" s="11"/>
      <c r="VN88" s="11"/>
      <c r="VO88" s="11"/>
      <c r="VP88" s="11"/>
      <c r="VQ88" s="11"/>
      <c r="VR88" s="11"/>
      <c r="VS88" s="11"/>
      <c r="VT88" s="11"/>
      <c r="VU88" s="11"/>
      <c r="VV88" s="11"/>
      <c r="VW88" s="11"/>
      <c r="VX88" s="11"/>
      <c r="VY88" s="11"/>
      <c r="VZ88" s="11"/>
      <c r="WA88" s="11"/>
      <c r="WB88" s="11"/>
      <c r="WC88" s="11"/>
      <c r="WD88" s="11"/>
      <c r="WE88" s="11"/>
      <c r="WF88" s="11"/>
      <c r="WG88" s="11"/>
      <c r="WH88" s="11"/>
      <c r="WI88" s="11"/>
      <c r="WJ88" s="11"/>
      <c r="WK88" s="11"/>
      <c r="WL88" s="11"/>
      <c r="WM88" s="11"/>
      <c r="WN88" s="11"/>
      <c r="WO88" s="11"/>
      <c r="WP88" s="11"/>
      <c r="WQ88" s="11"/>
      <c r="WR88" s="11"/>
      <c r="WS88" s="11"/>
      <c r="WT88" s="11"/>
      <c r="WU88" s="11"/>
      <c r="WV88" s="11"/>
      <c r="WW88" s="11"/>
      <c r="WX88" s="11"/>
      <c r="WY88" s="11"/>
      <c r="WZ88" s="11"/>
      <c r="XA88" s="11"/>
      <c r="XB88" s="11"/>
      <c r="XC88" s="11"/>
      <c r="XD88" s="11"/>
      <c r="XE88" s="11"/>
      <c r="XF88" s="11"/>
      <c r="XG88" s="11"/>
      <c r="XH88" s="11"/>
      <c r="XI88" s="11"/>
      <c r="XJ88" s="11"/>
      <c r="XK88" s="11"/>
      <c r="XL88" s="11"/>
      <c r="XM88" s="11"/>
      <c r="XN88" s="11"/>
      <c r="XO88" s="11"/>
      <c r="XP88" s="11"/>
      <c r="XQ88" s="11"/>
      <c r="XR88" s="11"/>
      <c r="XS88" s="11"/>
      <c r="XT88" s="11"/>
      <c r="XU88" s="11"/>
      <c r="XV88" s="11"/>
      <c r="XW88" s="11"/>
      <c r="XX88" s="11"/>
      <c r="XY88" s="11"/>
      <c r="XZ88" s="11"/>
      <c r="YA88" s="11"/>
      <c r="YB88" s="11"/>
      <c r="YC88" s="11"/>
      <c r="YD88" s="11"/>
      <c r="YE88" s="11"/>
      <c r="YF88" s="11"/>
      <c r="YG88" s="11"/>
      <c r="YH88" s="11"/>
      <c r="YI88" s="11"/>
      <c r="YJ88" s="11"/>
      <c r="YK88" s="11"/>
      <c r="YL88" s="11"/>
      <c r="YM88" s="11"/>
      <c r="YN88" s="11"/>
      <c r="YO88" s="11"/>
      <c r="YP88" s="11"/>
      <c r="YQ88" s="11"/>
      <c r="YR88" s="11"/>
      <c r="YS88" s="11"/>
      <c r="YT88" s="11"/>
      <c r="YU88" s="11"/>
      <c r="YV88" s="11"/>
      <c r="YW88" s="11"/>
      <c r="YX88" s="11"/>
      <c r="YY88" s="11"/>
      <c r="YZ88" s="11"/>
      <c r="ZA88" s="11"/>
      <c r="ZB88" s="11"/>
      <c r="ZC88" s="11"/>
      <c r="ZD88" s="11"/>
      <c r="ZE88" s="11"/>
      <c r="ZF88" s="11"/>
      <c r="ZG88" s="11"/>
      <c r="ZH88" s="11"/>
      <c r="ZI88" s="11"/>
      <c r="ZJ88" s="11"/>
      <c r="ZK88" s="11"/>
      <c r="ZL88" s="11"/>
      <c r="ZM88" s="11"/>
      <c r="ZN88" s="11"/>
      <c r="ZO88" s="11"/>
      <c r="ZP88" s="11"/>
      <c r="ZQ88" s="11"/>
      <c r="ZR88" s="11"/>
      <c r="ZS88" s="11"/>
      <c r="ZT88" s="11"/>
      <c r="ZU88" s="11"/>
      <c r="ZV88" s="11"/>
      <c r="ZW88" s="11"/>
      <c r="ZX88" s="11"/>
      <c r="ZY88" s="11"/>
      <c r="ZZ88" s="11"/>
      <c r="AAA88" s="11"/>
      <c r="AAB88" s="11"/>
      <c r="AAC88" s="11"/>
      <c r="AAD88" s="11"/>
      <c r="AAE88" s="11"/>
      <c r="AAF88" s="11"/>
      <c r="AAG88" s="11"/>
      <c r="AAH88" s="11"/>
      <c r="AAI88" s="11"/>
      <c r="AAJ88" s="11"/>
      <c r="AAK88" s="11"/>
      <c r="AAL88" s="11"/>
      <c r="AAM88" s="11"/>
      <c r="AAN88" s="11"/>
      <c r="AAO88" s="11"/>
      <c r="AAP88" s="11"/>
      <c r="AAQ88" s="11"/>
      <c r="AAR88" s="11"/>
      <c r="AAS88" s="11"/>
      <c r="AAT88" s="11"/>
      <c r="AAU88" s="11"/>
      <c r="AAV88" s="11"/>
      <c r="AAW88" s="11"/>
      <c r="AAX88" s="11"/>
      <c r="AAY88" s="11"/>
      <c r="AAZ88" s="11"/>
      <c r="ABA88" s="11"/>
      <c r="ABB88" s="11"/>
      <c r="ABC88" s="11"/>
      <c r="ABD88" s="11"/>
      <c r="ABE88" s="11"/>
      <c r="ABF88" s="11"/>
      <c r="ABG88" s="11"/>
      <c r="ABH88" s="11"/>
      <c r="ABI88" s="11"/>
      <c r="ABJ88" s="11"/>
      <c r="ABK88" s="11"/>
      <c r="ABL88" s="11"/>
      <c r="ABM88" s="11"/>
      <c r="ABN88" s="11"/>
      <c r="ABO88" s="11"/>
      <c r="ABP88" s="11"/>
      <c r="ABQ88" s="11"/>
      <c r="ABR88" s="11"/>
      <c r="ABS88" s="11"/>
      <c r="ABT88" s="11"/>
      <c r="ABU88" s="11"/>
      <c r="ABV88" s="11"/>
      <c r="ABW88" s="11"/>
      <c r="ABX88" s="11"/>
      <c r="ABY88" s="11"/>
      <c r="ABZ88" s="11"/>
      <c r="ACA88" s="11"/>
      <c r="ACB88" s="11"/>
      <c r="ACC88" s="11"/>
      <c r="ACD88" s="11"/>
      <c r="ACE88" s="11"/>
      <c r="ACF88" s="11"/>
      <c r="ACG88" s="11"/>
      <c r="ACH88" s="11"/>
      <c r="ACI88" s="11"/>
      <c r="ACJ88" s="11"/>
      <c r="ACK88" s="11"/>
      <c r="ACL88" s="11"/>
      <c r="ACM88" s="11"/>
      <c r="ACN88" s="11"/>
      <c r="ACO88" s="11"/>
      <c r="ACP88" s="11"/>
      <c r="ACQ88" s="11"/>
      <c r="ACR88" s="11"/>
      <c r="ACS88" s="11"/>
      <c r="ACT88" s="11"/>
      <c r="ACU88" s="11"/>
      <c r="ACV88" s="11"/>
      <c r="ACW88" s="11"/>
      <c r="ACX88" s="11"/>
      <c r="ACY88" s="11"/>
      <c r="ACZ88" s="11"/>
      <c r="ADA88" s="11"/>
      <c r="ADB88" s="11"/>
      <c r="ADC88" s="11"/>
      <c r="ADD88" s="11"/>
      <c r="ADE88" s="11"/>
      <c r="ADF88" s="11"/>
      <c r="ADG88" s="11"/>
      <c r="ADH88" s="11"/>
      <c r="ADI88" s="11"/>
      <c r="ADJ88" s="11"/>
      <c r="ADK88" s="11"/>
      <c r="ADL88" s="11"/>
      <c r="ADM88" s="11"/>
      <c r="ADN88" s="11"/>
      <c r="ADO88" s="11"/>
      <c r="ADP88" s="11"/>
      <c r="ADQ88" s="11"/>
      <c r="ADR88" s="11"/>
      <c r="ADS88" s="11"/>
      <c r="ADT88" s="11"/>
      <c r="ADU88" s="11"/>
      <c r="ADV88" s="11"/>
      <c r="ADW88" s="11"/>
      <c r="ADX88" s="11"/>
      <c r="ADY88" s="11"/>
      <c r="ADZ88" s="11"/>
      <c r="AEA88" s="11"/>
      <c r="AEB88" s="11"/>
      <c r="AEC88" s="11"/>
      <c r="AED88" s="11"/>
      <c r="AEE88" s="11"/>
      <c r="AEF88" s="11"/>
      <c r="AEG88" s="11"/>
      <c r="AEH88" s="11"/>
      <c r="AEI88" s="11"/>
      <c r="AEJ88" s="11"/>
      <c r="AEK88" s="11"/>
      <c r="AEL88" s="11"/>
      <c r="AEM88" s="11"/>
      <c r="AEN88" s="11"/>
      <c r="AEO88" s="11"/>
      <c r="AEP88" s="11"/>
      <c r="AEQ88" s="11"/>
      <c r="AER88" s="11"/>
      <c r="AES88" s="11"/>
      <c r="AET88" s="11"/>
      <c r="AEU88" s="11"/>
      <c r="AEV88" s="11"/>
      <c r="AEW88" s="11"/>
      <c r="AEX88" s="11"/>
      <c r="AEY88" s="11"/>
      <c r="AEZ88" s="11"/>
      <c r="AFA88" s="11"/>
      <c r="AFB88" s="11"/>
      <c r="AFC88" s="11"/>
      <c r="AFD88" s="11"/>
      <c r="AFE88" s="11"/>
      <c r="AFF88" s="11"/>
      <c r="AFG88" s="11"/>
      <c r="AFH88" s="11"/>
      <c r="AFI88" s="11"/>
    </row>
    <row r="89" spans="2:841">
      <c r="B89" s="11"/>
      <c r="C89" s="657" t="str">
        <f>M_Datos!L44</f>
        <v>Educativo</v>
      </c>
      <c r="D89" s="289" t="s">
        <v>622</v>
      </c>
      <c r="E89" s="488" t="s">
        <v>623</v>
      </c>
      <c r="F89" s="488" t="s">
        <v>948</v>
      </c>
      <c r="G89" s="488" t="s">
        <v>624</v>
      </c>
      <c r="H89" s="488" t="s">
        <v>623</v>
      </c>
      <c r="I89" s="488" t="s">
        <v>948</v>
      </c>
      <c r="J89" s="488" t="s">
        <v>624</v>
      </c>
      <c r="K89" s="488" t="s">
        <v>623</v>
      </c>
      <c r="L89" s="488" t="s">
        <v>948</v>
      </c>
      <c r="M89" s="488" t="s">
        <v>624</v>
      </c>
      <c r="N89" s="488" t="s">
        <v>623</v>
      </c>
      <c r="O89" s="488" t="s">
        <v>948</v>
      </c>
      <c r="P89" s="488" t="s">
        <v>624</v>
      </c>
      <c r="Q89" s="488" t="s">
        <v>623</v>
      </c>
      <c r="R89" s="488" t="s">
        <v>948</v>
      </c>
      <c r="S89" s="488" t="s">
        <v>624</v>
      </c>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c r="JH89" s="11"/>
      <c r="JI89" s="11"/>
      <c r="JJ89" s="11"/>
      <c r="JK89" s="11"/>
      <c r="JL89" s="11"/>
      <c r="JM89" s="11"/>
      <c r="JN89" s="11"/>
      <c r="JO89" s="11"/>
      <c r="JP89" s="11"/>
      <c r="JQ89" s="11"/>
      <c r="JR89" s="11"/>
      <c r="JS89" s="11"/>
      <c r="JT89" s="11"/>
      <c r="JU89" s="11"/>
      <c r="JV89" s="11"/>
      <c r="JW89" s="11"/>
      <c r="JX89" s="11"/>
      <c r="JY89" s="11"/>
      <c r="JZ89" s="11"/>
      <c r="KA89" s="11"/>
      <c r="KB89" s="11"/>
      <c r="KC89" s="11"/>
      <c r="KD89" s="11"/>
      <c r="KE89" s="11"/>
      <c r="KF89" s="11"/>
      <c r="KG89" s="11"/>
      <c r="KH89" s="11"/>
      <c r="KI89" s="11"/>
      <c r="KJ89" s="11"/>
      <c r="KK89" s="11"/>
      <c r="KL89" s="11"/>
      <c r="KM89" s="11"/>
      <c r="KN89" s="11"/>
      <c r="KO89" s="11"/>
      <c r="KP89" s="11"/>
      <c r="KQ89" s="11"/>
      <c r="KR89" s="11"/>
      <c r="KS89" s="11"/>
      <c r="KT89" s="11"/>
      <c r="KU89" s="11"/>
      <c r="KV89" s="11"/>
      <c r="KW89" s="11"/>
      <c r="KX89" s="11"/>
      <c r="KY89" s="11"/>
      <c r="KZ89" s="11"/>
      <c r="LA89" s="11"/>
      <c r="LB89" s="11"/>
      <c r="LC89" s="11"/>
      <c r="LD89" s="11"/>
      <c r="LE89" s="11"/>
      <c r="LF89" s="11"/>
      <c r="LG89" s="11"/>
      <c r="LH89" s="11"/>
      <c r="LI89" s="11"/>
      <c r="LJ89" s="11"/>
      <c r="LK89" s="11"/>
      <c r="LL89" s="11"/>
      <c r="LM89" s="11"/>
      <c r="LN89" s="11"/>
      <c r="LO89" s="11"/>
      <c r="LP89" s="11"/>
      <c r="LQ89" s="11"/>
      <c r="LR89" s="11"/>
      <c r="LS89" s="11"/>
      <c r="LT89" s="11"/>
      <c r="LU89" s="11"/>
      <c r="LV89" s="11"/>
      <c r="LW89" s="11"/>
      <c r="LX89" s="11"/>
      <c r="LY89" s="11"/>
      <c r="LZ89" s="11"/>
      <c r="MA89" s="11"/>
      <c r="MB89" s="11"/>
      <c r="MC89" s="11"/>
      <c r="MD89" s="11"/>
      <c r="ME89" s="11"/>
      <c r="MF89" s="11"/>
      <c r="MG89" s="11"/>
      <c r="MH89" s="11"/>
      <c r="MI89" s="11"/>
      <c r="MJ89" s="11"/>
      <c r="MK89" s="11"/>
      <c r="ML89" s="11"/>
      <c r="MM89" s="11"/>
      <c r="MN89" s="11"/>
      <c r="MO89" s="11"/>
      <c r="MP89" s="11"/>
      <c r="MQ89" s="11"/>
      <c r="MR89" s="11"/>
      <c r="MS89" s="11"/>
      <c r="MT89" s="11"/>
      <c r="MU89" s="11"/>
      <c r="MV89" s="11"/>
      <c r="MW89" s="11"/>
      <c r="MX89" s="11"/>
      <c r="MY89" s="11"/>
      <c r="MZ89" s="11"/>
      <c r="NA89" s="11"/>
      <c r="NB89" s="11"/>
      <c r="NC89" s="11"/>
      <c r="ND89" s="11"/>
      <c r="NE89" s="11"/>
      <c r="NF89" s="11"/>
      <c r="NG89" s="11"/>
      <c r="NH89" s="11"/>
      <c r="NI89" s="11"/>
      <c r="NJ89" s="11"/>
      <c r="NK89" s="11"/>
      <c r="NL89" s="11"/>
      <c r="NM89" s="11"/>
      <c r="NN89" s="11"/>
      <c r="NO89" s="11"/>
      <c r="NP89" s="11"/>
      <c r="NQ89" s="11"/>
      <c r="NR89" s="11"/>
      <c r="NS89" s="11"/>
      <c r="NT89" s="11"/>
      <c r="NU89" s="11"/>
      <c r="NV89" s="11"/>
      <c r="NW89" s="11"/>
      <c r="NX89" s="11"/>
      <c r="NY89" s="11"/>
      <c r="NZ89" s="11"/>
      <c r="OA89" s="11"/>
      <c r="OB89" s="11"/>
      <c r="OC89" s="11"/>
      <c r="OD89" s="11"/>
      <c r="OE89" s="11"/>
      <c r="OF89" s="11"/>
      <c r="OG89" s="11"/>
      <c r="OH89" s="11"/>
      <c r="OI89" s="11"/>
      <c r="OJ89" s="11"/>
      <c r="OK89" s="11"/>
      <c r="OL89" s="11"/>
      <c r="OM89" s="11"/>
      <c r="ON89" s="11"/>
      <c r="OO89" s="11"/>
      <c r="OP89" s="11"/>
      <c r="OQ89" s="11"/>
      <c r="OR89" s="11"/>
      <c r="OS89" s="11"/>
      <c r="OT89" s="11"/>
      <c r="OU89" s="11"/>
      <c r="OV89" s="11"/>
      <c r="OW89" s="11"/>
      <c r="OX89" s="11"/>
      <c r="OY89" s="11"/>
      <c r="OZ89" s="11"/>
      <c r="PA89" s="11"/>
      <c r="PB89" s="11"/>
      <c r="PC89" s="11"/>
      <c r="PD89" s="11"/>
      <c r="PE89" s="11"/>
      <c r="PF89" s="11"/>
      <c r="PG89" s="11"/>
      <c r="PH89" s="11"/>
      <c r="PI89" s="11"/>
      <c r="PJ89" s="11"/>
      <c r="PK89" s="11"/>
      <c r="PL89" s="11"/>
      <c r="PM89" s="11"/>
      <c r="PN89" s="11"/>
      <c r="PO89" s="11"/>
      <c r="PP89" s="11"/>
      <c r="PQ89" s="11"/>
      <c r="PR89" s="11"/>
      <c r="PS89" s="11"/>
      <c r="PT89" s="11"/>
      <c r="PU89" s="11"/>
      <c r="PV89" s="11"/>
      <c r="PW89" s="11"/>
      <c r="PX89" s="11"/>
      <c r="PY89" s="11"/>
      <c r="PZ89" s="11"/>
      <c r="QA89" s="11"/>
      <c r="QB89" s="11"/>
      <c r="QC89" s="11"/>
      <c r="QD89" s="11"/>
      <c r="QE89" s="11"/>
      <c r="QF89" s="11"/>
      <c r="QG89" s="11"/>
      <c r="QH89" s="11"/>
      <c r="QI89" s="11"/>
      <c r="QJ89" s="11"/>
      <c r="QK89" s="11"/>
      <c r="QL89" s="11"/>
      <c r="QM89" s="11"/>
      <c r="QN89" s="11"/>
      <c r="QO89" s="11"/>
      <c r="QP89" s="11"/>
      <c r="QQ89" s="11"/>
      <c r="QR89" s="11"/>
      <c r="QS89" s="11"/>
      <c r="QT89" s="11"/>
      <c r="QU89" s="11"/>
      <c r="QV89" s="11"/>
      <c r="QW89" s="11"/>
      <c r="QX89" s="11"/>
      <c r="QY89" s="11"/>
      <c r="QZ89" s="11"/>
      <c r="RA89" s="11"/>
      <c r="RB89" s="11"/>
      <c r="RC89" s="11"/>
      <c r="RD89" s="11"/>
      <c r="RE89" s="11"/>
      <c r="RF89" s="11"/>
      <c r="RG89" s="11"/>
      <c r="RH89" s="11"/>
      <c r="RI89" s="11"/>
      <c r="RJ89" s="11"/>
      <c r="RK89" s="11"/>
      <c r="RL89" s="11"/>
      <c r="RM89" s="11"/>
      <c r="RN89" s="11"/>
      <c r="RO89" s="11"/>
      <c r="RP89" s="11"/>
      <c r="RQ89" s="11"/>
      <c r="RR89" s="11"/>
      <c r="RS89" s="11"/>
      <c r="RT89" s="11"/>
      <c r="RU89" s="11"/>
      <c r="RV89" s="11"/>
      <c r="RW89" s="11"/>
      <c r="RX89" s="11"/>
      <c r="RY89" s="11"/>
      <c r="RZ89" s="11"/>
      <c r="SA89" s="11"/>
      <c r="SB89" s="11"/>
      <c r="SC89" s="11"/>
      <c r="SD89" s="11"/>
      <c r="SE89" s="11"/>
      <c r="SF89" s="11"/>
      <c r="SG89" s="11"/>
      <c r="SH89" s="11"/>
      <c r="SI89" s="11"/>
      <c r="SJ89" s="11"/>
      <c r="SK89" s="11"/>
      <c r="SL89" s="11"/>
      <c r="SM89" s="11"/>
      <c r="SN89" s="11"/>
      <c r="SO89" s="11"/>
      <c r="SP89" s="11"/>
      <c r="SQ89" s="11"/>
      <c r="SR89" s="11"/>
      <c r="SS89" s="11"/>
      <c r="ST89" s="11"/>
      <c r="SU89" s="11"/>
      <c r="SV89" s="11"/>
      <c r="SW89" s="11"/>
      <c r="SX89" s="11"/>
      <c r="SY89" s="11"/>
      <c r="SZ89" s="11"/>
      <c r="TA89" s="11"/>
      <c r="TB89" s="11"/>
      <c r="TC89" s="11"/>
      <c r="TD89" s="11"/>
      <c r="TE89" s="11"/>
      <c r="TF89" s="11"/>
      <c r="TG89" s="11"/>
      <c r="TH89" s="11"/>
      <c r="TI89" s="11"/>
      <c r="TJ89" s="11"/>
      <c r="TK89" s="11"/>
      <c r="TL89" s="11"/>
      <c r="TM89" s="11"/>
      <c r="TN89" s="11"/>
      <c r="TO89" s="11"/>
      <c r="TP89" s="11"/>
      <c r="TQ89" s="11"/>
      <c r="TR89" s="11"/>
      <c r="TS89" s="11"/>
      <c r="TT89" s="11"/>
      <c r="TU89" s="11"/>
      <c r="TV89" s="11"/>
      <c r="TW89" s="11"/>
      <c r="TX89" s="11"/>
      <c r="TY89" s="11"/>
      <c r="TZ89" s="11"/>
      <c r="UA89" s="11"/>
      <c r="UB89" s="11"/>
      <c r="UC89" s="11"/>
      <c r="UD89" s="11"/>
      <c r="UE89" s="11"/>
      <c r="UF89" s="11"/>
      <c r="UG89" s="11"/>
      <c r="UH89" s="11"/>
      <c r="UI89" s="11"/>
      <c r="UJ89" s="11"/>
      <c r="UK89" s="11"/>
      <c r="UL89" s="11"/>
      <c r="UM89" s="11"/>
      <c r="UN89" s="11"/>
      <c r="UO89" s="11"/>
      <c r="UP89" s="11"/>
      <c r="UQ89" s="11"/>
      <c r="UR89" s="11"/>
      <c r="US89" s="11"/>
      <c r="UT89" s="11"/>
      <c r="UU89" s="11"/>
      <c r="UV89" s="11"/>
      <c r="UW89" s="11"/>
      <c r="UX89" s="11"/>
      <c r="UY89" s="11"/>
      <c r="UZ89" s="11"/>
      <c r="VA89" s="11"/>
      <c r="VB89" s="11"/>
      <c r="VC89" s="11"/>
      <c r="VD89" s="11"/>
      <c r="VE89" s="11"/>
      <c r="VF89" s="11"/>
      <c r="VG89" s="11"/>
      <c r="VH89" s="11"/>
      <c r="VI89" s="11"/>
      <c r="VJ89" s="11"/>
      <c r="VK89" s="11"/>
      <c r="VL89" s="11"/>
      <c r="VM89" s="11"/>
      <c r="VN89" s="11"/>
      <c r="VO89" s="11"/>
      <c r="VP89" s="11"/>
      <c r="VQ89" s="11"/>
      <c r="VR89" s="11"/>
      <c r="VS89" s="11"/>
      <c r="VT89" s="11"/>
      <c r="VU89" s="11"/>
      <c r="VV89" s="11"/>
      <c r="VW89" s="11"/>
      <c r="VX89" s="11"/>
      <c r="VY89" s="11"/>
      <c r="VZ89" s="11"/>
      <c r="WA89" s="11"/>
      <c r="WB89" s="11"/>
      <c r="WC89" s="11"/>
      <c r="WD89" s="11"/>
      <c r="WE89" s="11"/>
      <c r="WF89" s="11"/>
      <c r="WG89" s="11"/>
      <c r="WH89" s="11"/>
      <c r="WI89" s="11"/>
      <c r="WJ89" s="11"/>
      <c r="WK89" s="11"/>
      <c r="WL89" s="11"/>
      <c r="WM89" s="11"/>
      <c r="WN89" s="11"/>
      <c r="WO89" s="11"/>
      <c r="WP89" s="11"/>
      <c r="WQ89" s="11"/>
      <c r="WR89" s="11"/>
      <c r="WS89" s="11"/>
      <c r="WT89" s="11"/>
      <c r="WU89" s="11"/>
      <c r="WV89" s="11"/>
      <c r="WW89" s="11"/>
      <c r="WX89" s="11"/>
      <c r="WY89" s="11"/>
      <c r="WZ89" s="11"/>
      <c r="XA89" s="11"/>
      <c r="XB89" s="11"/>
      <c r="XC89" s="11"/>
      <c r="XD89" s="11"/>
      <c r="XE89" s="11"/>
      <c r="XF89" s="11"/>
      <c r="XG89" s="11"/>
      <c r="XH89" s="11"/>
      <c r="XI89" s="11"/>
      <c r="XJ89" s="11"/>
      <c r="XK89" s="11"/>
      <c r="XL89" s="11"/>
      <c r="XM89" s="11"/>
      <c r="XN89" s="11"/>
      <c r="XO89" s="11"/>
      <c r="XP89" s="11"/>
      <c r="XQ89" s="11"/>
      <c r="XR89" s="11"/>
      <c r="XS89" s="11"/>
      <c r="XT89" s="11"/>
      <c r="XU89" s="11"/>
      <c r="XV89" s="11"/>
      <c r="XW89" s="11"/>
      <c r="XX89" s="11"/>
      <c r="XY89" s="11"/>
      <c r="XZ89" s="11"/>
      <c r="YA89" s="11"/>
      <c r="YB89" s="11"/>
      <c r="YC89" s="11"/>
      <c r="YD89" s="11"/>
      <c r="YE89" s="11"/>
      <c r="YF89" s="11"/>
      <c r="YG89" s="11"/>
      <c r="YH89" s="11"/>
      <c r="YI89" s="11"/>
      <c r="YJ89" s="11"/>
      <c r="YK89" s="11"/>
      <c r="YL89" s="11"/>
      <c r="YM89" s="11"/>
      <c r="YN89" s="11"/>
      <c r="YO89" s="11"/>
      <c r="YP89" s="11"/>
      <c r="YQ89" s="11"/>
      <c r="YR89" s="11"/>
      <c r="YS89" s="11"/>
      <c r="YT89" s="11"/>
      <c r="YU89" s="11"/>
      <c r="YV89" s="11"/>
      <c r="YW89" s="11"/>
      <c r="YX89" s="11"/>
      <c r="YY89" s="11"/>
      <c r="YZ89" s="11"/>
      <c r="ZA89" s="11"/>
      <c r="ZB89" s="11"/>
      <c r="ZC89" s="11"/>
      <c r="ZD89" s="11"/>
      <c r="ZE89" s="11"/>
      <c r="ZF89" s="11"/>
      <c r="ZG89" s="11"/>
      <c r="ZH89" s="11"/>
      <c r="ZI89" s="11"/>
      <c r="ZJ89" s="11"/>
      <c r="ZK89" s="11"/>
      <c r="ZL89" s="11"/>
      <c r="ZM89" s="11"/>
      <c r="ZN89" s="11"/>
      <c r="ZO89" s="11"/>
      <c r="ZP89" s="11"/>
      <c r="ZQ89" s="11"/>
      <c r="ZR89" s="11"/>
      <c r="ZS89" s="11"/>
      <c r="ZT89" s="11"/>
      <c r="ZU89" s="11"/>
      <c r="ZV89" s="11"/>
      <c r="ZW89" s="11"/>
      <c r="ZX89" s="11"/>
      <c r="ZY89" s="11"/>
      <c r="ZZ89" s="11"/>
      <c r="AAA89" s="11"/>
      <c r="AAB89" s="11"/>
      <c r="AAC89" s="11"/>
      <c r="AAD89" s="11"/>
      <c r="AAE89" s="11"/>
      <c r="AAF89" s="11"/>
      <c r="AAG89" s="11"/>
      <c r="AAH89" s="11"/>
      <c r="AAI89" s="11"/>
      <c r="AAJ89" s="11"/>
      <c r="AAK89" s="11"/>
      <c r="AAL89" s="11"/>
      <c r="AAM89" s="11"/>
      <c r="AAN89" s="11"/>
      <c r="AAO89" s="11"/>
      <c r="AAP89" s="11"/>
      <c r="AAQ89" s="11"/>
      <c r="AAR89" s="11"/>
      <c r="AAS89" s="11"/>
      <c r="AAT89" s="11"/>
      <c r="AAU89" s="11"/>
      <c r="AAV89" s="11"/>
      <c r="AAW89" s="11"/>
      <c r="AAX89" s="11"/>
      <c r="AAY89" s="11"/>
      <c r="AAZ89" s="11"/>
      <c r="ABA89" s="11"/>
      <c r="ABB89" s="11"/>
      <c r="ABC89" s="11"/>
      <c r="ABD89" s="11"/>
      <c r="ABE89" s="11"/>
      <c r="ABF89" s="11"/>
      <c r="ABG89" s="11"/>
      <c r="ABH89" s="11"/>
      <c r="ABI89" s="11"/>
      <c r="ABJ89" s="11"/>
      <c r="ABK89" s="11"/>
      <c r="ABL89" s="11"/>
      <c r="ABM89" s="11"/>
      <c r="ABN89" s="11"/>
      <c r="ABO89" s="11"/>
      <c r="ABP89" s="11"/>
      <c r="ABQ89" s="11"/>
      <c r="ABR89" s="11"/>
      <c r="ABS89" s="11"/>
      <c r="ABT89" s="11"/>
      <c r="ABU89" s="11"/>
      <c r="ABV89" s="11"/>
      <c r="ABW89" s="11"/>
      <c r="ABX89" s="11"/>
      <c r="ABY89" s="11"/>
      <c r="ABZ89" s="11"/>
      <c r="ACA89" s="11"/>
      <c r="ACB89" s="11"/>
      <c r="ACC89" s="11"/>
      <c r="ACD89" s="11"/>
      <c r="ACE89" s="11"/>
      <c r="ACF89" s="11"/>
      <c r="ACG89" s="11"/>
      <c r="ACH89" s="11"/>
      <c r="ACI89" s="11"/>
      <c r="ACJ89" s="11"/>
      <c r="ACK89" s="11"/>
      <c r="ACL89" s="11"/>
      <c r="ACM89" s="11"/>
      <c r="ACN89" s="11"/>
      <c r="ACO89" s="11"/>
      <c r="ACP89" s="11"/>
      <c r="ACQ89" s="11"/>
      <c r="ACR89" s="11"/>
      <c r="ACS89" s="11"/>
      <c r="ACT89" s="11"/>
      <c r="ACU89" s="11"/>
      <c r="ACV89" s="11"/>
      <c r="ACW89" s="11"/>
      <c r="ACX89" s="11"/>
      <c r="ACY89" s="11"/>
      <c r="ACZ89" s="11"/>
      <c r="ADA89" s="11"/>
      <c r="ADB89" s="11"/>
      <c r="ADC89" s="11"/>
      <c r="ADD89" s="11"/>
      <c r="ADE89" s="11"/>
      <c r="ADF89" s="11"/>
      <c r="ADG89" s="11"/>
      <c r="ADH89" s="11"/>
      <c r="ADI89" s="11"/>
      <c r="ADJ89" s="11"/>
      <c r="ADK89" s="11"/>
      <c r="ADL89" s="11"/>
      <c r="ADM89" s="11"/>
      <c r="ADN89" s="11"/>
      <c r="ADO89" s="11"/>
      <c r="ADP89" s="11"/>
      <c r="ADQ89" s="11"/>
      <c r="ADR89" s="11"/>
      <c r="ADS89" s="11"/>
      <c r="ADT89" s="11"/>
      <c r="ADU89" s="11"/>
      <c r="ADV89" s="11"/>
      <c r="ADW89" s="11"/>
      <c r="ADX89" s="11"/>
      <c r="ADY89" s="11"/>
      <c r="ADZ89" s="11"/>
      <c r="AEA89" s="11"/>
      <c r="AEB89" s="11"/>
      <c r="AEC89" s="11"/>
      <c r="AED89" s="11"/>
      <c r="AEE89" s="11"/>
      <c r="AEF89" s="11"/>
      <c r="AEG89" s="11"/>
      <c r="AEH89" s="11"/>
      <c r="AEI89" s="11"/>
      <c r="AEJ89" s="11"/>
      <c r="AEK89" s="11"/>
      <c r="AEL89" s="11"/>
      <c r="AEM89" s="11"/>
      <c r="AEN89" s="11"/>
      <c r="AEO89" s="11"/>
      <c r="AEP89" s="11"/>
      <c r="AEQ89" s="11"/>
      <c r="AER89" s="11"/>
      <c r="AES89" s="11"/>
      <c r="AET89" s="11"/>
      <c r="AEU89" s="11"/>
      <c r="AEV89" s="11"/>
      <c r="AEW89" s="11"/>
      <c r="AEX89" s="11"/>
      <c r="AEY89" s="11"/>
      <c r="AEZ89" s="11"/>
      <c r="AFA89" s="11"/>
      <c r="AFB89" s="11"/>
      <c r="AFC89" s="11"/>
      <c r="AFD89" s="11"/>
      <c r="AFE89" s="11"/>
      <c r="AFF89" s="11"/>
      <c r="AFG89" s="11"/>
      <c r="AFH89" s="11"/>
      <c r="AFI89" s="11"/>
    </row>
    <row r="90" spans="2:841">
      <c r="B90" s="11"/>
      <c r="C90" s="657"/>
      <c r="D90" s="289" t="str">
        <f>IF(Idioma=Castellano,"Existente",IF(Idioma=Valencià,"Existent","Existente"))</f>
        <v>Existente</v>
      </c>
      <c r="E90" s="551">
        <f>SUMIFS(M_Datos!$N$44:$N$46,M_Datos!$O$44:$O$46,M_Lista!G18)</f>
        <v>0</v>
      </c>
      <c r="F90" s="312" t="e">
        <f>IF(AND(M_FactoresComplement!$G$439="No",M_FactoresComplement!$G$441="No"),M_Cálculos!E90*VLOOKUP(M_Datos!$E$12&amp;M_Cálculos!D90,M_Factores!$M$10:$P$108,2,FALSE)/(10^3),IF(AND(M_FactoresComplement!$G$439="Sí",M_FactoresComplement!$G$441="No"),E90*M_FactoresComplement!G453/(10^3),E90*VLOOKUP(M_FactoresComplement!$C$467&amp;M_Datos!$E$12&amp;M_Lista!G17,M_FactoresComplement!$F$446:$I$781,2,FALSE)/(10^3)))</f>
        <v>#N/A</v>
      </c>
      <c r="G90" s="313" t="e">
        <f>IF(AND(M_FactoresComplement!$G$439="No",M_FactoresComplement!$G$441="No"),M_Cálculos!E90*VLOOKUP(M_Datos!$E$12&amp;M_Cálculos!D90,M_Factores!$M$10:$P$108,3,FALSE)/(10^3),IF(AND(M_FactoresComplement!$G$439="Sí",M_FactoresComplement!$G$441="No"),E90*M_FactoresComplement!H453/(10^3),E90*VLOOKUP(M_FactoresComplement!$C$467&amp;M_Datos!$E$12&amp;M_Lista!G17,M_FactoresComplement!$F$446:$I$781,3,FALSE)/(10^3)))</f>
        <v>#N/A</v>
      </c>
      <c r="H90" s="551">
        <f>SUMIFS(M_Datos!$P$44:$P$46,M_Datos!$Q$44:$Q$46,M_Lista!G18)</f>
        <v>0</v>
      </c>
      <c r="I90" s="312" t="e">
        <f>IF(AND(M_FactoresComplement!$G$439="No",M_FactoresComplement!$G$441="No"),M_Cálculos!H90*VLOOKUP(M_Datos!$E$12&amp;M_Cálculos!D90,M_Factores!$M$10:$P$108,2,FALSE)/(10^3),IF(AND(M_FactoresComplement!$G$439="Sí",M_FactoresComplement!$G$441="No"),H90*M_FactoresComplement!G453/(10^3),H90*VLOOKUP(M_FactoresComplement!$C$467&amp;M_Datos!$E$12&amp;M_Lista!G17,M_FactoresComplement!$F$446:$I$781,2,FALSE)/(10^3)))</f>
        <v>#N/A</v>
      </c>
      <c r="J90" s="313" t="e">
        <f>IF(AND(M_FactoresComplement!$G$439="No",M_FactoresComplement!$G$441="No"),M_Cálculos!H90*VLOOKUP(M_Datos!$E$12&amp;M_Cálculos!D90,M_Factores!$M$10:$P$108,3,FALSE)/(10^3),IF(AND(M_FactoresComplement!$G$439="Sí",M_FactoresComplement!$G$441="No"),H90*M_FactoresComplement!H453/(10^3),H90*VLOOKUP(M_FactoresComplement!$C$467&amp;M_Datos!$E$12&amp;M_Lista!G17,M_FactoresComplement!$F$446:$I$781,3,FALSE)/(10^3)))</f>
        <v>#N/A</v>
      </c>
      <c r="K90" s="551">
        <f>SUMIFS(M_Datos!$R$44:$R$46,M_Datos!$S$44:$S$46,M_Lista!G18)</f>
        <v>0</v>
      </c>
      <c r="L90" s="312" t="e">
        <f>IF(AND(M_FactoresComplement!$G$439="No",M_FactoresComplement!$G$441="No"),M_Cálculos!K90*VLOOKUP(M_Datos!$E$12&amp;M_Cálculos!D90,M_Factores!$M$10:$P$108,2,FALSE)/(10^3),IF(AND(M_FactoresComplement!$G$439="Sí",M_FactoresComplement!$G$441="No"),K90*M_FactoresComplement!G453/(10^3),K90*VLOOKUP(M_FactoresComplement!$C$467&amp;M_Datos!$E$12&amp;M_Lista!G17,M_FactoresComplement!$F$446:$I$781,2,FALSE)/(10^3)))</f>
        <v>#N/A</v>
      </c>
      <c r="M90" s="313" t="e">
        <f>IF(AND(M_FactoresComplement!$G$439="No",M_FactoresComplement!$G$441="No"),M_Cálculos!K90*VLOOKUP(M_Datos!$E$12&amp;M_Cálculos!D90,M_Factores!$M$10:$P$108,3,FALSE)/(10^3),IF(AND(M_FactoresComplement!$G$439="Sí",M_FactoresComplement!$G$441="No"),K90*M_FactoresComplement!H453/(10^3),K90*VLOOKUP(M_FactoresComplement!$C$467&amp;M_Datos!$E$12&amp;M_Lista!G17,M_FactoresComplement!$F$446:$I$781,3,FALSE)/(10^3)))</f>
        <v>#N/A</v>
      </c>
      <c r="N90" s="551">
        <f>SUMIFS(M_Datos!$T$44:$T$46,M_Datos!$U$44:$U$46,M_Lista!G18)</f>
        <v>0</v>
      </c>
      <c r="O90" s="312" t="e">
        <f>IF(AND(M_FactoresComplement!$G$439="No",M_FactoresComplement!$G$441="No"),M_Cálculos!N90*VLOOKUP(M_Datos!$E$12&amp;M_Cálculos!D90,M_Factores!$M$10:$P$108,2,FALSE)/(10^3),IF(AND(M_FactoresComplement!$G$439="Sí",M_FactoresComplement!$G$441="No"),N90*M_FactoresComplement!G453/(10^3),N90*VLOOKUP(M_FactoresComplement!$C$467&amp;M_Datos!$E$12&amp;M_Lista!G17,M_FactoresComplement!$F$446:$I$781,2,FALSE)/(10^3)))</f>
        <v>#N/A</v>
      </c>
      <c r="P90" s="313" t="e">
        <f>IF(AND(M_FactoresComplement!$G$439="No",M_FactoresComplement!$G$441="No"),M_Cálculos!N90*VLOOKUP(M_Datos!$E$12&amp;M_Cálculos!D90,M_Factores!$M$10:$P$108,3,FALSE)/(10^3),IF(AND(M_FactoresComplement!$G$439="Sí",M_FactoresComplement!$G$441="No"),N90*M_FactoresComplement!H453/(10^3),N90*VLOOKUP(M_FactoresComplement!$C$467&amp;M_Datos!$E$12&amp;M_Lista!G17,M_FactoresComplement!$F$446:$I$781,3,FALSE)/(10^3)))</f>
        <v>#N/A</v>
      </c>
      <c r="Q90" s="551">
        <f>SUMIFS(M_Datos!$V$44:$V$46,M_Datos!$W$44:$W$46,M_Lista!G18)</f>
        <v>0</v>
      </c>
      <c r="R90" s="312" t="e">
        <f>IF(AND(M_FactoresComplement!$G$439="No",M_FactoresComplement!$G$441="No"),M_Cálculos!Q90*VLOOKUP(M_Datos!$E$12&amp;M_Cálculos!D90,M_Factores!$M$10:$P$108,2,FALSE)/(10^3),IF(AND(M_FactoresComplement!$G$439="Sí",M_FactoresComplement!$G$441="No"),Q90*M_FactoresComplement!G453/(10^3),Q90*VLOOKUP(M_FactoresComplement!$C$467&amp;M_Datos!$E$12&amp;M_Lista!G17,M_FactoresComplement!$F$446:$I$781,2,FALSE)/(10^3)))</f>
        <v>#N/A</v>
      </c>
      <c r="S90" s="313" t="e">
        <f>IF(AND(M_FactoresComplement!$G$439="No",M_FactoresComplement!$G$441="No"),M_Cálculos!Q90*VLOOKUP(M_Datos!$E$12&amp;M_Cálculos!D90,M_Factores!$M$10:$P$108,3,FALSE)/(10^3),IF(AND(M_FactoresComplement!$G$439="Sí",M_FactoresComplement!$G$441="No"),Q90*M_FactoresComplement!H453/(10^3),Q90*VLOOKUP(M_FactoresComplement!$C$467&amp;M_Datos!$E$12&amp;M_Lista!G17,M_FactoresComplement!$F$446:$I$781,3,FALSE)/(10^3)))</f>
        <v>#N/A</v>
      </c>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1"/>
      <c r="JA90" s="11"/>
      <c r="JB90" s="11"/>
      <c r="JC90" s="11"/>
      <c r="JD90" s="11"/>
      <c r="JE90" s="11"/>
      <c r="JF90" s="11"/>
      <c r="JG90" s="11"/>
      <c r="JH90" s="11"/>
      <c r="JI90" s="11"/>
      <c r="JJ90" s="11"/>
      <c r="JK90" s="11"/>
      <c r="JL90" s="11"/>
      <c r="JM90" s="11"/>
      <c r="JN90" s="11"/>
      <c r="JO90" s="11"/>
      <c r="JP90" s="11"/>
      <c r="JQ90" s="11"/>
      <c r="JR90" s="11"/>
      <c r="JS90" s="11"/>
      <c r="JT90" s="11"/>
      <c r="JU90" s="11"/>
      <c r="JV90" s="11"/>
      <c r="JW90" s="11"/>
      <c r="JX90" s="11"/>
      <c r="JY90" s="11"/>
      <c r="JZ90" s="11"/>
      <c r="KA90" s="11"/>
      <c r="KB90" s="11"/>
      <c r="KC90" s="11"/>
      <c r="KD90" s="11"/>
      <c r="KE90" s="11"/>
      <c r="KF90" s="11"/>
      <c r="KG90" s="11"/>
      <c r="KH90" s="11"/>
      <c r="KI90" s="11"/>
      <c r="KJ90" s="11"/>
      <c r="KK90" s="11"/>
      <c r="KL90" s="11"/>
      <c r="KM90" s="11"/>
      <c r="KN90" s="11"/>
      <c r="KO90" s="11"/>
      <c r="KP90" s="11"/>
      <c r="KQ90" s="11"/>
      <c r="KR90" s="11"/>
      <c r="KS90" s="11"/>
      <c r="KT90" s="11"/>
      <c r="KU90" s="11"/>
      <c r="KV90" s="11"/>
      <c r="KW90" s="11"/>
      <c r="KX90" s="11"/>
      <c r="KY90" s="11"/>
      <c r="KZ90" s="11"/>
      <c r="LA90" s="11"/>
      <c r="LB90" s="11"/>
      <c r="LC90" s="11"/>
      <c r="LD90" s="11"/>
      <c r="LE90" s="11"/>
      <c r="LF90" s="11"/>
      <c r="LG90" s="11"/>
      <c r="LH90" s="11"/>
      <c r="LI90" s="11"/>
      <c r="LJ90" s="11"/>
      <c r="LK90" s="11"/>
      <c r="LL90" s="11"/>
      <c r="LM90" s="11"/>
      <c r="LN90" s="11"/>
      <c r="LO90" s="11"/>
      <c r="LP90" s="11"/>
      <c r="LQ90" s="11"/>
      <c r="LR90" s="11"/>
      <c r="LS90" s="11"/>
      <c r="LT90" s="11"/>
      <c r="LU90" s="11"/>
      <c r="LV90" s="11"/>
      <c r="LW90" s="11"/>
      <c r="LX90" s="11"/>
      <c r="LY90" s="11"/>
      <c r="LZ90" s="11"/>
      <c r="MA90" s="11"/>
      <c r="MB90" s="11"/>
      <c r="MC90" s="11"/>
      <c r="MD90" s="11"/>
      <c r="ME90" s="11"/>
      <c r="MF90" s="11"/>
      <c r="MG90" s="11"/>
      <c r="MH90" s="11"/>
      <c r="MI90" s="11"/>
      <c r="MJ90" s="11"/>
      <c r="MK90" s="11"/>
      <c r="ML90" s="11"/>
      <c r="MM90" s="11"/>
      <c r="MN90" s="11"/>
      <c r="MO90" s="11"/>
      <c r="MP90" s="11"/>
      <c r="MQ90" s="11"/>
      <c r="MR90" s="11"/>
      <c r="MS90" s="11"/>
      <c r="MT90" s="11"/>
      <c r="MU90" s="11"/>
      <c r="MV90" s="11"/>
      <c r="MW90" s="11"/>
      <c r="MX90" s="11"/>
      <c r="MY90" s="11"/>
      <c r="MZ90" s="11"/>
      <c r="NA90" s="11"/>
      <c r="NB90" s="11"/>
      <c r="NC90" s="11"/>
      <c r="ND90" s="11"/>
      <c r="NE90" s="11"/>
      <c r="NF90" s="11"/>
      <c r="NG90" s="11"/>
      <c r="NH90" s="11"/>
      <c r="NI90" s="11"/>
      <c r="NJ90" s="11"/>
      <c r="NK90" s="11"/>
      <c r="NL90" s="11"/>
      <c r="NM90" s="11"/>
      <c r="NN90" s="11"/>
      <c r="NO90" s="11"/>
      <c r="NP90" s="11"/>
      <c r="NQ90" s="11"/>
      <c r="NR90" s="11"/>
      <c r="NS90" s="11"/>
      <c r="NT90" s="11"/>
      <c r="NU90" s="11"/>
      <c r="NV90" s="11"/>
      <c r="NW90" s="11"/>
      <c r="NX90" s="11"/>
      <c r="NY90" s="11"/>
      <c r="NZ90" s="11"/>
      <c r="OA90" s="11"/>
      <c r="OB90" s="11"/>
      <c r="OC90" s="11"/>
      <c r="OD90" s="11"/>
      <c r="OE90" s="11"/>
      <c r="OF90" s="11"/>
      <c r="OG90" s="11"/>
      <c r="OH90" s="11"/>
      <c r="OI90" s="11"/>
      <c r="OJ90" s="11"/>
      <c r="OK90" s="11"/>
      <c r="OL90" s="11"/>
      <c r="OM90" s="11"/>
      <c r="ON90" s="11"/>
      <c r="OO90" s="11"/>
      <c r="OP90" s="11"/>
      <c r="OQ90" s="11"/>
      <c r="OR90" s="11"/>
      <c r="OS90" s="11"/>
      <c r="OT90" s="11"/>
      <c r="OU90" s="11"/>
      <c r="OV90" s="11"/>
      <c r="OW90" s="11"/>
      <c r="OX90" s="11"/>
      <c r="OY90" s="11"/>
      <c r="OZ90" s="11"/>
      <c r="PA90" s="11"/>
      <c r="PB90" s="11"/>
      <c r="PC90" s="11"/>
      <c r="PD90" s="11"/>
      <c r="PE90" s="11"/>
      <c r="PF90" s="11"/>
      <c r="PG90" s="11"/>
      <c r="PH90" s="11"/>
      <c r="PI90" s="11"/>
      <c r="PJ90" s="11"/>
      <c r="PK90" s="11"/>
      <c r="PL90" s="11"/>
      <c r="PM90" s="11"/>
      <c r="PN90" s="11"/>
      <c r="PO90" s="11"/>
      <c r="PP90" s="11"/>
      <c r="PQ90" s="11"/>
      <c r="PR90" s="11"/>
      <c r="PS90" s="11"/>
      <c r="PT90" s="11"/>
      <c r="PU90" s="11"/>
      <c r="PV90" s="11"/>
      <c r="PW90" s="11"/>
      <c r="PX90" s="11"/>
      <c r="PY90" s="11"/>
      <c r="PZ90" s="11"/>
      <c r="QA90" s="11"/>
      <c r="QB90" s="11"/>
      <c r="QC90" s="11"/>
      <c r="QD90" s="11"/>
      <c r="QE90" s="11"/>
      <c r="QF90" s="11"/>
      <c r="QG90" s="11"/>
      <c r="QH90" s="11"/>
      <c r="QI90" s="11"/>
      <c r="QJ90" s="11"/>
      <c r="QK90" s="11"/>
      <c r="QL90" s="11"/>
      <c r="QM90" s="11"/>
      <c r="QN90" s="11"/>
      <c r="QO90" s="11"/>
      <c r="QP90" s="11"/>
      <c r="QQ90" s="11"/>
      <c r="QR90" s="11"/>
      <c r="QS90" s="11"/>
      <c r="QT90" s="11"/>
      <c r="QU90" s="11"/>
      <c r="QV90" s="11"/>
      <c r="QW90" s="11"/>
      <c r="QX90" s="11"/>
      <c r="QY90" s="11"/>
      <c r="QZ90" s="11"/>
      <c r="RA90" s="11"/>
      <c r="RB90" s="11"/>
      <c r="RC90" s="11"/>
      <c r="RD90" s="11"/>
      <c r="RE90" s="11"/>
      <c r="RF90" s="11"/>
      <c r="RG90" s="11"/>
      <c r="RH90" s="11"/>
      <c r="RI90" s="11"/>
      <c r="RJ90" s="11"/>
      <c r="RK90" s="11"/>
      <c r="RL90" s="11"/>
      <c r="RM90" s="11"/>
      <c r="RN90" s="11"/>
      <c r="RO90" s="11"/>
      <c r="RP90" s="11"/>
      <c r="RQ90" s="11"/>
      <c r="RR90" s="11"/>
      <c r="RS90" s="11"/>
      <c r="RT90" s="11"/>
      <c r="RU90" s="11"/>
      <c r="RV90" s="11"/>
      <c r="RW90" s="11"/>
      <c r="RX90" s="11"/>
      <c r="RY90" s="11"/>
      <c r="RZ90" s="11"/>
      <c r="SA90" s="11"/>
      <c r="SB90" s="11"/>
      <c r="SC90" s="11"/>
      <c r="SD90" s="11"/>
      <c r="SE90" s="11"/>
      <c r="SF90" s="11"/>
      <c r="SG90" s="11"/>
      <c r="SH90" s="11"/>
      <c r="SI90" s="11"/>
      <c r="SJ90" s="11"/>
      <c r="SK90" s="11"/>
      <c r="SL90" s="11"/>
      <c r="SM90" s="11"/>
      <c r="SN90" s="11"/>
      <c r="SO90" s="11"/>
      <c r="SP90" s="11"/>
      <c r="SQ90" s="11"/>
      <c r="SR90" s="11"/>
      <c r="SS90" s="11"/>
      <c r="ST90" s="11"/>
      <c r="SU90" s="11"/>
      <c r="SV90" s="11"/>
      <c r="SW90" s="11"/>
      <c r="SX90" s="11"/>
      <c r="SY90" s="11"/>
      <c r="SZ90" s="11"/>
      <c r="TA90" s="11"/>
      <c r="TB90" s="11"/>
      <c r="TC90" s="11"/>
      <c r="TD90" s="11"/>
      <c r="TE90" s="11"/>
      <c r="TF90" s="11"/>
      <c r="TG90" s="11"/>
      <c r="TH90" s="11"/>
      <c r="TI90" s="11"/>
      <c r="TJ90" s="11"/>
      <c r="TK90" s="11"/>
      <c r="TL90" s="11"/>
      <c r="TM90" s="11"/>
      <c r="TN90" s="11"/>
      <c r="TO90" s="11"/>
      <c r="TP90" s="11"/>
      <c r="TQ90" s="11"/>
      <c r="TR90" s="11"/>
      <c r="TS90" s="11"/>
      <c r="TT90" s="11"/>
      <c r="TU90" s="11"/>
      <c r="TV90" s="11"/>
      <c r="TW90" s="11"/>
      <c r="TX90" s="11"/>
      <c r="TY90" s="11"/>
      <c r="TZ90" s="11"/>
      <c r="UA90" s="11"/>
      <c r="UB90" s="11"/>
      <c r="UC90" s="11"/>
      <c r="UD90" s="11"/>
      <c r="UE90" s="11"/>
      <c r="UF90" s="11"/>
      <c r="UG90" s="11"/>
      <c r="UH90" s="11"/>
      <c r="UI90" s="11"/>
      <c r="UJ90" s="11"/>
      <c r="UK90" s="11"/>
      <c r="UL90" s="11"/>
      <c r="UM90" s="11"/>
      <c r="UN90" s="11"/>
      <c r="UO90" s="11"/>
      <c r="UP90" s="11"/>
      <c r="UQ90" s="11"/>
      <c r="UR90" s="11"/>
      <c r="US90" s="11"/>
      <c r="UT90" s="11"/>
      <c r="UU90" s="11"/>
      <c r="UV90" s="11"/>
      <c r="UW90" s="11"/>
      <c r="UX90" s="11"/>
      <c r="UY90" s="11"/>
      <c r="UZ90" s="11"/>
      <c r="VA90" s="11"/>
      <c r="VB90" s="11"/>
      <c r="VC90" s="11"/>
      <c r="VD90" s="11"/>
      <c r="VE90" s="11"/>
      <c r="VF90" s="11"/>
      <c r="VG90" s="11"/>
      <c r="VH90" s="11"/>
      <c r="VI90" s="11"/>
      <c r="VJ90" s="11"/>
      <c r="VK90" s="11"/>
      <c r="VL90" s="11"/>
      <c r="VM90" s="11"/>
      <c r="VN90" s="11"/>
      <c r="VO90" s="11"/>
      <c r="VP90" s="11"/>
      <c r="VQ90" s="11"/>
      <c r="VR90" s="11"/>
      <c r="VS90" s="11"/>
      <c r="VT90" s="11"/>
      <c r="VU90" s="11"/>
      <c r="VV90" s="11"/>
      <c r="VW90" s="11"/>
      <c r="VX90" s="11"/>
      <c r="VY90" s="11"/>
      <c r="VZ90" s="11"/>
      <c r="WA90" s="11"/>
      <c r="WB90" s="11"/>
      <c r="WC90" s="11"/>
      <c r="WD90" s="11"/>
      <c r="WE90" s="11"/>
      <c r="WF90" s="11"/>
      <c r="WG90" s="11"/>
      <c r="WH90" s="11"/>
      <c r="WI90" s="11"/>
      <c r="WJ90" s="11"/>
      <c r="WK90" s="11"/>
      <c r="WL90" s="11"/>
      <c r="WM90" s="11"/>
      <c r="WN90" s="11"/>
      <c r="WO90" s="11"/>
      <c r="WP90" s="11"/>
      <c r="WQ90" s="11"/>
      <c r="WR90" s="11"/>
      <c r="WS90" s="11"/>
      <c r="WT90" s="11"/>
      <c r="WU90" s="11"/>
      <c r="WV90" s="11"/>
      <c r="WW90" s="11"/>
      <c r="WX90" s="11"/>
      <c r="WY90" s="11"/>
      <c r="WZ90" s="11"/>
      <c r="XA90" s="11"/>
      <c r="XB90" s="11"/>
      <c r="XC90" s="11"/>
      <c r="XD90" s="11"/>
      <c r="XE90" s="11"/>
      <c r="XF90" s="11"/>
      <c r="XG90" s="11"/>
      <c r="XH90" s="11"/>
      <c r="XI90" s="11"/>
      <c r="XJ90" s="11"/>
      <c r="XK90" s="11"/>
      <c r="XL90" s="11"/>
      <c r="XM90" s="11"/>
      <c r="XN90" s="11"/>
      <c r="XO90" s="11"/>
      <c r="XP90" s="11"/>
      <c r="XQ90" s="11"/>
      <c r="XR90" s="11"/>
      <c r="XS90" s="11"/>
      <c r="XT90" s="11"/>
      <c r="XU90" s="11"/>
      <c r="XV90" s="11"/>
      <c r="XW90" s="11"/>
      <c r="XX90" s="11"/>
      <c r="XY90" s="11"/>
      <c r="XZ90" s="11"/>
      <c r="YA90" s="11"/>
      <c r="YB90" s="11"/>
      <c r="YC90" s="11"/>
      <c r="YD90" s="11"/>
      <c r="YE90" s="11"/>
      <c r="YF90" s="11"/>
      <c r="YG90" s="11"/>
      <c r="YH90" s="11"/>
      <c r="YI90" s="11"/>
      <c r="YJ90" s="11"/>
      <c r="YK90" s="11"/>
      <c r="YL90" s="11"/>
      <c r="YM90" s="11"/>
      <c r="YN90" s="11"/>
      <c r="YO90" s="11"/>
      <c r="YP90" s="11"/>
      <c r="YQ90" s="11"/>
      <c r="YR90" s="11"/>
      <c r="YS90" s="11"/>
      <c r="YT90" s="11"/>
      <c r="YU90" s="11"/>
      <c r="YV90" s="11"/>
      <c r="YW90" s="11"/>
      <c r="YX90" s="11"/>
      <c r="YY90" s="11"/>
      <c r="YZ90" s="11"/>
      <c r="ZA90" s="11"/>
      <c r="ZB90" s="11"/>
      <c r="ZC90" s="11"/>
      <c r="ZD90" s="11"/>
      <c r="ZE90" s="11"/>
      <c r="ZF90" s="11"/>
      <c r="ZG90" s="11"/>
      <c r="ZH90" s="11"/>
      <c r="ZI90" s="11"/>
      <c r="ZJ90" s="11"/>
      <c r="ZK90" s="11"/>
      <c r="ZL90" s="11"/>
      <c r="ZM90" s="11"/>
      <c r="ZN90" s="11"/>
      <c r="ZO90" s="11"/>
      <c r="ZP90" s="11"/>
      <c r="ZQ90" s="11"/>
      <c r="ZR90" s="11"/>
      <c r="ZS90" s="11"/>
      <c r="ZT90" s="11"/>
      <c r="ZU90" s="11"/>
      <c r="ZV90" s="11"/>
      <c r="ZW90" s="11"/>
      <c r="ZX90" s="11"/>
      <c r="ZY90" s="11"/>
      <c r="ZZ90" s="11"/>
      <c r="AAA90" s="11"/>
      <c r="AAB90" s="11"/>
      <c r="AAC90" s="11"/>
      <c r="AAD90" s="11"/>
      <c r="AAE90" s="11"/>
      <c r="AAF90" s="11"/>
      <c r="AAG90" s="11"/>
      <c r="AAH90" s="11"/>
      <c r="AAI90" s="11"/>
      <c r="AAJ90" s="11"/>
      <c r="AAK90" s="11"/>
      <c r="AAL90" s="11"/>
      <c r="AAM90" s="11"/>
      <c r="AAN90" s="11"/>
      <c r="AAO90" s="11"/>
      <c r="AAP90" s="11"/>
      <c r="AAQ90" s="11"/>
      <c r="AAR90" s="11"/>
      <c r="AAS90" s="11"/>
      <c r="AAT90" s="11"/>
      <c r="AAU90" s="11"/>
      <c r="AAV90" s="11"/>
      <c r="AAW90" s="11"/>
      <c r="AAX90" s="11"/>
      <c r="AAY90" s="11"/>
      <c r="AAZ90" s="11"/>
      <c r="ABA90" s="11"/>
      <c r="ABB90" s="11"/>
      <c r="ABC90" s="11"/>
      <c r="ABD90" s="11"/>
      <c r="ABE90" s="11"/>
      <c r="ABF90" s="11"/>
      <c r="ABG90" s="11"/>
      <c r="ABH90" s="11"/>
      <c r="ABI90" s="11"/>
      <c r="ABJ90" s="11"/>
      <c r="ABK90" s="11"/>
      <c r="ABL90" s="11"/>
      <c r="ABM90" s="11"/>
      <c r="ABN90" s="11"/>
      <c r="ABO90" s="11"/>
      <c r="ABP90" s="11"/>
      <c r="ABQ90" s="11"/>
      <c r="ABR90" s="11"/>
      <c r="ABS90" s="11"/>
      <c r="ABT90" s="11"/>
      <c r="ABU90" s="11"/>
      <c r="ABV90" s="11"/>
      <c r="ABW90" s="11"/>
      <c r="ABX90" s="11"/>
      <c r="ABY90" s="11"/>
      <c r="ABZ90" s="11"/>
      <c r="ACA90" s="11"/>
      <c r="ACB90" s="11"/>
      <c r="ACC90" s="11"/>
      <c r="ACD90" s="11"/>
      <c r="ACE90" s="11"/>
      <c r="ACF90" s="11"/>
      <c r="ACG90" s="11"/>
      <c r="ACH90" s="11"/>
      <c r="ACI90" s="11"/>
      <c r="ACJ90" s="11"/>
      <c r="ACK90" s="11"/>
      <c r="ACL90" s="11"/>
      <c r="ACM90" s="11"/>
      <c r="ACN90" s="11"/>
      <c r="ACO90" s="11"/>
      <c r="ACP90" s="11"/>
      <c r="ACQ90" s="11"/>
      <c r="ACR90" s="11"/>
      <c r="ACS90" s="11"/>
      <c r="ACT90" s="11"/>
      <c r="ACU90" s="11"/>
      <c r="ACV90" s="11"/>
      <c r="ACW90" s="11"/>
      <c r="ACX90" s="11"/>
      <c r="ACY90" s="11"/>
      <c r="ACZ90" s="11"/>
      <c r="ADA90" s="11"/>
      <c r="ADB90" s="11"/>
      <c r="ADC90" s="11"/>
      <c r="ADD90" s="11"/>
      <c r="ADE90" s="11"/>
      <c r="ADF90" s="11"/>
      <c r="ADG90" s="11"/>
      <c r="ADH90" s="11"/>
      <c r="ADI90" s="11"/>
      <c r="ADJ90" s="11"/>
      <c r="ADK90" s="11"/>
      <c r="ADL90" s="11"/>
      <c r="ADM90" s="11"/>
      <c r="ADN90" s="11"/>
      <c r="ADO90" s="11"/>
      <c r="ADP90" s="11"/>
      <c r="ADQ90" s="11"/>
      <c r="ADR90" s="11"/>
      <c r="ADS90" s="11"/>
      <c r="ADT90" s="11"/>
      <c r="ADU90" s="11"/>
      <c r="ADV90" s="11"/>
      <c r="ADW90" s="11"/>
      <c r="ADX90" s="11"/>
      <c r="ADY90" s="11"/>
      <c r="ADZ90" s="11"/>
      <c r="AEA90" s="11"/>
      <c r="AEB90" s="11"/>
      <c r="AEC90" s="11"/>
      <c r="AED90" s="11"/>
      <c r="AEE90" s="11"/>
      <c r="AEF90" s="11"/>
      <c r="AEG90" s="11"/>
      <c r="AEH90" s="11"/>
      <c r="AEI90" s="11"/>
      <c r="AEJ90" s="11"/>
      <c r="AEK90" s="11"/>
      <c r="AEL90" s="11"/>
      <c r="AEM90" s="11"/>
      <c r="AEN90" s="11"/>
      <c r="AEO90" s="11"/>
      <c r="AEP90" s="11"/>
      <c r="AEQ90" s="11"/>
      <c r="AER90" s="11"/>
      <c r="AES90" s="11"/>
      <c r="AET90" s="11"/>
      <c r="AEU90" s="11"/>
      <c r="AEV90" s="11"/>
      <c r="AEW90" s="11"/>
      <c r="AEX90" s="11"/>
      <c r="AEY90" s="11"/>
      <c r="AEZ90" s="11"/>
      <c r="AFA90" s="11"/>
      <c r="AFB90" s="11"/>
      <c r="AFC90" s="11"/>
      <c r="AFD90" s="11"/>
      <c r="AFE90" s="11"/>
      <c r="AFF90" s="11"/>
      <c r="AFG90" s="11"/>
      <c r="AFH90" s="11"/>
      <c r="AFI90" s="11"/>
    </row>
    <row r="91" spans="2:841">
      <c r="B91" s="11"/>
      <c r="C91" s="657"/>
      <c r="D91" s="289" t="s">
        <v>625</v>
      </c>
      <c r="E91" s="551">
        <f>SUMIFS(M_Datos!$N$44:$N$46,M_Datos!$O$44:$O$46,M_Lista!G19)</f>
        <v>0</v>
      </c>
      <c r="F91" s="312" t="e">
        <f>IF(AND(M_FactoresComplement!$G$439="No",M_FactoresComplement!$G$441="No"),M_Cálculos!E91*VLOOKUP(M_Datos!$E$12&amp;M_Cálculos!D91,M_Factores!$M$10:$P$108,2,FALSE)/(10^3),IF(AND(M_FactoresComplement!$G$439="Sí",M_FactoresComplement!$G$441="No"),E91*M_FactoresComplement!G454/(10^3),E91*VLOOKUP(M_FactoresComplement!$C$467&amp;M_Datos!$E$12&amp;M_Lista!G18,M_FactoresComplement!$F$446:$I$781,2,FALSE)/(10^3)))</f>
        <v>#N/A</v>
      </c>
      <c r="G91" s="313" t="e">
        <f>IF(AND(M_FactoresComplement!$G$439="No",M_FactoresComplement!$G$441="No"),M_Cálculos!E91*VLOOKUP(M_Datos!$E$12&amp;M_Cálculos!D91,M_Factores!$M$10:$P$108,3,FALSE)/(10^3),IF(AND(M_FactoresComplement!$G$439="Sí",M_FactoresComplement!$G$441="No"),E91*M_FactoresComplement!H454/(10^3),E91*VLOOKUP(M_FactoresComplement!$C$467&amp;M_Datos!$E$12&amp;M_Lista!G18,M_FactoresComplement!$F$446:$I$781,3,FALSE)/(10^3)))</f>
        <v>#N/A</v>
      </c>
      <c r="H91" s="551">
        <f>SUMIFS(M_Datos!$P$44:$P$46,M_Datos!$Q$44:$Q$46,M_Lista!G19)</f>
        <v>0</v>
      </c>
      <c r="I91" s="312" t="e">
        <f>IF(AND(M_FactoresComplement!$G$439="No",M_FactoresComplement!$G$441="No"),M_Cálculos!H91*VLOOKUP(M_Datos!$E$12&amp;M_Cálculos!D91,M_Factores!$M$10:$P$108,2,FALSE)/(10^3),IF(AND(M_FactoresComplement!$G$439="Sí",M_FactoresComplement!$G$441="No"),H91*M_FactoresComplement!G454/(10^3),H91*VLOOKUP(M_FactoresComplement!$C$467&amp;M_Datos!$E$12&amp;M_Lista!G18,M_FactoresComplement!$F$446:$I$781,2,FALSE)/(10^3)))</f>
        <v>#N/A</v>
      </c>
      <c r="J91" s="313" t="e">
        <f>IF(AND(M_FactoresComplement!$G$439="No",M_FactoresComplement!$G$441="No"),M_Cálculos!H91*VLOOKUP(M_Datos!$E$12&amp;M_Cálculos!D91,M_Factores!$M$10:$P$108,3,FALSE)/(10^3),IF(AND(M_FactoresComplement!$G$439="Sí",M_FactoresComplement!$G$441="No"),H91*M_FactoresComplement!H454/(10^3),H91*VLOOKUP(M_FactoresComplement!$C$467&amp;M_Datos!$E$12&amp;M_Lista!G18,M_FactoresComplement!$F$446:$I$781,3,FALSE)/(10^3)))</f>
        <v>#N/A</v>
      </c>
      <c r="K91" s="551">
        <f>SUMIFS(M_Datos!$R$44:$R$46,M_Datos!$S$44:$S$46,M_Lista!G19)</f>
        <v>0</v>
      </c>
      <c r="L91" s="312" t="e">
        <f>IF(AND(M_FactoresComplement!$G$439="No",M_FactoresComplement!$G$441="No"),M_Cálculos!K91*VLOOKUP(M_Datos!$E$12&amp;M_Cálculos!D91,M_Factores!$M$10:$P$108,2,FALSE)/(10^3),IF(AND(M_FactoresComplement!$G$439="Sí",M_FactoresComplement!$G$441="No"),K91*M_FactoresComplement!G454/(10^3),K91*VLOOKUP(M_FactoresComplement!$C$467&amp;M_Datos!$E$12&amp;M_Lista!G18,M_FactoresComplement!$F$446:$I$781,2,FALSE)/(10^3)))</f>
        <v>#N/A</v>
      </c>
      <c r="M91" s="313" t="e">
        <f>IF(AND(M_FactoresComplement!$G$439="No",M_FactoresComplement!$G$441="No"),M_Cálculos!K91*VLOOKUP(M_Datos!$E$12&amp;M_Cálculos!D91,M_Factores!$M$10:$P$108,3,FALSE)/(10^3),IF(AND(M_FactoresComplement!$G$439="Sí",M_FactoresComplement!$G$441="No"),K91*M_FactoresComplement!H454/(10^3),K91*VLOOKUP(M_FactoresComplement!$C$467&amp;M_Datos!$E$12&amp;M_Lista!G18,M_FactoresComplement!$F$446:$I$781,3,FALSE)/(10^3)))</f>
        <v>#N/A</v>
      </c>
      <c r="N91" s="551">
        <f>SUMIFS(M_Datos!$T$44:$T$46,M_Datos!$U$44:$U$46,M_Lista!G19)</f>
        <v>0</v>
      </c>
      <c r="O91" s="312" t="e">
        <f>IF(AND(M_FactoresComplement!$G$439="No",M_FactoresComplement!$G$441="No"),M_Cálculos!N91*VLOOKUP(M_Datos!$E$12&amp;M_Cálculos!D91,M_Factores!$M$10:$P$108,2,FALSE)/(10^3),IF(AND(M_FactoresComplement!$G$439="Sí",M_FactoresComplement!$G$441="No"),N91*M_FactoresComplement!G454/(10^3),N91*VLOOKUP(M_FactoresComplement!$C$467&amp;M_Datos!$E$12&amp;M_Lista!G18,M_FactoresComplement!$F$446:$I$781,2,FALSE)/(10^3)))</f>
        <v>#N/A</v>
      </c>
      <c r="P91" s="313" t="e">
        <f>IF(AND(M_FactoresComplement!$G$439="No",M_FactoresComplement!$G$441="No"),M_Cálculos!N91*VLOOKUP(M_Datos!$E$12&amp;M_Cálculos!D91,M_Factores!$M$10:$P$108,3,FALSE)/(10^3),IF(AND(M_FactoresComplement!$G$439="Sí",M_FactoresComplement!$G$441="No"),N91*M_FactoresComplement!H454/(10^3),N91*VLOOKUP(M_FactoresComplement!$C$467&amp;M_Datos!$E$12&amp;M_Lista!G18,M_FactoresComplement!$F$446:$I$781,3,FALSE)/(10^3)))</f>
        <v>#N/A</v>
      </c>
      <c r="Q91" s="551">
        <f>SUMIFS(M_Datos!$V$44:$V$46,M_Datos!$W$44:$W$46,M_Lista!G19)</f>
        <v>0</v>
      </c>
      <c r="R91" s="312" t="e">
        <f>IF(AND(M_FactoresComplement!$G$439="No",M_FactoresComplement!$G$441="No"),M_Cálculos!Q91*VLOOKUP(M_Datos!$E$12&amp;M_Cálculos!D91,M_Factores!$M$10:$P$108,2,FALSE)/(10^3),IF(AND(M_FactoresComplement!$G$439="Sí",M_FactoresComplement!$G$441="No"),Q91*M_FactoresComplement!G454/(10^3),Q91*VLOOKUP(M_FactoresComplement!$C$467&amp;M_Datos!$E$12&amp;M_Lista!G18,M_FactoresComplement!$F$446:$I$781,2,FALSE)/(10^3)))</f>
        <v>#N/A</v>
      </c>
      <c r="S91" s="313" t="e">
        <f>IF(AND(M_FactoresComplement!$G$439="No",M_FactoresComplement!$G$441="No"),M_Cálculos!Q91*VLOOKUP(M_Datos!$E$12&amp;M_Cálculos!D91,M_Factores!$M$10:$P$108,3,FALSE)/(10^3),IF(AND(M_FactoresComplement!$G$439="Sí",M_FactoresComplement!$G$441="No"),Q91*M_FactoresComplement!H454/(10^3),Q91*VLOOKUP(M_FactoresComplement!$C$467&amp;M_Datos!$E$12&amp;M_Lista!G18,M_FactoresComplement!$F$446:$I$781,3,FALSE)/(10^3)))</f>
        <v>#N/A</v>
      </c>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1"/>
      <c r="JA91" s="11"/>
      <c r="JB91" s="11"/>
      <c r="JC91" s="11"/>
      <c r="JD91" s="11"/>
      <c r="JE91" s="11"/>
      <c r="JF91" s="11"/>
      <c r="JG91" s="11"/>
      <c r="JH91" s="11"/>
      <c r="JI91" s="11"/>
      <c r="JJ91" s="11"/>
      <c r="JK91" s="11"/>
      <c r="JL91" s="11"/>
      <c r="JM91" s="11"/>
      <c r="JN91" s="11"/>
      <c r="JO91" s="11"/>
      <c r="JP91" s="11"/>
      <c r="JQ91" s="11"/>
      <c r="JR91" s="11"/>
      <c r="JS91" s="11"/>
      <c r="JT91" s="11"/>
      <c r="JU91" s="11"/>
      <c r="JV91" s="11"/>
      <c r="JW91" s="11"/>
      <c r="JX91" s="11"/>
      <c r="JY91" s="11"/>
      <c r="JZ91" s="11"/>
      <c r="KA91" s="11"/>
      <c r="KB91" s="11"/>
      <c r="KC91" s="11"/>
      <c r="KD91" s="11"/>
      <c r="KE91" s="11"/>
      <c r="KF91" s="11"/>
      <c r="KG91" s="11"/>
      <c r="KH91" s="11"/>
      <c r="KI91" s="11"/>
      <c r="KJ91" s="11"/>
      <c r="KK91" s="11"/>
      <c r="KL91" s="11"/>
      <c r="KM91" s="11"/>
      <c r="KN91" s="11"/>
      <c r="KO91" s="11"/>
      <c r="KP91" s="11"/>
      <c r="KQ91" s="11"/>
      <c r="KR91" s="11"/>
      <c r="KS91" s="11"/>
      <c r="KT91" s="11"/>
      <c r="KU91" s="11"/>
      <c r="KV91" s="11"/>
      <c r="KW91" s="11"/>
      <c r="KX91" s="11"/>
      <c r="KY91" s="11"/>
      <c r="KZ91" s="11"/>
      <c r="LA91" s="11"/>
      <c r="LB91" s="11"/>
      <c r="LC91" s="11"/>
      <c r="LD91" s="11"/>
      <c r="LE91" s="11"/>
      <c r="LF91" s="11"/>
      <c r="LG91" s="11"/>
      <c r="LH91" s="11"/>
      <c r="LI91" s="11"/>
      <c r="LJ91" s="11"/>
      <c r="LK91" s="11"/>
      <c r="LL91" s="11"/>
      <c r="LM91" s="11"/>
      <c r="LN91" s="11"/>
      <c r="LO91" s="11"/>
      <c r="LP91" s="11"/>
      <c r="LQ91" s="11"/>
      <c r="LR91" s="11"/>
      <c r="LS91" s="11"/>
      <c r="LT91" s="11"/>
      <c r="LU91" s="11"/>
      <c r="LV91" s="11"/>
      <c r="LW91" s="11"/>
      <c r="LX91" s="11"/>
      <c r="LY91" s="11"/>
      <c r="LZ91" s="11"/>
      <c r="MA91" s="11"/>
      <c r="MB91" s="11"/>
      <c r="MC91" s="11"/>
      <c r="MD91" s="11"/>
      <c r="ME91" s="11"/>
      <c r="MF91" s="11"/>
      <c r="MG91" s="11"/>
      <c r="MH91" s="11"/>
      <c r="MI91" s="11"/>
      <c r="MJ91" s="11"/>
      <c r="MK91" s="11"/>
      <c r="ML91" s="11"/>
      <c r="MM91" s="11"/>
      <c r="MN91" s="11"/>
      <c r="MO91" s="11"/>
      <c r="MP91" s="11"/>
      <c r="MQ91" s="11"/>
      <c r="MR91" s="11"/>
      <c r="MS91" s="11"/>
      <c r="MT91" s="11"/>
      <c r="MU91" s="11"/>
      <c r="MV91" s="11"/>
      <c r="MW91" s="11"/>
      <c r="MX91" s="11"/>
      <c r="MY91" s="11"/>
      <c r="MZ91" s="11"/>
      <c r="NA91" s="11"/>
      <c r="NB91" s="11"/>
      <c r="NC91" s="11"/>
      <c r="ND91" s="11"/>
      <c r="NE91" s="11"/>
      <c r="NF91" s="11"/>
      <c r="NG91" s="11"/>
      <c r="NH91" s="11"/>
      <c r="NI91" s="11"/>
      <c r="NJ91" s="11"/>
      <c r="NK91" s="11"/>
      <c r="NL91" s="11"/>
      <c r="NM91" s="11"/>
      <c r="NN91" s="11"/>
      <c r="NO91" s="11"/>
      <c r="NP91" s="11"/>
      <c r="NQ91" s="11"/>
      <c r="NR91" s="11"/>
      <c r="NS91" s="11"/>
      <c r="NT91" s="11"/>
      <c r="NU91" s="11"/>
      <c r="NV91" s="11"/>
      <c r="NW91" s="11"/>
      <c r="NX91" s="11"/>
      <c r="NY91" s="11"/>
      <c r="NZ91" s="11"/>
      <c r="OA91" s="11"/>
      <c r="OB91" s="11"/>
      <c r="OC91" s="11"/>
      <c r="OD91" s="11"/>
      <c r="OE91" s="11"/>
      <c r="OF91" s="11"/>
      <c r="OG91" s="11"/>
      <c r="OH91" s="11"/>
      <c r="OI91" s="11"/>
      <c r="OJ91" s="11"/>
      <c r="OK91" s="11"/>
      <c r="OL91" s="11"/>
      <c r="OM91" s="11"/>
      <c r="ON91" s="11"/>
      <c r="OO91" s="11"/>
      <c r="OP91" s="11"/>
      <c r="OQ91" s="11"/>
      <c r="OR91" s="11"/>
      <c r="OS91" s="11"/>
      <c r="OT91" s="11"/>
      <c r="OU91" s="11"/>
      <c r="OV91" s="11"/>
      <c r="OW91" s="11"/>
      <c r="OX91" s="11"/>
      <c r="OY91" s="11"/>
      <c r="OZ91" s="11"/>
      <c r="PA91" s="11"/>
      <c r="PB91" s="11"/>
      <c r="PC91" s="11"/>
      <c r="PD91" s="11"/>
      <c r="PE91" s="11"/>
      <c r="PF91" s="11"/>
      <c r="PG91" s="11"/>
      <c r="PH91" s="11"/>
      <c r="PI91" s="11"/>
      <c r="PJ91" s="11"/>
      <c r="PK91" s="11"/>
      <c r="PL91" s="11"/>
      <c r="PM91" s="11"/>
      <c r="PN91" s="11"/>
      <c r="PO91" s="11"/>
      <c r="PP91" s="11"/>
      <c r="PQ91" s="11"/>
      <c r="PR91" s="11"/>
      <c r="PS91" s="11"/>
      <c r="PT91" s="11"/>
      <c r="PU91" s="11"/>
      <c r="PV91" s="11"/>
      <c r="PW91" s="11"/>
      <c r="PX91" s="11"/>
      <c r="PY91" s="11"/>
      <c r="PZ91" s="11"/>
      <c r="QA91" s="11"/>
      <c r="QB91" s="11"/>
      <c r="QC91" s="11"/>
      <c r="QD91" s="11"/>
      <c r="QE91" s="11"/>
      <c r="QF91" s="11"/>
      <c r="QG91" s="11"/>
      <c r="QH91" s="11"/>
      <c r="QI91" s="11"/>
      <c r="QJ91" s="11"/>
      <c r="QK91" s="11"/>
      <c r="QL91" s="11"/>
      <c r="QM91" s="11"/>
      <c r="QN91" s="11"/>
      <c r="QO91" s="11"/>
      <c r="QP91" s="11"/>
      <c r="QQ91" s="11"/>
      <c r="QR91" s="11"/>
      <c r="QS91" s="11"/>
      <c r="QT91" s="11"/>
      <c r="QU91" s="11"/>
      <c r="QV91" s="11"/>
      <c r="QW91" s="11"/>
      <c r="QX91" s="11"/>
      <c r="QY91" s="11"/>
      <c r="QZ91" s="11"/>
      <c r="RA91" s="11"/>
      <c r="RB91" s="11"/>
      <c r="RC91" s="11"/>
      <c r="RD91" s="11"/>
      <c r="RE91" s="11"/>
      <c r="RF91" s="11"/>
      <c r="RG91" s="11"/>
      <c r="RH91" s="11"/>
      <c r="RI91" s="11"/>
      <c r="RJ91" s="11"/>
      <c r="RK91" s="11"/>
      <c r="RL91" s="11"/>
      <c r="RM91" s="11"/>
      <c r="RN91" s="11"/>
      <c r="RO91" s="11"/>
      <c r="RP91" s="11"/>
      <c r="RQ91" s="11"/>
      <c r="RR91" s="11"/>
      <c r="RS91" s="11"/>
      <c r="RT91" s="11"/>
      <c r="RU91" s="11"/>
      <c r="RV91" s="11"/>
      <c r="RW91" s="11"/>
      <c r="RX91" s="11"/>
      <c r="RY91" s="11"/>
      <c r="RZ91" s="11"/>
      <c r="SA91" s="11"/>
      <c r="SB91" s="11"/>
      <c r="SC91" s="11"/>
      <c r="SD91" s="11"/>
      <c r="SE91" s="11"/>
      <c r="SF91" s="11"/>
      <c r="SG91" s="11"/>
      <c r="SH91" s="11"/>
      <c r="SI91" s="11"/>
      <c r="SJ91" s="11"/>
      <c r="SK91" s="11"/>
      <c r="SL91" s="11"/>
      <c r="SM91" s="11"/>
      <c r="SN91" s="11"/>
      <c r="SO91" s="11"/>
      <c r="SP91" s="11"/>
      <c r="SQ91" s="11"/>
      <c r="SR91" s="11"/>
      <c r="SS91" s="11"/>
      <c r="ST91" s="11"/>
      <c r="SU91" s="11"/>
      <c r="SV91" s="11"/>
      <c r="SW91" s="11"/>
      <c r="SX91" s="11"/>
      <c r="SY91" s="11"/>
      <c r="SZ91" s="11"/>
      <c r="TA91" s="11"/>
      <c r="TB91" s="11"/>
      <c r="TC91" s="11"/>
      <c r="TD91" s="11"/>
      <c r="TE91" s="11"/>
      <c r="TF91" s="11"/>
      <c r="TG91" s="11"/>
      <c r="TH91" s="11"/>
      <c r="TI91" s="11"/>
      <c r="TJ91" s="11"/>
      <c r="TK91" s="11"/>
      <c r="TL91" s="11"/>
      <c r="TM91" s="11"/>
      <c r="TN91" s="11"/>
      <c r="TO91" s="11"/>
      <c r="TP91" s="11"/>
      <c r="TQ91" s="11"/>
      <c r="TR91" s="11"/>
      <c r="TS91" s="11"/>
      <c r="TT91" s="11"/>
      <c r="TU91" s="11"/>
      <c r="TV91" s="11"/>
      <c r="TW91" s="11"/>
      <c r="TX91" s="11"/>
      <c r="TY91" s="11"/>
      <c r="TZ91" s="11"/>
      <c r="UA91" s="11"/>
      <c r="UB91" s="11"/>
      <c r="UC91" s="11"/>
      <c r="UD91" s="11"/>
      <c r="UE91" s="11"/>
      <c r="UF91" s="11"/>
      <c r="UG91" s="11"/>
      <c r="UH91" s="11"/>
      <c r="UI91" s="11"/>
      <c r="UJ91" s="11"/>
      <c r="UK91" s="11"/>
      <c r="UL91" s="11"/>
      <c r="UM91" s="11"/>
      <c r="UN91" s="11"/>
      <c r="UO91" s="11"/>
      <c r="UP91" s="11"/>
      <c r="UQ91" s="11"/>
      <c r="UR91" s="11"/>
      <c r="US91" s="11"/>
      <c r="UT91" s="11"/>
      <c r="UU91" s="11"/>
      <c r="UV91" s="11"/>
      <c r="UW91" s="11"/>
      <c r="UX91" s="11"/>
      <c r="UY91" s="11"/>
      <c r="UZ91" s="11"/>
      <c r="VA91" s="11"/>
      <c r="VB91" s="11"/>
      <c r="VC91" s="11"/>
      <c r="VD91" s="11"/>
      <c r="VE91" s="11"/>
      <c r="VF91" s="11"/>
      <c r="VG91" s="11"/>
      <c r="VH91" s="11"/>
      <c r="VI91" s="11"/>
      <c r="VJ91" s="11"/>
      <c r="VK91" s="11"/>
      <c r="VL91" s="11"/>
      <c r="VM91" s="11"/>
      <c r="VN91" s="11"/>
      <c r="VO91" s="11"/>
      <c r="VP91" s="11"/>
      <c r="VQ91" s="11"/>
      <c r="VR91" s="11"/>
      <c r="VS91" s="11"/>
      <c r="VT91" s="11"/>
      <c r="VU91" s="11"/>
      <c r="VV91" s="11"/>
      <c r="VW91" s="11"/>
      <c r="VX91" s="11"/>
      <c r="VY91" s="11"/>
      <c r="VZ91" s="11"/>
      <c r="WA91" s="11"/>
      <c r="WB91" s="11"/>
      <c r="WC91" s="11"/>
      <c r="WD91" s="11"/>
      <c r="WE91" s="11"/>
      <c r="WF91" s="11"/>
      <c r="WG91" s="11"/>
      <c r="WH91" s="11"/>
      <c r="WI91" s="11"/>
      <c r="WJ91" s="11"/>
      <c r="WK91" s="11"/>
      <c r="WL91" s="11"/>
      <c r="WM91" s="11"/>
      <c r="WN91" s="11"/>
      <c r="WO91" s="11"/>
      <c r="WP91" s="11"/>
      <c r="WQ91" s="11"/>
      <c r="WR91" s="11"/>
      <c r="WS91" s="11"/>
      <c r="WT91" s="11"/>
      <c r="WU91" s="11"/>
      <c r="WV91" s="11"/>
      <c r="WW91" s="11"/>
      <c r="WX91" s="11"/>
      <c r="WY91" s="11"/>
      <c r="WZ91" s="11"/>
      <c r="XA91" s="11"/>
      <c r="XB91" s="11"/>
      <c r="XC91" s="11"/>
      <c r="XD91" s="11"/>
      <c r="XE91" s="11"/>
      <c r="XF91" s="11"/>
      <c r="XG91" s="11"/>
      <c r="XH91" s="11"/>
      <c r="XI91" s="11"/>
      <c r="XJ91" s="11"/>
      <c r="XK91" s="11"/>
      <c r="XL91" s="11"/>
      <c r="XM91" s="11"/>
      <c r="XN91" s="11"/>
      <c r="XO91" s="11"/>
      <c r="XP91" s="11"/>
      <c r="XQ91" s="11"/>
      <c r="XR91" s="11"/>
      <c r="XS91" s="11"/>
      <c r="XT91" s="11"/>
      <c r="XU91" s="11"/>
      <c r="XV91" s="11"/>
      <c r="XW91" s="11"/>
      <c r="XX91" s="11"/>
      <c r="XY91" s="11"/>
      <c r="XZ91" s="11"/>
      <c r="YA91" s="11"/>
      <c r="YB91" s="11"/>
      <c r="YC91" s="11"/>
      <c r="YD91" s="11"/>
      <c r="YE91" s="11"/>
      <c r="YF91" s="11"/>
      <c r="YG91" s="11"/>
      <c r="YH91" s="11"/>
      <c r="YI91" s="11"/>
      <c r="YJ91" s="11"/>
      <c r="YK91" s="11"/>
      <c r="YL91" s="11"/>
      <c r="YM91" s="11"/>
      <c r="YN91" s="11"/>
      <c r="YO91" s="11"/>
      <c r="YP91" s="11"/>
      <c r="YQ91" s="11"/>
      <c r="YR91" s="11"/>
      <c r="YS91" s="11"/>
      <c r="YT91" s="11"/>
      <c r="YU91" s="11"/>
      <c r="YV91" s="11"/>
      <c r="YW91" s="11"/>
      <c r="YX91" s="11"/>
      <c r="YY91" s="11"/>
      <c r="YZ91" s="11"/>
      <c r="ZA91" s="11"/>
      <c r="ZB91" s="11"/>
      <c r="ZC91" s="11"/>
      <c r="ZD91" s="11"/>
      <c r="ZE91" s="11"/>
      <c r="ZF91" s="11"/>
      <c r="ZG91" s="11"/>
      <c r="ZH91" s="11"/>
      <c r="ZI91" s="11"/>
      <c r="ZJ91" s="11"/>
      <c r="ZK91" s="11"/>
      <c r="ZL91" s="11"/>
      <c r="ZM91" s="11"/>
      <c r="ZN91" s="11"/>
      <c r="ZO91" s="11"/>
      <c r="ZP91" s="11"/>
      <c r="ZQ91" s="11"/>
      <c r="ZR91" s="11"/>
      <c r="ZS91" s="11"/>
      <c r="ZT91" s="11"/>
      <c r="ZU91" s="11"/>
      <c r="ZV91" s="11"/>
      <c r="ZW91" s="11"/>
      <c r="ZX91" s="11"/>
      <c r="ZY91" s="11"/>
      <c r="ZZ91" s="11"/>
      <c r="AAA91" s="11"/>
      <c r="AAB91" s="11"/>
      <c r="AAC91" s="11"/>
      <c r="AAD91" s="11"/>
      <c r="AAE91" s="11"/>
      <c r="AAF91" s="11"/>
      <c r="AAG91" s="11"/>
      <c r="AAH91" s="11"/>
      <c r="AAI91" s="11"/>
      <c r="AAJ91" s="11"/>
      <c r="AAK91" s="11"/>
      <c r="AAL91" s="11"/>
      <c r="AAM91" s="11"/>
      <c r="AAN91" s="11"/>
      <c r="AAO91" s="11"/>
      <c r="AAP91" s="11"/>
      <c r="AAQ91" s="11"/>
      <c r="AAR91" s="11"/>
      <c r="AAS91" s="11"/>
      <c r="AAT91" s="11"/>
      <c r="AAU91" s="11"/>
      <c r="AAV91" s="11"/>
      <c r="AAW91" s="11"/>
      <c r="AAX91" s="11"/>
      <c r="AAY91" s="11"/>
      <c r="AAZ91" s="11"/>
      <c r="ABA91" s="11"/>
      <c r="ABB91" s="11"/>
      <c r="ABC91" s="11"/>
      <c r="ABD91" s="11"/>
      <c r="ABE91" s="11"/>
      <c r="ABF91" s="11"/>
      <c r="ABG91" s="11"/>
      <c r="ABH91" s="11"/>
      <c r="ABI91" s="11"/>
      <c r="ABJ91" s="11"/>
      <c r="ABK91" s="11"/>
      <c r="ABL91" s="11"/>
      <c r="ABM91" s="11"/>
      <c r="ABN91" s="11"/>
      <c r="ABO91" s="11"/>
      <c r="ABP91" s="11"/>
      <c r="ABQ91" s="11"/>
      <c r="ABR91" s="11"/>
      <c r="ABS91" s="11"/>
      <c r="ABT91" s="11"/>
      <c r="ABU91" s="11"/>
      <c r="ABV91" s="11"/>
      <c r="ABW91" s="11"/>
      <c r="ABX91" s="11"/>
      <c r="ABY91" s="11"/>
      <c r="ABZ91" s="11"/>
      <c r="ACA91" s="11"/>
      <c r="ACB91" s="11"/>
      <c r="ACC91" s="11"/>
      <c r="ACD91" s="11"/>
      <c r="ACE91" s="11"/>
      <c r="ACF91" s="11"/>
      <c r="ACG91" s="11"/>
      <c r="ACH91" s="11"/>
      <c r="ACI91" s="11"/>
      <c r="ACJ91" s="11"/>
      <c r="ACK91" s="11"/>
      <c r="ACL91" s="11"/>
      <c r="ACM91" s="11"/>
      <c r="ACN91" s="11"/>
      <c r="ACO91" s="11"/>
      <c r="ACP91" s="11"/>
      <c r="ACQ91" s="11"/>
      <c r="ACR91" s="11"/>
      <c r="ACS91" s="11"/>
      <c r="ACT91" s="11"/>
      <c r="ACU91" s="11"/>
      <c r="ACV91" s="11"/>
      <c r="ACW91" s="11"/>
      <c r="ACX91" s="11"/>
      <c r="ACY91" s="11"/>
      <c r="ACZ91" s="11"/>
      <c r="ADA91" s="11"/>
      <c r="ADB91" s="11"/>
      <c r="ADC91" s="11"/>
      <c r="ADD91" s="11"/>
      <c r="ADE91" s="11"/>
      <c r="ADF91" s="11"/>
      <c r="ADG91" s="11"/>
      <c r="ADH91" s="11"/>
      <c r="ADI91" s="11"/>
      <c r="ADJ91" s="11"/>
      <c r="ADK91" s="11"/>
      <c r="ADL91" s="11"/>
      <c r="ADM91" s="11"/>
      <c r="ADN91" s="11"/>
      <c r="ADO91" s="11"/>
      <c r="ADP91" s="11"/>
      <c r="ADQ91" s="11"/>
      <c r="ADR91" s="11"/>
      <c r="ADS91" s="11"/>
      <c r="ADT91" s="11"/>
      <c r="ADU91" s="11"/>
      <c r="ADV91" s="11"/>
      <c r="ADW91" s="11"/>
      <c r="ADX91" s="11"/>
      <c r="ADY91" s="11"/>
      <c r="ADZ91" s="11"/>
      <c r="AEA91" s="11"/>
      <c r="AEB91" s="11"/>
      <c r="AEC91" s="11"/>
      <c r="AED91" s="11"/>
      <c r="AEE91" s="11"/>
      <c r="AEF91" s="11"/>
      <c r="AEG91" s="11"/>
      <c r="AEH91" s="11"/>
      <c r="AEI91" s="11"/>
      <c r="AEJ91" s="11"/>
      <c r="AEK91" s="11"/>
      <c r="AEL91" s="11"/>
      <c r="AEM91" s="11"/>
      <c r="AEN91" s="11"/>
      <c r="AEO91" s="11"/>
      <c r="AEP91" s="11"/>
      <c r="AEQ91" s="11"/>
      <c r="AER91" s="11"/>
      <c r="AES91" s="11"/>
      <c r="AET91" s="11"/>
      <c r="AEU91" s="11"/>
      <c r="AEV91" s="11"/>
      <c r="AEW91" s="11"/>
      <c r="AEX91" s="11"/>
      <c r="AEY91" s="11"/>
      <c r="AEZ91" s="11"/>
      <c r="AFA91" s="11"/>
      <c r="AFB91" s="11"/>
      <c r="AFC91" s="11"/>
      <c r="AFD91" s="11"/>
      <c r="AFE91" s="11"/>
      <c r="AFF91" s="11"/>
      <c r="AFG91" s="11"/>
      <c r="AFH91" s="11"/>
      <c r="AFI91" s="11"/>
    </row>
    <row r="92" spans="2:841">
      <c r="B92" s="11"/>
      <c r="C92" s="657"/>
      <c r="D92" s="289" t="s">
        <v>626</v>
      </c>
      <c r="E92" s="551">
        <f>SUMIFS(M_Datos!$N$44:$N$46,M_Datos!$O$44:$O$46,M_Lista!G20)</f>
        <v>0</v>
      </c>
      <c r="F92" s="312" t="e">
        <f>IF(AND(M_FactoresComplement!$G$439="No",M_FactoresComplement!$G$441="No"),M_Cálculos!E92*VLOOKUP(M_Datos!$E$12&amp;M_Cálculos!D92,M_Factores!$M$10:$P$108,2,FALSE)/(10^3),IF(AND(M_FactoresComplement!$G$439="Sí",M_FactoresComplement!$G$441="No"),E92*M_FactoresComplement!G455/(10^3),E92*VLOOKUP(M_FactoresComplement!$C$467&amp;M_Datos!$E$12&amp;M_Lista!G19,M_FactoresComplement!$F$446:$I$781,2,FALSE)/(10^3)))</f>
        <v>#N/A</v>
      </c>
      <c r="G92" s="313" t="e">
        <f>IF(AND(M_FactoresComplement!$G$439="No",M_FactoresComplement!$G$441="No"),M_Cálculos!E92*VLOOKUP(M_Datos!$E$12&amp;M_Cálculos!D92,M_Factores!$M$10:$P$108,3,FALSE)/(10^3),IF(AND(M_FactoresComplement!$G$439="Sí",M_FactoresComplement!$G$441="No"),E92*M_FactoresComplement!H455/(10^3),E92*VLOOKUP(M_FactoresComplement!$C$467&amp;M_Datos!$E$12&amp;M_Lista!G19,M_FactoresComplement!$F$446:$I$781,3,FALSE)/(10^3)))</f>
        <v>#N/A</v>
      </c>
      <c r="H92" s="551">
        <f>SUMIFS(M_Datos!$P$44:$P$46,M_Datos!$Q$44:$Q$46,M_Lista!G20)</f>
        <v>0</v>
      </c>
      <c r="I92" s="312" t="e">
        <f>IF(AND(M_FactoresComplement!$G$439="No",M_FactoresComplement!$G$441="No"),M_Cálculos!H92*VLOOKUP(M_Datos!$E$12&amp;M_Cálculos!D92,M_Factores!$M$10:$P$108,2,FALSE)/(10^3),IF(AND(M_FactoresComplement!$G$439="Sí",M_FactoresComplement!$G$441="No"),H92*M_FactoresComplement!G455/(10^3),H92*VLOOKUP(M_FactoresComplement!$C$467&amp;M_Datos!$E$12&amp;M_Lista!G19,M_FactoresComplement!$F$446:$I$781,2,FALSE)/(10^3)))</f>
        <v>#N/A</v>
      </c>
      <c r="J92" s="313" t="e">
        <f>IF(AND(M_FactoresComplement!$G$439="No",M_FactoresComplement!$G$441="No"),M_Cálculos!H92*VLOOKUP(M_Datos!$E$12&amp;M_Cálculos!D92,M_Factores!$M$10:$P$108,3,FALSE)/(10^3),IF(AND(M_FactoresComplement!$G$439="Sí",M_FactoresComplement!$G$441="No"),H92*M_FactoresComplement!H455/(10^3),H92*VLOOKUP(M_FactoresComplement!$C$467&amp;M_Datos!$E$12&amp;M_Lista!G19,M_FactoresComplement!$F$446:$I$781,3,FALSE)/(10^3)))</f>
        <v>#N/A</v>
      </c>
      <c r="K92" s="551">
        <f>SUMIFS(M_Datos!$R$44:$R$46,M_Datos!$S$44:$S$46,M_Lista!G20)</f>
        <v>0</v>
      </c>
      <c r="L92" s="312" t="e">
        <f>IF(AND(M_FactoresComplement!$G$439="No",M_FactoresComplement!$G$441="No"),M_Cálculos!K92*VLOOKUP(M_Datos!$E$12&amp;M_Cálculos!D92,M_Factores!$M$10:$P$108,2,FALSE)/(10^3),IF(AND(M_FactoresComplement!$G$439="Sí",M_FactoresComplement!$G$441="No"),K92*M_FactoresComplement!G455/(10^3),K92*VLOOKUP(M_FactoresComplement!$C$467&amp;M_Datos!$E$12&amp;M_Lista!G19,M_FactoresComplement!$F$446:$I$781,2,FALSE)/(10^3)))</f>
        <v>#N/A</v>
      </c>
      <c r="M92" s="313" t="e">
        <f>IF(AND(M_FactoresComplement!$G$439="No",M_FactoresComplement!$G$441="No"),M_Cálculos!K92*VLOOKUP(M_Datos!$E$12&amp;M_Cálculos!D92,M_Factores!$M$10:$P$108,3,FALSE)/(10^3),IF(AND(M_FactoresComplement!$G$439="Sí",M_FactoresComplement!$G$441="No"),K92*M_FactoresComplement!H455/(10^3),K92*VLOOKUP(M_FactoresComplement!$C$467&amp;M_Datos!$E$12&amp;M_Lista!G19,M_FactoresComplement!$F$446:$I$781,3,FALSE)/(10^3)))</f>
        <v>#N/A</v>
      </c>
      <c r="N92" s="551">
        <f>SUMIFS(M_Datos!$T$44:$T$46,M_Datos!$U$44:$U$46,M_Lista!G20)</f>
        <v>0</v>
      </c>
      <c r="O92" s="312" t="e">
        <f>IF(AND(M_FactoresComplement!$G$439="No",M_FactoresComplement!$G$441="No"),M_Cálculos!N92*VLOOKUP(M_Datos!$E$12&amp;M_Cálculos!D92,M_Factores!$M$10:$P$108,2,FALSE)/(10^3),IF(AND(M_FactoresComplement!$G$439="Sí",M_FactoresComplement!$G$441="No"),N92*M_FactoresComplement!G455/(10^3),N92*VLOOKUP(M_FactoresComplement!$C$467&amp;M_Datos!$E$12&amp;M_Lista!G19,M_FactoresComplement!$F$446:$I$781,2,FALSE)/(10^3)))</f>
        <v>#N/A</v>
      </c>
      <c r="P92" s="313" t="e">
        <f>IF(AND(M_FactoresComplement!$G$439="No",M_FactoresComplement!$G$441="No"),M_Cálculos!N92*VLOOKUP(M_Datos!$E$12&amp;M_Cálculos!D92,M_Factores!$M$10:$P$108,3,FALSE)/(10^3),IF(AND(M_FactoresComplement!$G$439="Sí",M_FactoresComplement!$G$441="No"),N92*M_FactoresComplement!H455/(10^3),N92*VLOOKUP(M_FactoresComplement!$C$467&amp;M_Datos!$E$12&amp;M_Lista!G19,M_FactoresComplement!$F$446:$I$781,3,FALSE)/(10^3)))</f>
        <v>#N/A</v>
      </c>
      <c r="Q92" s="551">
        <f>SUMIFS(M_Datos!$V$44:$V$46,M_Datos!$W$44:$W$46,M_Lista!G20)</f>
        <v>0</v>
      </c>
      <c r="R92" s="312" t="e">
        <f>IF(AND(M_FactoresComplement!$G$439="No",M_FactoresComplement!$G$441="No"),M_Cálculos!Q92*VLOOKUP(M_Datos!$E$12&amp;M_Cálculos!D92,M_Factores!$M$10:$P$108,2,FALSE)/(10^3),IF(AND(M_FactoresComplement!$G$439="Sí",M_FactoresComplement!$G$441="No"),Q92*M_FactoresComplement!G455/(10^3),Q92*VLOOKUP(M_FactoresComplement!$C$467&amp;M_Datos!$E$12&amp;M_Lista!G19,M_FactoresComplement!$F$446:$I$781,2,FALSE)/(10^3)))</f>
        <v>#N/A</v>
      </c>
      <c r="S92" s="313" t="e">
        <f>IF(AND(M_FactoresComplement!$G$439="No",M_FactoresComplement!$G$441="No"),M_Cálculos!Q92*VLOOKUP(M_Datos!$E$12&amp;M_Cálculos!D92,M_Factores!$M$10:$P$108,3,FALSE)/(10^3),IF(AND(M_FactoresComplement!$G$439="Sí",M_FactoresComplement!$G$441="No"),Q92*M_FactoresComplement!H455/(10^3),Q92*VLOOKUP(M_FactoresComplement!$C$467&amp;M_Datos!$E$12&amp;M_Lista!G19,M_FactoresComplement!$F$446:$I$781,3,FALSE)/(10^3)))</f>
        <v>#N/A</v>
      </c>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1"/>
      <c r="JA92" s="11"/>
      <c r="JB92" s="11"/>
      <c r="JC92" s="11"/>
      <c r="JD92" s="11"/>
      <c r="JE92" s="11"/>
      <c r="JF92" s="11"/>
      <c r="JG92" s="11"/>
      <c r="JH92" s="11"/>
      <c r="JI92" s="11"/>
      <c r="JJ92" s="11"/>
      <c r="JK92" s="11"/>
      <c r="JL92" s="11"/>
      <c r="JM92" s="11"/>
      <c r="JN92" s="11"/>
      <c r="JO92" s="11"/>
      <c r="JP92" s="11"/>
      <c r="JQ92" s="11"/>
      <c r="JR92" s="11"/>
      <c r="JS92" s="11"/>
      <c r="JT92" s="11"/>
      <c r="JU92" s="11"/>
      <c r="JV92" s="11"/>
      <c r="JW92" s="11"/>
      <c r="JX92" s="11"/>
      <c r="JY92" s="11"/>
      <c r="JZ92" s="11"/>
      <c r="KA92" s="11"/>
      <c r="KB92" s="11"/>
      <c r="KC92" s="11"/>
      <c r="KD92" s="11"/>
      <c r="KE92" s="11"/>
      <c r="KF92" s="11"/>
      <c r="KG92" s="11"/>
      <c r="KH92" s="11"/>
      <c r="KI92" s="11"/>
      <c r="KJ92" s="11"/>
      <c r="KK92" s="11"/>
      <c r="KL92" s="11"/>
      <c r="KM92" s="11"/>
      <c r="KN92" s="11"/>
      <c r="KO92" s="11"/>
      <c r="KP92" s="11"/>
      <c r="KQ92" s="11"/>
      <c r="KR92" s="11"/>
      <c r="KS92" s="11"/>
      <c r="KT92" s="11"/>
      <c r="KU92" s="11"/>
      <c r="KV92" s="11"/>
      <c r="KW92" s="11"/>
      <c r="KX92" s="11"/>
      <c r="KY92" s="11"/>
      <c r="KZ92" s="11"/>
      <c r="LA92" s="11"/>
      <c r="LB92" s="11"/>
      <c r="LC92" s="11"/>
      <c r="LD92" s="11"/>
      <c r="LE92" s="11"/>
      <c r="LF92" s="11"/>
      <c r="LG92" s="11"/>
      <c r="LH92" s="11"/>
      <c r="LI92" s="11"/>
      <c r="LJ92" s="11"/>
      <c r="LK92" s="11"/>
      <c r="LL92" s="11"/>
      <c r="LM92" s="11"/>
      <c r="LN92" s="11"/>
      <c r="LO92" s="11"/>
      <c r="LP92" s="11"/>
      <c r="LQ92" s="11"/>
      <c r="LR92" s="11"/>
      <c r="LS92" s="11"/>
      <c r="LT92" s="11"/>
      <c r="LU92" s="11"/>
      <c r="LV92" s="11"/>
      <c r="LW92" s="11"/>
      <c r="LX92" s="11"/>
      <c r="LY92" s="11"/>
      <c r="LZ92" s="11"/>
      <c r="MA92" s="11"/>
      <c r="MB92" s="11"/>
      <c r="MC92" s="11"/>
      <c r="MD92" s="11"/>
      <c r="ME92" s="11"/>
      <c r="MF92" s="11"/>
      <c r="MG92" s="11"/>
      <c r="MH92" s="11"/>
      <c r="MI92" s="11"/>
      <c r="MJ92" s="11"/>
      <c r="MK92" s="11"/>
      <c r="ML92" s="11"/>
      <c r="MM92" s="11"/>
      <c r="MN92" s="11"/>
      <c r="MO92" s="11"/>
      <c r="MP92" s="11"/>
      <c r="MQ92" s="11"/>
      <c r="MR92" s="11"/>
      <c r="MS92" s="11"/>
      <c r="MT92" s="11"/>
      <c r="MU92" s="11"/>
      <c r="MV92" s="11"/>
      <c r="MW92" s="11"/>
      <c r="MX92" s="11"/>
      <c r="MY92" s="11"/>
      <c r="MZ92" s="11"/>
      <c r="NA92" s="11"/>
      <c r="NB92" s="11"/>
      <c r="NC92" s="11"/>
      <c r="ND92" s="11"/>
      <c r="NE92" s="11"/>
      <c r="NF92" s="11"/>
      <c r="NG92" s="11"/>
      <c r="NH92" s="11"/>
      <c r="NI92" s="11"/>
      <c r="NJ92" s="11"/>
      <c r="NK92" s="11"/>
      <c r="NL92" s="11"/>
      <c r="NM92" s="11"/>
      <c r="NN92" s="11"/>
      <c r="NO92" s="11"/>
      <c r="NP92" s="11"/>
      <c r="NQ92" s="11"/>
      <c r="NR92" s="11"/>
      <c r="NS92" s="11"/>
      <c r="NT92" s="11"/>
      <c r="NU92" s="11"/>
      <c r="NV92" s="11"/>
      <c r="NW92" s="11"/>
      <c r="NX92" s="11"/>
      <c r="NY92" s="11"/>
      <c r="NZ92" s="11"/>
      <c r="OA92" s="11"/>
      <c r="OB92" s="11"/>
      <c r="OC92" s="11"/>
      <c r="OD92" s="11"/>
      <c r="OE92" s="11"/>
      <c r="OF92" s="11"/>
      <c r="OG92" s="11"/>
      <c r="OH92" s="11"/>
      <c r="OI92" s="11"/>
      <c r="OJ92" s="11"/>
      <c r="OK92" s="11"/>
      <c r="OL92" s="11"/>
      <c r="OM92" s="11"/>
      <c r="ON92" s="11"/>
      <c r="OO92" s="11"/>
      <c r="OP92" s="11"/>
      <c r="OQ92" s="11"/>
      <c r="OR92" s="11"/>
      <c r="OS92" s="11"/>
      <c r="OT92" s="11"/>
      <c r="OU92" s="11"/>
      <c r="OV92" s="11"/>
      <c r="OW92" s="11"/>
      <c r="OX92" s="11"/>
      <c r="OY92" s="11"/>
      <c r="OZ92" s="11"/>
      <c r="PA92" s="11"/>
      <c r="PB92" s="11"/>
      <c r="PC92" s="11"/>
      <c r="PD92" s="11"/>
      <c r="PE92" s="11"/>
      <c r="PF92" s="11"/>
      <c r="PG92" s="11"/>
      <c r="PH92" s="11"/>
      <c r="PI92" s="11"/>
      <c r="PJ92" s="11"/>
      <c r="PK92" s="11"/>
      <c r="PL92" s="11"/>
      <c r="PM92" s="11"/>
      <c r="PN92" s="11"/>
      <c r="PO92" s="11"/>
      <c r="PP92" s="11"/>
      <c r="PQ92" s="11"/>
      <c r="PR92" s="11"/>
      <c r="PS92" s="11"/>
      <c r="PT92" s="11"/>
      <c r="PU92" s="11"/>
      <c r="PV92" s="11"/>
      <c r="PW92" s="11"/>
      <c r="PX92" s="11"/>
      <c r="PY92" s="11"/>
      <c r="PZ92" s="11"/>
      <c r="QA92" s="11"/>
      <c r="QB92" s="11"/>
      <c r="QC92" s="11"/>
      <c r="QD92" s="11"/>
      <c r="QE92" s="11"/>
      <c r="QF92" s="11"/>
      <c r="QG92" s="11"/>
      <c r="QH92" s="11"/>
      <c r="QI92" s="11"/>
      <c r="QJ92" s="11"/>
      <c r="QK92" s="11"/>
      <c r="QL92" s="11"/>
      <c r="QM92" s="11"/>
      <c r="QN92" s="11"/>
      <c r="QO92" s="11"/>
      <c r="QP92" s="11"/>
      <c r="QQ92" s="11"/>
      <c r="QR92" s="11"/>
      <c r="QS92" s="11"/>
      <c r="QT92" s="11"/>
      <c r="QU92" s="11"/>
      <c r="QV92" s="11"/>
      <c r="QW92" s="11"/>
      <c r="QX92" s="11"/>
      <c r="QY92" s="11"/>
      <c r="QZ92" s="11"/>
      <c r="RA92" s="11"/>
      <c r="RB92" s="11"/>
      <c r="RC92" s="11"/>
      <c r="RD92" s="11"/>
      <c r="RE92" s="11"/>
      <c r="RF92" s="11"/>
      <c r="RG92" s="11"/>
      <c r="RH92" s="11"/>
      <c r="RI92" s="11"/>
      <c r="RJ92" s="11"/>
      <c r="RK92" s="11"/>
      <c r="RL92" s="11"/>
      <c r="RM92" s="11"/>
      <c r="RN92" s="11"/>
      <c r="RO92" s="11"/>
      <c r="RP92" s="11"/>
      <c r="RQ92" s="11"/>
      <c r="RR92" s="11"/>
      <c r="RS92" s="11"/>
      <c r="RT92" s="11"/>
      <c r="RU92" s="11"/>
      <c r="RV92" s="11"/>
      <c r="RW92" s="11"/>
      <c r="RX92" s="11"/>
      <c r="RY92" s="11"/>
      <c r="RZ92" s="11"/>
      <c r="SA92" s="11"/>
      <c r="SB92" s="11"/>
      <c r="SC92" s="11"/>
      <c r="SD92" s="11"/>
      <c r="SE92" s="11"/>
      <c r="SF92" s="11"/>
      <c r="SG92" s="11"/>
      <c r="SH92" s="11"/>
      <c r="SI92" s="11"/>
      <c r="SJ92" s="11"/>
      <c r="SK92" s="11"/>
      <c r="SL92" s="11"/>
      <c r="SM92" s="11"/>
      <c r="SN92" s="11"/>
      <c r="SO92" s="11"/>
      <c r="SP92" s="11"/>
      <c r="SQ92" s="11"/>
      <c r="SR92" s="11"/>
      <c r="SS92" s="11"/>
      <c r="ST92" s="11"/>
      <c r="SU92" s="11"/>
      <c r="SV92" s="11"/>
      <c r="SW92" s="11"/>
      <c r="SX92" s="11"/>
      <c r="SY92" s="11"/>
      <c r="SZ92" s="11"/>
      <c r="TA92" s="11"/>
      <c r="TB92" s="11"/>
      <c r="TC92" s="11"/>
      <c r="TD92" s="11"/>
      <c r="TE92" s="11"/>
      <c r="TF92" s="11"/>
      <c r="TG92" s="11"/>
      <c r="TH92" s="11"/>
      <c r="TI92" s="11"/>
      <c r="TJ92" s="11"/>
      <c r="TK92" s="11"/>
      <c r="TL92" s="11"/>
      <c r="TM92" s="11"/>
      <c r="TN92" s="11"/>
      <c r="TO92" s="11"/>
      <c r="TP92" s="11"/>
      <c r="TQ92" s="11"/>
      <c r="TR92" s="11"/>
      <c r="TS92" s="11"/>
      <c r="TT92" s="11"/>
      <c r="TU92" s="11"/>
      <c r="TV92" s="11"/>
      <c r="TW92" s="11"/>
      <c r="TX92" s="11"/>
      <c r="TY92" s="11"/>
      <c r="TZ92" s="11"/>
      <c r="UA92" s="11"/>
      <c r="UB92" s="11"/>
      <c r="UC92" s="11"/>
      <c r="UD92" s="11"/>
      <c r="UE92" s="11"/>
      <c r="UF92" s="11"/>
      <c r="UG92" s="11"/>
      <c r="UH92" s="11"/>
      <c r="UI92" s="11"/>
      <c r="UJ92" s="11"/>
      <c r="UK92" s="11"/>
      <c r="UL92" s="11"/>
      <c r="UM92" s="11"/>
      <c r="UN92" s="11"/>
      <c r="UO92" s="11"/>
      <c r="UP92" s="11"/>
      <c r="UQ92" s="11"/>
      <c r="UR92" s="11"/>
      <c r="US92" s="11"/>
      <c r="UT92" s="11"/>
      <c r="UU92" s="11"/>
      <c r="UV92" s="11"/>
      <c r="UW92" s="11"/>
      <c r="UX92" s="11"/>
      <c r="UY92" s="11"/>
      <c r="UZ92" s="11"/>
      <c r="VA92" s="11"/>
      <c r="VB92" s="11"/>
      <c r="VC92" s="11"/>
      <c r="VD92" s="11"/>
      <c r="VE92" s="11"/>
      <c r="VF92" s="11"/>
      <c r="VG92" s="11"/>
      <c r="VH92" s="11"/>
      <c r="VI92" s="11"/>
      <c r="VJ92" s="11"/>
      <c r="VK92" s="11"/>
      <c r="VL92" s="11"/>
      <c r="VM92" s="11"/>
      <c r="VN92" s="11"/>
      <c r="VO92" s="11"/>
      <c r="VP92" s="11"/>
      <c r="VQ92" s="11"/>
      <c r="VR92" s="11"/>
      <c r="VS92" s="11"/>
      <c r="VT92" s="11"/>
      <c r="VU92" s="11"/>
      <c r="VV92" s="11"/>
      <c r="VW92" s="11"/>
      <c r="VX92" s="11"/>
      <c r="VY92" s="11"/>
      <c r="VZ92" s="11"/>
      <c r="WA92" s="11"/>
      <c r="WB92" s="11"/>
      <c r="WC92" s="11"/>
      <c r="WD92" s="11"/>
      <c r="WE92" s="11"/>
      <c r="WF92" s="11"/>
      <c r="WG92" s="11"/>
      <c r="WH92" s="11"/>
      <c r="WI92" s="11"/>
      <c r="WJ92" s="11"/>
      <c r="WK92" s="11"/>
      <c r="WL92" s="11"/>
      <c r="WM92" s="11"/>
      <c r="WN92" s="11"/>
      <c r="WO92" s="11"/>
      <c r="WP92" s="11"/>
      <c r="WQ92" s="11"/>
      <c r="WR92" s="11"/>
      <c r="WS92" s="11"/>
      <c r="WT92" s="11"/>
      <c r="WU92" s="11"/>
      <c r="WV92" s="11"/>
      <c r="WW92" s="11"/>
      <c r="WX92" s="11"/>
      <c r="WY92" s="11"/>
      <c r="WZ92" s="11"/>
      <c r="XA92" s="11"/>
      <c r="XB92" s="11"/>
      <c r="XC92" s="11"/>
      <c r="XD92" s="11"/>
      <c r="XE92" s="11"/>
      <c r="XF92" s="11"/>
      <c r="XG92" s="11"/>
      <c r="XH92" s="11"/>
      <c r="XI92" s="11"/>
      <c r="XJ92" s="11"/>
      <c r="XK92" s="11"/>
      <c r="XL92" s="11"/>
      <c r="XM92" s="11"/>
      <c r="XN92" s="11"/>
      <c r="XO92" s="11"/>
      <c r="XP92" s="11"/>
      <c r="XQ92" s="11"/>
      <c r="XR92" s="11"/>
      <c r="XS92" s="11"/>
      <c r="XT92" s="11"/>
      <c r="XU92" s="11"/>
      <c r="XV92" s="11"/>
      <c r="XW92" s="11"/>
      <c r="XX92" s="11"/>
      <c r="XY92" s="11"/>
      <c r="XZ92" s="11"/>
      <c r="YA92" s="11"/>
      <c r="YB92" s="11"/>
      <c r="YC92" s="11"/>
      <c r="YD92" s="11"/>
      <c r="YE92" s="11"/>
      <c r="YF92" s="11"/>
      <c r="YG92" s="11"/>
      <c r="YH92" s="11"/>
      <c r="YI92" s="11"/>
      <c r="YJ92" s="11"/>
      <c r="YK92" s="11"/>
      <c r="YL92" s="11"/>
      <c r="YM92" s="11"/>
      <c r="YN92" s="11"/>
      <c r="YO92" s="11"/>
      <c r="YP92" s="11"/>
      <c r="YQ92" s="11"/>
      <c r="YR92" s="11"/>
      <c r="YS92" s="11"/>
      <c r="YT92" s="11"/>
      <c r="YU92" s="11"/>
      <c r="YV92" s="11"/>
      <c r="YW92" s="11"/>
      <c r="YX92" s="11"/>
      <c r="YY92" s="11"/>
      <c r="YZ92" s="11"/>
      <c r="ZA92" s="11"/>
      <c r="ZB92" s="11"/>
      <c r="ZC92" s="11"/>
      <c r="ZD92" s="11"/>
      <c r="ZE92" s="11"/>
      <c r="ZF92" s="11"/>
      <c r="ZG92" s="11"/>
      <c r="ZH92" s="11"/>
      <c r="ZI92" s="11"/>
      <c r="ZJ92" s="11"/>
      <c r="ZK92" s="11"/>
      <c r="ZL92" s="11"/>
      <c r="ZM92" s="11"/>
      <c r="ZN92" s="11"/>
      <c r="ZO92" s="11"/>
      <c r="ZP92" s="11"/>
      <c r="ZQ92" s="11"/>
      <c r="ZR92" s="11"/>
      <c r="ZS92" s="11"/>
      <c r="ZT92" s="11"/>
      <c r="ZU92" s="11"/>
      <c r="ZV92" s="11"/>
      <c r="ZW92" s="11"/>
      <c r="ZX92" s="11"/>
      <c r="ZY92" s="11"/>
      <c r="ZZ92" s="11"/>
      <c r="AAA92" s="11"/>
      <c r="AAB92" s="11"/>
      <c r="AAC92" s="11"/>
      <c r="AAD92" s="11"/>
      <c r="AAE92" s="11"/>
      <c r="AAF92" s="11"/>
      <c r="AAG92" s="11"/>
      <c r="AAH92" s="11"/>
      <c r="AAI92" s="11"/>
      <c r="AAJ92" s="11"/>
      <c r="AAK92" s="11"/>
      <c r="AAL92" s="11"/>
      <c r="AAM92" s="11"/>
      <c r="AAN92" s="11"/>
      <c r="AAO92" s="11"/>
      <c r="AAP92" s="11"/>
      <c r="AAQ92" s="11"/>
      <c r="AAR92" s="11"/>
      <c r="AAS92" s="11"/>
      <c r="AAT92" s="11"/>
      <c r="AAU92" s="11"/>
      <c r="AAV92" s="11"/>
      <c r="AAW92" s="11"/>
      <c r="AAX92" s="11"/>
      <c r="AAY92" s="11"/>
      <c r="AAZ92" s="11"/>
      <c r="ABA92" s="11"/>
      <c r="ABB92" s="11"/>
      <c r="ABC92" s="11"/>
      <c r="ABD92" s="11"/>
      <c r="ABE92" s="11"/>
      <c r="ABF92" s="11"/>
      <c r="ABG92" s="11"/>
      <c r="ABH92" s="11"/>
      <c r="ABI92" s="11"/>
      <c r="ABJ92" s="11"/>
      <c r="ABK92" s="11"/>
      <c r="ABL92" s="11"/>
      <c r="ABM92" s="11"/>
      <c r="ABN92" s="11"/>
      <c r="ABO92" s="11"/>
      <c r="ABP92" s="11"/>
      <c r="ABQ92" s="11"/>
      <c r="ABR92" s="11"/>
      <c r="ABS92" s="11"/>
      <c r="ABT92" s="11"/>
      <c r="ABU92" s="11"/>
      <c r="ABV92" s="11"/>
      <c r="ABW92" s="11"/>
      <c r="ABX92" s="11"/>
      <c r="ABY92" s="11"/>
      <c r="ABZ92" s="11"/>
      <c r="ACA92" s="11"/>
      <c r="ACB92" s="11"/>
      <c r="ACC92" s="11"/>
      <c r="ACD92" s="11"/>
      <c r="ACE92" s="11"/>
      <c r="ACF92" s="11"/>
      <c r="ACG92" s="11"/>
      <c r="ACH92" s="11"/>
      <c r="ACI92" s="11"/>
      <c r="ACJ92" s="11"/>
      <c r="ACK92" s="11"/>
      <c r="ACL92" s="11"/>
      <c r="ACM92" s="11"/>
      <c r="ACN92" s="11"/>
      <c r="ACO92" s="11"/>
      <c r="ACP92" s="11"/>
      <c r="ACQ92" s="11"/>
      <c r="ACR92" s="11"/>
      <c r="ACS92" s="11"/>
      <c r="ACT92" s="11"/>
      <c r="ACU92" s="11"/>
      <c r="ACV92" s="11"/>
      <c r="ACW92" s="11"/>
      <c r="ACX92" s="11"/>
      <c r="ACY92" s="11"/>
      <c r="ACZ92" s="11"/>
      <c r="ADA92" s="11"/>
      <c r="ADB92" s="11"/>
      <c r="ADC92" s="11"/>
      <c r="ADD92" s="11"/>
      <c r="ADE92" s="11"/>
      <c r="ADF92" s="11"/>
      <c r="ADG92" s="11"/>
      <c r="ADH92" s="11"/>
      <c r="ADI92" s="11"/>
      <c r="ADJ92" s="11"/>
      <c r="ADK92" s="11"/>
      <c r="ADL92" s="11"/>
      <c r="ADM92" s="11"/>
      <c r="ADN92" s="11"/>
      <c r="ADO92" s="11"/>
      <c r="ADP92" s="11"/>
      <c r="ADQ92" s="11"/>
      <c r="ADR92" s="11"/>
      <c r="ADS92" s="11"/>
      <c r="ADT92" s="11"/>
      <c r="ADU92" s="11"/>
      <c r="ADV92" s="11"/>
      <c r="ADW92" s="11"/>
      <c r="ADX92" s="11"/>
      <c r="ADY92" s="11"/>
      <c r="ADZ92" s="11"/>
      <c r="AEA92" s="11"/>
      <c r="AEB92" s="11"/>
      <c r="AEC92" s="11"/>
      <c r="AED92" s="11"/>
      <c r="AEE92" s="11"/>
      <c r="AEF92" s="11"/>
      <c r="AEG92" s="11"/>
      <c r="AEH92" s="11"/>
      <c r="AEI92" s="11"/>
      <c r="AEJ92" s="11"/>
      <c r="AEK92" s="11"/>
      <c r="AEL92" s="11"/>
      <c r="AEM92" s="11"/>
      <c r="AEN92" s="11"/>
      <c r="AEO92" s="11"/>
      <c r="AEP92" s="11"/>
      <c r="AEQ92" s="11"/>
      <c r="AER92" s="11"/>
      <c r="AES92" s="11"/>
      <c r="AET92" s="11"/>
      <c r="AEU92" s="11"/>
      <c r="AEV92" s="11"/>
      <c r="AEW92" s="11"/>
      <c r="AEX92" s="11"/>
      <c r="AEY92" s="11"/>
      <c r="AEZ92" s="11"/>
      <c r="AFA92" s="11"/>
      <c r="AFB92" s="11"/>
      <c r="AFC92" s="11"/>
      <c r="AFD92" s="11"/>
      <c r="AFE92" s="11"/>
      <c r="AFF92" s="11"/>
      <c r="AFG92" s="11"/>
      <c r="AFH92" s="11"/>
      <c r="AFI92" s="11"/>
    </row>
    <row r="93" spans="2:841">
      <c r="B93" s="11"/>
      <c r="C93" s="657"/>
      <c r="D93" s="289" t="s">
        <v>627</v>
      </c>
      <c r="E93" s="551">
        <f>SUMIFS(M_Datos!$N$44:$N$46,M_Datos!$O$44:$O$46,M_Lista!G21)</f>
        <v>0</v>
      </c>
      <c r="F93" s="312" t="e">
        <f>IF(AND(M_FactoresComplement!$G$439="No",M_FactoresComplement!$G$441="No"),M_Cálculos!E93*VLOOKUP(M_Datos!$E$12&amp;M_Cálculos!D93,M_Factores!$M$10:$P$108,2,FALSE)/(10^3),IF(AND(M_FactoresComplement!$G$439="Sí",M_FactoresComplement!$G$441="No"),E93*M_FactoresComplement!G456/(10^3),E93*VLOOKUP(M_FactoresComplement!$C$467&amp;M_Datos!$E$12&amp;M_Lista!G20,M_FactoresComplement!$F$446:$I$781,2,FALSE)/(10^3)))</f>
        <v>#N/A</v>
      </c>
      <c r="G93" s="313" t="e">
        <f>IF(AND(M_FactoresComplement!$G$439="No",M_FactoresComplement!$G$441="No"),M_Cálculos!E93*VLOOKUP(M_Datos!$E$12&amp;M_Cálculos!D93,M_Factores!$M$10:$P$108,3,FALSE)/(10^3),IF(AND(M_FactoresComplement!$G$439="Sí",M_FactoresComplement!$G$441="No"),E93*M_FactoresComplement!H456/(10^3),E93*VLOOKUP(M_FactoresComplement!$C$467&amp;M_Datos!$E$12&amp;M_Lista!G20,M_FactoresComplement!$F$446:$I$781,3,FALSE)/(10^3)))</f>
        <v>#N/A</v>
      </c>
      <c r="H93" s="551">
        <f>SUMIFS(M_Datos!$P$44:$P$46,M_Datos!$Q$44:$Q$46,M_Lista!G21)</f>
        <v>0</v>
      </c>
      <c r="I93" s="312" t="e">
        <f>IF(AND(M_FactoresComplement!$G$439="No",M_FactoresComplement!$G$441="No"),M_Cálculos!H93*VLOOKUP(M_Datos!$E$12&amp;M_Cálculos!D93,M_Factores!$M$10:$P$108,2,FALSE)/(10^3),IF(AND(M_FactoresComplement!$G$439="Sí",M_FactoresComplement!$G$441="No"),H93*M_FactoresComplement!G456/(10^3),H93*VLOOKUP(M_FactoresComplement!$C$467&amp;M_Datos!$E$12&amp;M_Lista!G20,M_FactoresComplement!$F$446:$I$781,2,FALSE)/(10^3)))</f>
        <v>#N/A</v>
      </c>
      <c r="J93" s="313" t="e">
        <f>IF(AND(M_FactoresComplement!$G$439="No",M_FactoresComplement!$G$441="No"),M_Cálculos!H93*VLOOKUP(M_Datos!$E$12&amp;M_Cálculos!D93,M_Factores!$M$10:$P$108,3,FALSE)/(10^3),IF(AND(M_FactoresComplement!$G$439="Sí",M_FactoresComplement!$G$441="No"),H93*M_FactoresComplement!H456/(10^3),H93*VLOOKUP(M_FactoresComplement!$C$467&amp;M_Datos!$E$12&amp;M_Lista!G20,M_FactoresComplement!$F$446:$I$781,3,FALSE)/(10^3)))</f>
        <v>#N/A</v>
      </c>
      <c r="K93" s="551">
        <f>SUMIFS(M_Datos!$R$44:$R$46,M_Datos!$S$44:$S$46,M_Lista!G21)</f>
        <v>0</v>
      </c>
      <c r="L93" s="312" t="e">
        <f>IF(AND(M_FactoresComplement!$G$439="No",M_FactoresComplement!$G$441="No"),M_Cálculos!K93*VLOOKUP(M_Datos!$E$12&amp;M_Cálculos!D93,M_Factores!$M$10:$P$108,2,FALSE)/(10^3),IF(AND(M_FactoresComplement!$G$439="Sí",M_FactoresComplement!$G$441="No"),K93*M_FactoresComplement!G456/(10^3),K93*VLOOKUP(M_FactoresComplement!$C$467&amp;M_Datos!$E$12&amp;M_Lista!G20,M_FactoresComplement!$F$446:$I$781,2,FALSE)/(10^3)))</f>
        <v>#N/A</v>
      </c>
      <c r="M93" s="313" t="e">
        <f>IF(AND(M_FactoresComplement!$G$439="No",M_FactoresComplement!$G$441="No"),M_Cálculos!K93*VLOOKUP(M_Datos!$E$12&amp;M_Cálculos!D93,M_Factores!$M$10:$P$108,3,FALSE)/(10^3),IF(AND(M_FactoresComplement!$G$439="Sí",M_FactoresComplement!$G$441="No"),K93*M_FactoresComplement!H456/(10^3),K93*VLOOKUP(M_FactoresComplement!$C$467&amp;M_Datos!$E$12&amp;M_Lista!G20,M_FactoresComplement!$F$446:$I$781,3,FALSE)/(10^3)))</f>
        <v>#N/A</v>
      </c>
      <c r="N93" s="551">
        <f>SUMIFS(M_Datos!$T$44:$T$46,M_Datos!$U$44:$U$46,M_Lista!G21)</f>
        <v>0</v>
      </c>
      <c r="O93" s="312" t="e">
        <f>IF(AND(M_FactoresComplement!$G$439="No",M_FactoresComplement!$G$441="No"),M_Cálculos!N93*VLOOKUP(M_Datos!$E$12&amp;M_Cálculos!D93,M_Factores!$M$10:$P$108,2,FALSE)/(10^3),IF(AND(M_FactoresComplement!$G$439="Sí",M_FactoresComplement!$G$441="No"),N93*M_FactoresComplement!G456/(10^3),N93*VLOOKUP(M_FactoresComplement!$C$467&amp;M_Datos!$E$12&amp;M_Lista!G20,M_FactoresComplement!$F$446:$I$781,2,FALSE)/(10^3)))</f>
        <v>#N/A</v>
      </c>
      <c r="P93" s="313" t="e">
        <f>IF(AND(M_FactoresComplement!$G$439="No",M_FactoresComplement!$G$441="No"),M_Cálculos!N93*VLOOKUP(M_Datos!$E$12&amp;M_Cálculos!D93,M_Factores!$M$10:$P$108,3,FALSE)/(10^3),IF(AND(M_FactoresComplement!$G$439="Sí",M_FactoresComplement!$G$441="No"),N93*M_FactoresComplement!H456/(10^3),N93*VLOOKUP(M_FactoresComplement!$C$467&amp;M_Datos!$E$12&amp;M_Lista!G20,M_FactoresComplement!$F$446:$I$781,3,FALSE)/(10^3)))</f>
        <v>#N/A</v>
      </c>
      <c r="Q93" s="551">
        <f>SUMIFS(M_Datos!$V$44:$V$46,M_Datos!$W$44:$W$46,M_Lista!G21)</f>
        <v>0</v>
      </c>
      <c r="R93" s="312" t="e">
        <f>IF(AND(M_FactoresComplement!$G$439="No",M_FactoresComplement!$G$441="No"),M_Cálculos!Q93*VLOOKUP(M_Datos!$E$12&amp;M_Cálculos!D93,M_Factores!$M$10:$P$108,2,FALSE)/(10^3),IF(AND(M_FactoresComplement!$G$439="Sí",M_FactoresComplement!$G$441="No"),Q93*M_FactoresComplement!G456/(10^3),Q93*VLOOKUP(M_FactoresComplement!$C$467&amp;M_Datos!$E$12&amp;M_Lista!G20,M_FactoresComplement!$F$446:$I$781,2,FALSE)/(10^3)))</f>
        <v>#N/A</v>
      </c>
      <c r="S93" s="313" t="e">
        <f>IF(AND(M_FactoresComplement!$G$439="No",M_FactoresComplement!$G$441="No"),M_Cálculos!Q93*VLOOKUP(M_Datos!$E$12&amp;M_Cálculos!D93,M_Factores!$M$10:$P$108,3,FALSE)/(10^3),IF(AND(M_FactoresComplement!$G$439="Sí",M_FactoresComplement!$G$441="No"),Q93*M_FactoresComplement!H456/(10^3),Q93*VLOOKUP(M_FactoresComplement!$C$467&amp;M_Datos!$E$12&amp;M_Lista!G20,M_FactoresComplement!$F$446:$I$781,3,FALSE)/(10^3)))</f>
        <v>#N/A</v>
      </c>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c r="JH93" s="11"/>
      <c r="JI93" s="11"/>
      <c r="JJ93" s="11"/>
      <c r="JK93" s="11"/>
      <c r="JL93" s="11"/>
      <c r="JM93" s="11"/>
      <c r="JN93" s="11"/>
      <c r="JO93" s="11"/>
      <c r="JP93" s="11"/>
      <c r="JQ93" s="11"/>
      <c r="JR93" s="11"/>
      <c r="JS93" s="11"/>
      <c r="JT93" s="11"/>
      <c r="JU93" s="11"/>
      <c r="JV93" s="11"/>
      <c r="JW93" s="11"/>
      <c r="JX93" s="11"/>
      <c r="JY93" s="11"/>
      <c r="JZ93" s="11"/>
      <c r="KA93" s="11"/>
      <c r="KB93" s="11"/>
      <c r="KC93" s="11"/>
      <c r="KD93" s="11"/>
      <c r="KE93" s="11"/>
      <c r="KF93" s="11"/>
      <c r="KG93" s="11"/>
      <c r="KH93" s="11"/>
      <c r="KI93" s="11"/>
      <c r="KJ93" s="11"/>
      <c r="KK93" s="11"/>
      <c r="KL93" s="11"/>
      <c r="KM93" s="11"/>
      <c r="KN93" s="11"/>
      <c r="KO93" s="11"/>
      <c r="KP93" s="11"/>
      <c r="KQ93" s="11"/>
      <c r="KR93" s="11"/>
      <c r="KS93" s="11"/>
      <c r="KT93" s="11"/>
      <c r="KU93" s="11"/>
      <c r="KV93" s="11"/>
      <c r="KW93" s="11"/>
      <c r="KX93" s="11"/>
      <c r="KY93" s="11"/>
      <c r="KZ93" s="11"/>
      <c r="LA93" s="11"/>
      <c r="LB93" s="11"/>
      <c r="LC93" s="11"/>
      <c r="LD93" s="11"/>
      <c r="LE93" s="11"/>
      <c r="LF93" s="11"/>
      <c r="LG93" s="11"/>
      <c r="LH93" s="11"/>
      <c r="LI93" s="11"/>
      <c r="LJ93" s="11"/>
      <c r="LK93" s="11"/>
      <c r="LL93" s="11"/>
      <c r="LM93" s="11"/>
      <c r="LN93" s="11"/>
      <c r="LO93" s="11"/>
      <c r="LP93" s="11"/>
      <c r="LQ93" s="11"/>
      <c r="LR93" s="11"/>
      <c r="LS93" s="11"/>
      <c r="LT93" s="11"/>
      <c r="LU93" s="11"/>
      <c r="LV93" s="11"/>
      <c r="LW93" s="11"/>
      <c r="LX93" s="11"/>
      <c r="LY93" s="11"/>
      <c r="LZ93" s="11"/>
      <c r="MA93" s="11"/>
      <c r="MB93" s="11"/>
      <c r="MC93" s="11"/>
      <c r="MD93" s="11"/>
      <c r="ME93" s="11"/>
      <c r="MF93" s="11"/>
      <c r="MG93" s="11"/>
      <c r="MH93" s="11"/>
      <c r="MI93" s="11"/>
      <c r="MJ93" s="11"/>
      <c r="MK93" s="11"/>
      <c r="ML93" s="11"/>
      <c r="MM93" s="11"/>
      <c r="MN93" s="11"/>
      <c r="MO93" s="11"/>
      <c r="MP93" s="11"/>
      <c r="MQ93" s="11"/>
      <c r="MR93" s="11"/>
      <c r="MS93" s="11"/>
      <c r="MT93" s="11"/>
      <c r="MU93" s="11"/>
      <c r="MV93" s="11"/>
      <c r="MW93" s="11"/>
      <c r="MX93" s="11"/>
      <c r="MY93" s="11"/>
      <c r="MZ93" s="11"/>
      <c r="NA93" s="11"/>
      <c r="NB93" s="11"/>
      <c r="NC93" s="11"/>
      <c r="ND93" s="11"/>
      <c r="NE93" s="11"/>
      <c r="NF93" s="11"/>
      <c r="NG93" s="11"/>
      <c r="NH93" s="11"/>
      <c r="NI93" s="11"/>
      <c r="NJ93" s="11"/>
      <c r="NK93" s="11"/>
      <c r="NL93" s="11"/>
      <c r="NM93" s="11"/>
      <c r="NN93" s="11"/>
      <c r="NO93" s="11"/>
      <c r="NP93" s="11"/>
      <c r="NQ93" s="11"/>
      <c r="NR93" s="11"/>
      <c r="NS93" s="11"/>
      <c r="NT93" s="11"/>
      <c r="NU93" s="11"/>
      <c r="NV93" s="11"/>
      <c r="NW93" s="11"/>
      <c r="NX93" s="11"/>
      <c r="NY93" s="11"/>
      <c r="NZ93" s="11"/>
      <c r="OA93" s="11"/>
      <c r="OB93" s="11"/>
      <c r="OC93" s="11"/>
      <c r="OD93" s="11"/>
      <c r="OE93" s="11"/>
      <c r="OF93" s="11"/>
      <c r="OG93" s="11"/>
      <c r="OH93" s="11"/>
      <c r="OI93" s="11"/>
      <c r="OJ93" s="11"/>
      <c r="OK93" s="11"/>
      <c r="OL93" s="11"/>
      <c r="OM93" s="11"/>
      <c r="ON93" s="11"/>
      <c r="OO93" s="11"/>
      <c r="OP93" s="11"/>
      <c r="OQ93" s="11"/>
      <c r="OR93" s="11"/>
      <c r="OS93" s="11"/>
      <c r="OT93" s="11"/>
      <c r="OU93" s="11"/>
      <c r="OV93" s="11"/>
      <c r="OW93" s="11"/>
      <c r="OX93" s="11"/>
      <c r="OY93" s="11"/>
      <c r="OZ93" s="11"/>
      <c r="PA93" s="11"/>
      <c r="PB93" s="11"/>
      <c r="PC93" s="11"/>
      <c r="PD93" s="11"/>
      <c r="PE93" s="11"/>
      <c r="PF93" s="11"/>
      <c r="PG93" s="11"/>
      <c r="PH93" s="11"/>
      <c r="PI93" s="11"/>
      <c r="PJ93" s="11"/>
      <c r="PK93" s="11"/>
      <c r="PL93" s="11"/>
      <c r="PM93" s="11"/>
      <c r="PN93" s="11"/>
      <c r="PO93" s="11"/>
      <c r="PP93" s="11"/>
      <c r="PQ93" s="11"/>
      <c r="PR93" s="11"/>
      <c r="PS93" s="11"/>
      <c r="PT93" s="11"/>
      <c r="PU93" s="11"/>
      <c r="PV93" s="11"/>
      <c r="PW93" s="11"/>
      <c r="PX93" s="11"/>
      <c r="PY93" s="11"/>
      <c r="PZ93" s="11"/>
      <c r="QA93" s="11"/>
      <c r="QB93" s="11"/>
      <c r="QC93" s="11"/>
      <c r="QD93" s="11"/>
      <c r="QE93" s="11"/>
      <c r="QF93" s="11"/>
      <c r="QG93" s="11"/>
      <c r="QH93" s="11"/>
      <c r="QI93" s="11"/>
      <c r="QJ93" s="11"/>
      <c r="QK93" s="11"/>
      <c r="QL93" s="11"/>
      <c r="QM93" s="11"/>
      <c r="QN93" s="11"/>
      <c r="QO93" s="11"/>
      <c r="QP93" s="11"/>
      <c r="QQ93" s="11"/>
      <c r="QR93" s="11"/>
      <c r="QS93" s="11"/>
      <c r="QT93" s="11"/>
      <c r="QU93" s="11"/>
      <c r="QV93" s="11"/>
      <c r="QW93" s="11"/>
      <c r="QX93" s="11"/>
      <c r="QY93" s="11"/>
      <c r="QZ93" s="11"/>
      <c r="RA93" s="11"/>
      <c r="RB93" s="11"/>
      <c r="RC93" s="11"/>
      <c r="RD93" s="11"/>
      <c r="RE93" s="11"/>
      <c r="RF93" s="11"/>
      <c r="RG93" s="11"/>
      <c r="RH93" s="11"/>
      <c r="RI93" s="11"/>
      <c r="RJ93" s="11"/>
      <c r="RK93" s="11"/>
      <c r="RL93" s="11"/>
      <c r="RM93" s="11"/>
      <c r="RN93" s="11"/>
      <c r="RO93" s="11"/>
      <c r="RP93" s="11"/>
      <c r="RQ93" s="11"/>
      <c r="RR93" s="11"/>
      <c r="RS93" s="11"/>
      <c r="RT93" s="11"/>
      <c r="RU93" s="11"/>
      <c r="RV93" s="11"/>
      <c r="RW93" s="11"/>
      <c r="RX93" s="11"/>
      <c r="RY93" s="11"/>
      <c r="RZ93" s="11"/>
      <c r="SA93" s="11"/>
      <c r="SB93" s="11"/>
      <c r="SC93" s="11"/>
      <c r="SD93" s="11"/>
      <c r="SE93" s="11"/>
      <c r="SF93" s="11"/>
      <c r="SG93" s="11"/>
      <c r="SH93" s="11"/>
      <c r="SI93" s="11"/>
      <c r="SJ93" s="11"/>
      <c r="SK93" s="11"/>
      <c r="SL93" s="11"/>
      <c r="SM93" s="11"/>
      <c r="SN93" s="11"/>
      <c r="SO93" s="11"/>
      <c r="SP93" s="11"/>
      <c r="SQ93" s="11"/>
      <c r="SR93" s="11"/>
      <c r="SS93" s="11"/>
      <c r="ST93" s="11"/>
      <c r="SU93" s="11"/>
      <c r="SV93" s="11"/>
      <c r="SW93" s="11"/>
      <c r="SX93" s="11"/>
      <c r="SY93" s="11"/>
      <c r="SZ93" s="11"/>
      <c r="TA93" s="11"/>
      <c r="TB93" s="11"/>
      <c r="TC93" s="11"/>
      <c r="TD93" s="11"/>
      <c r="TE93" s="11"/>
      <c r="TF93" s="11"/>
      <c r="TG93" s="11"/>
      <c r="TH93" s="11"/>
      <c r="TI93" s="11"/>
      <c r="TJ93" s="11"/>
      <c r="TK93" s="11"/>
      <c r="TL93" s="11"/>
      <c r="TM93" s="11"/>
      <c r="TN93" s="11"/>
      <c r="TO93" s="11"/>
      <c r="TP93" s="11"/>
      <c r="TQ93" s="11"/>
      <c r="TR93" s="11"/>
      <c r="TS93" s="11"/>
      <c r="TT93" s="11"/>
      <c r="TU93" s="11"/>
      <c r="TV93" s="11"/>
      <c r="TW93" s="11"/>
      <c r="TX93" s="11"/>
      <c r="TY93" s="11"/>
      <c r="TZ93" s="11"/>
      <c r="UA93" s="11"/>
      <c r="UB93" s="11"/>
      <c r="UC93" s="11"/>
      <c r="UD93" s="11"/>
      <c r="UE93" s="11"/>
      <c r="UF93" s="11"/>
      <c r="UG93" s="11"/>
      <c r="UH93" s="11"/>
      <c r="UI93" s="11"/>
      <c r="UJ93" s="11"/>
      <c r="UK93" s="11"/>
      <c r="UL93" s="11"/>
      <c r="UM93" s="11"/>
      <c r="UN93" s="11"/>
      <c r="UO93" s="11"/>
      <c r="UP93" s="11"/>
      <c r="UQ93" s="11"/>
      <c r="UR93" s="11"/>
      <c r="US93" s="11"/>
      <c r="UT93" s="11"/>
      <c r="UU93" s="11"/>
      <c r="UV93" s="11"/>
      <c r="UW93" s="11"/>
      <c r="UX93" s="11"/>
      <c r="UY93" s="11"/>
      <c r="UZ93" s="11"/>
      <c r="VA93" s="11"/>
      <c r="VB93" s="11"/>
      <c r="VC93" s="11"/>
      <c r="VD93" s="11"/>
      <c r="VE93" s="11"/>
      <c r="VF93" s="11"/>
      <c r="VG93" s="11"/>
      <c r="VH93" s="11"/>
      <c r="VI93" s="11"/>
      <c r="VJ93" s="11"/>
      <c r="VK93" s="11"/>
      <c r="VL93" s="11"/>
      <c r="VM93" s="11"/>
      <c r="VN93" s="11"/>
      <c r="VO93" s="11"/>
      <c r="VP93" s="11"/>
      <c r="VQ93" s="11"/>
      <c r="VR93" s="11"/>
      <c r="VS93" s="11"/>
      <c r="VT93" s="11"/>
      <c r="VU93" s="11"/>
      <c r="VV93" s="11"/>
      <c r="VW93" s="11"/>
      <c r="VX93" s="11"/>
      <c r="VY93" s="11"/>
      <c r="VZ93" s="11"/>
      <c r="WA93" s="11"/>
      <c r="WB93" s="11"/>
      <c r="WC93" s="11"/>
      <c r="WD93" s="11"/>
      <c r="WE93" s="11"/>
      <c r="WF93" s="11"/>
      <c r="WG93" s="11"/>
      <c r="WH93" s="11"/>
      <c r="WI93" s="11"/>
      <c r="WJ93" s="11"/>
      <c r="WK93" s="11"/>
      <c r="WL93" s="11"/>
      <c r="WM93" s="11"/>
      <c r="WN93" s="11"/>
      <c r="WO93" s="11"/>
      <c r="WP93" s="11"/>
      <c r="WQ93" s="11"/>
      <c r="WR93" s="11"/>
      <c r="WS93" s="11"/>
      <c r="WT93" s="11"/>
      <c r="WU93" s="11"/>
      <c r="WV93" s="11"/>
      <c r="WW93" s="11"/>
      <c r="WX93" s="11"/>
      <c r="WY93" s="11"/>
      <c r="WZ93" s="11"/>
      <c r="XA93" s="11"/>
      <c r="XB93" s="11"/>
      <c r="XC93" s="11"/>
      <c r="XD93" s="11"/>
      <c r="XE93" s="11"/>
      <c r="XF93" s="11"/>
      <c r="XG93" s="11"/>
      <c r="XH93" s="11"/>
      <c r="XI93" s="11"/>
      <c r="XJ93" s="11"/>
      <c r="XK93" s="11"/>
      <c r="XL93" s="11"/>
      <c r="XM93" s="11"/>
      <c r="XN93" s="11"/>
      <c r="XO93" s="11"/>
      <c r="XP93" s="11"/>
      <c r="XQ93" s="11"/>
      <c r="XR93" s="11"/>
      <c r="XS93" s="11"/>
      <c r="XT93" s="11"/>
      <c r="XU93" s="11"/>
      <c r="XV93" s="11"/>
      <c r="XW93" s="11"/>
      <c r="XX93" s="11"/>
      <c r="XY93" s="11"/>
      <c r="XZ93" s="11"/>
      <c r="YA93" s="11"/>
      <c r="YB93" s="11"/>
      <c r="YC93" s="11"/>
      <c r="YD93" s="11"/>
      <c r="YE93" s="11"/>
      <c r="YF93" s="11"/>
      <c r="YG93" s="11"/>
      <c r="YH93" s="11"/>
      <c r="YI93" s="11"/>
      <c r="YJ93" s="11"/>
      <c r="YK93" s="11"/>
      <c r="YL93" s="11"/>
      <c r="YM93" s="11"/>
      <c r="YN93" s="11"/>
      <c r="YO93" s="11"/>
      <c r="YP93" s="11"/>
      <c r="YQ93" s="11"/>
      <c r="YR93" s="11"/>
      <c r="YS93" s="11"/>
      <c r="YT93" s="11"/>
      <c r="YU93" s="11"/>
      <c r="YV93" s="11"/>
      <c r="YW93" s="11"/>
      <c r="YX93" s="11"/>
      <c r="YY93" s="11"/>
      <c r="YZ93" s="11"/>
      <c r="ZA93" s="11"/>
      <c r="ZB93" s="11"/>
      <c r="ZC93" s="11"/>
      <c r="ZD93" s="11"/>
      <c r="ZE93" s="11"/>
      <c r="ZF93" s="11"/>
      <c r="ZG93" s="11"/>
      <c r="ZH93" s="11"/>
      <c r="ZI93" s="11"/>
      <c r="ZJ93" s="11"/>
      <c r="ZK93" s="11"/>
      <c r="ZL93" s="11"/>
      <c r="ZM93" s="11"/>
      <c r="ZN93" s="11"/>
      <c r="ZO93" s="11"/>
      <c r="ZP93" s="11"/>
      <c r="ZQ93" s="11"/>
      <c r="ZR93" s="11"/>
      <c r="ZS93" s="11"/>
      <c r="ZT93" s="11"/>
      <c r="ZU93" s="11"/>
      <c r="ZV93" s="11"/>
      <c r="ZW93" s="11"/>
      <c r="ZX93" s="11"/>
      <c r="ZY93" s="11"/>
      <c r="ZZ93" s="11"/>
      <c r="AAA93" s="11"/>
      <c r="AAB93" s="11"/>
      <c r="AAC93" s="11"/>
      <c r="AAD93" s="11"/>
      <c r="AAE93" s="11"/>
      <c r="AAF93" s="11"/>
      <c r="AAG93" s="11"/>
      <c r="AAH93" s="11"/>
      <c r="AAI93" s="11"/>
      <c r="AAJ93" s="11"/>
      <c r="AAK93" s="11"/>
      <c r="AAL93" s="11"/>
      <c r="AAM93" s="11"/>
      <c r="AAN93" s="11"/>
      <c r="AAO93" s="11"/>
      <c r="AAP93" s="11"/>
      <c r="AAQ93" s="11"/>
      <c r="AAR93" s="11"/>
      <c r="AAS93" s="11"/>
      <c r="AAT93" s="11"/>
      <c r="AAU93" s="11"/>
      <c r="AAV93" s="11"/>
      <c r="AAW93" s="11"/>
      <c r="AAX93" s="11"/>
      <c r="AAY93" s="11"/>
      <c r="AAZ93" s="11"/>
      <c r="ABA93" s="11"/>
      <c r="ABB93" s="11"/>
      <c r="ABC93" s="11"/>
      <c r="ABD93" s="11"/>
      <c r="ABE93" s="11"/>
      <c r="ABF93" s="11"/>
      <c r="ABG93" s="11"/>
      <c r="ABH93" s="11"/>
      <c r="ABI93" s="11"/>
      <c r="ABJ93" s="11"/>
      <c r="ABK93" s="11"/>
      <c r="ABL93" s="11"/>
      <c r="ABM93" s="11"/>
      <c r="ABN93" s="11"/>
      <c r="ABO93" s="11"/>
      <c r="ABP93" s="11"/>
      <c r="ABQ93" s="11"/>
      <c r="ABR93" s="11"/>
      <c r="ABS93" s="11"/>
      <c r="ABT93" s="11"/>
      <c r="ABU93" s="11"/>
      <c r="ABV93" s="11"/>
      <c r="ABW93" s="11"/>
      <c r="ABX93" s="11"/>
      <c r="ABY93" s="11"/>
      <c r="ABZ93" s="11"/>
      <c r="ACA93" s="11"/>
      <c r="ACB93" s="11"/>
      <c r="ACC93" s="11"/>
      <c r="ACD93" s="11"/>
      <c r="ACE93" s="11"/>
      <c r="ACF93" s="11"/>
      <c r="ACG93" s="11"/>
      <c r="ACH93" s="11"/>
      <c r="ACI93" s="11"/>
      <c r="ACJ93" s="11"/>
      <c r="ACK93" s="11"/>
      <c r="ACL93" s="11"/>
      <c r="ACM93" s="11"/>
      <c r="ACN93" s="11"/>
      <c r="ACO93" s="11"/>
      <c r="ACP93" s="11"/>
      <c r="ACQ93" s="11"/>
      <c r="ACR93" s="11"/>
      <c r="ACS93" s="11"/>
      <c r="ACT93" s="11"/>
      <c r="ACU93" s="11"/>
      <c r="ACV93" s="11"/>
      <c r="ACW93" s="11"/>
      <c r="ACX93" s="11"/>
      <c r="ACY93" s="11"/>
      <c r="ACZ93" s="11"/>
      <c r="ADA93" s="11"/>
      <c r="ADB93" s="11"/>
      <c r="ADC93" s="11"/>
      <c r="ADD93" s="11"/>
      <c r="ADE93" s="11"/>
      <c r="ADF93" s="11"/>
      <c r="ADG93" s="11"/>
      <c r="ADH93" s="11"/>
      <c r="ADI93" s="11"/>
      <c r="ADJ93" s="11"/>
      <c r="ADK93" s="11"/>
      <c r="ADL93" s="11"/>
      <c r="ADM93" s="11"/>
      <c r="ADN93" s="11"/>
      <c r="ADO93" s="11"/>
      <c r="ADP93" s="11"/>
      <c r="ADQ93" s="11"/>
      <c r="ADR93" s="11"/>
      <c r="ADS93" s="11"/>
      <c r="ADT93" s="11"/>
      <c r="ADU93" s="11"/>
      <c r="ADV93" s="11"/>
      <c r="ADW93" s="11"/>
      <c r="ADX93" s="11"/>
      <c r="ADY93" s="11"/>
      <c r="ADZ93" s="11"/>
      <c r="AEA93" s="11"/>
      <c r="AEB93" s="11"/>
      <c r="AEC93" s="11"/>
      <c r="AED93" s="11"/>
      <c r="AEE93" s="11"/>
      <c r="AEF93" s="11"/>
      <c r="AEG93" s="11"/>
      <c r="AEH93" s="11"/>
      <c r="AEI93" s="11"/>
      <c r="AEJ93" s="11"/>
      <c r="AEK93" s="11"/>
      <c r="AEL93" s="11"/>
      <c r="AEM93" s="11"/>
      <c r="AEN93" s="11"/>
      <c r="AEO93" s="11"/>
      <c r="AEP93" s="11"/>
      <c r="AEQ93" s="11"/>
      <c r="AER93" s="11"/>
      <c r="AES93" s="11"/>
      <c r="AET93" s="11"/>
      <c r="AEU93" s="11"/>
      <c r="AEV93" s="11"/>
      <c r="AEW93" s="11"/>
      <c r="AEX93" s="11"/>
      <c r="AEY93" s="11"/>
      <c r="AEZ93" s="11"/>
      <c r="AFA93" s="11"/>
      <c r="AFB93" s="11"/>
      <c r="AFC93" s="11"/>
      <c r="AFD93" s="11"/>
      <c r="AFE93" s="11"/>
      <c r="AFF93" s="11"/>
      <c r="AFG93" s="11"/>
      <c r="AFH93" s="11"/>
      <c r="AFI93" s="11"/>
    </row>
    <row r="94" spans="2:841">
      <c r="B94" s="11"/>
      <c r="C94" s="657"/>
      <c r="D94" s="289" t="s">
        <v>628</v>
      </c>
      <c r="E94" s="551">
        <f>SUMIFS(M_Datos!$N$44:$N$46,M_Datos!$O$44:$O$46,M_Lista!G22)</f>
        <v>0</v>
      </c>
      <c r="F94" s="312" t="e">
        <f>IF(AND(M_FactoresComplement!$G$439="No",M_FactoresComplement!$G$441="No"),M_Cálculos!E94*VLOOKUP(M_Datos!$E$12&amp;M_Cálculos!D94,M_Factores!$M$10:$P$108,2,FALSE)/(10^3),IF(AND(M_FactoresComplement!$G$439="Sí",M_FactoresComplement!$G$441="No"),E94*M_FactoresComplement!G457/(10^3),E94*VLOOKUP(M_FactoresComplement!$C$467&amp;M_Datos!$E$12&amp;M_Lista!G21,M_FactoresComplement!$F$446:$I$781,2,FALSE)/(10^3)))</f>
        <v>#N/A</v>
      </c>
      <c r="G94" s="313" t="e">
        <f>IF(AND(M_FactoresComplement!$G$439="No",M_FactoresComplement!$G$441="No"),M_Cálculos!E94*VLOOKUP(M_Datos!$E$12&amp;M_Cálculos!D94,M_Factores!$M$10:$P$108,3,FALSE)/(10^3),IF(AND(M_FactoresComplement!$G$439="Sí",M_FactoresComplement!$G$441="No"),E94*M_FactoresComplement!H457/(10^3),E94*VLOOKUP(M_FactoresComplement!$C$467&amp;M_Datos!$E$12&amp;M_Lista!G21,M_FactoresComplement!$F$446:$I$781,3,FALSE)/(10^3)))</f>
        <v>#N/A</v>
      </c>
      <c r="H94" s="551">
        <f>SUMIFS(M_Datos!$P$44:$P$46,M_Datos!$Q$44:$Q$46,M_Lista!G22)</f>
        <v>0</v>
      </c>
      <c r="I94" s="312" t="e">
        <f>IF(AND(M_FactoresComplement!$G$439="No",M_FactoresComplement!$G$441="No"),M_Cálculos!H94*VLOOKUP(M_Datos!$E$12&amp;M_Cálculos!D94,M_Factores!$M$10:$P$108,2,FALSE)/(10^3),IF(AND(M_FactoresComplement!$G$439="Sí",M_FactoresComplement!$G$441="No"),H94*M_FactoresComplement!G457/(10^3),H94*VLOOKUP(M_FactoresComplement!$C$467&amp;M_Datos!$E$12&amp;M_Lista!G21,M_FactoresComplement!$F$446:$I$781,2,FALSE)/(10^3)))</f>
        <v>#N/A</v>
      </c>
      <c r="J94" s="313" t="e">
        <f>IF(AND(M_FactoresComplement!$G$439="No",M_FactoresComplement!$G$441="No"),M_Cálculos!H94*VLOOKUP(M_Datos!$E$12&amp;M_Cálculos!D94,M_Factores!$M$10:$P$108,3,FALSE)/(10^3),IF(AND(M_FactoresComplement!$G$439="Sí",M_FactoresComplement!$G$441="No"),H94*M_FactoresComplement!H457/(10^3),H94*VLOOKUP(M_FactoresComplement!$C$467&amp;M_Datos!$E$12&amp;M_Lista!G21,M_FactoresComplement!$F$446:$I$781,3,FALSE)/(10^3)))</f>
        <v>#N/A</v>
      </c>
      <c r="K94" s="551">
        <f>SUMIFS(M_Datos!$R$44:$R$46,M_Datos!$S$44:$S$46,M_Lista!G22)</f>
        <v>0</v>
      </c>
      <c r="L94" s="312" t="e">
        <f>IF(AND(M_FactoresComplement!$G$439="No",M_FactoresComplement!$G$441="No"),M_Cálculos!K94*VLOOKUP(M_Datos!$E$12&amp;M_Cálculos!D94,M_Factores!$M$10:$P$108,2,FALSE)/(10^3),IF(AND(M_FactoresComplement!$G$439="Sí",M_FactoresComplement!$G$441="No"),K94*M_FactoresComplement!G457/(10^3),K94*VLOOKUP(M_FactoresComplement!$C$467&amp;M_Datos!$E$12&amp;M_Lista!G21,M_FactoresComplement!$F$446:$I$781,2,FALSE)/(10^3)))</f>
        <v>#N/A</v>
      </c>
      <c r="M94" s="313" t="e">
        <f>IF(AND(M_FactoresComplement!$G$439="No",M_FactoresComplement!$G$441="No"),M_Cálculos!K94*VLOOKUP(M_Datos!$E$12&amp;M_Cálculos!D94,M_Factores!$M$10:$P$108,3,FALSE)/(10^3),IF(AND(M_FactoresComplement!$G$439="Sí",M_FactoresComplement!$G$441="No"),K94*M_FactoresComplement!H457/(10^3),K94*VLOOKUP(M_FactoresComplement!$C$467&amp;M_Datos!$E$12&amp;M_Lista!G21,M_FactoresComplement!$F$446:$I$781,3,FALSE)/(10^3)))</f>
        <v>#N/A</v>
      </c>
      <c r="N94" s="551">
        <f>SUMIFS(M_Datos!$T$44:$T$46,M_Datos!$U$44:$U$46,M_Lista!G22)</f>
        <v>0</v>
      </c>
      <c r="O94" s="312" t="e">
        <f>IF(AND(M_FactoresComplement!$G$439="No",M_FactoresComplement!$G$441="No"),M_Cálculos!N94*VLOOKUP(M_Datos!$E$12&amp;M_Cálculos!D94,M_Factores!$M$10:$P$108,2,FALSE)/(10^3),IF(AND(M_FactoresComplement!$G$439="Sí",M_FactoresComplement!$G$441="No"),N94*M_FactoresComplement!G457/(10^3),N94*VLOOKUP(M_FactoresComplement!$C$467&amp;M_Datos!$E$12&amp;M_Lista!G21,M_FactoresComplement!$F$446:$I$781,2,FALSE)/(10^3)))</f>
        <v>#N/A</v>
      </c>
      <c r="P94" s="313" t="e">
        <f>IF(AND(M_FactoresComplement!$G$439="No",M_FactoresComplement!$G$441="No"),M_Cálculos!N94*VLOOKUP(M_Datos!$E$12&amp;M_Cálculos!D94,M_Factores!$M$10:$P$108,3,FALSE)/(10^3),IF(AND(M_FactoresComplement!$G$439="Sí",M_FactoresComplement!$G$441="No"),N94*M_FactoresComplement!H457/(10^3),N94*VLOOKUP(M_FactoresComplement!$C$467&amp;M_Datos!$E$12&amp;M_Lista!G21,M_FactoresComplement!$F$446:$I$781,3,FALSE)/(10^3)))</f>
        <v>#N/A</v>
      </c>
      <c r="Q94" s="551">
        <f>SUMIFS(M_Datos!$V$44:$V$46,M_Datos!$W$44:$W$46,M_Lista!G22)</f>
        <v>0</v>
      </c>
      <c r="R94" s="312" t="e">
        <f>IF(AND(M_FactoresComplement!$G$439="No",M_FactoresComplement!$G$441="No"),M_Cálculos!Q94*VLOOKUP(M_Datos!$E$12&amp;M_Cálculos!D94,M_Factores!$M$10:$P$108,2,FALSE)/(10^3),IF(AND(M_FactoresComplement!$G$439="Sí",M_FactoresComplement!$G$441="No"),Q94*M_FactoresComplement!G457/(10^3),Q94*VLOOKUP(M_FactoresComplement!$C$467&amp;M_Datos!$E$12&amp;M_Lista!G21,M_FactoresComplement!$F$446:$I$781,2,FALSE)/(10^3)))</f>
        <v>#N/A</v>
      </c>
      <c r="S94" s="313" t="e">
        <f>IF(AND(M_FactoresComplement!$G$439="No",M_FactoresComplement!$G$441="No"),M_Cálculos!Q94*VLOOKUP(M_Datos!$E$12&amp;M_Cálculos!D94,M_Factores!$M$10:$P$108,3,FALSE)/(10^3),IF(AND(M_FactoresComplement!$G$439="Sí",M_FactoresComplement!$G$441="No"),Q94*M_FactoresComplement!H457/(10^3),Q94*VLOOKUP(M_FactoresComplement!$C$467&amp;M_Datos!$E$12&amp;M_Lista!G21,M_FactoresComplement!$F$446:$I$781,3,FALSE)/(10^3)))</f>
        <v>#N/A</v>
      </c>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1"/>
      <c r="JA94" s="11"/>
      <c r="JB94" s="11"/>
      <c r="JC94" s="11"/>
      <c r="JD94" s="11"/>
      <c r="JE94" s="11"/>
      <c r="JF94" s="11"/>
      <c r="JG94" s="11"/>
      <c r="JH94" s="11"/>
      <c r="JI94" s="11"/>
      <c r="JJ94" s="11"/>
      <c r="JK94" s="11"/>
      <c r="JL94" s="11"/>
      <c r="JM94" s="11"/>
      <c r="JN94" s="11"/>
      <c r="JO94" s="11"/>
      <c r="JP94" s="11"/>
      <c r="JQ94" s="11"/>
      <c r="JR94" s="11"/>
      <c r="JS94" s="11"/>
      <c r="JT94" s="11"/>
      <c r="JU94" s="11"/>
      <c r="JV94" s="11"/>
      <c r="JW94" s="11"/>
      <c r="JX94" s="11"/>
      <c r="JY94" s="11"/>
      <c r="JZ94" s="11"/>
      <c r="KA94" s="11"/>
      <c r="KB94" s="11"/>
      <c r="KC94" s="11"/>
      <c r="KD94" s="11"/>
      <c r="KE94" s="11"/>
      <c r="KF94" s="11"/>
      <c r="KG94" s="11"/>
      <c r="KH94" s="11"/>
      <c r="KI94" s="11"/>
      <c r="KJ94" s="11"/>
      <c r="KK94" s="11"/>
      <c r="KL94" s="11"/>
      <c r="KM94" s="11"/>
      <c r="KN94" s="11"/>
      <c r="KO94" s="11"/>
      <c r="KP94" s="11"/>
      <c r="KQ94" s="11"/>
      <c r="KR94" s="11"/>
      <c r="KS94" s="11"/>
      <c r="KT94" s="11"/>
      <c r="KU94" s="11"/>
      <c r="KV94" s="11"/>
      <c r="KW94" s="11"/>
      <c r="KX94" s="11"/>
      <c r="KY94" s="11"/>
      <c r="KZ94" s="11"/>
      <c r="LA94" s="11"/>
      <c r="LB94" s="11"/>
      <c r="LC94" s="11"/>
      <c r="LD94" s="11"/>
      <c r="LE94" s="11"/>
      <c r="LF94" s="11"/>
      <c r="LG94" s="11"/>
      <c r="LH94" s="11"/>
      <c r="LI94" s="11"/>
      <c r="LJ94" s="11"/>
      <c r="LK94" s="11"/>
      <c r="LL94" s="11"/>
      <c r="LM94" s="11"/>
      <c r="LN94" s="11"/>
      <c r="LO94" s="11"/>
      <c r="LP94" s="11"/>
      <c r="LQ94" s="11"/>
      <c r="LR94" s="11"/>
      <c r="LS94" s="11"/>
      <c r="LT94" s="11"/>
      <c r="LU94" s="11"/>
      <c r="LV94" s="11"/>
      <c r="LW94" s="11"/>
      <c r="LX94" s="11"/>
      <c r="LY94" s="11"/>
      <c r="LZ94" s="11"/>
      <c r="MA94" s="11"/>
      <c r="MB94" s="11"/>
      <c r="MC94" s="11"/>
      <c r="MD94" s="11"/>
      <c r="ME94" s="11"/>
      <c r="MF94" s="11"/>
      <c r="MG94" s="11"/>
      <c r="MH94" s="11"/>
      <c r="MI94" s="11"/>
      <c r="MJ94" s="11"/>
      <c r="MK94" s="11"/>
      <c r="ML94" s="11"/>
      <c r="MM94" s="11"/>
      <c r="MN94" s="11"/>
      <c r="MO94" s="11"/>
      <c r="MP94" s="11"/>
      <c r="MQ94" s="11"/>
      <c r="MR94" s="11"/>
      <c r="MS94" s="11"/>
      <c r="MT94" s="11"/>
      <c r="MU94" s="11"/>
      <c r="MV94" s="11"/>
      <c r="MW94" s="11"/>
      <c r="MX94" s="11"/>
      <c r="MY94" s="11"/>
      <c r="MZ94" s="11"/>
      <c r="NA94" s="11"/>
      <c r="NB94" s="11"/>
      <c r="NC94" s="11"/>
      <c r="ND94" s="11"/>
      <c r="NE94" s="11"/>
      <c r="NF94" s="11"/>
      <c r="NG94" s="11"/>
      <c r="NH94" s="11"/>
      <c r="NI94" s="11"/>
      <c r="NJ94" s="11"/>
      <c r="NK94" s="11"/>
      <c r="NL94" s="11"/>
      <c r="NM94" s="11"/>
      <c r="NN94" s="11"/>
      <c r="NO94" s="11"/>
      <c r="NP94" s="11"/>
      <c r="NQ94" s="11"/>
      <c r="NR94" s="11"/>
      <c r="NS94" s="11"/>
      <c r="NT94" s="11"/>
      <c r="NU94" s="11"/>
      <c r="NV94" s="11"/>
      <c r="NW94" s="11"/>
      <c r="NX94" s="11"/>
      <c r="NY94" s="11"/>
      <c r="NZ94" s="11"/>
      <c r="OA94" s="11"/>
      <c r="OB94" s="11"/>
      <c r="OC94" s="11"/>
      <c r="OD94" s="11"/>
      <c r="OE94" s="11"/>
      <c r="OF94" s="11"/>
      <c r="OG94" s="11"/>
      <c r="OH94" s="11"/>
      <c r="OI94" s="11"/>
      <c r="OJ94" s="11"/>
      <c r="OK94" s="11"/>
      <c r="OL94" s="11"/>
      <c r="OM94" s="11"/>
      <c r="ON94" s="11"/>
      <c r="OO94" s="11"/>
      <c r="OP94" s="11"/>
      <c r="OQ94" s="11"/>
      <c r="OR94" s="11"/>
      <c r="OS94" s="11"/>
      <c r="OT94" s="11"/>
      <c r="OU94" s="11"/>
      <c r="OV94" s="11"/>
      <c r="OW94" s="11"/>
      <c r="OX94" s="11"/>
      <c r="OY94" s="11"/>
      <c r="OZ94" s="11"/>
      <c r="PA94" s="11"/>
      <c r="PB94" s="11"/>
      <c r="PC94" s="11"/>
      <c r="PD94" s="11"/>
      <c r="PE94" s="11"/>
      <c r="PF94" s="11"/>
      <c r="PG94" s="11"/>
      <c r="PH94" s="11"/>
      <c r="PI94" s="11"/>
      <c r="PJ94" s="11"/>
      <c r="PK94" s="11"/>
      <c r="PL94" s="11"/>
      <c r="PM94" s="11"/>
      <c r="PN94" s="11"/>
      <c r="PO94" s="11"/>
      <c r="PP94" s="11"/>
      <c r="PQ94" s="11"/>
      <c r="PR94" s="11"/>
      <c r="PS94" s="11"/>
      <c r="PT94" s="11"/>
      <c r="PU94" s="11"/>
      <c r="PV94" s="11"/>
      <c r="PW94" s="11"/>
      <c r="PX94" s="11"/>
      <c r="PY94" s="11"/>
      <c r="PZ94" s="11"/>
      <c r="QA94" s="11"/>
      <c r="QB94" s="11"/>
      <c r="QC94" s="11"/>
      <c r="QD94" s="11"/>
      <c r="QE94" s="11"/>
      <c r="QF94" s="11"/>
      <c r="QG94" s="11"/>
      <c r="QH94" s="11"/>
      <c r="QI94" s="11"/>
      <c r="QJ94" s="11"/>
      <c r="QK94" s="11"/>
      <c r="QL94" s="11"/>
      <c r="QM94" s="11"/>
      <c r="QN94" s="11"/>
      <c r="QO94" s="11"/>
      <c r="QP94" s="11"/>
      <c r="QQ94" s="11"/>
      <c r="QR94" s="11"/>
      <c r="QS94" s="11"/>
      <c r="QT94" s="11"/>
      <c r="QU94" s="11"/>
      <c r="QV94" s="11"/>
      <c r="QW94" s="11"/>
      <c r="QX94" s="11"/>
      <c r="QY94" s="11"/>
      <c r="QZ94" s="11"/>
      <c r="RA94" s="11"/>
      <c r="RB94" s="11"/>
      <c r="RC94" s="11"/>
      <c r="RD94" s="11"/>
      <c r="RE94" s="11"/>
      <c r="RF94" s="11"/>
      <c r="RG94" s="11"/>
      <c r="RH94" s="11"/>
      <c r="RI94" s="11"/>
      <c r="RJ94" s="11"/>
      <c r="RK94" s="11"/>
      <c r="RL94" s="11"/>
      <c r="RM94" s="11"/>
      <c r="RN94" s="11"/>
      <c r="RO94" s="11"/>
      <c r="RP94" s="11"/>
      <c r="RQ94" s="11"/>
      <c r="RR94" s="11"/>
      <c r="RS94" s="11"/>
      <c r="RT94" s="11"/>
      <c r="RU94" s="11"/>
      <c r="RV94" s="11"/>
      <c r="RW94" s="11"/>
      <c r="RX94" s="11"/>
      <c r="RY94" s="11"/>
      <c r="RZ94" s="11"/>
      <c r="SA94" s="11"/>
      <c r="SB94" s="11"/>
      <c r="SC94" s="11"/>
      <c r="SD94" s="11"/>
      <c r="SE94" s="11"/>
      <c r="SF94" s="11"/>
      <c r="SG94" s="11"/>
      <c r="SH94" s="11"/>
      <c r="SI94" s="11"/>
      <c r="SJ94" s="11"/>
      <c r="SK94" s="11"/>
      <c r="SL94" s="11"/>
      <c r="SM94" s="11"/>
      <c r="SN94" s="11"/>
      <c r="SO94" s="11"/>
      <c r="SP94" s="11"/>
      <c r="SQ94" s="11"/>
      <c r="SR94" s="11"/>
      <c r="SS94" s="11"/>
      <c r="ST94" s="11"/>
      <c r="SU94" s="11"/>
      <c r="SV94" s="11"/>
      <c r="SW94" s="11"/>
      <c r="SX94" s="11"/>
      <c r="SY94" s="11"/>
      <c r="SZ94" s="11"/>
      <c r="TA94" s="11"/>
      <c r="TB94" s="11"/>
      <c r="TC94" s="11"/>
      <c r="TD94" s="11"/>
      <c r="TE94" s="11"/>
      <c r="TF94" s="11"/>
      <c r="TG94" s="11"/>
      <c r="TH94" s="11"/>
      <c r="TI94" s="11"/>
      <c r="TJ94" s="11"/>
      <c r="TK94" s="11"/>
      <c r="TL94" s="11"/>
      <c r="TM94" s="11"/>
      <c r="TN94" s="11"/>
      <c r="TO94" s="11"/>
      <c r="TP94" s="11"/>
      <c r="TQ94" s="11"/>
      <c r="TR94" s="11"/>
      <c r="TS94" s="11"/>
      <c r="TT94" s="11"/>
      <c r="TU94" s="11"/>
      <c r="TV94" s="11"/>
      <c r="TW94" s="11"/>
      <c r="TX94" s="11"/>
      <c r="TY94" s="11"/>
      <c r="TZ94" s="11"/>
      <c r="UA94" s="11"/>
      <c r="UB94" s="11"/>
      <c r="UC94" s="11"/>
      <c r="UD94" s="11"/>
      <c r="UE94" s="11"/>
      <c r="UF94" s="11"/>
      <c r="UG94" s="11"/>
      <c r="UH94" s="11"/>
      <c r="UI94" s="11"/>
      <c r="UJ94" s="11"/>
      <c r="UK94" s="11"/>
      <c r="UL94" s="11"/>
      <c r="UM94" s="11"/>
      <c r="UN94" s="11"/>
      <c r="UO94" s="11"/>
      <c r="UP94" s="11"/>
      <c r="UQ94" s="11"/>
      <c r="UR94" s="11"/>
      <c r="US94" s="11"/>
      <c r="UT94" s="11"/>
      <c r="UU94" s="11"/>
      <c r="UV94" s="11"/>
      <c r="UW94" s="11"/>
      <c r="UX94" s="11"/>
      <c r="UY94" s="11"/>
      <c r="UZ94" s="11"/>
      <c r="VA94" s="11"/>
      <c r="VB94" s="11"/>
      <c r="VC94" s="11"/>
      <c r="VD94" s="11"/>
      <c r="VE94" s="11"/>
      <c r="VF94" s="11"/>
      <c r="VG94" s="11"/>
      <c r="VH94" s="11"/>
      <c r="VI94" s="11"/>
      <c r="VJ94" s="11"/>
      <c r="VK94" s="11"/>
      <c r="VL94" s="11"/>
      <c r="VM94" s="11"/>
      <c r="VN94" s="11"/>
      <c r="VO94" s="11"/>
      <c r="VP94" s="11"/>
      <c r="VQ94" s="11"/>
      <c r="VR94" s="11"/>
      <c r="VS94" s="11"/>
      <c r="VT94" s="11"/>
      <c r="VU94" s="11"/>
      <c r="VV94" s="11"/>
      <c r="VW94" s="11"/>
      <c r="VX94" s="11"/>
      <c r="VY94" s="11"/>
      <c r="VZ94" s="11"/>
      <c r="WA94" s="11"/>
      <c r="WB94" s="11"/>
      <c r="WC94" s="11"/>
      <c r="WD94" s="11"/>
      <c r="WE94" s="11"/>
      <c r="WF94" s="11"/>
      <c r="WG94" s="11"/>
      <c r="WH94" s="11"/>
      <c r="WI94" s="11"/>
      <c r="WJ94" s="11"/>
      <c r="WK94" s="11"/>
      <c r="WL94" s="11"/>
      <c r="WM94" s="11"/>
      <c r="WN94" s="11"/>
      <c r="WO94" s="11"/>
      <c r="WP94" s="11"/>
      <c r="WQ94" s="11"/>
      <c r="WR94" s="11"/>
      <c r="WS94" s="11"/>
      <c r="WT94" s="11"/>
      <c r="WU94" s="11"/>
      <c r="WV94" s="11"/>
      <c r="WW94" s="11"/>
      <c r="WX94" s="11"/>
      <c r="WY94" s="11"/>
      <c r="WZ94" s="11"/>
      <c r="XA94" s="11"/>
      <c r="XB94" s="11"/>
      <c r="XC94" s="11"/>
      <c r="XD94" s="11"/>
      <c r="XE94" s="11"/>
      <c r="XF94" s="11"/>
      <c r="XG94" s="11"/>
      <c r="XH94" s="11"/>
      <c r="XI94" s="11"/>
      <c r="XJ94" s="11"/>
      <c r="XK94" s="11"/>
      <c r="XL94" s="11"/>
      <c r="XM94" s="11"/>
      <c r="XN94" s="11"/>
      <c r="XO94" s="11"/>
      <c r="XP94" s="11"/>
      <c r="XQ94" s="11"/>
      <c r="XR94" s="11"/>
      <c r="XS94" s="11"/>
      <c r="XT94" s="11"/>
      <c r="XU94" s="11"/>
      <c r="XV94" s="11"/>
      <c r="XW94" s="11"/>
      <c r="XX94" s="11"/>
      <c r="XY94" s="11"/>
      <c r="XZ94" s="11"/>
      <c r="YA94" s="11"/>
      <c r="YB94" s="11"/>
      <c r="YC94" s="11"/>
      <c r="YD94" s="11"/>
      <c r="YE94" s="11"/>
      <c r="YF94" s="11"/>
      <c r="YG94" s="11"/>
      <c r="YH94" s="11"/>
      <c r="YI94" s="11"/>
      <c r="YJ94" s="11"/>
      <c r="YK94" s="11"/>
      <c r="YL94" s="11"/>
      <c r="YM94" s="11"/>
      <c r="YN94" s="11"/>
      <c r="YO94" s="11"/>
      <c r="YP94" s="11"/>
      <c r="YQ94" s="11"/>
      <c r="YR94" s="11"/>
      <c r="YS94" s="11"/>
      <c r="YT94" s="11"/>
      <c r="YU94" s="11"/>
      <c r="YV94" s="11"/>
      <c r="YW94" s="11"/>
      <c r="YX94" s="11"/>
      <c r="YY94" s="11"/>
      <c r="YZ94" s="11"/>
      <c r="ZA94" s="11"/>
      <c r="ZB94" s="11"/>
      <c r="ZC94" s="11"/>
      <c r="ZD94" s="11"/>
      <c r="ZE94" s="11"/>
      <c r="ZF94" s="11"/>
      <c r="ZG94" s="11"/>
      <c r="ZH94" s="11"/>
      <c r="ZI94" s="11"/>
      <c r="ZJ94" s="11"/>
      <c r="ZK94" s="11"/>
      <c r="ZL94" s="11"/>
      <c r="ZM94" s="11"/>
      <c r="ZN94" s="11"/>
      <c r="ZO94" s="11"/>
      <c r="ZP94" s="11"/>
      <c r="ZQ94" s="11"/>
      <c r="ZR94" s="11"/>
      <c r="ZS94" s="11"/>
      <c r="ZT94" s="11"/>
      <c r="ZU94" s="11"/>
      <c r="ZV94" s="11"/>
      <c r="ZW94" s="11"/>
      <c r="ZX94" s="11"/>
      <c r="ZY94" s="11"/>
      <c r="ZZ94" s="11"/>
      <c r="AAA94" s="11"/>
      <c r="AAB94" s="11"/>
      <c r="AAC94" s="11"/>
      <c r="AAD94" s="11"/>
      <c r="AAE94" s="11"/>
      <c r="AAF94" s="11"/>
      <c r="AAG94" s="11"/>
      <c r="AAH94" s="11"/>
      <c r="AAI94" s="11"/>
      <c r="AAJ94" s="11"/>
      <c r="AAK94" s="11"/>
      <c r="AAL94" s="11"/>
      <c r="AAM94" s="11"/>
      <c r="AAN94" s="11"/>
      <c r="AAO94" s="11"/>
      <c r="AAP94" s="11"/>
      <c r="AAQ94" s="11"/>
      <c r="AAR94" s="11"/>
      <c r="AAS94" s="11"/>
      <c r="AAT94" s="11"/>
      <c r="AAU94" s="11"/>
      <c r="AAV94" s="11"/>
      <c r="AAW94" s="11"/>
      <c r="AAX94" s="11"/>
      <c r="AAY94" s="11"/>
      <c r="AAZ94" s="11"/>
      <c r="ABA94" s="11"/>
      <c r="ABB94" s="11"/>
      <c r="ABC94" s="11"/>
      <c r="ABD94" s="11"/>
      <c r="ABE94" s="11"/>
      <c r="ABF94" s="11"/>
      <c r="ABG94" s="11"/>
      <c r="ABH94" s="11"/>
      <c r="ABI94" s="11"/>
      <c r="ABJ94" s="11"/>
      <c r="ABK94" s="11"/>
      <c r="ABL94" s="11"/>
      <c r="ABM94" s="11"/>
      <c r="ABN94" s="11"/>
      <c r="ABO94" s="11"/>
      <c r="ABP94" s="11"/>
      <c r="ABQ94" s="11"/>
      <c r="ABR94" s="11"/>
      <c r="ABS94" s="11"/>
      <c r="ABT94" s="11"/>
      <c r="ABU94" s="11"/>
      <c r="ABV94" s="11"/>
      <c r="ABW94" s="11"/>
      <c r="ABX94" s="11"/>
      <c r="ABY94" s="11"/>
      <c r="ABZ94" s="11"/>
      <c r="ACA94" s="11"/>
      <c r="ACB94" s="11"/>
      <c r="ACC94" s="11"/>
      <c r="ACD94" s="11"/>
      <c r="ACE94" s="11"/>
      <c r="ACF94" s="11"/>
      <c r="ACG94" s="11"/>
      <c r="ACH94" s="11"/>
      <c r="ACI94" s="11"/>
      <c r="ACJ94" s="11"/>
      <c r="ACK94" s="11"/>
      <c r="ACL94" s="11"/>
      <c r="ACM94" s="11"/>
      <c r="ACN94" s="11"/>
      <c r="ACO94" s="11"/>
      <c r="ACP94" s="11"/>
      <c r="ACQ94" s="11"/>
      <c r="ACR94" s="11"/>
      <c r="ACS94" s="11"/>
      <c r="ACT94" s="11"/>
      <c r="ACU94" s="11"/>
      <c r="ACV94" s="11"/>
      <c r="ACW94" s="11"/>
      <c r="ACX94" s="11"/>
      <c r="ACY94" s="11"/>
      <c r="ACZ94" s="11"/>
      <c r="ADA94" s="11"/>
      <c r="ADB94" s="11"/>
      <c r="ADC94" s="11"/>
      <c r="ADD94" s="11"/>
      <c r="ADE94" s="11"/>
      <c r="ADF94" s="11"/>
      <c r="ADG94" s="11"/>
      <c r="ADH94" s="11"/>
      <c r="ADI94" s="11"/>
      <c r="ADJ94" s="11"/>
      <c r="ADK94" s="11"/>
      <c r="ADL94" s="11"/>
      <c r="ADM94" s="11"/>
      <c r="ADN94" s="11"/>
      <c r="ADO94" s="11"/>
      <c r="ADP94" s="11"/>
      <c r="ADQ94" s="11"/>
      <c r="ADR94" s="11"/>
      <c r="ADS94" s="11"/>
      <c r="ADT94" s="11"/>
      <c r="ADU94" s="11"/>
      <c r="ADV94" s="11"/>
      <c r="ADW94" s="11"/>
      <c r="ADX94" s="11"/>
      <c r="ADY94" s="11"/>
      <c r="ADZ94" s="11"/>
      <c r="AEA94" s="11"/>
      <c r="AEB94" s="11"/>
      <c r="AEC94" s="11"/>
      <c r="AED94" s="11"/>
      <c r="AEE94" s="11"/>
      <c r="AEF94" s="11"/>
      <c r="AEG94" s="11"/>
      <c r="AEH94" s="11"/>
      <c r="AEI94" s="11"/>
      <c r="AEJ94" s="11"/>
      <c r="AEK94" s="11"/>
      <c r="AEL94" s="11"/>
      <c r="AEM94" s="11"/>
      <c r="AEN94" s="11"/>
      <c r="AEO94" s="11"/>
      <c r="AEP94" s="11"/>
      <c r="AEQ94" s="11"/>
      <c r="AER94" s="11"/>
      <c r="AES94" s="11"/>
      <c r="AET94" s="11"/>
      <c r="AEU94" s="11"/>
      <c r="AEV94" s="11"/>
      <c r="AEW94" s="11"/>
      <c r="AEX94" s="11"/>
      <c r="AEY94" s="11"/>
      <c r="AEZ94" s="11"/>
      <c r="AFA94" s="11"/>
      <c r="AFB94" s="11"/>
      <c r="AFC94" s="11"/>
      <c r="AFD94" s="11"/>
      <c r="AFE94" s="11"/>
      <c r="AFF94" s="11"/>
      <c r="AFG94" s="11"/>
      <c r="AFH94" s="11"/>
      <c r="AFI94" s="11"/>
    </row>
    <row r="95" spans="2:841">
      <c r="B95" s="11"/>
      <c r="C95" s="657"/>
      <c r="D95" s="289" t="s">
        <v>629</v>
      </c>
      <c r="E95" s="551">
        <f>SUMIFS(M_Datos!$N$44:$N$46,M_Datos!$O$44:$O$46,M_Lista!G23)</f>
        <v>0</v>
      </c>
      <c r="F95" s="312" t="e">
        <f>IF(AND(M_FactoresComplement!$G$439="No",M_FactoresComplement!$G$441="No"),M_Cálculos!E95*VLOOKUP(M_Datos!$E$12&amp;M_Cálculos!D95,M_Factores!$M$10:$P$108,2,FALSE)/(10^3),IF(AND(M_FactoresComplement!$G$439="Sí",M_FactoresComplement!$G$441="No"),E95*M_FactoresComplement!G458/(10^3),E95*VLOOKUP(M_FactoresComplement!$C$467&amp;M_Datos!$E$12&amp;M_Lista!G22,M_FactoresComplement!$F$446:$I$781,2,FALSE)/(10^3)))</f>
        <v>#N/A</v>
      </c>
      <c r="G95" s="313" t="e">
        <f>IF(AND(M_FactoresComplement!$G$439="No",M_FactoresComplement!$G$441="No"),M_Cálculos!E95*VLOOKUP(M_Datos!$E$12&amp;M_Cálculos!D95,M_Factores!$M$10:$P$108,3,FALSE)/(10^3),IF(AND(M_FactoresComplement!$G$439="Sí",M_FactoresComplement!$G$441="No"),E95*M_FactoresComplement!H458/(10^3),E95*VLOOKUP(M_FactoresComplement!$C$467&amp;M_Datos!$E$12&amp;M_Lista!G22,M_FactoresComplement!$F$446:$I$781,3,FALSE)/(10^3)))</f>
        <v>#N/A</v>
      </c>
      <c r="H95" s="551">
        <f>SUMIFS(M_Datos!$P$44:$P$46,M_Datos!$Q$44:$Q$46,M_Lista!G23)</f>
        <v>0</v>
      </c>
      <c r="I95" s="312" t="e">
        <f>IF(AND(M_FactoresComplement!$G$439="No",M_FactoresComplement!$G$441="No"),M_Cálculos!H95*VLOOKUP(M_Datos!$E$12&amp;M_Cálculos!D95,M_Factores!$M$10:$P$108,2,FALSE)/(10^3),IF(AND(M_FactoresComplement!$G$439="Sí",M_FactoresComplement!$G$441="No"),H95*M_FactoresComplement!G458/(10^3),H95*VLOOKUP(M_FactoresComplement!$C$467&amp;M_Datos!$E$12&amp;M_Lista!G22,M_FactoresComplement!$F$446:$I$781,2,FALSE)/(10^3)))</f>
        <v>#N/A</v>
      </c>
      <c r="J95" s="313" t="e">
        <f>IF(AND(M_FactoresComplement!$G$439="No",M_FactoresComplement!$G$441="No"),M_Cálculos!H95*VLOOKUP(M_Datos!$E$12&amp;M_Cálculos!D95,M_Factores!$M$10:$P$108,3,FALSE)/(10^3),IF(AND(M_FactoresComplement!$G$439="Sí",M_FactoresComplement!$G$441="No"),H95*M_FactoresComplement!H458/(10^3),H95*VLOOKUP(M_FactoresComplement!$C$467&amp;M_Datos!$E$12&amp;M_Lista!G22,M_FactoresComplement!$F$446:$I$781,3,FALSE)/(10^3)))</f>
        <v>#N/A</v>
      </c>
      <c r="K95" s="551">
        <f>SUMIFS(M_Datos!$R$44:$R$46,M_Datos!$S$44:$S$46,M_Lista!G23)</f>
        <v>0</v>
      </c>
      <c r="L95" s="312" t="e">
        <f>IF(AND(M_FactoresComplement!$G$439="No",M_FactoresComplement!$G$441="No"),M_Cálculos!K95*VLOOKUP(M_Datos!$E$12&amp;M_Cálculos!D95,M_Factores!$M$10:$P$108,2,FALSE)/(10^3),IF(AND(M_FactoresComplement!$G$439="Sí",M_FactoresComplement!$G$441="No"),K95*M_FactoresComplement!G458/(10^3),K95*VLOOKUP(M_FactoresComplement!$C$467&amp;M_Datos!$E$12&amp;M_Lista!G22,M_FactoresComplement!$F$446:$I$781,2,FALSE)/(10^3)))</f>
        <v>#N/A</v>
      </c>
      <c r="M95" s="313" t="e">
        <f>IF(AND(M_FactoresComplement!$G$439="No",M_FactoresComplement!$G$441="No"),M_Cálculos!K95*VLOOKUP(M_Datos!$E$12&amp;M_Cálculos!D95,M_Factores!$M$10:$P$108,3,FALSE)/(10^3),IF(AND(M_FactoresComplement!$G$439="Sí",M_FactoresComplement!$G$441="No"),K95*M_FactoresComplement!H458/(10^3),K95*VLOOKUP(M_FactoresComplement!$C$467&amp;M_Datos!$E$12&amp;M_Lista!G22,M_FactoresComplement!$F$446:$I$781,3,FALSE)/(10^3)))</f>
        <v>#N/A</v>
      </c>
      <c r="N95" s="551">
        <f>SUMIFS(M_Datos!$T$44:$T$46,M_Datos!$U$44:$U$46,M_Lista!G23)</f>
        <v>0</v>
      </c>
      <c r="O95" s="312" t="e">
        <f>IF(AND(M_FactoresComplement!$G$439="No",M_FactoresComplement!$G$441="No"),M_Cálculos!N95*VLOOKUP(M_Datos!$E$12&amp;M_Cálculos!D95,M_Factores!$M$10:$P$108,2,FALSE)/(10^3),IF(AND(M_FactoresComplement!$G$439="Sí",M_FactoresComplement!$G$441="No"),N95*M_FactoresComplement!G458/(10^3),N95*VLOOKUP(M_FactoresComplement!$C$467&amp;M_Datos!$E$12&amp;M_Lista!G22,M_FactoresComplement!$F$446:$I$781,2,FALSE)/(10^3)))</f>
        <v>#N/A</v>
      </c>
      <c r="P95" s="313" t="e">
        <f>IF(AND(M_FactoresComplement!$G$439="No",M_FactoresComplement!$G$441="No"),M_Cálculos!N95*VLOOKUP(M_Datos!$E$12&amp;M_Cálculos!D95,M_Factores!$M$10:$P$108,3,FALSE)/(10^3),IF(AND(M_FactoresComplement!$G$439="Sí",M_FactoresComplement!$G$441="No"),N95*M_FactoresComplement!H458/(10^3),N95*VLOOKUP(M_FactoresComplement!$C$467&amp;M_Datos!$E$12&amp;M_Lista!G22,M_FactoresComplement!$F$446:$I$781,3,FALSE)/(10^3)))</f>
        <v>#N/A</v>
      </c>
      <c r="Q95" s="551">
        <f>SUMIFS(M_Datos!$V$44:$V$46,M_Datos!$W$44:$W$46,M_Lista!G23)</f>
        <v>0</v>
      </c>
      <c r="R95" s="312" t="e">
        <f>IF(AND(M_FactoresComplement!$G$439="No",M_FactoresComplement!$G$441="No"),M_Cálculos!Q95*VLOOKUP(M_Datos!$E$12&amp;M_Cálculos!D95,M_Factores!$M$10:$P$108,2,FALSE)/(10^3),IF(AND(M_FactoresComplement!$G$439="Sí",M_FactoresComplement!$G$441="No"),Q95*M_FactoresComplement!G458/(10^3),Q95*VLOOKUP(M_FactoresComplement!$C$467&amp;M_Datos!$E$12&amp;M_Lista!G22,M_FactoresComplement!$F$446:$I$781,2,FALSE)/(10^3)))</f>
        <v>#N/A</v>
      </c>
      <c r="S95" s="313" t="e">
        <f>IF(AND(M_FactoresComplement!$G$439="No",M_FactoresComplement!$G$441="No"),M_Cálculos!Q95*VLOOKUP(M_Datos!$E$12&amp;M_Cálculos!D95,M_Factores!$M$10:$P$108,3,FALSE)/(10^3),IF(AND(M_FactoresComplement!$G$439="Sí",M_FactoresComplement!$G$441="No"),Q95*M_FactoresComplement!H458/(10^3),Q95*VLOOKUP(M_FactoresComplement!$C$467&amp;M_Datos!$E$12&amp;M_Lista!G22,M_FactoresComplement!$F$446:$I$781,3,FALSE)/(10^3)))</f>
        <v>#N/A</v>
      </c>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1"/>
      <c r="JA95" s="11"/>
      <c r="JB95" s="11"/>
      <c r="JC95" s="11"/>
      <c r="JD95" s="11"/>
      <c r="JE95" s="11"/>
      <c r="JF95" s="11"/>
      <c r="JG95" s="11"/>
      <c r="JH95" s="11"/>
      <c r="JI95" s="11"/>
      <c r="JJ95" s="11"/>
      <c r="JK95" s="11"/>
      <c r="JL95" s="11"/>
      <c r="JM95" s="11"/>
      <c r="JN95" s="11"/>
      <c r="JO95" s="11"/>
      <c r="JP95" s="11"/>
      <c r="JQ95" s="11"/>
      <c r="JR95" s="11"/>
      <c r="JS95" s="11"/>
      <c r="JT95" s="11"/>
      <c r="JU95" s="11"/>
      <c r="JV95" s="11"/>
      <c r="JW95" s="11"/>
      <c r="JX95" s="11"/>
      <c r="JY95" s="11"/>
      <c r="JZ95" s="11"/>
      <c r="KA95" s="11"/>
      <c r="KB95" s="11"/>
      <c r="KC95" s="11"/>
      <c r="KD95" s="11"/>
      <c r="KE95" s="11"/>
      <c r="KF95" s="11"/>
      <c r="KG95" s="11"/>
      <c r="KH95" s="11"/>
      <c r="KI95" s="11"/>
      <c r="KJ95" s="11"/>
      <c r="KK95" s="11"/>
      <c r="KL95" s="11"/>
      <c r="KM95" s="11"/>
      <c r="KN95" s="11"/>
      <c r="KO95" s="11"/>
      <c r="KP95" s="11"/>
      <c r="KQ95" s="11"/>
      <c r="KR95" s="11"/>
      <c r="KS95" s="11"/>
      <c r="KT95" s="11"/>
      <c r="KU95" s="11"/>
      <c r="KV95" s="11"/>
      <c r="KW95" s="11"/>
      <c r="KX95" s="11"/>
      <c r="KY95" s="11"/>
      <c r="KZ95" s="11"/>
      <c r="LA95" s="11"/>
      <c r="LB95" s="11"/>
      <c r="LC95" s="11"/>
      <c r="LD95" s="11"/>
      <c r="LE95" s="11"/>
      <c r="LF95" s="11"/>
      <c r="LG95" s="11"/>
      <c r="LH95" s="11"/>
      <c r="LI95" s="11"/>
      <c r="LJ95" s="11"/>
      <c r="LK95" s="11"/>
      <c r="LL95" s="11"/>
      <c r="LM95" s="11"/>
      <c r="LN95" s="11"/>
      <c r="LO95" s="11"/>
      <c r="LP95" s="11"/>
      <c r="LQ95" s="11"/>
      <c r="LR95" s="11"/>
      <c r="LS95" s="11"/>
      <c r="LT95" s="11"/>
      <c r="LU95" s="11"/>
      <c r="LV95" s="11"/>
      <c r="LW95" s="11"/>
      <c r="LX95" s="11"/>
      <c r="LY95" s="11"/>
      <c r="LZ95" s="11"/>
      <c r="MA95" s="11"/>
      <c r="MB95" s="11"/>
      <c r="MC95" s="11"/>
      <c r="MD95" s="11"/>
      <c r="ME95" s="11"/>
      <c r="MF95" s="11"/>
      <c r="MG95" s="11"/>
      <c r="MH95" s="11"/>
      <c r="MI95" s="11"/>
      <c r="MJ95" s="11"/>
      <c r="MK95" s="11"/>
      <c r="ML95" s="11"/>
      <c r="MM95" s="11"/>
      <c r="MN95" s="11"/>
      <c r="MO95" s="11"/>
      <c r="MP95" s="11"/>
      <c r="MQ95" s="11"/>
      <c r="MR95" s="11"/>
      <c r="MS95" s="11"/>
      <c r="MT95" s="11"/>
      <c r="MU95" s="11"/>
      <c r="MV95" s="11"/>
      <c r="MW95" s="11"/>
      <c r="MX95" s="11"/>
      <c r="MY95" s="11"/>
      <c r="MZ95" s="11"/>
      <c r="NA95" s="11"/>
      <c r="NB95" s="11"/>
      <c r="NC95" s="11"/>
      <c r="ND95" s="11"/>
      <c r="NE95" s="11"/>
      <c r="NF95" s="11"/>
      <c r="NG95" s="11"/>
      <c r="NH95" s="11"/>
      <c r="NI95" s="11"/>
      <c r="NJ95" s="11"/>
      <c r="NK95" s="11"/>
      <c r="NL95" s="11"/>
      <c r="NM95" s="11"/>
      <c r="NN95" s="11"/>
      <c r="NO95" s="11"/>
      <c r="NP95" s="11"/>
      <c r="NQ95" s="11"/>
      <c r="NR95" s="11"/>
      <c r="NS95" s="11"/>
      <c r="NT95" s="11"/>
      <c r="NU95" s="11"/>
      <c r="NV95" s="11"/>
      <c r="NW95" s="11"/>
      <c r="NX95" s="11"/>
      <c r="NY95" s="11"/>
      <c r="NZ95" s="11"/>
      <c r="OA95" s="11"/>
      <c r="OB95" s="11"/>
      <c r="OC95" s="11"/>
      <c r="OD95" s="11"/>
      <c r="OE95" s="11"/>
      <c r="OF95" s="11"/>
      <c r="OG95" s="11"/>
      <c r="OH95" s="11"/>
      <c r="OI95" s="11"/>
      <c r="OJ95" s="11"/>
      <c r="OK95" s="11"/>
      <c r="OL95" s="11"/>
      <c r="OM95" s="11"/>
      <c r="ON95" s="11"/>
      <c r="OO95" s="11"/>
      <c r="OP95" s="11"/>
      <c r="OQ95" s="11"/>
      <c r="OR95" s="11"/>
      <c r="OS95" s="11"/>
      <c r="OT95" s="11"/>
      <c r="OU95" s="11"/>
      <c r="OV95" s="11"/>
      <c r="OW95" s="11"/>
      <c r="OX95" s="11"/>
      <c r="OY95" s="11"/>
      <c r="OZ95" s="11"/>
      <c r="PA95" s="11"/>
      <c r="PB95" s="11"/>
      <c r="PC95" s="11"/>
      <c r="PD95" s="11"/>
      <c r="PE95" s="11"/>
      <c r="PF95" s="11"/>
      <c r="PG95" s="11"/>
      <c r="PH95" s="11"/>
      <c r="PI95" s="11"/>
      <c r="PJ95" s="11"/>
      <c r="PK95" s="11"/>
      <c r="PL95" s="11"/>
      <c r="PM95" s="11"/>
      <c r="PN95" s="11"/>
      <c r="PO95" s="11"/>
      <c r="PP95" s="11"/>
      <c r="PQ95" s="11"/>
      <c r="PR95" s="11"/>
      <c r="PS95" s="11"/>
      <c r="PT95" s="11"/>
      <c r="PU95" s="11"/>
      <c r="PV95" s="11"/>
      <c r="PW95" s="11"/>
      <c r="PX95" s="11"/>
      <c r="PY95" s="11"/>
      <c r="PZ95" s="11"/>
      <c r="QA95" s="11"/>
      <c r="QB95" s="11"/>
      <c r="QC95" s="11"/>
      <c r="QD95" s="11"/>
      <c r="QE95" s="11"/>
      <c r="QF95" s="11"/>
      <c r="QG95" s="11"/>
      <c r="QH95" s="11"/>
      <c r="QI95" s="11"/>
      <c r="QJ95" s="11"/>
      <c r="QK95" s="11"/>
      <c r="QL95" s="11"/>
      <c r="QM95" s="11"/>
      <c r="QN95" s="11"/>
      <c r="QO95" s="11"/>
      <c r="QP95" s="11"/>
      <c r="QQ95" s="11"/>
      <c r="QR95" s="11"/>
      <c r="QS95" s="11"/>
      <c r="QT95" s="11"/>
      <c r="QU95" s="11"/>
      <c r="QV95" s="11"/>
      <c r="QW95" s="11"/>
      <c r="QX95" s="11"/>
      <c r="QY95" s="11"/>
      <c r="QZ95" s="11"/>
      <c r="RA95" s="11"/>
      <c r="RB95" s="11"/>
      <c r="RC95" s="11"/>
      <c r="RD95" s="11"/>
      <c r="RE95" s="11"/>
      <c r="RF95" s="11"/>
      <c r="RG95" s="11"/>
      <c r="RH95" s="11"/>
      <c r="RI95" s="11"/>
      <c r="RJ95" s="11"/>
      <c r="RK95" s="11"/>
      <c r="RL95" s="11"/>
      <c r="RM95" s="11"/>
      <c r="RN95" s="11"/>
      <c r="RO95" s="11"/>
      <c r="RP95" s="11"/>
      <c r="RQ95" s="11"/>
      <c r="RR95" s="11"/>
      <c r="RS95" s="11"/>
      <c r="RT95" s="11"/>
      <c r="RU95" s="11"/>
      <c r="RV95" s="11"/>
      <c r="RW95" s="11"/>
      <c r="RX95" s="11"/>
      <c r="RY95" s="11"/>
      <c r="RZ95" s="11"/>
      <c r="SA95" s="11"/>
      <c r="SB95" s="11"/>
      <c r="SC95" s="11"/>
      <c r="SD95" s="11"/>
      <c r="SE95" s="11"/>
      <c r="SF95" s="11"/>
      <c r="SG95" s="11"/>
      <c r="SH95" s="11"/>
      <c r="SI95" s="11"/>
      <c r="SJ95" s="11"/>
      <c r="SK95" s="11"/>
      <c r="SL95" s="11"/>
      <c r="SM95" s="11"/>
      <c r="SN95" s="11"/>
      <c r="SO95" s="11"/>
      <c r="SP95" s="11"/>
      <c r="SQ95" s="11"/>
      <c r="SR95" s="11"/>
      <c r="SS95" s="11"/>
      <c r="ST95" s="11"/>
      <c r="SU95" s="11"/>
      <c r="SV95" s="11"/>
      <c r="SW95" s="11"/>
      <c r="SX95" s="11"/>
      <c r="SY95" s="11"/>
      <c r="SZ95" s="11"/>
      <c r="TA95" s="11"/>
      <c r="TB95" s="11"/>
      <c r="TC95" s="11"/>
      <c r="TD95" s="11"/>
      <c r="TE95" s="11"/>
      <c r="TF95" s="11"/>
      <c r="TG95" s="11"/>
      <c r="TH95" s="11"/>
      <c r="TI95" s="11"/>
      <c r="TJ95" s="11"/>
      <c r="TK95" s="11"/>
      <c r="TL95" s="11"/>
      <c r="TM95" s="11"/>
      <c r="TN95" s="11"/>
      <c r="TO95" s="11"/>
      <c r="TP95" s="11"/>
      <c r="TQ95" s="11"/>
      <c r="TR95" s="11"/>
      <c r="TS95" s="11"/>
      <c r="TT95" s="11"/>
      <c r="TU95" s="11"/>
      <c r="TV95" s="11"/>
      <c r="TW95" s="11"/>
      <c r="TX95" s="11"/>
      <c r="TY95" s="11"/>
      <c r="TZ95" s="11"/>
      <c r="UA95" s="11"/>
      <c r="UB95" s="11"/>
      <c r="UC95" s="11"/>
      <c r="UD95" s="11"/>
      <c r="UE95" s="11"/>
      <c r="UF95" s="11"/>
      <c r="UG95" s="11"/>
      <c r="UH95" s="11"/>
      <c r="UI95" s="11"/>
      <c r="UJ95" s="11"/>
      <c r="UK95" s="11"/>
      <c r="UL95" s="11"/>
      <c r="UM95" s="11"/>
      <c r="UN95" s="11"/>
      <c r="UO95" s="11"/>
      <c r="UP95" s="11"/>
      <c r="UQ95" s="11"/>
      <c r="UR95" s="11"/>
      <c r="US95" s="11"/>
      <c r="UT95" s="11"/>
      <c r="UU95" s="11"/>
      <c r="UV95" s="11"/>
      <c r="UW95" s="11"/>
      <c r="UX95" s="11"/>
      <c r="UY95" s="11"/>
      <c r="UZ95" s="11"/>
      <c r="VA95" s="11"/>
      <c r="VB95" s="11"/>
      <c r="VC95" s="11"/>
      <c r="VD95" s="11"/>
      <c r="VE95" s="11"/>
      <c r="VF95" s="11"/>
      <c r="VG95" s="11"/>
      <c r="VH95" s="11"/>
      <c r="VI95" s="11"/>
      <c r="VJ95" s="11"/>
      <c r="VK95" s="11"/>
      <c r="VL95" s="11"/>
      <c r="VM95" s="11"/>
      <c r="VN95" s="11"/>
      <c r="VO95" s="11"/>
      <c r="VP95" s="11"/>
      <c r="VQ95" s="11"/>
      <c r="VR95" s="11"/>
      <c r="VS95" s="11"/>
      <c r="VT95" s="11"/>
      <c r="VU95" s="11"/>
      <c r="VV95" s="11"/>
      <c r="VW95" s="11"/>
      <c r="VX95" s="11"/>
      <c r="VY95" s="11"/>
      <c r="VZ95" s="11"/>
      <c r="WA95" s="11"/>
      <c r="WB95" s="11"/>
      <c r="WC95" s="11"/>
      <c r="WD95" s="11"/>
      <c r="WE95" s="11"/>
      <c r="WF95" s="11"/>
      <c r="WG95" s="11"/>
      <c r="WH95" s="11"/>
      <c r="WI95" s="11"/>
      <c r="WJ95" s="11"/>
      <c r="WK95" s="11"/>
      <c r="WL95" s="11"/>
      <c r="WM95" s="11"/>
      <c r="WN95" s="11"/>
      <c r="WO95" s="11"/>
      <c r="WP95" s="11"/>
      <c r="WQ95" s="11"/>
      <c r="WR95" s="11"/>
      <c r="WS95" s="11"/>
      <c r="WT95" s="11"/>
      <c r="WU95" s="11"/>
      <c r="WV95" s="11"/>
      <c r="WW95" s="11"/>
      <c r="WX95" s="11"/>
      <c r="WY95" s="11"/>
      <c r="WZ95" s="11"/>
      <c r="XA95" s="11"/>
      <c r="XB95" s="11"/>
      <c r="XC95" s="11"/>
      <c r="XD95" s="11"/>
      <c r="XE95" s="11"/>
      <c r="XF95" s="11"/>
      <c r="XG95" s="11"/>
      <c r="XH95" s="11"/>
      <c r="XI95" s="11"/>
      <c r="XJ95" s="11"/>
      <c r="XK95" s="11"/>
      <c r="XL95" s="11"/>
      <c r="XM95" s="11"/>
      <c r="XN95" s="11"/>
      <c r="XO95" s="11"/>
      <c r="XP95" s="11"/>
      <c r="XQ95" s="11"/>
      <c r="XR95" s="11"/>
      <c r="XS95" s="11"/>
      <c r="XT95" s="11"/>
      <c r="XU95" s="11"/>
      <c r="XV95" s="11"/>
      <c r="XW95" s="11"/>
      <c r="XX95" s="11"/>
      <c r="XY95" s="11"/>
      <c r="XZ95" s="11"/>
      <c r="YA95" s="11"/>
      <c r="YB95" s="11"/>
      <c r="YC95" s="11"/>
      <c r="YD95" s="11"/>
      <c r="YE95" s="11"/>
      <c r="YF95" s="11"/>
      <c r="YG95" s="11"/>
      <c r="YH95" s="11"/>
      <c r="YI95" s="11"/>
      <c r="YJ95" s="11"/>
      <c r="YK95" s="11"/>
      <c r="YL95" s="11"/>
      <c r="YM95" s="11"/>
      <c r="YN95" s="11"/>
      <c r="YO95" s="11"/>
      <c r="YP95" s="11"/>
      <c r="YQ95" s="11"/>
      <c r="YR95" s="11"/>
      <c r="YS95" s="11"/>
      <c r="YT95" s="11"/>
      <c r="YU95" s="11"/>
      <c r="YV95" s="11"/>
      <c r="YW95" s="11"/>
      <c r="YX95" s="11"/>
      <c r="YY95" s="11"/>
      <c r="YZ95" s="11"/>
      <c r="ZA95" s="11"/>
      <c r="ZB95" s="11"/>
      <c r="ZC95" s="11"/>
      <c r="ZD95" s="11"/>
      <c r="ZE95" s="11"/>
      <c r="ZF95" s="11"/>
      <c r="ZG95" s="11"/>
      <c r="ZH95" s="11"/>
      <c r="ZI95" s="11"/>
      <c r="ZJ95" s="11"/>
      <c r="ZK95" s="11"/>
      <c r="ZL95" s="11"/>
      <c r="ZM95" s="11"/>
      <c r="ZN95" s="11"/>
      <c r="ZO95" s="11"/>
      <c r="ZP95" s="11"/>
      <c r="ZQ95" s="11"/>
      <c r="ZR95" s="11"/>
      <c r="ZS95" s="11"/>
      <c r="ZT95" s="11"/>
      <c r="ZU95" s="11"/>
      <c r="ZV95" s="11"/>
      <c r="ZW95" s="11"/>
      <c r="ZX95" s="11"/>
      <c r="ZY95" s="11"/>
      <c r="ZZ95" s="11"/>
      <c r="AAA95" s="11"/>
      <c r="AAB95" s="11"/>
      <c r="AAC95" s="11"/>
      <c r="AAD95" s="11"/>
      <c r="AAE95" s="11"/>
      <c r="AAF95" s="11"/>
      <c r="AAG95" s="11"/>
      <c r="AAH95" s="11"/>
      <c r="AAI95" s="11"/>
      <c r="AAJ95" s="11"/>
      <c r="AAK95" s="11"/>
      <c r="AAL95" s="11"/>
      <c r="AAM95" s="11"/>
      <c r="AAN95" s="11"/>
      <c r="AAO95" s="11"/>
      <c r="AAP95" s="11"/>
      <c r="AAQ95" s="11"/>
      <c r="AAR95" s="11"/>
      <c r="AAS95" s="11"/>
      <c r="AAT95" s="11"/>
      <c r="AAU95" s="11"/>
      <c r="AAV95" s="11"/>
      <c r="AAW95" s="11"/>
      <c r="AAX95" s="11"/>
      <c r="AAY95" s="11"/>
      <c r="AAZ95" s="11"/>
      <c r="ABA95" s="11"/>
      <c r="ABB95" s="11"/>
      <c r="ABC95" s="11"/>
      <c r="ABD95" s="11"/>
      <c r="ABE95" s="11"/>
      <c r="ABF95" s="11"/>
      <c r="ABG95" s="11"/>
      <c r="ABH95" s="11"/>
      <c r="ABI95" s="11"/>
      <c r="ABJ95" s="11"/>
      <c r="ABK95" s="11"/>
      <c r="ABL95" s="11"/>
      <c r="ABM95" s="11"/>
      <c r="ABN95" s="11"/>
      <c r="ABO95" s="11"/>
      <c r="ABP95" s="11"/>
      <c r="ABQ95" s="11"/>
      <c r="ABR95" s="11"/>
      <c r="ABS95" s="11"/>
      <c r="ABT95" s="11"/>
      <c r="ABU95" s="11"/>
      <c r="ABV95" s="11"/>
      <c r="ABW95" s="11"/>
      <c r="ABX95" s="11"/>
      <c r="ABY95" s="11"/>
      <c r="ABZ95" s="11"/>
      <c r="ACA95" s="11"/>
      <c r="ACB95" s="11"/>
      <c r="ACC95" s="11"/>
      <c r="ACD95" s="11"/>
      <c r="ACE95" s="11"/>
      <c r="ACF95" s="11"/>
      <c r="ACG95" s="11"/>
      <c r="ACH95" s="11"/>
      <c r="ACI95" s="11"/>
      <c r="ACJ95" s="11"/>
      <c r="ACK95" s="11"/>
      <c r="ACL95" s="11"/>
      <c r="ACM95" s="11"/>
      <c r="ACN95" s="11"/>
      <c r="ACO95" s="11"/>
      <c r="ACP95" s="11"/>
      <c r="ACQ95" s="11"/>
      <c r="ACR95" s="11"/>
      <c r="ACS95" s="11"/>
      <c r="ACT95" s="11"/>
      <c r="ACU95" s="11"/>
      <c r="ACV95" s="11"/>
      <c r="ACW95" s="11"/>
      <c r="ACX95" s="11"/>
      <c r="ACY95" s="11"/>
      <c r="ACZ95" s="11"/>
      <c r="ADA95" s="11"/>
      <c r="ADB95" s="11"/>
      <c r="ADC95" s="11"/>
      <c r="ADD95" s="11"/>
      <c r="ADE95" s="11"/>
      <c r="ADF95" s="11"/>
      <c r="ADG95" s="11"/>
      <c r="ADH95" s="11"/>
      <c r="ADI95" s="11"/>
      <c r="ADJ95" s="11"/>
      <c r="ADK95" s="11"/>
      <c r="ADL95" s="11"/>
      <c r="ADM95" s="11"/>
      <c r="ADN95" s="11"/>
      <c r="ADO95" s="11"/>
      <c r="ADP95" s="11"/>
      <c r="ADQ95" s="11"/>
      <c r="ADR95" s="11"/>
      <c r="ADS95" s="11"/>
      <c r="ADT95" s="11"/>
      <c r="ADU95" s="11"/>
      <c r="ADV95" s="11"/>
      <c r="ADW95" s="11"/>
      <c r="ADX95" s="11"/>
      <c r="ADY95" s="11"/>
      <c r="ADZ95" s="11"/>
      <c r="AEA95" s="11"/>
      <c r="AEB95" s="11"/>
      <c r="AEC95" s="11"/>
      <c r="AED95" s="11"/>
      <c r="AEE95" s="11"/>
      <c r="AEF95" s="11"/>
      <c r="AEG95" s="11"/>
      <c r="AEH95" s="11"/>
      <c r="AEI95" s="11"/>
      <c r="AEJ95" s="11"/>
      <c r="AEK95" s="11"/>
      <c r="AEL95" s="11"/>
      <c r="AEM95" s="11"/>
      <c r="AEN95" s="11"/>
      <c r="AEO95" s="11"/>
      <c r="AEP95" s="11"/>
      <c r="AEQ95" s="11"/>
      <c r="AER95" s="11"/>
      <c r="AES95" s="11"/>
      <c r="AET95" s="11"/>
      <c r="AEU95" s="11"/>
      <c r="AEV95" s="11"/>
      <c r="AEW95" s="11"/>
      <c r="AEX95" s="11"/>
      <c r="AEY95" s="11"/>
      <c r="AEZ95" s="11"/>
      <c r="AFA95" s="11"/>
      <c r="AFB95" s="11"/>
      <c r="AFC95" s="11"/>
      <c r="AFD95" s="11"/>
      <c r="AFE95" s="11"/>
      <c r="AFF95" s="11"/>
      <c r="AFG95" s="11"/>
      <c r="AFH95" s="11"/>
      <c r="AFI95" s="11"/>
    </row>
    <row r="96" spans="2:841">
      <c r="B96" s="11"/>
      <c r="C96" s="657"/>
      <c r="D96" s="289" t="str">
        <f>IF(Idioma=Castellano,"Sin definir",IF(Idioma=Valencià,"Sense definir","Sin definir"))</f>
        <v>Sin definir</v>
      </c>
      <c r="E96" s="551">
        <f>SUMIFS(M_Datos!$N$44:$N$46,M_Datos!$O$44:$O$46,M_Lista!G24)</f>
        <v>0</v>
      </c>
      <c r="F96" s="312" t="e">
        <f>IF(AND(M_FactoresComplement!$G$439="No",M_FactoresComplement!$G$441="No"),M_Cálculos!E96*VLOOKUP(M_Datos!$E$12&amp;M_Cálculos!D96,M_Factores!$M$10:$P$108,2,FALSE)/(10^3),IF(AND(M_FactoresComplement!$G$439="Sí",M_FactoresComplement!$G$441="No"),E96*M_FactoresComplement!G459/(10^3),E96*VLOOKUP(M_FactoresComplement!$C$467&amp;M_Datos!$E$12&amp;M_Lista!G23,M_FactoresComplement!$F$446:$I$781,2,FALSE)/(10^3)))</f>
        <v>#N/A</v>
      </c>
      <c r="G96" s="313" t="e">
        <f>IF(AND(M_FactoresComplement!$G$439="No",M_FactoresComplement!$G$441="No"),M_Cálculos!E96*VLOOKUP(M_Datos!$E$12&amp;M_Cálculos!D96,M_Factores!$M$10:$P$108,3,FALSE)/(10^3),IF(AND(M_FactoresComplement!$G$439="Sí",M_FactoresComplement!$G$441="No"),E96*M_FactoresComplement!H459/(10^3),E96*VLOOKUP(M_FactoresComplement!$C$467&amp;M_Datos!$E$12&amp;M_Lista!G23,M_FactoresComplement!$F$446:$I$781,3,FALSE)/(10^3)))</f>
        <v>#N/A</v>
      </c>
      <c r="H96" s="551">
        <f>SUMIFS(M_Datos!$P$44:$P$46,M_Datos!$Q$44:$Q$46,M_Lista!G24)</f>
        <v>0</v>
      </c>
      <c r="I96" s="312" t="e">
        <f>IF(AND(M_FactoresComplement!$G$439="No",M_FactoresComplement!$G$441="No"),M_Cálculos!H96*VLOOKUP(M_Datos!$E$12&amp;M_Cálculos!D96,M_Factores!$M$10:$P$108,2,FALSE)/(10^3),IF(AND(M_FactoresComplement!$G$439="Sí",M_FactoresComplement!$G$441="No"),H96*M_FactoresComplement!G459/(10^3),H96*VLOOKUP(M_FactoresComplement!$C$467&amp;M_Datos!$E$12&amp;M_Lista!G23,M_FactoresComplement!$F$446:$I$781,2,FALSE)/(10^3)))</f>
        <v>#N/A</v>
      </c>
      <c r="J96" s="313" t="e">
        <f>IF(AND(M_FactoresComplement!$G$439="No",M_FactoresComplement!$G$441="No"),M_Cálculos!H96*VLOOKUP(M_Datos!$E$12&amp;M_Cálculos!D96,M_Factores!$M$10:$P$108,3,FALSE)/(10^3),IF(AND(M_FactoresComplement!$G$439="Sí",M_FactoresComplement!$G$441="No"),H96*M_FactoresComplement!H459/(10^3),H96*VLOOKUP(M_FactoresComplement!$C$467&amp;M_Datos!$E$12&amp;M_Lista!G23,M_FactoresComplement!$F$446:$I$781,3,FALSE)/(10^3)))</f>
        <v>#N/A</v>
      </c>
      <c r="K96" s="551">
        <f>SUMIFS(M_Datos!$R$44:$R$46,M_Datos!$S$44:$S$46,M_Lista!G24)</f>
        <v>0</v>
      </c>
      <c r="L96" s="312" t="e">
        <f>IF(AND(M_FactoresComplement!$G$439="No",M_FactoresComplement!$G$441="No"),M_Cálculos!K96*VLOOKUP(M_Datos!$E$12&amp;M_Cálculos!D96,M_Factores!$M$10:$P$108,2,FALSE)/(10^3),IF(AND(M_FactoresComplement!$G$439="Sí",M_FactoresComplement!$G$441="No"),K96*M_FactoresComplement!G459/(10^3),K96*VLOOKUP(M_FactoresComplement!$C$467&amp;M_Datos!$E$12&amp;M_Lista!G23,M_FactoresComplement!$F$446:$I$781,2,FALSE)/(10^3)))</f>
        <v>#N/A</v>
      </c>
      <c r="M96" s="313" t="e">
        <f>IF(AND(M_FactoresComplement!$G$439="No",M_FactoresComplement!$G$441="No"),M_Cálculos!K96*VLOOKUP(M_Datos!$E$12&amp;M_Cálculos!D96,M_Factores!$M$10:$P$108,3,FALSE)/(10^3),IF(AND(M_FactoresComplement!$G$439="Sí",M_FactoresComplement!$G$441="No"),K96*M_FactoresComplement!H459/(10^3),K96*VLOOKUP(M_FactoresComplement!$C$467&amp;M_Datos!$E$12&amp;M_Lista!G23,M_FactoresComplement!$F$446:$I$781,3,FALSE)/(10^3)))</f>
        <v>#N/A</v>
      </c>
      <c r="N96" s="551">
        <f>SUMIFS(M_Datos!$T$44:$T$46,M_Datos!$U$44:$U$46,M_Lista!G24)</f>
        <v>0</v>
      </c>
      <c r="O96" s="312" t="e">
        <f>IF(AND(M_FactoresComplement!$G$439="No",M_FactoresComplement!$G$441="No"),M_Cálculos!N96*VLOOKUP(M_Datos!$E$12&amp;M_Cálculos!D96,M_Factores!$M$10:$P$108,2,FALSE)/(10^3),IF(AND(M_FactoresComplement!$G$439="Sí",M_FactoresComplement!$G$441="No"),N96*M_FactoresComplement!G459/(10^3),N96*VLOOKUP(M_FactoresComplement!$C$467&amp;M_Datos!$E$12&amp;M_Lista!G23,M_FactoresComplement!$F$446:$I$781,2,FALSE)/(10^3)))</f>
        <v>#N/A</v>
      </c>
      <c r="P96" s="313" t="e">
        <f>IF(AND(M_FactoresComplement!$G$439="No",M_FactoresComplement!$G$441="No"),M_Cálculos!N96*VLOOKUP(M_Datos!$E$12&amp;M_Cálculos!D96,M_Factores!$M$10:$P$108,3,FALSE)/(10^3),IF(AND(M_FactoresComplement!$G$439="Sí",M_FactoresComplement!$G$441="No"),N96*M_FactoresComplement!H459/(10^3),N96*VLOOKUP(M_FactoresComplement!$C$467&amp;M_Datos!$E$12&amp;M_Lista!G23,M_FactoresComplement!$F$446:$I$781,3,FALSE)/(10^3)))</f>
        <v>#N/A</v>
      </c>
      <c r="Q96" s="551">
        <f>SUMIFS(M_Datos!$V$44:$V$46,M_Datos!$W$44:$W$46,M_Lista!G24)</f>
        <v>0</v>
      </c>
      <c r="R96" s="312" t="e">
        <f>IF(AND(M_FactoresComplement!$G$439="No",M_FactoresComplement!$G$441="No"),M_Cálculos!Q96*VLOOKUP(M_Datos!$E$12&amp;M_Cálculos!D96,M_Factores!$M$10:$P$108,2,FALSE)/(10^3),IF(AND(M_FactoresComplement!$G$439="Sí",M_FactoresComplement!$G$441="No"),Q96*M_FactoresComplement!G459/(10^3),Q96*VLOOKUP(M_FactoresComplement!$C$467&amp;M_Datos!$E$12&amp;M_Lista!G23,M_FactoresComplement!$F$446:$I$781,2,FALSE)/(10^3)))</f>
        <v>#N/A</v>
      </c>
      <c r="S96" s="313" t="e">
        <f>IF(AND(M_FactoresComplement!$G$439="No",M_FactoresComplement!$G$441="No"),M_Cálculos!Q96*VLOOKUP(M_Datos!$E$12&amp;M_Cálculos!D96,M_Factores!$M$10:$P$108,3,FALSE)/(10^3),IF(AND(M_FactoresComplement!$G$439="Sí",M_FactoresComplement!$G$441="No"),Q96*M_FactoresComplement!H459/(10^3),Q96*VLOOKUP(M_FactoresComplement!$C$467&amp;M_Datos!$E$12&amp;M_Lista!G23,M_FactoresComplement!$F$446:$I$781,3,FALSE)/(10^3)))</f>
        <v>#N/A</v>
      </c>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1"/>
      <c r="JA96" s="11"/>
      <c r="JB96" s="11"/>
      <c r="JC96" s="11"/>
      <c r="JD96" s="11"/>
      <c r="JE96" s="11"/>
      <c r="JF96" s="11"/>
      <c r="JG96" s="11"/>
      <c r="JH96" s="11"/>
      <c r="JI96" s="11"/>
      <c r="JJ96" s="11"/>
      <c r="JK96" s="11"/>
      <c r="JL96" s="11"/>
      <c r="JM96" s="11"/>
      <c r="JN96" s="11"/>
      <c r="JO96" s="11"/>
      <c r="JP96" s="11"/>
      <c r="JQ96" s="11"/>
      <c r="JR96" s="11"/>
      <c r="JS96" s="11"/>
      <c r="JT96" s="11"/>
      <c r="JU96" s="11"/>
      <c r="JV96" s="11"/>
      <c r="JW96" s="11"/>
      <c r="JX96" s="11"/>
      <c r="JY96" s="11"/>
      <c r="JZ96" s="11"/>
      <c r="KA96" s="11"/>
      <c r="KB96" s="11"/>
      <c r="KC96" s="11"/>
      <c r="KD96" s="11"/>
      <c r="KE96" s="11"/>
      <c r="KF96" s="11"/>
      <c r="KG96" s="11"/>
      <c r="KH96" s="11"/>
      <c r="KI96" s="11"/>
      <c r="KJ96" s="11"/>
      <c r="KK96" s="11"/>
      <c r="KL96" s="11"/>
      <c r="KM96" s="11"/>
      <c r="KN96" s="11"/>
      <c r="KO96" s="11"/>
      <c r="KP96" s="11"/>
      <c r="KQ96" s="11"/>
      <c r="KR96" s="11"/>
      <c r="KS96" s="11"/>
      <c r="KT96" s="11"/>
      <c r="KU96" s="11"/>
      <c r="KV96" s="11"/>
      <c r="KW96" s="11"/>
      <c r="KX96" s="11"/>
      <c r="KY96" s="11"/>
      <c r="KZ96" s="11"/>
      <c r="LA96" s="11"/>
      <c r="LB96" s="11"/>
      <c r="LC96" s="11"/>
      <c r="LD96" s="11"/>
      <c r="LE96" s="11"/>
      <c r="LF96" s="11"/>
      <c r="LG96" s="11"/>
      <c r="LH96" s="11"/>
      <c r="LI96" s="11"/>
      <c r="LJ96" s="11"/>
      <c r="LK96" s="11"/>
      <c r="LL96" s="11"/>
      <c r="LM96" s="11"/>
      <c r="LN96" s="11"/>
      <c r="LO96" s="11"/>
      <c r="LP96" s="11"/>
      <c r="LQ96" s="11"/>
      <c r="LR96" s="11"/>
      <c r="LS96" s="11"/>
      <c r="LT96" s="11"/>
      <c r="LU96" s="11"/>
      <c r="LV96" s="11"/>
      <c r="LW96" s="11"/>
      <c r="LX96" s="11"/>
      <c r="LY96" s="11"/>
      <c r="LZ96" s="11"/>
      <c r="MA96" s="11"/>
      <c r="MB96" s="11"/>
      <c r="MC96" s="11"/>
      <c r="MD96" s="11"/>
      <c r="ME96" s="11"/>
      <c r="MF96" s="11"/>
      <c r="MG96" s="11"/>
      <c r="MH96" s="11"/>
      <c r="MI96" s="11"/>
      <c r="MJ96" s="11"/>
      <c r="MK96" s="11"/>
      <c r="ML96" s="11"/>
      <c r="MM96" s="11"/>
      <c r="MN96" s="11"/>
      <c r="MO96" s="11"/>
      <c r="MP96" s="11"/>
      <c r="MQ96" s="11"/>
      <c r="MR96" s="11"/>
      <c r="MS96" s="11"/>
      <c r="MT96" s="11"/>
      <c r="MU96" s="11"/>
      <c r="MV96" s="11"/>
      <c r="MW96" s="11"/>
      <c r="MX96" s="11"/>
      <c r="MY96" s="11"/>
      <c r="MZ96" s="11"/>
      <c r="NA96" s="11"/>
      <c r="NB96" s="11"/>
      <c r="NC96" s="11"/>
      <c r="ND96" s="11"/>
      <c r="NE96" s="11"/>
      <c r="NF96" s="11"/>
      <c r="NG96" s="11"/>
      <c r="NH96" s="11"/>
      <c r="NI96" s="11"/>
      <c r="NJ96" s="11"/>
      <c r="NK96" s="11"/>
      <c r="NL96" s="11"/>
      <c r="NM96" s="11"/>
      <c r="NN96" s="11"/>
      <c r="NO96" s="11"/>
      <c r="NP96" s="11"/>
      <c r="NQ96" s="11"/>
      <c r="NR96" s="11"/>
      <c r="NS96" s="11"/>
      <c r="NT96" s="11"/>
      <c r="NU96" s="11"/>
      <c r="NV96" s="11"/>
      <c r="NW96" s="11"/>
      <c r="NX96" s="11"/>
      <c r="NY96" s="11"/>
      <c r="NZ96" s="11"/>
      <c r="OA96" s="11"/>
      <c r="OB96" s="11"/>
      <c r="OC96" s="11"/>
      <c r="OD96" s="11"/>
      <c r="OE96" s="11"/>
      <c r="OF96" s="11"/>
      <c r="OG96" s="11"/>
      <c r="OH96" s="11"/>
      <c r="OI96" s="11"/>
      <c r="OJ96" s="11"/>
      <c r="OK96" s="11"/>
      <c r="OL96" s="11"/>
      <c r="OM96" s="11"/>
      <c r="ON96" s="11"/>
      <c r="OO96" s="11"/>
      <c r="OP96" s="11"/>
      <c r="OQ96" s="11"/>
      <c r="OR96" s="11"/>
      <c r="OS96" s="11"/>
      <c r="OT96" s="11"/>
      <c r="OU96" s="11"/>
      <c r="OV96" s="11"/>
      <c r="OW96" s="11"/>
      <c r="OX96" s="11"/>
      <c r="OY96" s="11"/>
      <c r="OZ96" s="11"/>
      <c r="PA96" s="11"/>
      <c r="PB96" s="11"/>
      <c r="PC96" s="11"/>
      <c r="PD96" s="11"/>
      <c r="PE96" s="11"/>
      <c r="PF96" s="11"/>
      <c r="PG96" s="11"/>
      <c r="PH96" s="11"/>
      <c r="PI96" s="11"/>
      <c r="PJ96" s="11"/>
      <c r="PK96" s="11"/>
      <c r="PL96" s="11"/>
      <c r="PM96" s="11"/>
      <c r="PN96" s="11"/>
      <c r="PO96" s="11"/>
      <c r="PP96" s="11"/>
      <c r="PQ96" s="11"/>
      <c r="PR96" s="11"/>
      <c r="PS96" s="11"/>
      <c r="PT96" s="11"/>
      <c r="PU96" s="11"/>
      <c r="PV96" s="11"/>
      <c r="PW96" s="11"/>
      <c r="PX96" s="11"/>
      <c r="PY96" s="11"/>
      <c r="PZ96" s="11"/>
      <c r="QA96" s="11"/>
      <c r="QB96" s="11"/>
      <c r="QC96" s="11"/>
      <c r="QD96" s="11"/>
      <c r="QE96" s="11"/>
      <c r="QF96" s="11"/>
      <c r="QG96" s="11"/>
      <c r="QH96" s="11"/>
      <c r="QI96" s="11"/>
      <c r="QJ96" s="11"/>
      <c r="QK96" s="11"/>
      <c r="QL96" s="11"/>
      <c r="QM96" s="11"/>
      <c r="QN96" s="11"/>
      <c r="QO96" s="11"/>
      <c r="QP96" s="11"/>
      <c r="QQ96" s="11"/>
      <c r="QR96" s="11"/>
      <c r="QS96" s="11"/>
      <c r="QT96" s="11"/>
      <c r="QU96" s="11"/>
      <c r="QV96" s="11"/>
      <c r="QW96" s="11"/>
      <c r="QX96" s="11"/>
      <c r="QY96" s="11"/>
      <c r="QZ96" s="11"/>
      <c r="RA96" s="11"/>
      <c r="RB96" s="11"/>
      <c r="RC96" s="11"/>
      <c r="RD96" s="11"/>
      <c r="RE96" s="11"/>
      <c r="RF96" s="11"/>
      <c r="RG96" s="11"/>
      <c r="RH96" s="11"/>
      <c r="RI96" s="11"/>
      <c r="RJ96" s="11"/>
      <c r="RK96" s="11"/>
      <c r="RL96" s="11"/>
      <c r="RM96" s="11"/>
      <c r="RN96" s="11"/>
      <c r="RO96" s="11"/>
      <c r="RP96" s="11"/>
      <c r="RQ96" s="11"/>
      <c r="RR96" s="11"/>
      <c r="RS96" s="11"/>
      <c r="RT96" s="11"/>
      <c r="RU96" s="11"/>
      <c r="RV96" s="11"/>
      <c r="RW96" s="11"/>
      <c r="RX96" s="11"/>
      <c r="RY96" s="11"/>
      <c r="RZ96" s="11"/>
      <c r="SA96" s="11"/>
      <c r="SB96" s="11"/>
      <c r="SC96" s="11"/>
      <c r="SD96" s="11"/>
      <c r="SE96" s="11"/>
      <c r="SF96" s="11"/>
      <c r="SG96" s="11"/>
      <c r="SH96" s="11"/>
      <c r="SI96" s="11"/>
      <c r="SJ96" s="11"/>
      <c r="SK96" s="11"/>
      <c r="SL96" s="11"/>
      <c r="SM96" s="11"/>
      <c r="SN96" s="11"/>
      <c r="SO96" s="11"/>
      <c r="SP96" s="11"/>
      <c r="SQ96" s="11"/>
      <c r="SR96" s="11"/>
      <c r="SS96" s="11"/>
      <c r="ST96" s="11"/>
      <c r="SU96" s="11"/>
      <c r="SV96" s="11"/>
      <c r="SW96" s="11"/>
      <c r="SX96" s="11"/>
      <c r="SY96" s="11"/>
      <c r="SZ96" s="11"/>
      <c r="TA96" s="11"/>
      <c r="TB96" s="11"/>
      <c r="TC96" s="11"/>
      <c r="TD96" s="11"/>
      <c r="TE96" s="11"/>
      <c r="TF96" s="11"/>
      <c r="TG96" s="11"/>
      <c r="TH96" s="11"/>
      <c r="TI96" s="11"/>
      <c r="TJ96" s="11"/>
      <c r="TK96" s="11"/>
      <c r="TL96" s="11"/>
      <c r="TM96" s="11"/>
      <c r="TN96" s="11"/>
      <c r="TO96" s="11"/>
      <c r="TP96" s="11"/>
      <c r="TQ96" s="11"/>
      <c r="TR96" s="11"/>
      <c r="TS96" s="11"/>
      <c r="TT96" s="11"/>
      <c r="TU96" s="11"/>
      <c r="TV96" s="11"/>
      <c r="TW96" s="11"/>
      <c r="TX96" s="11"/>
      <c r="TY96" s="11"/>
      <c r="TZ96" s="11"/>
      <c r="UA96" s="11"/>
      <c r="UB96" s="11"/>
      <c r="UC96" s="11"/>
      <c r="UD96" s="11"/>
      <c r="UE96" s="11"/>
      <c r="UF96" s="11"/>
      <c r="UG96" s="11"/>
      <c r="UH96" s="11"/>
      <c r="UI96" s="11"/>
      <c r="UJ96" s="11"/>
      <c r="UK96" s="11"/>
      <c r="UL96" s="11"/>
      <c r="UM96" s="11"/>
      <c r="UN96" s="11"/>
      <c r="UO96" s="11"/>
      <c r="UP96" s="11"/>
      <c r="UQ96" s="11"/>
      <c r="UR96" s="11"/>
      <c r="US96" s="11"/>
      <c r="UT96" s="11"/>
      <c r="UU96" s="11"/>
      <c r="UV96" s="11"/>
      <c r="UW96" s="11"/>
      <c r="UX96" s="11"/>
      <c r="UY96" s="11"/>
      <c r="UZ96" s="11"/>
      <c r="VA96" s="11"/>
      <c r="VB96" s="11"/>
      <c r="VC96" s="11"/>
      <c r="VD96" s="11"/>
      <c r="VE96" s="11"/>
      <c r="VF96" s="11"/>
      <c r="VG96" s="11"/>
      <c r="VH96" s="11"/>
      <c r="VI96" s="11"/>
      <c r="VJ96" s="11"/>
      <c r="VK96" s="11"/>
      <c r="VL96" s="11"/>
      <c r="VM96" s="11"/>
      <c r="VN96" s="11"/>
      <c r="VO96" s="11"/>
      <c r="VP96" s="11"/>
      <c r="VQ96" s="11"/>
      <c r="VR96" s="11"/>
      <c r="VS96" s="11"/>
      <c r="VT96" s="11"/>
      <c r="VU96" s="11"/>
      <c r="VV96" s="11"/>
      <c r="VW96" s="11"/>
      <c r="VX96" s="11"/>
      <c r="VY96" s="11"/>
      <c r="VZ96" s="11"/>
      <c r="WA96" s="11"/>
      <c r="WB96" s="11"/>
      <c r="WC96" s="11"/>
      <c r="WD96" s="11"/>
      <c r="WE96" s="11"/>
      <c r="WF96" s="11"/>
      <c r="WG96" s="11"/>
      <c r="WH96" s="11"/>
      <c r="WI96" s="11"/>
      <c r="WJ96" s="11"/>
      <c r="WK96" s="11"/>
      <c r="WL96" s="11"/>
      <c r="WM96" s="11"/>
      <c r="WN96" s="11"/>
      <c r="WO96" s="11"/>
      <c r="WP96" s="11"/>
      <c r="WQ96" s="11"/>
      <c r="WR96" s="11"/>
      <c r="WS96" s="11"/>
      <c r="WT96" s="11"/>
      <c r="WU96" s="11"/>
      <c r="WV96" s="11"/>
      <c r="WW96" s="11"/>
      <c r="WX96" s="11"/>
      <c r="WY96" s="11"/>
      <c r="WZ96" s="11"/>
      <c r="XA96" s="11"/>
      <c r="XB96" s="11"/>
      <c r="XC96" s="11"/>
      <c r="XD96" s="11"/>
      <c r="XE96" s="11"/>
      <c r="XF96" s="11"/>
      <c r="XG96" s="11"/>
      <c r="XH96" s="11"/>
      <c r="XI96" s="11"/>
      <c r="XJ96" s="11"/>
      <c r="XK96" s="11"/>
      <c r="XL96" s="11"/>
      <c r="XM96" s="11"/>
      <c r="XN96" s="11"/>
      <c r="XO96" s="11"/>
      <c r="XP96" s="11"/>
      <c r="XQ96" s="11"/>
      <c r="XR96" s="11"/>
      <c r="XS96" s="11"/>
      <c r="XT96" s="11"/>
      <c r="XU96" s="11"/>
      <c r="XV96" s="11"/>
      <c r="XW96" s="11"/>
      <c r="XX96" s="11"/>
      <c r="XY96" s="11"/>
      <c r="XZ96" s="11"/>
      <c r="YA96" s="11"/>
      <c r="YB96" s="11"/>
      <c r="YC96" s="11"/>
      <c r="YD96" s="11"/>
      <c r="YE96" s="11"/>
      <c r="YF96" s="11"/>
      <c r="YG96" s="11"/>
      <c r="YH96" s="11"/>
      <c r="YI96" s="11"/>
      <c r="YJ96" s="11"/>
      <c r="YK96" s="11"/>
      <c r="YL96" s="11"/>
      <c r="YM96" s="11"/>
      <c r="YN96" s="11"/>
      <c r="YO96" s="11"/>
      <c r="YP96" s="11"/>
      <c r="YQ96" s="11"/>
      <c r="YR96" s="11"/>
      <c r="YS96" s="11"/>
      <c r="YT96" s="11"/>
      <c r="YU96" s="11"/>
      <c r="YV96" s="11"/>
      <c r="YW96" s="11"/>
      <c r="YX96" s="11"/>
      <c r="YY96" s="11"/>
      <c r="YZ96" s="11"/>
      <c r="ZA96" s="11"/>
      <c r="ZB96" s="11"/>
      <c r="ZC96" s="11"/>
      <c r="ZD96" s="11"/>
      <c r="ZE96" s="11"/>
      <c r="ZF96" s="11"/>
      <c r="ZG96" s="11"/>
      <c r="ZH96" s="11"/>
      <c r="ZI96" s="11"/>
      <c r="ZJ96" s="11"/>
      <c r="ZK96" s="11"/>
      <c r="ZL96" s="11"/>
      <c r="ZM96" s="11"/>
      <c r="ZN96" s="11"/>
      <c r="ZO96" s="11"/>
      <c r="ZP96" s="11"/>
      <c r="ZQ96" s="11"/>
      <c r="ZR96" s="11"/>
      <c r="ZS96" s="11"/>
      <c r="ZT96" s="11"/>
      <c r="ZU96" s="11"/>
      <c r="ZV96" s="11"/>
      <c r="ZW96" s="11"/>
      <c r="ZX96" s="11"/>
      <c r="ZY96" s="11"/>
      <c r="ZZ96" s="11"/>
      <c r="AAA96" s="11"/>
      <c r="AAB96" s="11"/>
      <c r="AAC96" s="11"/>
      <c r="AAD96" s="11"/>
      <c r="AAE96" s="11"/>
      <c r="AAF96" s="11"/>
      <c r="AAG96" s="11"/>
      <c r="AAH96" s="11"/>
      <c r="AAI96" s="11"/>
      <c r="AAJ96" s="11"/>
      <c r="AAK96" s="11"/>
      <c r="AAL96" s="11"/>
      <c r="AAM96" s="11"/>
      <c r="AAN96" s="11"/>
      <c r="AAO96" s="11"/>
      <c r="AAP96" s="11"/>
      <c r="AAQ96" s="11"/>
      <c r="AAR96" s="11"/>
      <c r="AAS96" s="11"/>
      <c r="AAT96" s="11"/>
      <c r="AAU96" s="11"/>
      <c r="AAV96" s="11"/>
      <c r="AAW96" s="11"/>
      <c r="AAX96" s="11"/>
      <c r="AAY96" s="11"/>
      <c r="AAZ96" s="11"/>
      <c r="ABA96" s="11"/>
      <c r="ABB96" s="11"/>
      <c r="ABC96" s="11"/>
      <c r="ABD96" s="11"/>
      <c r="ABE96" s="11"/>
      <c r="ABF96" s="11"/>
      <c r="ABG96" s="11"/>
      <c r="ABH96" s="11"/>
      <c r="ABI96" s="11"/>
      <c r="ABJ96" s="11"/>
      <c r="ABK96" s="11"/>
      <c r="ABL96" s="11"/>
      <c r="ABM96" s="11"/>
      <c r="ABN96" s="11"/>
      <c r="ABO96" s="11"/>
      <c r="ABP96" s="11"/>
      <c r="ABQ96" s="11"/>
      <c r="ABR96" s="11"/>
      <c r="ABS96" s="11"/>
      <c r="ABT96" s="11"/>
      <c r="ABU96" s="11"/>
      <c r="ABV96" s="11"/>
      <c r="ABW96" s="11"/>
      <c r="ABX96" s="11"/>
      <c r="ABY96" s="11"/>
      <c r="ABZ96" s="11"/>
      <c r="ACA96" s="11"/>
      <c r="ACB96" s="11"/>
      <c r="ACC96" s="11"/>
      <c r="ACD96" s="11"/>
      <c r="ACE96" s="11"/>
      <c r="ACF96" s="11"/>
      <c r="ACG96" s="11"/>
      <c r="ACH96" s="11"/>
      <c r="ACI96" s="11"/>
      <c r="ACJ96" s="11"/>
      <c r="ACK96" s="11"/>
      <c r="ACL96" s="11"/>
      <c r="ACM96" s="11"/>
      <c r="ACN96" s="11"/>
      <c r="ACO96" s="11"/>
      <c r="ACP96" s="11"/>
      <c r="ACQ96" s="11"/>
      <c r="ACR96" s="11"/>
      <c r="ACS96" s="11"/>
      <c r="ACT96" s="11"/>
      <c r="ACU96" s="11"/>
      <c r="ACV96" s="11"/>
      <c r="ACW96" s="11"/>
      <c r="ACX96" s="11"/>
      <c r="ACY96" s="11"/>
      <c r="ACZ96" s="11"/>
      <c r="ADA96" s="11"/>
      <c r="ADB96" s="11"/>
      <c r="ADC96" s="11"/>
      <c r="ADD96" s="11"/>
      <c r="ADE96" s="11"/>
      <c r="ADF96" s="11"/>
      <c r="ADG96" s="11"/>
      <c r="ADH96" s="11"/>
      <c r="ADI96" s="11"/>
      <c r="ADJ96" s="11"/>
      <c r="ADK96" s="11"/>
      <c r="ADL96" s="11"/>
      <c r="ADM96" s="11"/>
      <c r="ADN96" s="11"/>
      <c r="ADO96" s="11"/>
      <c r="ADP96" s="11"/>
      <c r="ADQ96" s="11"/>
      <c r="ADR96" s="11"/>
      <c r="ADS96" s="11"/>
      <c r="ADT96" s="11"/>
      <c r="ADU96" s="11"/>
      <c r="ADV96" s="11"/>
      <c r="ADW96" s="11"/>
      <c r="ADX96" s="11"/>
      <c r="ADY96" s="11"/>
      <c r="ADZ96" s="11"/>
      <c r="AEA96" s="11"/>
      <c r="AEB96" s="11"/>
      <c r="AEC96" s="11"/>
      <c r="AED96" s="11"/>
      <c r="AEE96" s="11"/>
      <c r="AEF96" s="11"/>
      <c r="AEG96" s="11"/>
      <c r="AEH96" s="11"/>
      <c r="AEI96" s="11"/>
      <c r="AEJ96" s="11"/>
      <c r="AEK96" s="11"/>
      <c r="AEL96" s="11"/>
      <c r="AEM96" s="11"/>
      <c r="AEN96" s="11"/>
      <c r="AEO96" s="11"/>
      <c r="AEP96" s="11"/>
      <c r="AEQ96" s="11"/>
      <c r="AER96" s="11"/>
      <c r="AES96" s="11"/>
      <c r="AET96" s="11"/>
      <c r="AEU96" s="11"/>
      <c r="AEV96" s="11"/>
      <c r="AEW96" s="11"/>
      <c r="AEX96" s="11"/>
      <c r="AEY96" s="11"/>
      <c r="AEZ96" s="11"/>
      <c r="AFA96" s="11"/>
      <c r="AFB96" s="11"/>
      <c r="AFC96" s="11"/>
      <c r="AFD96" s="11"/>
      <c r="AFE96" s="11"/>
      <c r="AFF96" s="11"/>
      <c r="AFG96" s="11"/>
      <c r="AFH96" s="11"/>
      <c r="AFI96" s="11"/>
    </row>
    <row r="97" spans="2:841">
      <c r="B97" s="11"/>
      <c r="C97" s="657"/>
      <c r="D97" s="289" t="str">
        <f>IF(Idioma=Castellano,"Consumo nulo",IF(Idioma=Valencià,"Consum nul","Consumo nulo"))</f>
        <v>Consumo nulo</v>
      </c>
      <c r="E97" s="551">
        <f>SUMIFS(M_Datos!$N$44:$N$46,M_Datos!$O$44:$O$46,M_Lista!G25)</f>
        <v>0</v>
      </c>
      <c r="F97" s="312">
        <v>0</v>
      </c>
      <c r="G97" s="313">
        <v>0</v>
      </c>
      <c r="H97" s="551">
        <f>SUMIFS(M_Datos!$P$44:$P$46,M_Datos!$Q$44:$Q$46,M_Lista!G25)</f>
        <v>0</v>
      </c>
      <c r="I97" s="312">
        <v>0</v>
      </c>
      <c r="J97" s="313">
        <v>0</v>
      </c>
      <c r="K97" s="551">
        <f>SUMIFS(M_Datos!$R$44:$R$46,M_Datos!$S$44:$S$46,M_Lista!G25)</f>
        <v>0</v>
      </c>
      <c r="L97" s="312">
        <v>0</v>
      </c>
      <c r="M97" s="313">
        <v>0</v>
      </c>
      <c r="N97" s="551">
        <f>SUMIFS(M_Datos!$T$44:$T$46,M_Datos!$U$44:$U$46,M_Lista!G25)</f>
        <v>0</v>
      </c>
      <c r="O97" s="312">
        <v>0</v>
      </c>
      <c r="P97" s="313">
        <v>0</v>
      </c>
      <c r="Q97" s="551">
        <f>SUMIFS(M_Datos!$V$44:$V$46,M_Datos!$W$44:$W$46,M_Lista!G25)</f>
        <v>0</v>
      </c>
      <c r="R97" s="312">
        <v>0</v>
      </c>
      <c r="S97" s="313">
        <v>0</v>
      </c>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1"/>
      <c r="JA97" s="11"/>
      <c r="JB97" s="11"/>
      <c r="JC97" s="11"/>
      <c r="JD97" s="11"/>
      <c r="JE97" s="11"/>
      <c r="JF97" s="11"/>
      <c r="JG97" s="11"/>
      <c r="JH97" s="11"/>
      <c r="JI97" s="11"/>
      <c r="JJ97" s="11"/>
      <c r="JK97" s="11"/>
      <c r="JL97" s="11"/>
      <c r="JM97" s="11"/>
      <c r="JN97" s="11"/>
      <c r="JO97" s="11"/>
      <c r="JP97" s="11"/>
      <c r="JQ97" s="11"/>
      <c r="JR97" s="11"/>
      <c r="JS97" s="11"/>
      <c r="JT97" s="11"/>
      <c r="JU97" s="11"/>
      <c r="JV97" s="11"/>
      <c r="JW97" s="11"/>
      <c r="JX97" s="11"/>
      <c r="JY97" s="11"/>
      <c r="JZ97" s="11"/>
      <c r="KA97" s="11"/>
      <c r="KB97" s="11"/>
      <c r="KC97" s="11"/>
      <c r="KD97" s="11"/>
      <c r="KE97" s="11"/>
      <c r="KF97" s="11"/>
      <c r="KG97" s="11"/>
      <c r="KH97" s="11"/>
      <c r="KI97" s="11"/>
      <c r="KJ97" s="11"/>
      <c r="KK97" s="11"/>
      <c r="KL97" s="11"/>
      <c r="KM97" s="11"/>
      <c r="KN97" s="11"/>
      <c r="KO97" s="11"/>
      <c r="KP97" s="11"/>
      <c r="KQ97" s="11"/>
      <c r="KR97" s="11"/>
      <c r="KS97" s="11"/>
      <c r="KT97" s="11"/>
      <c r="KU97" s="11"/>
      <c r="KV97" s="11"/>
      <c r="KW97" s="11"/>
      <c r="KX97" s="11"/>
      <c r="KY97" s="11"/>
      <c r="KZ97" s="11"/>
      <c r="LA97" s="11"/>
      <c r="LB97" s="11"/>
      <c r="LC97" s="11"/>
      <c r="LD97" s="11"/>
      <c r="LE97" s="11"/>
      <c r="LF97" s="11"/>
      <c r="LG97" s="11"/>
      <c r="LH97" s="11"/>
      <c r="LI97" s="11"/>
      <c r="LJ97" s="11"/>
      <c r="LK97" s="11"/>
      <c r="LL97" s="11"/>
      <c r="LM97" s="11"/>
      <c r="LN97" s="11"/>
      <c r="LO97" s="11"/>
      <c r="LP97" s="11"/>
      <c r="LQ97" s="11"/>
      <c r="LR97" s="11"/>
      <c r="LS97" s="11"/>
      <c r="LT97" s="11"/>
      <c r="LU97" s="11"/>
      <c r="LV97" s="11"/>
      <c r="LW97" s="11"/>
      <c r="LX97" s="11"/>
      <c r="LY97" s="11"/>
      <c r="LZ97" s="11"/>
      <c r="MA97" s="11"/>
      <c r="MB97" s="11"/>
      <c r="MC97" s="11"/>
      <c r="MD97" s="11"/>
      <c r="ME97" s="11"/>
      <c r="MF97" s="11"/>
      <c r="MG97" s="11"/>
      <c r="MH97" s="11"/>
      <c r="MI97" s="11"/>
      <c r="MJ97" s="11"/>
      <c r="MK97" s="11"/>
      <c r="ML97" s="11"/>
      <c r="MM97" s="11"/>
      <c r="MN97" s="11"/>
      <c r="MO97" s="11"/>
      <c r="MP97" s="11"/>
      <c r="MQ97" s="11"/>
      <c r="MR97" s="11"/>
      <c r="MS97" s="11"/>
      <c r="MT97" s="11"/>
      <c r="MU97" s="11"/>
      <c r="MV97" s="11"/>
      <c r="MW97" s="11"/>
      <c r="MX97" s="11"/>
      <c r="MY97" s="11"/>
      <c r="MZ97" s="11"/>
      <c r="NA97" s="11"/>
      <c r="NB97" s="11"/>
      <c r="NC97" s="11"/>
      <c r="ND97" s="11"/>
      <c r="NE97" s="11"/>
      <c r="NF97" s="11"/>
      <c r="NG97" s="11"/>
      <c r="NH97" s="11"/>
      <c r="NI97" s="11"/>
      <c r="NJ97" s="11"/>
      <c r="NK97" s="11"/>
      <c r="NL97" s="11"/>
      <c r="NM97" s="11"/>
      <c r="NN97" s="11"/>
      <c r="NO97" s="11"/>
      <c r="NP97" s="11"/>
      <c r="NQ97" s="11"/>
      <c r="NR97" s="11"/>
      <c r="NS97" s="11"/>
      <c r="NT97" s="11"/>
      <c r="NU97" s="11"/>
      <c r="NV97" s="11"/>
      <c r="NW97" s="11"/>
      <c r="NX97" s="11"/>
      <c r="NY97" s="11"/>
      <c r="NZ97" s="11"/>
      <c r="OA97" s="11"/>
      <c r="OB97" s="11"/>
      <c r="OC97" s="11"/>
      <c r="OD97" s="11"/>
      <c r="OE97" s="11"/>
      <c r="OF97" s="11"/>
      <c r="OG97" s="11"/>
      <c r="OH97" s="11"/>
      <c r="OI97" s="11"/>
      <c r="OJ97" s="11"/>
      <c r="OK97" s="11"/>
      <c r="OL97" s="11"/>
      <c r="OM97" s="11"/>
      <c r="ON97" s="11"/>
      <c r="OO97" s="11"/>
      <c r="OP97" s="11"/>
      <c r="OQ97" s="11"/>
      <c r="OR97" s="11"/>
      <c r="OS97" s="11"/>
      <c r="OT97" s="11"/>
      <c r="OU97" s="11"/>
      <c r="OV97" s="11"/>
      <c r="OW97" s="11"/>
      <c r="OX97" s="11"/>
      <c r="OY97" s="11"/>
      <c r="OZ97" s="11"/>
      <c r="PA97" s="11"/>
      <c r="PB97" s="11"/>
      <c r="PC97" s="11"/>
      <c r="PD97" s="11"/>
      <c r="PE97" s="11"/>
      <c r="PF97" s="11"/>
      <c r="PG97" s="11"/>
      <c r="PH97" s="11"/>
      <c r="PI97" s="11"/>
      <c r="PJ97" s="11"/>
      <c r="PK97" s="11"/>
      <c r="PL97" s="11"/>
      <c r="PM97" s="11"/>
      <c r="PN97" s="11"/>
      <c r="PO97" s="11"/>
      <c r="PP97" s="11"/>
      <c r="PQ97" s="11"/>
      <c r="PR97" s="11"/>
      <c r="PS97" s="11"/>
      <c r="PT97" s="11"/>
      <c r="PU97" s="11"/>
      <c r="PV97" s="11"/>
      <c r="PW97" s="11"/>
      <c r="PX97" s="11"/>
      <c r="PY97" s="11"/>
      <c r="PZ97" s="11"/>
      <c r="QA97" s="11"/>
      <c r="QB97" s="11"/>
      <c r="QC97" s="11"/>
      <c r="QD97" s="11"/>
      <c r="QE97" s="11"/>
      <c r="QF97" s="11"/>
      <c r="QG97" s="11"/>
      <c r="QH97" s="11"/>
      <c r="QI97" s="11"/>
      <c r="QJ97" s="11"/>
      <c r="QK97" s="11"/>
      <c r="QL97" s="11"/>
      <c r="QM97" s="11"/>
      <c r="QN97" s="11"/>
      <c r="QO97" s="11"/>
      <c r="QP97" s="11"/>
      <c r="QQ97" s="11"/>
      <c r="QR97" s="11"/>
      <c r="QS97" s="11"/>
      <c r="QT97" s="11"/>
      <c r="QU97" s="11"/>
      <c r="QV97" s="11"/>
      <c r="QW97" s="11"/>
      <c r="QX97" s="11"/>
      <c r="QY97" s="11"/>
      <c r="QZ97" s="11"/>
      <c r="RA97" s="11"/>
      <c r="RB97" s="11"/>
      <c r="RC97" s="11"/>
      <c r="RD97" s="11"/>
      <c r="RE97" s="11"/>
      <c r="RF97" s="11"/>
      <c r="RG97" s="11"/>
      <c r="RH97" s="11"/>
      <c r="RI97" s="11"/>
      <c r="RJ97" s="11"/>
      <c r="RK97" s="11"/>
      <c r="RL97" s="11"/>
      <c r="RM97" s="11"/>
      <c r="RN97" s="11"/>
      <c r="RO97" s="11"/>
      <c r="RP97" s="11"/>
      <c r="RQ97" s="11"/>
      <c r="RR97" s="11"/>
      <c r="RS97" s="11"/>
      <c r="RT97" s="11"/>
      <c r="RU97" s="11"/>
      <c r="RV97" s="11"/>
      <c r="RW97" s="11"/>
      <c r="RX97" s="11"/>
      <c r="RY97" s="11"/>
      <c r="RZ97" s="11"/>
      <c r="SA97" s="11"/>
      <c r="SB97" s="11"/>
      <c r="SC97" s="11"/>
      <c r="SD97" s="11"/>
      <c r="SE97" s="11"/>
      <c r="SF97" s="11"/>
      <c r="SG97" s="11"/>
      <c r="SH97" s="11"/>
      <c r="SI97" s="11"/>
      <c r="SJ97" s="11"/>
      <c r="SK97" s="11"/>
      <c r="SL97" s="11"/>
      <c r="SM97" s="11"/>
      <c r="SN97" s="11"/>
      <c r="SO97" s="11"/>
      <c r="SP97" s="11"/>
      <c r="SQ97" s="11"/>
      <c r="SR97" s="11"/>
      <c r="SS97" s="11"/>
      <c r="ST97" s="11"/>
      <c r="SU97" s="11"/>
      <c r="SV97" s="11"/>
      <c r="SW97" s="11"/>
      <c r="SX97" s="11"/>
      <c r="SY97" s="11"/>
      <c r="SZ97" s="11"/>
      <c r="TA97" s="11"/>
      <c r="TB97" s="11"/>
      <c r="TC97" s="11"/>
      <c r="TD97" s="11"/>
      <c r="TE97" s="11"/>
      <c r="TF97" s="11"/>
      <c r="TG97" s="11"/>
      <c r="TH97" s="11"/>
      <c r="TI97" s="11"/>
      <c r="TJ97" s="11"/>
      <c r="TK97" s="11"/>
      <c r="TL97" s="11"/>
      <c r="TM97" s="11"/>
      <c r="TN97" s="11"/>
      <c r="TO97" s="11"/>
      <c r="TP97" s="11"/>
      <c r="TQ97" s="11"/>
      <c r="TR97" s="11"/>
      <c r="TS97" s="11"/>
      <c r="TT97" s="11"/>
      <c r="TU97" s="11"/>
      <c r="TV97" s="11"/>
      <c r="TW97" s="11"/>
      <c r="TX97" s="11"/>
      <c r="TY97" s="11"/>
      <c r="TZ97" s="11"/>
      <c r="UA97" s="11"/>
      <c r="UB97" s="11"/>
      <c r="UC97" s="11"/>
      <c r="UD97" s="11"/>
      <c r="UE97" s="11"/>
      <c r="UF97" s="11"/>
      <c r="UG97" s="11"/>
      <c r="UH97" s="11"/>
      <c r="UI97" s="11"/>
      <c r="UJ97" s="11"/>
      <c r="UK97" s="11"/>
      <c r="UL97" s="11"/>
      <c r="UM97" s="11"/>
      <c r="UN97" s="11"/>
      <c r="UO97" s="11"/>
      <c r="UP97" s="11"/>
      <c r="UQ97" s="11"/>
      <c r="UR97" s="11"/>
      <c r="US97" s="11"/>
      <c r="UT97" s="11"/>
      <c r="UU97" s="11"/>
      <c r="UV97" s="11"/>
      <c r="UW97" s="11"/>
      <c r="UX97" s="11"/>
      <c r="UY97" s="11"/>
      <c r="UZ97" s="11"/>
      <c r="VA97" s="11"/>
      <c r="VB97" s="11"/>
      <c r="VC97" s="11"/>
      <c r="VD97" s="11"/>
      <c r="VE97" s="11"/>
      <c r="VF97" s="11"/>
      <c r="VG97" s="11"/>
      <c r="VH97" s="11"/>
      <c r="VI97" s="11"/>
      <c r="VJ97" s="11"/>
      <c r="VK97" s="11"/>
      <c r="VL97" s="11"/>
      <c r="VM97" s="11"/>
      <c r="VN97" s="11"/>
      <c r="VO97" s="11"/>
      <c r="VP97" s="11"/>
      <c r="VQ97" s="11"/>
      <c r="VR97" s="11"/>
      <c r="VS97" s="11"/>
      <c r="VT97" s="11"/>
      <c r="VU97" s="11"/>
      <c r="VV97" s="11"/>
      <c r="VW97" s="11"/>
      <c r="VX97" s="11"/>
      <c r="VY97" s="11"/>
      <c r="VZ97" s="11"/>
      <c r="WA97" s="11"/>
      <c r="WB97" s="11"/>
      <c r="WC97" s="11"/>
      <c r="WD97" s="11"/>
      <c r="WE97" s="11"/>
      <c r="WF97" s="11"/>
      <c r="WG97" s="11"/>
      <c r="WH97" s="11"/>
      <c r="WI97" s="11"/>
      <c r="WJ97" s="11"/>
      <c r="WK97" s="11"/>
      <c r="WL97" s="11"/>
      <c r="WM97" s="11"/>
      <c r="WN97" s="11"/>
      <c r="WO97" s="11"/>
      <c r="WP97" s="11"/>
      <c r="WQ97" s="11"/>
      <c r="WR97" s="11"/>
      <c r="WS97" s="11"/>
      <c r="WT97" s="11"/>
      <c r="WU97" s="11"/>
      <c r="WV97" s="11"/>
      <c r="WW97" s="11"/>
      <c r="WX97" s="11"/>
      <c r="WY97" s="11"/>
      <c r="WZ97" s="11"/>
      <c r="XA97" s="11"/>
      <c r="XB97" s="11"/>
      <c r="XC97" s="11"/>
      <c r="XD97" s="11"/>
      <c r="XE97" s="11"/>
      <c r="XF97" s="11"/>
      <c r="XG97" s="11"/>
      <c r="XH97" s="11"/>
      <c r="XI97" s="11"/>
      <c r="XJ97" s="11"/>
      <c r="XK97" s="11"/>
      <c r="XL97" s="11"/>
      <c r="XM97" s="11"/>
      <c r="XN97" s="11"/>
      <c r="XO97" s="11"/>
      <c r="XP97" s="11"/>
      <c r="XQ97" s="11"/>
      <c r="XR97" s="11"/>
      <c r="XS97" s="11"/>
      <c r="XT97" s="11"/>
      <c r="XU97" s="11"/>
      <c r="XV97" s="11"/>
      <c r="XW97" s="11"/>
      <c r="XX97" s="11"/>
      <c r="XY97" s="11"/>
      <c r="XZ97" s="11"/>
      <c r="YA97" s="11"/>
      <c r="YB97" s="11"/>
      <c r="YC97" s="11"/>
      <c r="YD97" s="11"/>
      <c r="YE97" s="11"/>
      <c r="YF97" s="11"/>
      <c r="YG97" s="11"/>
      <c r="YH97" s="11"/>
      <c r="YI97" s="11"/>
      <c r="YJ97" s="11"/>
      <c r="YK97" s="11"/>
      <c r="YL97" s="11"/>
      <c r="YM97" s="11"/>
      <c r="YN97" s="11"/>
      <c r="YO97" s="11"/>
      <c r="YP97" s="11"/>
      <c r="YQ97" s="11"/>
      <c r="YR97" s="11"/>
      <c r="YS97" s="11"/>
      <c r="YT97" s="11"/>
      <c r="YU97" s="11"/>
      <c r="YV97" s="11"/>
      <c r="YW97" s="11"/>
      <c r="YX97" s="11"/>
      <c r="YY97" s="11"/>
      <c r="YZ97" s="11"/>
      <c r="ZA97" s="11"/>
      <c r="ZB97" s="11"/>
      <c r="ZC97" s="11"/>
      <c r="ZD97" s="11"/>
      <c r="ZE97" s="11"/>
      <c r="ZF97" s="11"/>
      <c r="ZG97" s="11"/>
      <c r="ZH97" s="11"/>
      <c r="ZI97" s="11"/>
      <c r="ZJ97" s="11"/>
      <c r="ZK97" s="11"/>
      <c r="ZL97" s="11"/>
      <c r="ZM97" s="11"/>
      <c r="ZN97" s="11"/>
      <c r="ZO97" s="11"/>
      <c r="ZP97" s="11"/>
      <c r="ZQ97" s="11"/>
      <c r="ZR97" s="11"/>
      <c r="ZS97" s="11"/>
      <c r="ZT97" s="11"/>
      <c r="ZU97" s="11"/>
      <c r="ZV97" s="11"/>
      <c r="ZW97" s="11"/>
      <c r="ZX97" s="11"/>
      <c r="ZY97" s="11"/>
      <c r="ZZ97" s="11"/>
      <c r="AAA97" s="11"/>
      <c r="AAB97" s="11"/>
      <c r="AAC97" s="11"/>
      <c r="AAD97" s="11"/>
      <c r="AAE97" s="11"/>
      <c r="AAF97" s="11"/>
      <c r="AAG97" s="11"/>
      <c r="AAH97" s="11"/>
      <c r="AAI97" s="11"/>
      <c r="AAJ97" s="11"/>
      <c r="AAK97" s="11"/>
      <c r="AAL97" s="11"/>
      <c r="AAM97" s="11"/>
      <c r="AAN97" s="11"/>
      <c r="AAO97" s="11"/>
      <c r="AAP97" s="11"/>
      <c r="AAQ97" s="11"/>
      <c r="AAR97" s="11"/>
      <c r="AAS97" s="11"/>
      <c r="AAT97" s="11"/>
      <c r="AAU97" s="11"/>
      <c r="AAV97" s="11"/>
      <c r="AAW97" s="11"/>
      <c r="AAX97" s="11"/>
      <c r="AAY97" s="11"/>
      <c r="AAZ97" s="11"/>
      <c r="ABA97" s="11"/>
      <c r="ABB97" s="11"/>
      <c r="ABC97" s="11"/>
      <c r="ABD97" s="11"/>
      <c r="ABE97" s="11"/>
      <c r="ABF97" s="11"/>
      <c r="ABG97" s="11"/>
      <c r="ABH97" s="11"/>
      <c r="ABI97" s="11"/>
      <c r="ABJ97" s="11"/>
      <c r="ABK97" s="11"/>
      <c r="ABL97" s="11"/>
      <c r="ABM97" s="11"/>
      <c r="ABN97" s="11"/>
      <c r="ABO97" s="11"/>
      <c r="ABP97" s="11"/>
      <c r="ABQ97" s="11"/>
      <c r="ABR97" s="11"/>
      <c r="ABS97" s="11"/>
      <c r="ABT97" s="11"/>
      <c r="ABU97" s="11"/>
      <c r="ABV97" s="11"/>
      <c r="ABW97" s="11"/>
      <c r="ABX97" s="11"/>
      <c r="ABY97" s="11"/>
      <c r="ABZ97" s="11"/>
      <c r="ACA97" s="11"/>
      <c r="ACB97" s="11"/>
      <c r="ACC97" s="11"/>
      <c r="ACD97" s="11"/>
      <c r="ACE97" s="11"/>
      <c r="ACF97" s="11"/>
      <c r="ACG97" s="11"/>
      <c r="ACH97" s="11"/>
      <c r="ACI97" s="11"/>
      <c r="ACJ97" s="11"/>
      <c r="ACK97" s="11"/>
      <c r="ACL97" s="11"/>
      <c r="ACM97" s="11"/>
      <c r="ACN97" s="11"/>
      <c r="ACO97" s="11"/>
      <c r="ACP97" s="11"/>
      <c r="ACQ97" s="11"/>
      <c r="ACR97" s="11"/>
      <c r="ACS97" s="11"/>
      <c r="ACT97" s="11"/>
      <c r="ACU97" s="11"/>
      <c r="ACV97" s="11"/>
      <c r="ACW97" s="11"/>
      <c r="ACX97" s="11"/>
      <c r="ACY97" s="11"/>
      <c r="ACZ97" s="11"/>
      <c r="ADA97" s="11"/>
      <c r="ADB97" s="11"/>
      <c r="ADC97" s="11"/>
      <c r="ADD97" s="11"/>
      <c r="ADE97" s="11"/>
      <c r="ADF97" s="11"/>
      <c r="ADG97" s="11"/>
      <c r="ADH97" s="11"/>
      <c r="ADI97" s="11"/>
      <c r="ADJ97" s="11"/>
      <c r="ADK97" s="11"/>
      <c r="ADL97" s="11"/>
      <c r="ADM97" s="11"/>
      <c r="ADN97" s="11"/>
      <c r="ADO97" s="11"/>
      <c r="ADP97" s="11"/>
      <c r="ADQ97" s="11"/>
      <c r="ADR97" s="11"/>
      <c r="ADS97" s="11"/>
      <c r="ADT97" s="11"/>
      <c r="ADU97" s="11"/>
      <c r="ADV97" s="11"/>
      <c r="ADW97" s="11"/>
      <c r="ADX97" s="11"/>
      <c r="ADY97" s="11"/>
      <c r="ADZ97" s="11"/>
      <c r="AEA97" s="11"/>
      <c r="AEB97" s="11"/>
      <c r="AEC97" s="11"/>
      <c r="AED97" s="11"/>
      <c r="AEE97" s="11"/>
      <c r="AEF97" s="11"/>
      <c r="AEG97" s="11"/>
      <c r="AEH97" s="11"/>
      <c r="AEI97" s="11"/>
      <c r="AEJ97" s="11"/>
      <c r="AEK97" s="11"/>
      <c r="AEL97" s="11"/>
      <c r="AEM97" s="11"/>
      <c r="AEN97" s="11"/>
      <c r="AEO97" s="11"/>
      <c r="AEP97" s="11"/>
      <c r="AEQ97" s="11"/>
      <c r="AER97" s="11"/>
      <c r="AES97" s="11"/>
      <c r="AET97" s="11"/>
      <c r="AEU97" s="11"/>
      <c r="AEV97" s="11"/>
      <c r="AEW97" s="11"/>
      <c r="AEX97" s="11"/>
      <c r="AEY97" s="11"/>
      <c r="AEZ97" s="11"/>
      <c r="AFA97" s="11"/>
      <c r="AFB97" s="11"/>
      <c r="AFC97" s="11"/>
      <c r="AFD97" s="11"/>
      <c r="AFE97" s="11"/>
      <c r="AFF97" s="11"/>
      <c r="AFG97" s="11"/>
      <c r="AFH97" s="11"/>
      <c r="AFI97" s="11"/>
    </row>
    <row r="98" spans="2:841">
      <c r="B98" s="11"/>
      <c r="C98" s="657"/>
      <c r="D98" s="315" t="s">
        <v>925</v>
      </c>
      <c r="E98" s="552">
        <f t="shared" ref="E98:S98" si="8">SUM(E90:E97)</f>
        <v>0</v>
      </c>
      <c r="F98" s="314" t="e">
        <f t="shared" si="8"/>
        <v>#N/A</v>
      </c>
      <c r="G98" s="317" t="e">
        <f t="shared" si="8"/>
        <v>#N/A</v>
      </c>
      <c r="H98" s="552">
        <f t="shared" si="8"/>
        <v>0</v>
      </c>
      <c r="I98" s="314" t="e">
        <f t="shared" si="8"/>
        <v>#N/A</v>
      </c>
      <c r="J98" s="317" t="e">
        <f t="shared" si="8"/>
        <v>#N/A</v>
      </c>
      <c r="K98" s="552">
        <f t="shared" si="8"/>
        <v>0</v>
      </c>
      <c r="L98" s="314" t="e">
        <f t="shared" si="8"/>
        <v>#N/A</v>
      </c>
      <c r="M98" s="317" t="e">
        <f t="shared" si="8"/>
        <v>#N/A</v>
      </c>
      <c r="N98" s="552">
        <f t="shared" si="8"/>
        <v>0</v>
      </c>
      <c r="O98" s="314" t="e">
        <f t="shared" si="8"/>
        <v>#N/A</v>
      </c>
      <c r="P98" s="317" t="e">
        <f t="shared" si="8"/>
        <v>#N/A</v>
      </c>
      <c r="Q98" s="552">
        <f t="shared" si="8"/>
        <v>0</v>
      </c>
      <c r="R98" s="314" t="e">
        <f t="shared" si="8"/>
        <v>#N/A</v>
      </c>
      <c r="S98" s="317" t="e">
        <f t="shared" si="8"/>
        <v>#N/A</v>
      </c>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1"/>
      <c r="JA98" s="11"/>
      <c r="JB98" s="11"/>
      <c r="JC98" s="11"/>
      <c r="JD98" s="11"/>
      <c r="JE98" s="11"/>
      <c r="JF98" s="11"/>
      <c r="JG98" s="11"/>
      <c r="JH98" s="11"/>
      <c r="JI98" s="11"/>
      <c r="JJ98" s="11"/>
      <c r="JK98" s="11"/>
      <c r="JL98" s="11"/>
      <c r="JM98" s="11"/>
      <c r="JN98" s="11"/>
      <c r="JO98" s="11"/>
      <c r="JP98" s="11"/>
      <c r="JQ98" s="11"/>
      <c r="JR98" s="11"/>
      <c r="JS98" s="11"/>
      <c r="JT98" s="11"/>
      <c r="JU98" s="11"/>
      <c r="JV98" s="11"/>
      <c r="JW98" s="11"/>
      <c r="JX98" s="11"/>
      <c r="JY98" s="11"/>
      <c r="JZ98" s="11"/>
      <c r="KA98" s="11"/>
      <c r="KB98" s="11"/>
      <c r="KC98" s="11"/>
      <c r="KD98" s="11"/>
      <c r="KE98" s="11"/>
      <c r="KF98" s="11"/>
      <c r="KG98" s="11"/>
      <c r="KH98" s="11"/>
      <c r="KI98" s="11"/>
      <c r="KJ98" s="11"/>
      <c r="KK98" s="11"/>
      <c r="KL98" s="11"/>
      <c r="KM98" s="11"/>
      <c r="KN98" s="11"/>
      <c r="KO98" s="11"/>
      <c r="KP98" s="11"/>
      <c r="KQ98" s="11"/>
      <c r="KR98" s="11"/>
      <c r="KS98" s="11"/>
      <c r="KT98" s="11"/>
      <c r="KU98" s="11"/>
      <c r="KV98" s="11"/>
      <c r="KW98" s="11"/>
      <c r="KX98" s="11"/>
      <c r="KY98" s="11"/>
      <c r="KZ98" s="11"/>
      <c r="LA98" s="11"/>
      <c r="LB98" s="11"/>
      <c r="LC98" s="11"/>
      <c r="LD98" s="11"/>
      <c r="LE98" s="11"/>
      <c r="LF98" s="11"/>
      <c r="LG98" s="11"/>
      <c r="LH98" s="11"/>
      <c r="LI98" s="11"/>
      <c r="LJ98" s="11"/>
      <c r="LK98" s="11"/>
      <c r="LL98" s="11"/>
      <c r="LM98" s="11"/>
      <c r="LN98" s="11"/>
      <c r="LO98" s="11"/>
      <c r="LP98" s="11"/>
      <c r="LQ98" s="11"/>
      <c r="LR98" s="11"/>
      <c r="LS98" s="11"/>
      <c r="LT98" s="11"/>
      <c r="LU98" s="11"/>
      <c r="LV98" s="11"/>
      <c r="LW98" s="11"/>
      <c r="LX98" s="11"/>
      <c r="LY98" s="11"/>
      <c r="LZ98" s="11"/>
      <c r="MA98" s="11"/>
      <c r="MB98" s="11"/>
      <c r="MC98" s="11"/>
      <c r="MD98" s="11"/>
      <c r="ME98" s="11"/>
      <c r="MF98" s="11"/>
      <c r="MG98" s="11"/>
      <c r="MH98" s="11"/>
      <c r="MI98" s="11"/>
      <c r="MJ98" s="11"/>
      <c r="MK98" s="11"/>
      <c r="ML98" s="11"/>
      <c r="MM98" s="11"/>
      <c r="MN98" s="11"/>
      <c r="MO98" s="11"/>
      <c r="MP98" s="11"/>
      <c r="MQ98" s="11"/>
      <c r="MR98" s="11"/>
      <c r="MS98" s="11"/>
      <c r="MT98" s="11"/>
      <c r="MU98" s="11"/>
      <c r="MV98" s="11"/>
      <c r="MW98" s="11"/>
      <c r="MX98" s="11"/>
      <c r="MY98" s="11"/>
      <c r="MZ98" s="11"/>
      <c r="NA98" s="11"/>
      <c r="NB98" s="11"/>
      <c r="NC98" s="11"/>
      <c r="ND98" s="11"/>
      <c r="NE98" s="11"/>
      <c r="NF98" s="11"/>
      <c r="NG98" s="11"/>
      <c r="NH98" s="11"/>
      <c r="NI98" s="11"/>
      <c r="NJ98" s="11"/>
      <c r="NK98" s="11"/>
      <c r="NL98" s="11"/>
      <c r="NM98" s="11"/>
      <c r="NN98" s="11"/>
      <c r="NO98" s="11"/>
      <c r="NP98" s="11"/>
      <c r="NQ98" s="11"/>
      <c r="NR98" s="11"/>
      <c r="NS98" s="11"/>
      <c r="NT98" s="11"/>
      <c r="NU98" s="11"/>
      <c r="NV98" s="11"/>
      <c r="NW98" s="11"/>
      <c r="NX98" s="11"/>
      <c r="NY98" s="11"/>
      <c r="NZ98" s="11"/>
      <c r="OA98" s="11"/>
      <c r="OB98" s="11"/>
      <c r="OC98" s="11"/>
      <c r="OD98" s="11"/>
      <c r="OE98" s="11"/>
      <c r="OF98" s="11"/>
      <c r="OG98" s="11"/>
      <c r="OH98" s="11"/>
      <c r="OI98" s="11"/>
      <c r="OJ98" s="11"/>
      <c r="OK98" s="11"/>
      <c r="OL98" s="11"/>
      <c r="OM98" s="11"/>
      <c r="ON98" s="11"/>
      <c r="OO98" s="11"/>
      <c r="OP98" s="11"/>
      <c r="OQ98" s="11"/>
      <c r="OR98" s="11"/>
      <c r="OS98" s="11"/>
      <c r="OT98" s="11"/>
      <c r="OU98" s="11"/>
      <c r="OV98" s="11"/>
      <c r="OW98" s="11"/>
      <c r="OX98" s="11"/>
      <c r="OY98" s="11"/>
      <c r="OZ98" s="11"/>
      <c r="PA98" s="11"/>
      <c r="PB98" s="11"/>
      <c r="PC98" s="11"/>
      <c r="PD98" s="11"/>
      <c r="PE98" s="11"/>
      <c r="PF98" s="11"/>
      <c r="PG98" s="11"/>
      <c r="PH98" s="11"/>
      <c r="PI98" s="11"/>
      <c r="PJ98" s="11"/>
      <c r="PK98" s="11"/>
      <c r="PL98" s="11"/>
      <c r="PM98" s="11"/>
      <c r="PN98" s="11"/>
      <c r="PO98" s="11"/>
      <c r="PP98" s="11"/>
      <c r="PQ98" s="11"/>
      <c r="PR98" s="11"/>
      <c r="PS98" s="11"/>
      <c r="PT98" s="11"/>
      <c r="PU98" s="11"/>
      <c r="PV98" s="11"/>
      <c r="PW98" s="11"/>
      <c r="PX98" s="11"/>
      <c r="PY98" s="11"/>
      <c r="PZ98" s="11"/>
      <c r="QA98" s="11"/>
      <c r="QB98" s="11"/>
      <c r="QC98" s="11"/>
      <c r="QD98" s="11"/>
      <c r="QE98" s="11"/>
      <c r="QF98" s="11"/>
      <c r="QG98" s="11"/>
      <c r="QH98" s="11"/>
      <c r="QI98" s="11"/>
      <c r="QJ98" s="11"/>
      <c r="QK98" s="11"/>
      <c r="QL98" s="11"/>
      <c r="QM98" s="11"/>
      <c r="QN98" s="11"/>
      <c r="QO98" s="11"/>
      <c r="QP98" s="11"/>
      <c r="QQ98" s="11"/>
      <c r="QR98" s="11"/>
      <c r="QS98" s="11"/>
      <c r="QT98" s="11"/>
      <c r="QU98" s="11"/>
      <c r="QV98" s="11"/>
      <c r="QW98" s="11"/>
      <c r="QX98" s="11"/>
      <c r="QY98" s="11"/>
      <c r="QZ98" s="11"/>
      <c r="RA98" s="11"/>
      <c r="RB98" s="11"/>
      <c r="RC98" s="11"/>
      <c r="RD98" s="11"/>
      <c r="RE98" s="11"/>
      <c r="RF98" s="11"/>
      <c r="RG98" s="11"/>
      <c r="RH98" s="11"/>
      <c r="RI98" s="11"/>
      <c r="RJ98" s="11"/>
      <c r="RK98" s="11"/>
      <c r="RL98" s="11"/>
      <c r="RM98" s="11"/>
      <c r="RN98" s="11"/>
      <c r="RO98" s="11"/>
      <c r="RP98" s="11"/>
      <c r="RQ98" s="11"/>
      <c r="RR98" s="11"/>
      <c r="RS98" s="11"/>
      <c r="RT98" s="11"/>
      <c r="RU98" s="11"/>
      <c r="RV98" s="11"/>
      <c r="RW98" s="11"/>
      <c r="RX98" s="11"/>
      <c r="RY98" s="11"/>
      <c r="RZ98" s="11"/>
      <c r="SA98" s="11"/>
      <c r="SB98" s="11"/>
      <c r="SC98" s="11"/>
      <c r="SD98" s="11"/>
      <c r="SE98" s="11"/>
      <c r="SF98" s="11"/>
      <c r="SG98" s="11"/>
      <c r="SH98" s="11"/>
      <c r="SI98" s="11"/>
      <c r="SJ98" s="11"/>
      <c r="SK98" s="11"/>
      <c r="SL98" s="11"/>
      <c r="SM98" s="11"/>
      <c r="SN98" s="11"/>
      <c r="SO98" s="11"/>
      <c r="SP98" s="11"/>
      <c r="SQ98" s="11"/>
      <c r="SR98" s="11"/>
      <c r="SS98" s="11"/>
      <c r="ST98" s="11"/>
      <c r="SU98" s="11"/>
      <c r="SV98" s="11"/>
      <c r="SW98" s="11"/>
      <c r="SX98" s="11"/>
      <c r="SY98" s="11"/>
      <c r="SZ98" s="11"/>
      <c r="TA98" s="11"/>
      <c r="TB98" s="11"/>
      <c r="TC98" s="11"/>
      <c r="TD98" s="11"/>
      <c r="TE98" s="11"/>
      <c r="TF98" s="11"/>
      <c r="TG98" s="11"/>
      <c r="TH98" s="11"/>
      <c r="TI98" s="11"/>
      <c r="TJ98" s="11"/>
      <c r="TK98" s="11"/>
      <c r="TL98" s="11"/>
      <c r="TM98" s="11"/>
      <c r="TN98" s="11"/>
      <c r="TO98" s="11"/>
      <c r="TP98" s="11"/>
      <c r="TQ98" s="11"/>
      <c r="TR98" s="11"/>
      <c r="TS98" s="11"/>
      <c r="TT98" s="11"/>
      <c r="TU98" s="11"/>
      <c r="TV98" s="11"/>
      <c r="TW98" s="11"/>
      <c r="TX98" s="11"/>
      <c r="TY98" s="11"/>
      <c r="TZ98" s="11"/>
      <c r="UA98" s="11"/>
      <c r="UB98" s="11"/>
      <c r="UC98" s="11"/>
      <c r="UD98" s="11"/>
      <c r="UE98" s="11"/>
      <c r="UF98" s="11"/>
      <c r="UG98" s="11"/>
      <c r="UH98" s="11"/>
      <c r="UI98" s="11"/>
      <c r="UJ98" s="11"/>
      <c r="UK98" s="11"/>
      <c r="UL98" s="11"/>
      <c r="UM98" s="11"/>
      <c r="UN98" s="11"/>
      <c r="UO98" s="11"/>
      <c r="UP98" s="11"/>
      <c r="UQ98" s="11"/>
      <c r="UR98" s="11"/>
      <c r="US98" s="11"/>
      <c r="UT98" s="11"/>
      <c r="UU98" s="11"/>
      <c r="UV98" s="11"/>
      <c r="UW98" s="11"/>
      <c r="UX98" s="11"/>
      <c r="UY98" s="11"/>
      <c r="UZ98" s="11"/>
      <c r="VA98" s="11"/>
      <c r="VB98" s="11"/>
      <c r="VC98" s="11"/>
      <c r="VD98" s="11"/>
      <c r="VE98" s="11"/>
      <c r="VF98" s="11"/>
      <c r="VG98" s="11"/>
      <c r="VH98" s="11"/>
      <c r="VI98" s="11"/>
      <c r="VJ98" s="11"/>
      <c r="VK98" s="11"/>
      <c r="VL98" s="11"/>
      <c r="VM98" s="11"/>
      <c r="VN98" s="11"/>
      <c r="VO98" s="11"/>
      <c r="VP98" s="11"/>
      <c r="VQ98" s="11"/>
      <c r="VR98" s="11"/>
      <c r="VS98" s="11"/>
      <c r="VT98" s="11"/>
      <c r="VU98" s="11"/>
      <c r="VV98" s="11"/>
      <c r="VW98" s="11"/>
      <c r="VX98" s="11"/>
      <c r="VY98" s="11"/>
      <c r="VZ98" s="11"/>
      <c r="WA98" s="11"/>
      <c r="WB98" s="11"/>
      <c r="WC98" s="11"/>
      <c r="WD98" s="11"/>
      <c r="WE98" s="11"/>
      <c r="WF98" s="11"/>
      <c r="WG98" s="11"/>
      <c r="WH98" s="11"/>
      <c r="WI98" s="11"/>
      <c r="WJ98" s="11"/>
      <c r="WK98" s="11"/>
      <c r="WL98" s="11"/>
      <c r="WM98" s="11"/>
      <c r="WN98" s="11"/>
      <c r="WO98" s="11"/>
      <c r="WP98" s="11"/>
      <c r="WQ98" s="11"/>
      <c r="WR98" s="11"/>
      <c r="WS98" s="11"/>
      <c r="WT98" s="11"/>
      <c r="WU98" s="11"/>
      <c r="WV98" s="11"/>
      <c r="WW98" s="11"/>
      <c r="WX98" s="11"/>
      <c r="WY98" s="11"/>
      <c r="WZ98" s="11"/>
      <c r="XA98" s="11"/>
      <c r="XB98" s="11"/>
      <c r="XC98" s="11"/>
      <c r="XD98" s="11"/>
      <c r="XE98" s="11"/>
      <c r="XF98" s="11"/>
      <c r="XG98" s="11"/>
      <c r="XH98" s="11"/>
      <c r="XI98" s="11"/>
      <c r="XJ98" s="11"/>
      <c r="XK98" s="11"/>
      <c r="XL98" s="11"/>
      <c r="XM98" s="11"/>
      <c r="XN98" s="11"/>
      <c r="XO98" s="11"/>
      <c r="XP98" s="11"/>
      <c r="XQ98" s="11"/>
      <c r="XR98" s="11"/>
      <c r="XS98" s="11"/>
      <c r="XT98" s="11"/>
      <c r="XU98" s="11"/>
      <c r="XV98" s="11"/>
      <c r="XW98" s="11"/>
      <c r="XX98" s="11"/>
      <c r="XY98" s="11"/>
      <c r="XZ98" s="11"/>
      <c r="YA98" s="11"/>
      <c r="YB98" s="11"/>
      <c r="YC98" s="11"/>
      <c r="YD98" s="11"/>
      <c r="YE98" s="11"/>
      <c r="YF98" s="11"/>
      <c r="YG98" s="11"/>
      <c r="YH98" s="11"/>
      <c r="YI98" s="11"/>
      <c r="YJ98" s="11"/>
      <c r="YK98" s="11"/>
      <c r="YL98" s="11"/>
      <c r="YM98" s="11"/>
      <c r="YN98" s="11"/>
      <c r="YO98" s="11"/>
      <c r="YP98" s="11"/>
      <c r="YQ98" s="11"/>
      <c r="YR98" s="11"/>
      <c r="YS98" s="11"/>
      <c r="YT98" s="11"/>
      <c r="YU98" s="11"/>
      <c r="YV98" s="11"/>
      <c r="YW98" s="11"/>
      <c r="YX98" s="11"/>
      <c r="YY98" s="11"/>
      <c r="YZ98" s="11"/>
      <c r="ZA98" s="11"/>
      <c r="ZB98" s="11"/>
      <c r="ZC98" s="11"/>
      <c r="ZD98" s="11"/>
      <c r="ZE98" s="11"/>
      <c r="ZF98" s="11"/>
      <c r="ZG98" s="11"/>
      <c r="ZH98" s="11"/>
      <c r="ZI98" s="11"/>
      <c r="ZJ98" s="11"/>
      <c r="ZK98" s="11"/>
      <c r="ZL98" s="11"/>
      <c r="ZM98" s="11"/>
      <c r="ZN98" s="11"/>
      <c r="ZO98" s="11"/>
      <c r="ZP98" s="11"/>
      <c r="ZQ98" s="11"/>
      <c r="ZR98" s="11"/>
      <c r="ZS98" s="11"/>
      <c r="ZT98" s="11"/>
      <c r="ZU98" s="11"/>
      <c r="ZV98" s="11"/>
      <c r="ZW98" s="11"/>
      <c r="ZX98" s="11"/>
      <c r="ZY98" s="11"/>
      <c r="ZZ98" s="11"/>
      <c r="AAA98" s="11"/>
      <c r="AAB98" s="11"/>
      <c r="AAC98" s="11"/>
      <c r="AAD98" s="11"/>
      <c r="AAE98" s="11"/>
      <c r="AAF98" s="11"/>
      <c r="AAG98" s="11"/>
      <c r="AAH98" s="11"/>
      <c r="AAI98" s="11"/>
      <c r="AAJ98" s="11"/>
      <c r="AAK98" s="11"/>
      <c r="AAL98" s="11"/>
      <c r="AAM98" s="11"/>
      <c r="AAN98" s="11"/>
      <c r="AAO98" s="11"/>
      <c r="AAP98" s="11"/>
      <c r="AAQ98" s="11"/>
      <c r="AAR98" s="11"/>
      <c r="AAS98" s="11"/>
      <c r="AAT98" s="11"/>
      <c r="AAU98" s="11"/>
      <c r="AAV98" s="11"/>
      <c r="AAW98" s="11"/>
      <c r="AAX98" s="11"/>
      <c r="AAY98" s="11"/>
      <c r="AAZ98" s="11"/>
      <c r="ABA98" s="11"/>
      <c r="ABB98" s="11"/>
      <c r="ABC98" s="11"/>
      <c r="ABD98" s="11"/>
      <c r="ABE98" s="11"/>
      <c r="ABF98" s="11"/>
      <c r="ABG98" s="11"/>
      <c r="ABH98" s="11"/>
      <c r="ABI98" s="11"/>
      <c r="ABJ98" s="11"/>
      <c r="ABK98" s="11"/>
      <c r="ABL98" s="11"/>
      <c r="ABM98" s="11"/>
      <c r="ABN98" s="11"/>
      <c r="ABO98" s="11"/>
      <c r="ABP98" s="11"/>
      <c r="ABQ98" s="11"/>
      <c r="ABR98" s="11"/>
      <c r="ABS98" s="11"/>
      <c r="ABT98" s="11"/>
      <c r="ABU98" s="11"/>
      <c r="ABV98" s="11"/>
      <c r="ABW98" s="11"/>
      <c r="ABX98" s="11"/>
      <c r="ABY98" s="11"/>
      <c r="ABZ98" s="11"/>
      <c r="ACA98" s="11"/>
      <c r="ACB98" s="11"/>
      <c r="ACC98" s="11"/>
      <c r="ACD98" s="11"/>
      <c r="ACE98" s="11"/>
      <c r="ACF98" s="11"/>
      <c r="ACG98" s="11"/>
      <c r="ACH98" s="11"/>
      <c r="ACI98" s="11"/>
      <c r="ACJ98" s="11"/>
      <c r="ACK98" s="11"/>
      <c r="ACL98" s="11"/>
      <c r="ACM98" s="11"/>
      <c r="ACN98" s="11"/>
      <c r="ACO98" s="11"/>
      <c r="ACP98" s="11"/>
      <c r="ACQ98" s="11"/>
      <c r="ACR98" s="11"/>
      <c r="ACS98" s="11"/>
      <c r="ACT98" s="11"/>
      <c r="ACU98" s="11"/>
      <c r="ACV98" s="11"/>
      <c r="ACW98" s="11"/>
      <c r="ACX98" s="11"/>
      <c r="ACY98" s="11"/>
      <c r="ACZ98" s="11"/>
      <c r="ADA98" s="11"/>
      <c r="ADB98" s="11"/>
      <c r="ADC98" s="11"/>
      <c r="ADD98" s="11"/>
      <c r="ADE98" s="11"/>
      <c r="ADF98" s="11"/>
      <c r="ADG98" s="11"/>
      <c r="ADH98" s="11"/>
      <c r="ADI98" s="11"/>
      <c r="ADJ98" s="11"/>
      <c r="ADK98" s="11"/>
      <c r="ADL98" s="11"/>
      <c r="ADM98" s="11"/>
      <c r="ADN98" s="11"/>
      <c r="ADO98" s="11"/>
      <c r="ADP98" s="11"/>
      <c r="ADQ98" s="11"/>
      <c r="ADR98" s="11"/>
      <c r="ADS98" s="11"/>
      <c r="ADT98" s="11"/>
      <c r="ADU98" s="11"/>
      <c r="ADV98" s="11"/>
      <c r="ADW98" s="11"/>
      <c r="ADX98" s="11"/>
      <c r="ADY98" s="11"/>
      <c r="ADZ98" s="11"/>
      <c r="AEA98" s="11"/>
      <c r="AEB98" s="11"/>
      <c r="AEC98" s="11"/>
      <c r="AED98" s="11"/>
      <c r="AEE98" s="11"/>
      <c r="AEF98" s="11"/>
      <c r="AEG98" s="11"/>
      <c r="AEH98" s="11"/>
      <c r="AEI98" s="11"/>
      <c r="AEJ98" s="11"/>
      <c r="AEK98" s="11"/>
      <c r="AEL98" s="11"/>
      <c r="AEM98" s="11"/>
      <c r="AEN98" s="11"/>
      <c r="AEO98" s="11"/>
      <c r="AEP98" s="11"/>
      <c r="AEQ98" s="11"/>
      <c r="AER98" s="11"/>
      <c r="AES98" s="11"/>
      <c r="AET98" s="11"/>
      <c r="AEU98" s="11"/>
      <c r="AEV98" s="11"/>
      <c r="AEW98" s="11"/>
      <c r="AEX98" s="11"/>
      <c r="AEY98" s="11"/>
      <c r="AEZ98" s="11"/>
      <c r="AFA98" s="11"/>
      <c r="AFB98" s="11"/>
      <c r="AFC98" s="11"/>
      <c r="AFD98" s="11"/>
      <c r="AFE98" s="11"/>
      <c r="AFF98" s="11"/>
      <c r="AFG98" s="11"/>
      <c r="AFH98" s="11"/>
      <c r="AFI98" s="11"/>
    </row>
    <row r="99" spans="2:841">
      <c r="B99" s="11"/>
      <c r="C99" s="657" t="str">
        <f>M_Datos!L47</f>
        <v>Deportivo</v>
      </c>
      <c r="D99" s="289" t="s">
        <v>622</v>
      </c>
      <c r="E99" s="488" t="s">
        <v>623</v>
      </c>
      <c r="F99" s="503" t="s">
        <v>948</v>
      </c>
      <c r="G99" s="488" t="s">
        <v>624</v>
      </c>
      <c r="H99" s="488" t="s">
        <v>623</v>
      </c>
      <c r="I99" s="503" t="s">
        <v>948</v>
      </c>
      <c r="J99" s="488" t="s">
        <v>624</v>
      </c>
      <c r="K99" s="488" t="s">
        <v>623</v>
      </c>
      <c r="L99" s="503" t="s">
        <v>948</v>
      </c>
      <c r="M99" s="488" t="s">
        <v>624</v>
      </c>
      <c r="N99" s="488" t="s">
        <v>623</v>
      </c>
      <c r="O99" s="503" t="s">
        <v>948</v>
      </c>
      <c r="P99" s="488" t="s">
        <v>624</v>
      </c>
      <c r="Q99" s="488" t="s">
        <v>623</v>
      </c>
      <c r="R99" s="503" t="s">
        <v>948</v>
      </c>
      <c r="S99" s="488" t="s">
        <v>624</v>
      </c>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c r="KA99" s="11"/>
      <c r="KB99" s="11"/>
      <c r="KC99" s="11"/>
      <c r="KD99" s="11"/>
      <c r="KE99" s="11"/>
      <c r="KF99" s="11"/>
      <c r="KG99" s="11"/>
      <c r="KH99" s="11"/>
      <c r="KI99" s="11"/>
      <c r="KJ99" s="11"/>
      <c r="KK99" s="11"/>
      <c r="KL99" s="11"/>
      <c r="KM99" s="11"/>
      <c r="KN99" s="11"/>
      <c r="KO99" s="11"/>
      <c r="KP99" s="11"/>
      <c r="KQ99" s="11"/>
      <c r="KR99" s="11"/>
      <c r="KS99" s="11"/>
      <c r="KT99" s="11"/>
      <c r="KU99" s="11"/>
      <c r="KV99" s="11"/>
      <c r="KW99" s="11"/>
      <c r="KX99" s="11"/>
      <c r="KY99" s="11"/>
      <c r="KZ99" s="11"/>
      <c r="LA99" s="11"/>
      <c r="LB99" s="11"/>
      <c r="LC99" s="11"/>
      <c r="LD99" s="11"/>
      <c r="LE99" s="11"/>
      <c r="LF99" s="11"/>
      <c r="LG99" s="11"/>
      <c r="LH99" s="11"/>
      <c r="LI99" s="11"/>
      <c r="LJ99" s="11"/>
      <c r="LK99" s="11"/>
      <c r="LL99" s="11"/>
      <c r="LM99" s="11"/>
      <c r="LN99" s="11"/>
      <c r="LO99" s="11"/>
      <c r="LP99" s="11"/>
      <c r="LQ99" s="11"/>
      <c r="LR99" s="11"/>
      <c r="LS99" s="11"/>
      <c r="LT99" s="11"/>
      <c r="LU99" s="11"/>
      <c r="LV99" s="11"/>
      <c r="LW99" s="11"/>
      <c r="LX99" s="11"/>
      <c r="LY99" s="11"/>
      <c r="LZ99" s="11"/>
      <c r="MA99" s="11"/>
      <c r="MB99" s="11"/>
      <c r="MC99" s="11"/>
      <c r="MD99" s="11"/>
      <c r="ME99" s="11"/>
      <c r="MF99" s="11"/>
      <c r="MG99" s="11"/>
      <c r="MH99" s="11"/>
      <c r="MI99" s="11"/>
      <c r="MJ99" s="11"/>
      <c r="MK99" s="11"/>
      <c r="ML99" s="11"/>
      <c r="MM99" s="11"/>
      <c r="MN99" s="11"/>
      <c r="MO99" s="11"/>
      <c r="MP99" s="11"/>
      <c r="MQ99" s="11"/>
      <c r="MR99" s="11"/>
      <c r="MS99" s="11"/>
      <c r="MT99" s="11"/>
      <c r="MU99" s="11"/>
      <c r="MV99" s="11"/>
      <c r="MW99" s="11"/>
      <c r="MX99" s="11"/>
      <c r="MY99" s="11"/>
      <c r="MZ99" s="11"/>
      <c r="NA99" s="11"/>
      <c r="NB99" s="11"/>
      <c r="NC99" s="11"/>
      <c r="ND99" s="11"/>
      <c r="NE99" s="11"/>
      <c r="NF99" s="11"/>
      <c r="NG99" s="11"/>
      <c r="NH99" s="11"/>
      <c r="NI99" s="11"/>
      <c r="NJ99" s="11"/>
      <c r="NK99" s="11"/>
      <c r="NL99" s="11"/>
      <c r="NM99" s="11"/>
      <c r="NN99" s="11"/>
      <c r="NO99" s="11"/>
      <c r="NP99" s="11"/>
      <c r="NQ99" s="11"/>
      <c r="NR99" s="11"/>
      <c r="NS99" s="11"/>
      <c r="NT99" s="11"/>
      <c r="NU99" s="11"/>
      <c r="NV99" s="11"/>
      <c r="NW99" s="11"/>
      <c r="NX99" s="11"/>
      <c r="NY99" s="11"/>
      <c r="NZ99" s="11"/>
      <c r="OA99" s="11"/>
      <c r="OB99" s="11"/>
      <c r="OC99" s="11"/>
      <c r="OD99" s="11"/>
      <c r="OE99" s="11"/>
      <c r="OF99" s="11"/>
      <c r="OG99" s="11"/>
      <c r="OH99" s="11"/>
      <c r="OI99" s="11"/>
      <c r="OJ99" s="11"/>
      <c r="OK99" s="11"/>
      <c r="OL99" s="11"/>
      <c r="OM99" s="11"/>
      <c r="ON99" s="11"/>
      <c r="OO99" s="11"/>
      <c r="OP99" s="11"/>
      <c r="OQ99" s="11"/>
      <c r="OR99" s="11"/>
      <c r="OS99" s="11"/>
      <c r="OT99" s="11"/>
      <c r="OU99" s="11"/>
      <c r="OV99" s="11"/>
      <c r="OW99" s="11"/>
      <c r="OX99" s="11"/>
      <c r="OY99" s="11"/>
      <c r="OZ99" s="11"/>
      <c r="PA99" s="11"/>
      <c r="PB99" s="11"/>
      <c r="PC99" s="11"/>
      <c r="PD99" s="11"/>
      <c r="PE99" s="11"/>
      <c r="PF99" s="11"/>
      <c r="PG99" s="11"/>
      <c r="PH99" s="11"/>
      <c r="PI99" s="11"/>
      <c r="PJ99" s="11"/>
      <c r="PK99" s="11"/>
      <c r="PL99" s="11"/>
      <c r="PM99" s="11"/>
      <c r="PN99" s="11"/>
      <c r="PO99" s="11"/>
      <c r="PP99" s="11"/>
      <c r="PQ99" s="11"/>
      <c r="PR99" s="11"/>
      <c r="PS99" s="11"/>
      <c r="PT99" s="11"/>
      <c r="PU99" s="11"/>
      <c r="PV99" s="11"/>
      <c r="PW99" s="11"/>
      <c r="PX99" s="11"/>
      <c r="PY99" s="11"/>
      <c r="PZ99" s="11"/>
      <c r="QA99" s="11"/>
      <c r="QB99" s="11"/>
      <c r="QC99" s="11"/>
      <c r="QD99" s="11"/>
      <c r="QE99" s="11"/>
      <c r="QF99" s="11"/>
      <c r="QG99" s="11"/>
      <c r="QH99" s="11"/>
      <c r="QI99" s="11"/>
      <c r="QJ99" s="11"/>
      <c r="QK99" s="11"/>
      <c r="QL99" s="11"/>
      <c r="QM99" s="11"/>
      <c r="QN99" s="11"/>
      <c r="QO99" s="11"/>
      <c r="QP99" s="11"/>
      <c r="QQ99" s="11"/>
      <c r="QR99" s="11"/>
      <c r="QS99" s="11"/>
      <c r="QT99" s="11"/>
      <c r="QU99" s="11"/>
      <c r="QV99" s="11"/>
      <c r="QW99" s="11"/>
      <c r="QX99" s="11"/>
      <c r="QY99" s="11"/>
      <c r="QZ99" s="11"/>
      <c r="RA99" s="11"/>
      <c r="RB99" s="11"/>
      <c r="RC99" s="11"/>
      <c r="RD99" s="11"/>
      <c r="RE99" s="11"/>
      <c r="RF99" s="11"/>
      <c r="RG99" s="11"/>
      <c r="RH99" s="11"/>
      <c r="RI99" s="11"/>
      <c r="RJ99" s="11"/>
      <c r="RK99" s="11"/>
      <c r="RL99" s="11"/>
      <c r="RM99" s="11"/>
      <c r="RN99" s="11"/>
      <c r="RO99" s="11"/>
      <c r="RP99" s="11"/>
      <c r="RQ99" s="11"/>
      <c r="RR99" s="11"/>
      <c r="RS99" s="11"/>
      <c r="RT99" s="11"/>
      <c r="RU99" s="11"/>
      <c r="RV99" s="11"/>
      <c r="RW99" s="11"/>
      <c r="RX99" s="11"/>
      <c r="RY99" s="11"/>
      <c r="RZ99" s="11"/>
      <c r="SA99" s="11"/>
      <c r="SB99" s="11"/>
      <c r="SC99" s="11"/>
      <c r="SD99" s="11"/>
      <c r="SE99" s="11"/>
      <c r="SF99" s="11"/>
      <c r="SG99" s="11"/>
      <c r="SH99" s="11"/>
      <c r="SI99" s="11"/>
      <c r="SJ99" s="11"/>
      <c r="SK99" s="11"/>
      <c r="SL99" s="11"/>
      <c r="SM99" s="11"/>
      <c r="SN99" s="11"/>
      <c r="SO99" s="11"/>
      <c r="SP99" s="11"/>
      <c r="SQ99" s="11"/>
      <c r="SR99" s="11"/>
      <c r="SS99" s="11"/>
      <c r="ST99" s="11"/>
      <c r="SU99" s="11"/>
      <c r="SV99" s="11"/>
      <c r="SW99" s="11"/>
      <c r="SX99" s="11"/>
      <c r="SY99" s="11"/>
      <c r="SZ99" s="11"/>
      <c r="TA99" s="11"/>
      <c r="TB99" s="11"/>
      <c r="TC99" s="11"/>
      <c r="TD99" s="11"/>
      <c r="TE99" s="11"/>
      <c r="TF99" s="11"/>
      <c r="TG99" s="11"/>
      <c r="TH99" s="11"/>
      <c r="TI99" s="11"/>
      <c r="TJ99" s="11"/>
      <c r="TK99" s="11"/>
      <c r="TL99" s="11"/>
      <c r="TM99" s="11"/>
      <c r="TN99" s="11"/>
      <c r="TO99" s="11"/>
      <c r="TP99" s="11"/>
      <c r="TQ99" s="11"/>
      <c r="TR99" s="11"/>
      <c r="TS99" s="11"/>
      <c r="TT99" s="11"/>
      <c r="TU99" s="11"/>
      <c r="TV99" s="11"/>
      <c r="TW99" s="11"/>
      <c r="TX99" s="11"/>
      <c r="TY99" s="11"/>
      <c r="TZ99" s="11"/>
      <c r="UA99" s="11"/>
      <c r="UB99" s="11"/>
      <c r="UC99" s="11"/>
      <c r="UD99" s="11"/>
      <c r="UE99" s="11"/>
      <c r="UF99" s="11"/>
      <c r="UG99" s="11"/>
      <c r="UH99" s="11"/>
      <c r="UI99" s="11"/>
      <c r="UJ99" s="11"/>
      <c r="UK99" s="11"/>
      <c r="UL99" s="11"/>
      <c r="UM99" s="11"/>
      <c r="UN99" s="11"/>
      <c r="UO99" s="11"/>
      <c r="UP99" s="11"/>
      <c r="UQ99" s="11"/>
      <c r="UR99" s="11"/>
      <c r="US99" s="11"/>
      <c r="UT99" s="11"/>
      <c r="UU99" s="11"/>
      <c r="UV99" s="11"/>
      <c r="UW99" s="11"/>
      <c r="UX99" s="11"/>
      <c r="UY99" s="11"/>
      <c r="UZ99" s="11"/>
      <c r="VA99" s="11"/>
      <c r="VB99" s="11"/>
      <c r="VC99" s="11"/>
      <c r="VD99" s="11"/>
      <c r="VE99" s="11"/>
      <c r="VF99" s="11"/>
      <c r="VG99" s="11"/>
      <c r="VH99" s="11"/>
      <c r="VI99" s="11"/>
      <c r="VJ99" s="11"/>
      <c r="VK99" s="11"/>
      <c r="VL99" s="11"/>
      <c r="VM99" s="11"/>
      <c r="VN99" s="11"/>
      <c r="VO99" s="11"/>
      <c r="VP99" s="11"/>
      <c r="VQ99" s="11"/>
      <c r="VR99" s="11"/>
      <c r="VS99" s="11"/>
      <c r="VT99" s="11"/>
      <c r="VU99" s="11"/>
      <c r="VV99" s="11"/>
      <c r="VW99" s="11"/>
      <c r="VX99" s="11"/>
      <c r="VY99" s="11"/>
      <c r="VZ99" s="11"/>
      <c r="WA99" s="11"/>
      <c r="WB99" s="11"/>
      <c r="WC99" s="11"/>
      <c r="WD99" s="11"/>
      <c r="WE99" s="11"/>
      <c r="WF99" s="11"/>
      <c r="WG99" s="11"/>
      <c r="WH99" s="11"/>
      <c r="WI99" s="11"/>
      <c r="WJ99" s="11"/>
      <c r="WK99" s="11"/>
      <c r="WL99" s="11"/>
      <c r="WM99" s="11"/>
      <c r="WN99" s="11"/>
      <c r="WO99" s="11"/>
      <c r="WP99" s="11"/>
      <c r="WQ99" s="11"/>
      <c r="WR99" s="11"/>
      <c r="WS99" s="11"/>
      <c r="WT99" s="11"/>
      <c r="WU99" s="11"/>
      <c r="WV99" s="11"/>
      <c r="WW99" s="11"/>
      <c r="WX99" s="11"/>
      <c r="WY99" s="11"/>
      <c r="WZ99" s="11"/>
      <c r="XA99" s="11"/>
      <c r="XB99" s="11"/>
      <c r="XC99" s="11"/>
      <c r="XD99" s="11"/>
      <c r="XE99" s="11"/>
      <c r="XF99" s="11"/>
      <c r="XG99" s="11"/>
      <c r="XH99" s="11"/>
      <c r="XI99" s="11"/>
      <c r="XJ99" s="11"/>
      <c r="XK99" s="11"/>
      <c r="XL99" s="11"/>
      <c r="XM99" s="11"/>
      <c r="XN99" s="11"/>
      <c r="XO99" s="11"/>
      <c r="XP99" s="11"/>
      <c r="XQ99" s="11"/>
      <c r="XR99" s="11"/>
      <c r="XS99" s="11"/>
      <c r="XT99" s="11"/>
      <c r="XU99" s="11"/>
      <c r="XV99" s="11"/>
      <c r="XW99" s="11"/>
      <c r="XX99" s="11"/>
      <c r="XY99" s="11"/>
      <c r="XZ99" s="11"/>
      <c r="YA99" s="11"/>
      <c r="YB99" s="11"/>
      <c r="YC99" s="11"/>
      <c r="YD99" s="11"/>
      <c r="YE99" s="11"/>
      <c r="YF99" s="11"/>
      <c r="YG99" s="11"/>
      <c r="YH99" s="11"/>
      <c r="YI99" s="11"/>
      <c r="YJ99" s="11"/>
      <c r="YK99" s="11"/>
      <c r="YL99" s="11"/>
      <c r="YM99" s="11"/>
      <c r="YN99" s="11"/>
      <c r="YO99" s="11"/>
      <c r="YP99" s="11"/>
      <c r="YQ99" s="11"/>
      <c r="YR99" s="11"/>
      <c r="YS99" s="11"/>
      <c r="YT99" s="11"/>
      <c r="YU99" s="11"/>
      <c r="YV99" s="11"/>
      <c r="YW99" s="11"/>
      <c r="YX99" s="11"/>
      <c r="YY99" s="11"/>
      <c r="YZ99" s="11"/>
      <c r="ZA99" s="11"/>
      <c r="ZB99" s="11"/>
      <c r="ZC99" s="11"/>
      <c r="ZD99" s="11"/>
      <c r="ZE99" s="11"/>
      <c r="ZF99" s="11"/>
      <c r="ZG99" s="11"/>
      <c r="ZH99" s="11"/>
      <c r="ZI99" s="11"/>
      <c r="ZJ99" s="11"/>
      <c r="ZK99" s="11"/>
      <c r="ZL99" s="11"/>
      <c r="ZM99" s="11"/>
      <c r="ZN99" s="11"/>
      <c r="ZO99" s="11"/>
      <c r="ZP99" s="11"/>
      <c r="ZQ99" s="11"/>
      <c r="ZR99" s="11"/>
      <c r="ZS99" s="11"/>
      <c r="ZT99" s="11"/>
      <c r="ZU99" s="11"/>
      <c r="ZV99" s="11"/>
      <c r="ZW99" s="11"/>
      <c r="ZX99" s="11"/>
      <c r="ZY99" s="11"/>
      <c r="ZZ99" s="11"/>
      <c r="AAA99" s="11"/>
      <c r="AAB99" s="11"/>
      <c r="AAC99" s="11"/>
      <c r="AAD99" s="11"/>
      <c r="AAE99" s="11"/>
      <c r="AAF99" s="11"/>
      <c r="AAG99" s="11"/>
      <c r="AAH99" s="11"/>
      <c r="AAI99" s="11"/>
      <c r="AAJ99" s="11"/>
      <c r="AAK99" s="11"/>
      <c r="AAL99" s="11"/>
      <c r="AAM99" s="11"/>
      <c r="AAN99" s="11"/>
      <c r="AAO99" s="11"/>
      <c r="AAP99" s="11"/>
      <c r="AAQ99" s="11"/>
      <c r="AAR99" s="11"/>
      <c r="AAS99" s="11"/>
      <c r="AAT99" s="11"/>
      <c r="AAU99" s="11"/>
      <c r="AAV99" s="11"/>
      <c r="AAW99" s="11"/>
      <c r="AAX99" s="11"/>
      <c r="AAY99" s="11"/>
      <c r="AAZ99" s="11"/>
      <c r="ABA99" s="11"/>
      <c r="ABB99" s="11"/>
      <c r="ABC99" s="11"/>
      <c r="ABD99" s="11"/>
      <c r="ABE99" s="11"/>
      <c r="ABF99" s="11"/>
      <c r="ABG99" s="11"/>
      <c r="ABH99" s="11"/>
      <c r="ABI99" s="11"/>
      <c r="ABJ99" s="11"/>
      <c r="ABK99" s="11"/>
      <c r="ABL99" s="11"/>
      <c r="ABM99" s="11"/>
      <c r="ABN99" s="11"/>
      <c r="ABO99" s="11"/>
      <c r="ABP99" s="11"/>
      <c r="ABQ99" s="11"/>
      <c r="ABR99" s="11"/>
      <c r="ABS99" s="11"/>
      <c r="ABT99" s="11"/>
      <c r="ABU99" s="11"/>
      <c r="ABV99" s="11"/>
      <c r="ABW99" s="11"/>
      <c r="ABX99" s="11"/>
      <c r="ABY99" s="11"/>
      <c r="ABZ99" s="11"/>
      <c r="ACA99" s="11"/>
      <c r="ACB99" s="11"/>
      <c r="ACC99" s="11"/>
      <c r="ACD99" s="11"/>
      <c r="ACE99" s="11"/>
      <c r="ACF99" s="11"/>
      <c r="ACG99" s="11"/>
      <c r="ACH99" s="11"/>
      <c r="ACI99" s="11"/>
      <c r="ACJ99" s="11"/>
      <c r="ACK99" s="11"/>
      <c r="ACL99" s="11"/>
      <c r="ACM99" s="11"/>
      <c r="ACN99" s="11"/>
      <c r="ACO99" s="11"/>
      <c r="ACP99" s="11"/>
      <c r="ACQ99" s="11"/>
      <c r="ACR99" s="11"/>
      <c r="ACS99" s="11"/>
      <c r="ACT99" s="11"/>
      <c r="ACU99" s="11"/>
      <c r="ACV99" s="11"/>
      <c r="ACW99" s="11"/>
      <c r="ACX99" s="11"/>
      <c r="ACY99" s="11"/>
      <c r="ACZ99" s="11"/>
      <c r="ADA99" s="11"/>
      <c r="ADB99" s="11"/>
      <c r="ADC99" s="11"/>
      <c r="ADD99" s="11"/>
      <c r="ADE99" s="11"/>
      <c r="ADF99" s="11"/>
      <c r="ADG99" s="11"/>
      <c r="ADH99" s="11"/>
      <c r="ADI99" s="11"/>
      <c r="ADJ99" s="11"/>
      <c r="ADK99" s="11"/>
      <c r="ADL99" s="11"/>
      <c r="ADM99" s="11"/>
      <c r="ADN99" s="11"/>
      <c r="ADO99" s="11"/>
      <c r="ADP99" s="11"/>
      <c r="ADQ99" s="11"/>
      <c r="ADR99" s="11"/>
      <c r="ADS99" s="11"/>
      <c r="ADT99" s="11"/>
      <c r="ADU99" s="11"/>
      <c r="ADV99" s="11"/>
      <c r="ADW99" s="11"/>
      <c r="ADX99" s="11"/>
      <c r="ADY99" s="11"/>
      <c r="ADZ99" s="11"/>
      <c r="AEA99" s="11"/>
      <c r="AEB99" s="11"/>
      <c r="AEC99" s="11"/>
      <c r="AED99" s="11"/>
      <c r="AEE99" s="11"/>
      <c r="AEF99" s="11"/>
      <c r="AEG99" s="11"/>
      <c r="AEH99" s="11"/>
      <c r="AEI99" s="11"/>
      <c r="AEJ99" s="11"/>
      <c r="AEK99" s="11"/>
      <c r="AEL99" s="11"/>
      <c r="AEM99" s="11"/>
      <c r="AEN99" s="11"/>
      <c r="AEO99" s="11"/>
      <c r="AEP99" s="11"/>
      <c r="AEQ99" s="11"/>
      <c r="AER99" s="11"/>
      <c r="AES99" s="11"/>
      <c r="AET99" s="11"/>
      <c r="AEU99" s="11"/>
      <c r="AEV99" s="11"/>
      <c r="AEW99" s="11"/>
      <c r="AEX99" s="11"/>
      <c r="AEY99" s="11"/>
      <c r="AEZ99" s="11"/>
      <c r="AFA99" s="11"/>
      <c r="AFB99" s="11"/>
      <c r="AFC99" s="11"/>
      <c r="AFD99" s="11"/>
      <c r="AFE99" s="11"/>
      <c r="AFF99" s="11"/>
      <c r="AFG99" s="11"/>
      <c r="AFH99" s="11"/>
      <c r="AFI99" s="11"/>
    </row>
    <row r="100" spans="2:841">
      <c r="B100" s="11"/>
      <c r="C100" s="657"/>
      <c r="D100" s="289" t="str">
        <f>IF(Idioma=Castellano,"Existente",IF(Idioma=Valencià,"Existent","Existente"))</f>
        <v>Existente</v>
      </c>
      <c r="E100" s="551">
        <f>SUMIFS(M_Datos!$N$47:$N$49,M_Datos!$O$47:$O$49,M_Lista!G18)</f>
        <v>0</v>
      </c>
      <c r="F100" s="312" t="e">
        <f>IF(AND(M_FactoresComplement!$G$439="No",M_FactoresComplement!$G$441="No"),M_Cálculos!E100*VLOOKUP(M_Datos!$E$12&amp;M_Cálculos!D100,M_Factores!$M$10:$P$108,2,FALSE)/(10^3),IF(AND(M_FactoresComplement!$G$439="Sí",M_FactoresComplement!$G$441="No"),E100*M_FactoresComplement!G460/(10^3),E100*VLOOKUP(M_FactoresComplement!$C$467&amp;M_Datos!$E$12&amp;M_Lista!G17,M_FactoresComplement!$F$446:$I$781,2,FALSE)/(10^3)))</f>
        <v>#N/A</v>
      </c>
      <c r="G100" s="313" t="e">
        <f>IF(AND(M_FactoresComplement!$G$439="No",M_FactoresComplement!$G$441="No"),M_Cálculos!E100*VLOOKUP(M_Datos!$E$12&amp;M_Cálculos!D100,M_Factores!$M$10:$P$108,3,FALSE)/(10^3),IF(AND(M_FactoresComplement!$G$439="Sí",M_FactoresComplement!$G$441="No"),E100*M_FactoresComplement!H460/(10^3),E100*VLOOKUP(M_FactoresComplement!$C$467&amp;M_Datos!$E$12&amp;M_Lista!G17,M_FactoresComplement!$F$446:$I$781,3,FALSE)/(10^3)))</f>
        <v>#N/A</v>
      </c>
      <c r="H100" s="551">
        <f>SUMIFS(M_Datos!$P$47:$P$49,M_Datos!$Q$47:$Q$49,M_Lista!G18)</f>
        <v>0</v>
      </c>
      <c r="I100" s="312" t="e">
        <f>IF(AND(M_FactoresComplement!$G$439="No",M_FactoresComplement!$G$441="No"),M_Cálculos!H100*VLOOKUP(M_Datos!$E$12&amp;M_Cálculos!D100,M_Factores!$M$10:$P$108,2,FALSE)/(10^3),IF(AND(M_FactoresComplement!$G$439="Sí",M_FactoresComplement!$G$441="No"),H100*M_FactoresComplement!G460/(10^3),H100*VLOOKUP(M_FactoresComplement!$C$467&amp;M_Datos!$E$12&amp;M_Lista!G17,M_FactoresComplement!$F$446:$I$781,2,FALSE)/(10^3)))</f>
        <v>#N/A</v>
      </c>
      <c r="J100" s="313" t="e">
        <f>IF(AND(M_FactoresComplement!$G$439="No",M_FactoresComplement!$G$441="No"),M_Cálculos!H100*VLOOKUP(M_Datos!$E$12&amp;M_Cálculos!D100,M_Factores!$M$10:$P$108,3,FALSE)/(10^3),IF(AND(M_FactoresComplement!$G$439="Sí",M_FactoresComplement!$G$441="No"),H100*M_FactoresComplement!H460/(10^3),H100*VLOOKUP(M_FactoresComplement!$C$467&amp;M_Datos!$E$12&amp;M_Lista!G17,M_FactoresComplement!$F$446:$I$781,3,FALSE)/(10^3)))</f>
        <v>#N/A</v>
      </c>
      <c r="K100" s="551">
        <f>SUMIFS(M_Datos!$R$47:$R$49,M_Datos!$S$47:$S$49,M_Lista!G18)</f>
        <v>0</v>
      </c>
      <c r="L100" s="312" t="e">
        <f>IF(AND(M_FactoresComplement!$G$439="No",M_FactoresComplement!$G$441="No"),M_Cálculos!K100*VLOOKUP(M_Datos!$E$12&amp;M_Cálculos!D100,M_Factores!$M$10:$P$108,2,FALSE)/(10^3),IF(AND(M_FactoresComplement!$G$439="Sí",M_FactoresComplement!$G$441="No"),K100*M_FactoresComplement!G460/(10^3),K100*VLOOKUP(M_FactoresComplement!$C$467&amp;M_Datos!$E$12&amp;M_Lista!G17,M_FactoresComplement!$F$446:$I$781,2,FALSE)/(10^3)))</f>
        <v>#N/A</v>
      </c>
      <c r="M100" s="313" t="e">
        <f>IF(AND(M_FactoresComplement!$G$439="No",M_FactoresComplement!$G$441="No"),M_Cálculos!K100*VLOOKUP(M_Datos!$E$12&amp;M_Cálculos!D100,M_Factores!$M$10:$P$108,3,FALSE)/(10^3),IF(AND(M_FactoresComplement!$G$439="Sí",M_FactoresComplement!$G$441="No"),K100*M_FactoresComplement!H460/(10^3),K100*VLOOKUP(M_FactoresComplement!$C$467&amp;M_Datos!$E$12&amp;M_Lista!G17,M_FactoresComplement!$F$446:$I$781,3,FALSE)/(10^3)))</f>
        <v>#N/A</v>
      </c>
      <c r="N100" s="551">
        <f>SUMIFS(M_Datos!$T$47:$T$49,M_Datos!$U$47:$U$49,M_Lista!G18)</f>
        <v>0</v>
      </c>
      <c r="O100" s="312" t="e">
        <f>IF(AND(M_FactoresComplement!$G$439="No",M_FactoresComplement!$G$441="No"),M_Cálculos!N100*VLOOKUP(M_Datos!$E$12&amp;M_Cálculos!D100,M_Factores!$M$10:$P$108,2,FALSE)/(10^3),IF(AND(M_FactoresComplement!$G$439="Sí",M_FactoresComplement!$G$441="No"),N100*M_FactoresComplement!G460/(10^3),N100*VLOOKUP(M_FactoresComplement!$C$467&amp;M_Datos!$E$12&amp;M_Lista!G17,M_FactoresComplement!$F$446:$I$781,2,FALSE)/(10^3)))</f>
        <v>#N/A</v>
      </c>
      <c r="P100" s="313" t="e">
        <f>IF(AND(M_FactoresComplement!$G$439="No",M_FactoresComplement!$G$441="No"),M_Cálculos!N100*VLOOKUP(M_Datos!$E$12&amp;M_Cálculos!D100,M_Factores!$M$10:$P$108,3,FALSE)/(10^3),IF(AND(M_FactoresComplement!$G$439="Sí",M_FactoresComplement!$G$441="No"),N100*M_FactoresComplement!H460/(10^3),N100*VLOOKUP(M_FactoresComplement!$C$467&amp;M_Datos!$E$12&amp;M_Lista!G17,M_FactoresComplement!$F$446:$I$781,3,FALSE)/(10^3)))</f>
        <v>#N/A</v>
      </c>
      <c r="Q100" s="551">
        <f>SUMIFS(M_Datos!$V$47:$V$49,M_Datos!$W$47:$W$49,M_Lista!G18)</f>
        <v>0</v>
      </c>
      <c r="R100" s="312" t="e">
        <f>IF(AND(M_FactoresComplement!$G$439="No",M_FactoresComplement!$G$441="No"),M_Cálculos!Q100*VLOOKUP(M_Datos!$E$12&amp;M_Cálculos!D100,M_Factores!$M$10:$P$108,2,FALSE)/(10^3),IF(AND(M_FactoresComplement!$G$439="Sí",M_FactoresComplement!$G$441="No"),Q100*M_FactoresComplement!G460/(10^3),Q100*VLOOKUP(M_FactoresComplement!$C$467&amp;M_Datos!$E$12&amp;M_Lista!G17,M_FactoresComplement!$F$446:$I$781,2,FALSE)/(10^3)))</f>
        <v>#N/A</v>
      </c>
      <c r="S100" s="313" t="e">
        <f>IF(AND(M_FactoresComplement!$G$439="No",M_FactoresComplement!$G$441="No"),M_Cálculos!Q100*VLOOKUP(M_Datos!$E$12&amp;M_Cálculos!D100,M_Factores!$M$10:$P$108,3,FALSE)/(10^3),IF(AND(M_FactoresComplement!$G$439="Sí",M_FactoresComplement!$G$441="No"),Q100*M_FactoresComplement!H460/(10^3),Q100*VLOOKUP(M_FactoresComplement!$C$467&amp;M_Datos!$E$12&amp;M_Lista!G17,M_FactoresComplement!$F$446:$I$781,3,FALSE)/(10^3)))</f>
        <v>#N/A</v>
      </c>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c r="JH100" s="11"/>
      <c r="JI100" s="11"/>
      <c r="JJ100" s="11"/>
      <c r="JK100" s="11"/>
      <c r="JL100" s="11"/>
      <c r="JM100" s="11"/>
      <c r="JN100" s="11"/>
      <c r="JO100" s="11"/>
      <c r="JP100" s="11"/>
      <c r="JQ100" s="11"/>
      <c r="JR100" s="11"/>
      <c r="JS100" s="11"/>
      <c r="JT100" s="11"/>
      <c r="JU100" s="11"/>
      <c r="JV100" s="11"/>
      <c r="JW100" s="11"/>
      <c r="JX100" s="11"/>
      <c r="JY100" s="11"/>
      <c r="JZ100" s="11"/>
      <c r="KA100" s="11"/>
      <c r="KB100" s="11"/>
      <c r="KC100" s="11"/>
      <c r="KD100" s="11"/>
      <c r="KE100" s="11"/>
      <c r="KF100" s="11"/>
      <c r="KG100" s="11"/>
      <c r="KH100" s="11"/>
      <c r="KI100" s="11"/>
      <c r="KJ100" s="11"/>
      <c r="KK100" s="11"/>
      <c r="KL100" s="11"/>
      <c r="KM100" s="11"/>
      <c r="KN100" s="11"/>
      <c r="KO100" s="11"/>
      <c r="KP100" s="11"/>
      <c r="KQ100" s="11"/>
      <c r="KR100" s="11"/>
      <c r="KS100" s="11"/>
      <c r="KT100" s="11"/>
      <c r="KU100" s="11"/>
      <c r="KV100" s="11"/>
      <c r="KW100" s="11"/>
      <c r="KX100" s="11"/>
      <c r="KY100" s="11"/>
      <c r="KZ100" s="11"/>
      <c r="LA100" s="11"/>
      <c r="LB100" s="11"/>
      <c r="LC100" s="11"/>
      <c r="LD100" s="11"/>
      <c r="LE100" s="11"/>
      <c r="LF100" s="11"/>
      <c r="LG100" s="11"/>
      <c r="LH100" s="11"/>
      <c r="LI100" s="11"/>
      <c r="LJ100" s="11"/>
      <c r="LK100" s="11"/>
      <c r="LL100" s="11"/>
      <c r="LM100" s="11"/>
      <c r="LN100" s="11"/>
      <c r="LO100" s="11"/>
      <c r="LP100" s="11"/>
      <c r="LQ100" s="11"/>
      <c r="LR100" s="11"/>
      <c r="LS100" s="11"/>
      <c r="LT100" s="11"/>
      <c r="LU100" s="11"/>
      <c r="LV100" s="11"/>
      <c r="LW100" s="11"/>
      <c r="LX100" s="11"/>
      <c r="LY100" s="11"/>
      <c r="LZ100" s="11"/>
      <c r="MA100" s="11"/>
      <c r="MB100" s="11"/>
      <c r="MC100" s="11"/>
      <c r="MD100" s="11"/>
      <c r="ME100" s="11"/>
      <c r="MF100" s="11"/>
      <c r="MG100" s="11"/>
      <c r="MH100" s="11"/>
      <c r="MI100" s="11"/>
      <c r="MJ100" s="11"/>
      <c r="MK100" s="11"/>
      <c r="ML100" s="11"/>
      <c r="MM100" s="11"/>
      <c r="MN100" s="11"/>
      <c r="MO100" s="11"/>
      <c r="MP100" s="11"/>
      <c r="MQ100" s="11"/>
      <c r="MR100" s="11"/>
      <c r="MS100" s="11"/>
      <c r="MT100" s="11"/>
      <c r="MU100" s="11"/>
      <c r="MV100" s="11"/>
      <c r="MW100" s="11"/>
      <c r="MX100" s="11"/>
      <c r="MY100" s="11"/>
      <c r="MZ100" s="11"/>
      <c r="NA100" s="11"/>
      <c r="NB100" s="11"/>
      <c r="NC100" s="11"/>
      <c r="ND100" s="11"/>
      <c r="NE100" s="11"/>
      <c r="NF100" s="11"/>
      <c r="NG100" s="11"/>
      <c r="NH100" s="11"/>
      <c r="NI100" s="11"/>
      <c r="NJ100" s="11"/>
      <c r="NK100" s="11"/>
      <c r="NL100" s="11"/>
      <c r="NM100" s="11"/>
      <c r="NN100" s="11"/>
      <c r="NO100" s="11"/>
      <c r="NP100" s="11"/>
      <c r="NQ100" s="11"/>
      <c r="NR100" s="11"/>
      <c r="NS100" s="11"/>
      <c r="NT100" s="11"/>
      <c r="NU100" s="11"/>
      <c r="NV100" s="11"/>
      <c r="NW100" s="11"/>
      <c r="NX100" s="11"/>
      <c r="NY100" s="11"/>
      <c r="NZ100" s="11"/>
      <c r="OA100" s="11"/>
      <c r="OB100" s="11"/>
      <c r="OC100" s="11"/>
      <c r="OD100" s="11"/>
      <c r="OE100" s="11"/>
      <c r="OF100" s="11"/>
      <c r="OG100" s="11"/>
      <c r="OH100" s="11"/>
      <c r="OI100" s="11"/>
      <c r="OJ100" s="11"/>
      <c r="OK100" s="11"/>
      <c r="OL100" s="11"/>
      <c r="OM100" s="11"/>
      <c r="ON100" s="11"/>
      <c r="OO100" s="11"/>
      <c r="OP100" s="11"/>
      <c r="OQ100" s="11"/>
      <c r="OR100" s="11"/>
      <c r="OS100" s="11"/>
      <c r="OT100" s="11"/>
      <c r="OU100" s="11"/>
      <c r="OV100" s="11"/>
      <c r="OW100" s="11"/>
      <c r="OX100" s="11"/>
      <c r="OY100" s="11"/>
      <c r="OZ100" s="11"/>
      <c r="PA100" s="11"/>
      <c r="PB100" s="11"/>
      <c r="PC100" s="11"/>
      <c r="PD100" s="11"/>
      <c r="PE100" s="11"/>
      <c r="PF100" s="11"/>
      <c r="PG100" s="11"/>
      <c r="PH100" s="11"/>
      <c r="PI100" s="11"/>
      <c r="PJ100" s="11"/>
      <c r="PK100" s="11"/>
      <c r="PL100" s="11"/>
      <c r="PM100" s="11"/>
      <c r="PN100" s="11"/>
      <c r="PO100" s="11"/>
      <c r="PP100" s="11"/>
      <c r="PQ100" s="11"/>
      <c r="PR100" s="11"/>
      <c r="PS100" s="11"/>
      <c r="PT100" s="11"/>
      <c r="PU100" s="11"/>
      <c r="PV100" s="11"/>
      <c r="PW100" s="11"/>
      <c r="PX100" s="11"/>
      <c r="PY100" s="11"/>
      <c r="PZ100" s="11"/>
      <c r="QA100" s="11"/>
      <c r="QB100" s="11"/>
      <c r="QC100" s="11"/>
      <c r="QD100" s="11"/>
      <c r="QE100" s="11"/>
      <c r="QF100" s="11"/>
      <c r="QG100" s="11"/>
      <c r="QH100" s="11"/>
      <c r="QI100" s="11"/>
      <c r="QJ100" s="11"/>
      <c r="QK100" s="11"/>
      <c r="QL100" s="11"/>
      <c r="QM100" s="11"/>
      <c r="QN100" s="11"/>
      <c r="QO100" s="11"/>
      <c r="QP100" s="11"/>
      <c r="QQ100" s="11"/>
      <c r="QR100" s="11"/>
      <c r="QS100" s="11"/>
      <c r="QT100" s="11"/>
      <c r="QU100" s="11"/>
      <c r="QV100" s="11"/>
      <c r="QW100" s="11"/>
      <c r="QX100" s="11"/>
      <c r="QY100" s="11"/>
      <c r="QZ100" s="11"/>
      <c r="RA100" s="11"/>
      <c r="RB100" s="11"/>
      <c r="RC100" s="11"/>
      <c r="RD100" s="11"/>
      <c r="RE100" s="11"/>
      <c r="RF100" s="11"/>
      <c r="RG100" s="11"/>
      <c r="RH100" s="11"/>
      <c r="RI100" s="11"/>
      <c r="RJ100" s="11"/>
      <c r="RK100" s="11"/>
      <c r="RL100" s="11"/>
      <c r="RM100" s="11"/>
      <c r="RN100" s="11"/>
      <c r="RO100" s="11"/>
      <c r="RP100" s="11"/>
      <c r="RQ100" s="11"/>
      <c r="RR100" s="11"/>
      <c r="RS100" s="11"/>
      <c r="RT100" s="11"/>
      <c r="RU100" s="11"/>
      <c r="RV100" s="11"/>
      <c r="RW100" s="11"/>
      <c r="RX100" s="11"/>
      <c r="RY100" s="11"/>
      <c r="RZ100" s="11"/>
      <c r="SA100" s="11"/>
      <c r="SB100" s="11"/>
      <c r="SC100" s="11"/>
      <c r="SD100" s="11"/>
      <c r="SE100" s="11"/>
      <c r="SF100" s="11"/>
      <c r="SG100" s="11"/>
      <c r="SH100" s="11"/>
      <c r="SI100" s="11"/>
      <c r="SJ100" s="11"/>
      <c r="SK100" s="11"/>
      <c r="SL100" s="11"/>
      <c r="SM100" s="11"/>
      <c r="SN100" s="11"/>
      <c r="SO100" s="11"/>
      <c r="SP100" s="11"/>
      <c r="SQ100" s="11"/>
      <c r="SR100" s="11"/>
      <c r="SS100" s="11"/>
      <c r="ST100" s="11"/>
      <c r="SU100" s="11"/>
      <c r="SV100" s="11"/>
      <c r="SW100" s="11"/>
      <c r="SX100" s="11"/>
      <c r="SY100" s="11"/>
      <c r="SZ100" s="11"/>
      <c r="TA100" s="11"/>
      <c r="TB100" s="11"/>
      <c r="TC100" s="11"/>
      <c r="TD100" s="11"/>
      <c r="TE100" s="11"/>
      <c r="TF100" s="11"/>
      <c r="TG100" s="11"/>
      <c r="TH100" s="11"/>
      <c r="TI100" s="11"/>
      <c r="TJ100" s="11"/>
      <c r="TK100" s="11"/>
      <c r="TL100" s="11"/>
      <c r="TM100" s="11"/>
      <c r="TN100" s="11"/>
      <c r="TO100" s="11"/>
      <c r="TP100" s="11"/>
      <c r="TQ100" s="11"/>
      <c r="TR100" s="11"/>
      <c r="TS100" s="11"/>
      <c r="TT100" s="11"/>
      <c r="TU100" s="11"/>
      <c r="TV100" s="11"/>
      <c r="TW100" s="11"/>
      <c r="TX100" s="11"/>
      <c r="TY100" s="11"/>
      <c r="TZ100" s="11"/>
      <c r="UA100" s="11"/>
      <c r="UB100" s="11"/>
      <c r="UC100" s="11"/>
      <c r="UD100" s="11"/>
      <c r="UE100" s="11"/>
      <c r="UF100" s="11"/>
      <c r="UG100" s="11"/>
      <c r="UH100" s="11"/>
      <c r="UI100" s="11"/>
      <c r="UJ100" s="11"/>
      <c r="UK100" s="11"/>
      <c r="UL100" s="11"/>
      <c r="UM100" s="11"/>
      <c r="UN100" s="11"/>
      <c r="UO100" s="11"/>
      <c r="UP100" s="11"/>
      <c r="UQ100" s="11"/>
      <c r="UR100" s="11"/>
      <c r="US100" s="11"/>
      <c r="UT100" s="11"/>
      <c r="UU100" s="11"/>
      <c r="UV100" s="11"/>
      <c r="UW100" s="11"/>
      <c r="UX100" s="11"/>
      <c r="UY100" s="11"/>
      <c r="UZ100" s="11"/>
      <c r="VA100" s="11"/>
      <c r="VB100" s="11"/>
      <c r="VC100" s="11"/>
      <c r="VD100" s="11"/>
      <c r="VE100" s="11"/>
      <c r="VF100" s="11"/>
      <c r="VG100" s="11"/>
      <c r="VH100" s="11"/>
      <c r="VI100" s="11"/>
      <c r="VJ100" s="11"/>
      <c r="VK100" s="11"/>
      <c r="VL100" s="11"/>
      <c r="VM100" s="11"/>
      <c r="VN100" s="11"/>
      <c r="VO100" s="11"/>
      <c r="VP100" s="11"/>
      <c r="VQ100" s="11"/>
      <c r="VR100" s="11"/>
      <c r="VS100" s="11"/>
      <c r="VT100" s="11"/>
      <c r="VU100" s="11"/>
      <c r="VV100" s="11"/>
      <c r="VW100" s="11"/>
      <c r="VX100" s="11"/>
      <c r="VY100" s="11"/>
      <c r="VZ100" s="11"/>
      <c r="WA100" s="11"/>
      <c r="WB100" s="11"/>
      <c r="WC100" s="11"/>
      <c r="WD100" s="11"/>
      <c r="WE100" s="11"/>
      <c r="WF100" s="11"/>
      <c r="WG100" s="11"/>
      <c r="WH100" s="11"/>
      <c r="WI100" s="11"/>
      <c r="WJ100" s="11"/>
      <c r="WK100" s="11"/>
      <c r="WL100" s="11"/>
      <c r="WM100" s="11"/>
      <c r="WN100" s="11"/>
      <c r="WO100" s="11"/>
      <c r="WP100" s="11"/>
      <c r="WQ100" s="11"/>
      <c r="WR100" s="11"/>
      <c r="WS100" s="11"/>
      <c r="WT100" s="11"/>
      <c r="WU100" s="11"/>
      <c r="WV100" s="11"/>
      <c r="WW100" s="11"/>
      <c r="WX100" s="11"/>
      <c r="WY100" s="11"/>
      <c r="WZ100" s="11"/>
      <c r="XA100" s="11"/>
      <c r="XB100" s="11"/>
      <c r="XC100" s="11"/>
      <c r="XD100" s="11"/>
      <c r="XE100" s="11"/>
      <c r="XF100" s="11"/>
      <c r="XG100" s="11"/>
      <c r="XH100" s="11"/>
      <c r="XI100" s="11"/>
      <c r="XJ100" s="11"/>
      <c r="XK100" s="11"/>
      <c r="XL100" s="11"/>
      <c r="XM100" s="11"/>
      <c r="XN100" s="11"/>
      <c r="XO100" s="11"/>
      <c r="XP100" s="11"/>
      <c r="XQ100" s="11"/>
      <c r="XR100" s="11"/>
      <c r="XS100" s="11"/>
      <c r="XT100" s="11"/>
      <c r="XU100" s="11"/>
      <c r="XV100" s="11"/>
      <c r="XW100" s="11"/>
      <c r="XX100" s="11"/>
      <c r="XY100" s="11"/>
      <c r="XZ100" s="11"/>
      <c r="YA100" s="11"/>
      <c r="YB100" s="11"/>
      <c r="YC100" s="11"/>
      <c r="YD100" s="11"/>
      <c r="YE100" s="11"/>
      <c r="YF100" s="11"/>
      <c r="YG100" s="11"/>
      <c r="YH100" s="11"/>
      <c r="YI100" s="11"/>
      <c r="YJ100" s="11"/>
      <c r="YK100" s="11"/>
      <c r="YL100" s="11"/>
      <c r="YM100" s="11"/>
      <c r="YN100" s="11"/>
      <c r="YO100" s="11"/>
      <c r="YP100" s="11"/>
      <c r="YQ100" s="11"/>
      <c r="YR100" s="11"/>
      <c r="YS100" s="11"/>
      <c r="YT100" s="11"/>
      <c r="YU100" s="11"/>
      <c r="YV100" s="11"/>
      <c r="YW100" s="11"/>
      <c r="YX100" s="11"/>
      <c r="YY100" s="11"/>
      <c r="YZ100" s="11"/>
      <c r="ZA100" s="11"/>
      <c r="ZB100" s="11"/>
      <c r="ZC100" s="11"/>
      <c r="ZD100" s="11"/>
      <c r="ZE100" s="11"/>
      <c r="ZF100" s="11"/>
      <c r="ZG100" s="11"/>
      <c r="ZH100" s="11"/>
      <c r="ZI100" s="11"/>
      <c r="ZJ100" s="11"/>
      <c r="ZK100" s="11"/>
      <c r="ZL100" s="11"/>
      <c r="ZM100" s="11"/>
      <c r="ZN100" s="11"/>
      <c r="ZO100" s="11"/>
      <c r="ZP100" s="11"/>
      <c r="ZQ100" s="11"/>
      <c r="ZR100" s="11"/>
      <c r="ZS100" s="11"/>
      <c r="ZT100" s="11"/>
      <c r="ZU100" s="11"/>
      <c r="ZV100" s="11"/>
      <c r="ZW100" s="11"/>
      <c r="ZX100" s="11"/>
      <c r="ZY100" s="11"/>
      <c r="ZZ100" s="11"/>
      <c r="AAA100" s="11"/>
      <c r="AAB100" s="11"/>
      <c r="AAC100" s="11"/>
      <c r="AAD100" s="11"/>
      <c r="AAE100" s="11"/>
      <c r="AAF100" s="11"/>
      <c r="AAG100" s="11"/>
      <c r="AAH100" s="11"/>
      <c r="AAI100" s="11"/>
      <c r="AAJ100" s="11"/>
      <c r="AAK100" s="11"/>
      <c r="AAL100" s="11"/>
      <c r="AAM100" s="11"/>
      <c r="AAN100" s="11"/>
      <c r="AAO100" s="11"/>
      <c r="AAP100" s="11"/>
      <c r="AAQ100" s="11"/>
      <c r="AAR100" s="11"/>
      <c r="AAS100" s="11"/>
      <c r="AAT100" s="11"/>
      <c r="AAU100" s="11"/>
      <c r="AAV100" s="11"/>
      <c r="AAW100" s="11"/>
      <c r="AAX100" s="11"/>
      <c r="AAY100" s="11"/>
      <c r="AAZ100" s="11"/>
      <c r="ABA100" s="11"/>
      <c r="ABB100" s="11"/>
      <c r="ABC100" s="11"/>
      <c r="ABD100" s="11"/>
      <c r="ABE100" s="11"/>
      <c r="ABF100" s="11"/>
      <c r="ABG100" s="11"/>
      <c r="ABH100" s="11"/>
      <c r="ABI100" s="11"/>
      <c r="ABJ100" s="11"/>
      <c r="ABK100" s="11"/>
      <c r="ABL100" s="11"/>
      <c r="ABM100" s="11"/>
      <c r="ABN100" s="11"/>
      <c r="ABO100" s="11"/>
      <c r="ABP100" s="11"/>
      <c r="ABQ100" s="11"/>
      <c r="ABR100" s="11"/>
      <c r="ABS100" s="11"/>
      <c r="ABT100" s="11"/>
      <c r="ABU100" s="11"/>
      <c r="ABV100" s="11"/>
      <c r="ABW100" s="11"/>
      <c r="ABX100" s="11"/>
      <c r="ABY100" s="11"/>
      <c r="ABZ100" s="11"/>
      <c r="ACA100" s="11"/>
      <c r="ACB100" s="11"/>
      <c r="ACC100" s="11"/>
      <c r="ACD100" s="11"/>
      <c r="ACE100" s="11"/>
      <c r="ACF100" s="11"/>
      <c r="ACG100" s="11"/>
      <c r="ACH100" s="11"/>
      <c r="ACI100" s="11"/>
      <c r="ACJ100" s="11"/>
      <c r="ACK100" s="11"/>
      <c r="ACL100" s="11"/>
      <c r="ACM100" s="11"/>
      <c r="ACN100" s="11"/>
      <c r="ACO100" s="11"/>
      <c r="ACP100" s="11"/>
      <c r="ACQ100" s="11"/>
      <c r="ACR100" s="11"/>
      <c r="ACS100" s="11"/>
      <c r="ACT100" s="11"/>
      <c r="ACU100" s="11"/>
      <c r="ACV100" s="11"/>
      <c r="ACW100" s="11"/>
      <c r="ACX100" s="11"/>
      <c r="ACY100" s="11"/>
      <c r="ACZ100" s="11"/>
      <c r="ADA100" s="11"/>
      <c r="ADB100" s="11"/>
      <c r="ADC100" s="11"/>
      <c r="ADD100" s="11"/>
      <c r="ADE100" s="11"/>
      <c r="ADF100" s="11"/>
      <c r="ADG100" s="11"/>
      <c r="ADH100" s="11"/>
      <c r="ADI100" s="11"/>
      <c r="ADJ100" s="11"/>
      <c r="ADK100" s="11"/>
      <c r="ADL100" s="11"/>
      <c r="ADM100" s="11"/>
      <c r="ADN100" s="11"/>
      <c r="ADO100" s="11"/>
      <c r="ADP100" s="11"/>
      <c r="ADQ100" s="11"/>
      <c r="ADR100" s="11"/>
      <c r="ADS100" s="11"/>
      <c r="ADT100" s="11"/>
      <c r="ADU100" s="11"/>
      <c r="ADV100" s="11"/>
      <c r="ADW100" s="11"/>
      <c r="ADX100" s="11"/>
      <c r="ADY100" s="11"/>
      <c r="ADZ100" s="11"/>
      <c r="AEA100" s="11"/>
      <c r="AEB100" s="11"/>
      <c r="AEC100" s="11"/>
      <c r="AED100" s="11"/>
      <c r="AEE100" s="11"/>
      <c r="AEF100" s="11"/>
      <c r="AEG100" s="11"/>
      <c r="AEH100" s="11"/>
      <c r="AEI100" s="11"/>
      <c r="AEJ100" s="11"/>
      <c r="AEK100" s="11"/>
      <c r="AEL100" s="11"/>
      <c r="AEM100" s="11"/>
      <c r="AEN100" s="11"/>
      <c r="AEO100" s="11"/>
      <c r="AEP100" s="11"/>
      <c r="AEQ100" s="11"/>
      <c r="AER100" s="11"/>
      <c r="AES100" s="11"/>
      <c r="AET100" s="11"/>
      <c r="AEU100" s="11"/>
      <c r="AEV100" s="11"/>
      <c r="AEW100" s="11"/>
      <c r="AEX100" s="11"/>
      <c r="AEY100" s="11"/>
      <c r="AEZ100" s="11"/>
      <c r="AFA100" s="11"/>
      <c r="AFB100" s="11"/>
      <c r="AFC100" s="11"/>
      <c r="AFD100" s="11"/>
      <c r="AFE100" s="11"/>
      <c r="AFF100" s="11"/>
      <c r="AFG100" s="11"/>
      <c r="AFH100" s="11"/>
      <c r="AFI100" s="11"/>
    </row>
    <row r="101" spans="2:841">
      <c r="B101" s="11"/>
      <c r="C101" s="657"/>
      <c r="D101" s="289" t="s">
        <v>625</v>
      </c>
      <c r="E101" s="551">
        <f>SUMIFS(M_Datos!$N$47:$N$49,M_Datos!$O$47:$O$49,M_Lista!G19)</f>
        <v>0</v>
      </c>
      <c r="F101" s="312" t="e">
        <f>IF(AND(M_FactoresComplement!$G$439="No",M_FactoresComplement!$G$441="No"),M_Cálculos!E101*VLOOKUP(M_Datos!$E$12&amp;M_Cálculos!D101,M_Factores!$M$10:$P$108,2,FALSE)/(10^3),IF(AND(M_FactoresComplement!$G$439="Sí",M_FactoresComplement!$G$441="No"),E101*M_FactoresComplement!G461/(10^3),E101*VLOOKUP(M_FactoresComplement!$C$467&amp;M_Datos!$E$12&amp;M_Lista!G18,M_FactoresComplement!$F$446:$I$781,2,FALSE)/(10^3)))</f>
        <v>#N/A</v>
      </c>
      <c r="G101" s="313" t="e">
        <f>IF(AND(M_FactoresComplement!$G$439="No",M_FactoresComplement!$G$441="No"),M_Cálculos!E101*VLOOKUP(M_Datos!$E$12&amp;M_Cálculos!D101,M_Factores!$M$10:$P$108,3,FALSE)/(10^3),IF(AND(M_FactoresComplement!$G$439="Sí",M_FactoresComplement!$G$441="No"),E101*M_FactoresComplement!H461/(10^3),E101*VLOOKUP(M_FactoresComplement!$C$467&amp;M_Datos!$E$12&amp;M_Lista!G18,M_FactoresComplement!$F$446:$I$781,3,FALSE)/(10^3)))</f>
        <v>#N/A</v>
      </c>
      <c r="H101" s="551">
        <f>SUMIFS(M_Datos!$P$47:$P$49,M_Datos!$Q$47:$Q$49,M_Lista!G19)</f>
        <v>0</v>
      </c>
      <c r="I101" s="312" t="e">
        <f>IF(AND(M_FactoresComplement!$G$439="No",M_FactoresComplement!$G$441="No"),M_Cálculos!H101*VLOOKUP(M_Datos!$E$12&amp;M_Cálculos!D101,M_Factores!$M$10:$P$108,2,FALSE)/(10^3),IF(AND(M_FactoresComplement!$G$439="Sí",M_FactoresComplement!$G$441="No"),H101*M_FactoresComplement!G461/(10^3),H101*VLOOKUP(M_FactoresComplement!$C$467&amp;M_Datos!$E$12&amp;M_Lista!G18,M_FactoresComplement!$F$446:$I$781,2,FALSE)/(10^3)))</f>
        <v>#N/A</v>
      </c>
      <c r="J101" s="313" t="e">
        <f>IF(AND(M_FactoresComplement!$G$439="No",M_FactoresComplement!$G$441="No"),M_Cálculos!H101*VLOOKUP(M_Datos!$E$12&amp;M_Cálculos!D101,M_Factores!$M$10:$P$108,3,FALSE)/(10^3),IF(AND(M_FactoresComplement!$G$439="Sí",M_FactoresComplement!$G$441="No"),H101*M_FactoresComplement!H461/(10^3),H101*VLOOKUP(M_FactoresComplement!$C$467&amp;M_Datos!$E$12&amp;M_Lista!G18,M_FactoresComplement!$F$446:$I$781,3,FALSE)/(10^3)))</f>
        <v>#N/A</v>
      </c>
      <c r="K101" s="551">
        <f>SUMIFS(M_Datos!$R$47:$R$49,M_Datos!$S$47:$S$49,M_Lista!G19)</f>
        <v>0</v>
      </c>
      <c r="L101" s="312" t="e">
        <f>IF(AND(M_FactoresComplement!$G$439="No",M_FactoresComplement!$G$441="No"),M_Cálculos!K101*VLOOKUP(M_Datos!$E$12&amp;M_Cálculos!D101,M_Factores!$M$10:$P$108,2,FALSE)/(10^3),IF(AND(M_FactoresComplement!$G$439="Sí",M_FactoresComplement!$G$441="No"),K101*M_FactoresComplement!G461/(10^3),K101*VLOOKUP(M_FactoresComplement!$C$467&amp;M_Datos!$E$12&amp;M_Lista!G18,M_FactoresComplement!$F$446:$I$781,2,FALSE)/(10^3)))</f>
        <v>#N/A</v>
      </c>
      <c r="M101" s="313" t="e">
        <f>IF(AND(M_FactoresComplement!$G$439="No",M_FactoresComplement!$G$441="No"),M_Cálculos!K101*VLOOKUP(M_Datos!$E$12&amp;M_Cálculos!D101,M_Factores!$M$10:$P$108,3,FALSE)/(10^3),IF(AND(M_FactoresComplement!$G$439="Sí",M_FactoresComplement!$G$441="No"),K101*M_FactoresComplement!H461/(10^3),K101*VLOOKUP(M_FactoresComplement!$C$467&amp;M_Datos!$E$12&amp;M_Lista!G18,M_FactoresComplement!$F$446:$I$781,3,FALSE)/(10^3)))</f>
        <v>#N/A</v>
      </c>
      <c r="N101" s="551">
        <f>SUMIFS(M_Datos!$T$47:$T$49,M_Datos!$U$47:$U$49,M_Lista!G19)</f>
        <v>0</v>
      </c>
      <c r="O101" s="312" t="e">
        <f>IF(AND(M_FactoresComplement!$G$439="No",M_FactoresComplement!$G$441="No"),M_Cálculos!N101*VLOOKUP(M_Datos!$E$12&amp;M_Cálculos!D101,M_Factores!$M$10:$P$108,2,FALSE)/(10^3),IF(AND(M_FactoresComplement!$G$439="Sí",M_FactoresComplement!$G$441="No"),N101*M_FactoresComplement!G461/(10^3),N101*VLOOKUP(M_FactoresComplement!$C$467&amp;M_Datos!$E$12&amp;M_Lista!G18,M_FactoresComplement!$F$446:$I$781,2,FALSE)/(10^3)))</f>
        <v>#N/A</v>
      </c>
      <c r="P101" s="313" t="e">
        <f>IF(AND(M_FactoresComplement!$G$439="No",M_FactoresComplement!$G$441="No"),M_Cálculos!N101*VLOOKUP(M_Datos!$E$12&amp;M_Cálculos!D101,M_Factores!$M$10:$P$108,3,FALSE)/(10^3),IF(AND(M_FactoresComplement!$G$439="Sí",M_FactoresComplement!$G$441="No"),N101*M_FactoresComplement!H461/(10^3),N101*VLOOKUP(M_FactoresComplement!$C$467&amp;M_Datos!$E$12&amp;M_Lista!G18,M_FactoresComplement!$F$446:$I$781,3,FALSE)/(10^3)))</f>
        <v>#N/A</v>
      </c>
      <c r="Q101" s="551">
        <f>SUMIFS(M_Datos!$V$47:$V$49,M_Datos!$W$47:$W$49,M_Lista!G19)</f>
        <v>0</v>
      </c>
      <c r="R101" s="312" t="e">
        <f>IF(AND(M_FactoresComplement!$G$439="No",M_FactoresComplement!$G$441="No"),M_Cálculos!Q101*VLOOKUP(M_Datos!$E$12&amp;M_Cálculos!D101,M_Factores!$M$10:$P$108,2,FALSE)/(10^3),IF(AND(M_FactoresComplement!$G$439="Sí",M_FactoresComplement!$G$441="No"),Q101*M_FactoresComplement!G461/(10^3),Q101*VLOOKUP(M_FactoresComplement!$C$467&amp;M_Datos!$E$12&amp;M_Lista!G18,M_FactoresComplement!$F$446:$I$781,2,FALSE)/(10^3)))</f>
        <v>#N/A</v>
      </c>
      <c r="S101" s="313" t="e">
        <f>IF(AND(M_FactoresComplement!$G$439="No",M_FactoresComplement!$G$441="No"),M_Cálculos!Q101*VLOOKUP(M_Datos!$E$12&amp;M_Cálculos!D101,M_Factores!$M$10:$P$108,3,FALSE)/(10^3),IF(AND(M_FactoresComplement!$G$439="Sí",M_FactoresComplement!$G$441="No"),Q101*M_FactoresComplement!H461/(10^3),Q101*VLOOKUP(M_FactoresComplement!$C$467&amp;M_Datos!$E$12&amp;M_Lista!G18,M_FactoresComplement!$F$446:$I$781,3,FALSE)/(10^3)))</f>
        <v>#N/A</v>
      </c>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1"/>
      <c r="JA101" s="11"/>
      <c r="JB101" s="11"/>
      <c r="JC101" s="11"/>
      <c r="JD101" s="11"/>
      <c r="JE101" s="11"/>
      <c r="JF101" s="11"/>
      <c r="JG101" s="11"/>
      <c r="JH101" s="11"/>
      <c r="JI101" s="11"/>
      <c r="JJ101" s="11"/>
      <c r="JK101" s="11"/>
      <c r="JL101" s="11"/>
      <c r="JM101" s="11"/>
      <c r="JN101" s="11"/>
      <c r="JO101" s="11"/>
      <c r="JP101" s="11"/>
      <c r="JQ101" s="11"/>
      <c r="JR101" s="11"/>
      <c r="JS101" s="11"/>
      <c r="JT101" s="11"/>
      <c r="JU101" s="11"/>
      <c r="JV101" s="11"/>
      <c r="JW101" s="11"/>
      <c r="JX101" s="11"/>
      <c r="JY101" s="11"/>
      <c r="JZ101" s="11"/>
      <c r="KA101" s="11"/>
      <c r="KB101" s="11"/>
      <c r="KC101" s="11"/>
      <c r="KD101" s="11"/>
      <c r="KE101" s="11"/>
      <c r="KF101" s="11"/>
      <c r="KG101" s="11"/>
      <c r="KH101" s="11"/>
      <c r="KI101" s="11"/>
      <c r="KJ101" s="11"/>
      <c r="KK101" s="11"/>
      <c r="KL101" s="11"/>
      <c r="KM101" s="11"/>
      <c r="KN101" s="11"/>
      <c r="KO101" s="11"/>
      <c r="KP101" s="11"/>
      <c r="KQ101" s="11"/>
      <c r="KR101" s="11"/>
      <c r="KS101" s="11"/>
      <c r="KT101" s="11"/>
      <c r="KU101" s="11"/>
      <c r="KV101" s="11"/>
      <c r="KW101" s="11"/>
      <c r="KX101" s="11"/>
      <c r="KY101" s="11"/>
      <c r="KZ101" s="11"/>
      <c r="LA101" s="11"/>
      <c r="LB101" s="11"/>
      <c r="LC101" s="11"/>
      <c r="LD101" s="11"/>
      <c r="LE101" s="11"/>
      <c r="LF101" s="11"/>
      <c r="LG101" s="11"/>
      <c r="LH101" s="11"/>
      <c r="LI101" s="11"/>
      <c r="LJ101" s="11"/>
      <c r="LK101" s="11"/>
      <c r="LL101" s="11"/>
      <c r="LM101" s="11"/>
      <c r="LN101" s="11"/>
      <c r="LO101" s="11"/>
      <c r="LP101" s="11"/>
      <c r="LQ101" s="11"/>
      <c r="LR101" s="11"/>
      <c r="LS101" s="11"/>
      <c r="LT101" s="11"/>
      <c r="LU101" s="11"/>
      <c r="LV101" s="11"/>
      <c r="LW101" s="11"/>
      <c r="LX101" s="11"/>
      <c r="LY101" s="11"/>
      <c r="LZ101" s="11"/>
      <c r="MA101" s="11"/>
      <c r="MB101" s="11"/>
      <c r="MC101" s="11"/>
      <c r="MD101" s="11"/>
      <c r="ME101" s="11"/>
      <c r="MF101" s="11"/>
      <c r="MG101" s="11"/>
      <c r="MH101" s="11"/>
      <c r="MI101" s="11"/>
      <c r="MJ101" s="11"/>
      <c r="MK101" s="11"/>
      <c r="ML101" s="11"/>
      <c r="MM101" s="11"/>
      <c r="MN101" s="11"/>
      <c r="MO101" s="11"/>
      <c r="MP101" s="11"/>
      <c r="MQ101" s="11"/>
      <c r="MR101" s="11"/>
      <c r="MS101" s="11"/>
      <c r="MT101" s="11"/>
      <c r="MU101" s="11"/>
      <c r="MV101" s="11"/>
      <c r="MW101" s="11"/>
      <c r="MX101" s="11"/>
      <c r="MY101" s="11"/>
      <c r="MZ101" s="11"/>
      <c r="NA101" s="11"/>
      <c r="NB101" s="11"/>
      <c r="NC101" s="11"/>
      <c r="ND101" s="11"/>
      <c r="NE101" s="11"/>
      <c r="NF101" s="11"/>
      <c r="NG101" s="11"/>
      <c r="NH101" s="11"/>
      <c r="NI101" s="11"/>
      <c r="NJ101" s="11"/>
      <c r="NK101" s="11"/>
      <c r="NL101" s="11"/>
      <c r="NM101" s="11"/>
      <c r="NN101" s="11"/>
      <c r="NO101" s="11"/>
      <c r="NP101" s="11"/>
      <c r="NQ101" s="11"/>
      <c r="NR101" s="11"/>
      <c r="NS101" s="11"/>
      <c r="NT101" s="11"/>
      <c r="NU101" s="11"/>
      <c r="NV101" s="11"/>
      <c r="NW101" s="11"/>
      <c r="NX101" s="11"/>
      <c r="NY101" s="11"/>
      <c r="NZ101" s="11"/>
      <c r="OA101" s="11"/>
      <c r="OB101" s="11"/>
      <c r="OC101" s="11"/>
      <c r="OD101" s="11"/>
      <c r="OE101" s="11"/>
      <c r="OF101" s="11"/>
      <c r="OG101" s="11"/>
      <c r="OH101" s="11"/>
      <c r="OI101" s="11"/>
      <c r="OJ101" s="11"/>
      <c r="OK101" s="11"/>
      <c r="OL101" s="11"/>
      <c r="OM101" s="11"/>
      <c r="ON101" s="11"/>
      <c r="OO101" s="11"/>
      <c r="OP101" s="11"/>
      <c r="OQ101" s="11"/>
      <c r="OR101" s="11"/>
      <c r="OS101" s="11"/>
      <c r="OT101" s="11"/>
      <c r="OU101" s="11"/>
      <c r="OV101" s="11"/>
      <c r="OW101" s="11"/>
      <c r="OX101" s="11"/>
      <c r="OY101" s="11"/>
      <c r="OZ101" s="11"/>
      <c r="PA101" s="11"/>
      <c r="PB101" s="11"/>
      <c r="PC101" s="11"/>
      <c r="PD101" s="11"/>
      <c r="PE101" s="11"/>
      <c r="PF101" s="11"/>
      <c r="PG101" s="11"/>
      <c r="PH101" s="11"/>
      <c r="PI101" s="11"/>
      <c r="PJ101" s="11"/>
      <c r="PK101" s="11"/>
      <c r="PL101" s="11"/>
      <c r="PM101" s="11"/>
      <c r="PN101" s="11"/>
      <c r="PO101" s="11"/>
      <c r="PP101" s="11"/>
      <c r="PQ101" s="11"/>
      <c r="PR101" s="11"/>
      <c r="PS101" s="11"/>
      <c r="PT101" s="11"/>
      <c r="PU101" s="11"/>
      <c r="PV101" s="11"/>
      <c r="PW101" s="11"/>
      <c r="PX101" s="11"/>
      <c r="PY101" s="11"/>
      <c r="PZ101" s="11"/>
      <c r="QA101" s="11"/>
      <c r="QB101" s="11"/>
      <c r="QC101" s="11"/>
      <c r="QD101" s="11"/>
      <c r="QE101" s="11"/>
      <c r="QF101" s="11"/>
      <c r="QG101" s="11"/>
      <c r="QH101" s="11"/>
      <c r="QI101" s="11"/>
      <c r="QJ101" s="11"/>
      <c r="QK101" s="11"/>
      <c r="QL101" s="11"/>
      <c r="QM101" s="11"/>
      <c r="QN101" s="11"/>
      <c r="QO101" s="11"/>
      <c r="QP101" s="11"/>
      <c r="QQ101" s="11"/>
      <c r="QR101" s="11"/>
      <c r="QS101" s="11"/>
      <c r="QT101" s="11"/>
      <c r="QU101" s="11"/>
      <c r="QV101" s="11"/>
      <c r="QW101" s="11"/>
      <c r="QX101" s="11"/>
      <c r="QY101" s="11"/>
      <c r="QZ101" s="11"/>
      <c r="RA101" s="11"/>
      <c r="RB101" s="11"/>
      <c r="RC101" s="11"/>
      <c r="RD101" s="11"/>
      <c r="RE101" s="11"/>
      <c r="RF101" s="11"/>
      <c r="RG101" s="11"/>
      <c r="RH101" s="11"/>
      <c r="RI101" s="11"/>
      <c r="RJ101" s="11"/>
      <c r="RK101" s="11"/>
      <c r="RL101" s="11"/>
      <c r="RM101" s="11"/>
      <c r="RN101" s="11"/>
      <c r="RO101" s="11"/>
      <c r="RP101" s="11"/>
      <c r="RQ101" s="11"/>
      <c r="RR101" s="11"/>
      <c r="RS101" s="11"/>
      <c r="RT101" s="11"/>
      <c r="RU101" s="11"/>
      <c r="RV101" s="11"/>
      <c r="RW101" s="11"/>
      <c r="RX101" s="11"/>
      <c r="RY101" s="11"/>
      <c r="RZ101" s="11"/>
      <c r="SA101" s="11"/>
      <c r="SB101" s="11"/>
      <c r="SC101" s="11"/>
      <c r="SD101" s="11"/>
      <c r="SE101" s="11"/>
      <c r="SF101" s="11"/>
      <c r="SG101" s="11"/>
      <c r="SH101" s="11"/>
      <c r="SI101" s="11"/>
      <c r="SJ101" s="11"/>
      <c r="SK101" s="11"/>
      <c r="SL101" s="11"/>
      <c r="SM101" s="11"/>
      <c r="SN101" s="11"/>
      <c r="SO101" s="11"/>
      <c r="SP101" s="11"/>
      <c r="SQ101" s="11"/>
      <c r="SR101" s="11"/>
      <c r="SS101" s="11"/>
      <c r="ST101" s="11"/>
      <c r="SU101" s="11"/>
      <c r="SV101" s="11"/>
      <c r="SW101" s="11"/>
      <c r="SX101" s="11"/>
      <c r="SY101" s="11"/>
      <c r="SZ101" s="11"/>
      <c r="TA101" s="11"/>
      <c r="TB101" s="11"/>
      <c r="TC101" s="11"/>
      <c r="TD101" s="11"/>
      <c r="TE101" s="11"/>
      <c r="TF101" s="11"/>
      <c r="TG101" s="11"/>
      <c r="TH101" s="11"/>
      <c r="TI101" s="11"/>
      <c r="TJ101" s="11"/>
      <c r="TK101" s="11"/>
      <c r="TL101" s="11"/>
      <c r="TM101" s="11"/>
      <c r="TN101" s="11"/>
      <c r="TO101" s="11"/>
      <c r="TP101" s="11"/>
      <c r="TQ101" s="11"/>
      <c r="TR101" s="11"/>
      <c r="TS101" s="11"/>
      <c r="TT101" s="11"/>
      <c r="TU101" s="11"/>
      <c r="TV101" s="11"/>
      <c r="TW101" s="11"/>
      <c r="TX101" s="11"/>
      <c r="TY101" s="11"/>
      <c r="TZ101" s="11"/>
      <c r="UA101" s="11"/>
      <c r="UB101" s="11"/>
      <c r="UC101" s="11"/>
      <c r="UD101" s="11"/>
      <c r="UE101" s="11"/>
      <c r="UF101" s="11"/>
      <c r="UG101" s="11"/>
      <c r="UH101" s="11"/>
      <c r="UI101" s="11"/>
      <c r="UJ101" s="11"/>
      <c r="UK101" s="11"/>
      <c r="UL101" s="11"/>
      <c r="UM101" s="11"/>
      <c r="UN101" s="11"/>
      <c r="UO101" s="11"/>
      <c r="UP101" s="11"/>
      <c r="UQ101" s="11"/>
      <c r="UR101" s="11"/>
      <c r="US101" s="11"/>
      <c r="UT101" s="11"/>
      <c r="UU101" s="11"/>
      <c r="UV101" s="11"/>
      <c r="UW101" s="11"/>
      <c r="UX101" s="11"/>
      <c r="UY101" s="11"/>
      <c r="UZ101" s="11"/>
      <c r="VA101" s="11"/>
      <c r="VB101" s="11"/>
      <c r="VC101" s="11"/>
      <c r="VD101" s="11"/>
      <c r="VE101" s="11"/>
      <c r="VF101" s="11"/>
      <c r="VG101" s="11"/>
      <c r="VH101" s="11"/>
      <c r="VI101" s="11"/>
      <c r="VJ101" s="11"/>
      <c r="VK101" s="11"/>
      <c r="VL101" s="11"/>
      <c r="VM101" s="11"/>
      <c r="VN101" s="11"/>
      <c r="VO101" s="11"/>
      <c r="VP101" s="11"/>
      <c r="VQ101" s="11"/>
      <c r="VR101" s="11"/>
      <c r="VS101" s="11"/>
      <c r="VT101" s="11"/>
      <c r="VU101" s="11"/>
      <c r="VV101" s="11"/>
      <c r="VW101" s="11"/>
      <c r="VX101" s="11"/>
      <c r="VY101" s="11"/>
      <c r="VZ101" s="11"/>
      <c r="WA101" s="11"/>
      <c r="WB101" s="11"/>
      <c r="WC101" s="11"/>
      <c r="WD101" s="11"/>
      <c r="WE101" s="11"/>
      <c r="WF101" s="11"/>
      <c r="WG101" s="11"/>
      <c r="WH101" s="11"/>
      <c r="WI101" s="11"/>
      <c r="WJ101" s="11"/>
      <c r="WK101" s="11"/>
      <c r="WL101" s="11"/>
      <c r="WM101" s="11"/>
      <c r="WN101" s="11"/>
      <c r="WO101" s="11"/>
      <c r="WP101" s="11"/>
      <c r="WQ101" s="11"/>
      <c r="WR101" s="11"/>
      <c r="WS101" s="11"/>
      <c r="WT101" s="11"/>
      <c r="WU101" s="11"/>
      <c r="WV101" s="11"/>
      <c r="WW101" s="11"/>
      <c r="WX101" s="11"/>
      <c r="WY101" s="11"/>
      <c r="WZ101" s="11"/>
      <c r="XA101" s="11"/>
      <c r="XB101" s="11"/>
      <c r="XC101" s="11"/>
      <c r="XD101" s="11"/>
      <c r="XE101" s="11"/>
      <c r="XF101" s="11"/>
      <c r="XG101" s="11"/>
      <c r="XH101" s="11"/>
      <c r="XI101" s="11"/>
      <c r="XJ101" s="11"/>
      <c r="XK101" s="11"/>
      <c r="XL101" s="11"/>
      <c r="XM101" s="11"/>
      <c r="XN101" s="11"/>
      <c r="XO101" s="11"/>
      <c r="XP101" s="11"/>
      <c r="XQ101" s="11"/>
      <c r="XR101" s="11"/>
      <c r="XS101" s="11"/>
      <c r="XT101" s="11"/>
      <c r="XU101" s="11"/>
      <c r="XV101" s="11"/>
      <c r="XW101" s="11"/>
      <c r="XX101" s="11"/>
      <c r="XY101" s="11"/>
      <c r="XZ101" s="11"/>
      <c r="YA101" s="11"/>
      <c r="YB101" s="11"/>
      <c r="YC101" s="11"/>
      <c r="YD101" s="11"/>
      <c r="YE101" s="11"/>
      <c r="YF101" s="11"/>
      <c r="YG101" s="11"/>
      <c r="YH101" s="11"/>
      <c r="YI101" s="11"/>
      <c r="YJ101" s="11"/>
      <c r="YK101" s="11"/>
      <c r="YL101" s="11"/>
      <c r="YM101" s="11"/>
      <c r="YN101" s="11"/>
      <c r="YO101" s="11"/>
      <c r="YP101" s="11"/>
      <c r="YQ101" s="11"/>
      <c r="YR101" s="11"/>
      <c r="YS101" s="11"/>
      <c r="YT101" s="11"/>
      <c r="YU101" s="11"/>
      <c r="YV101" s="11"/>
      <c r="YW101" s="11"/>
      <c r="YX101" s="11"/>
      <c r="YY101" s="11"/>
      <c r="YZ101" s="11"/>
      <c r="ZA101" s="11"/>
      <c r="ZB101" s="11"/>
      <c r="ZC101" s="11"/>
      <c r="ZD101" s="11"/>
      <c r="ZE101" s="11"/>
      <c r="ZF101" s="11"/>
      <c r="ZG101" s="11"/>
      <c r="ZH101" s="11"/>
      <c r="ZI101" s="11"/>
      <c r="ZJ101" s="11"/>
      <c r="ZK101" s="11"/>
      <c r="ZL101" s="11"/>
      <c r="ZM101" s="11"/>
      <c r="ZN101" s="11"/>
      <c r="ZO101" s="11"/>
      <c r="ZP101" s="11"/>
      <c r="ZQ101" s="11"/>
      <c r="ZR101" s="11"/>
      <c r="ZS101" s="11"/>
      <c r="ZT101" s="11"/>
      <c r="ZU101" s="11"/>
      <c r="ZV101" s="11"/>
      <c r="ZW101" s="11"/>
      <c r="ZX101" s="11"/>
      <c r="ZY101" s="11"/>
      <c r="ZZ101" s="11"/>
      <c r="AAA101" s="11"/>
      <c r="AAB101" s="11"/>
      <c r="AAC101" s="11"/>
      <c r="AAD101" s="11"/>
      <c r="AAE101" s="11"/>
      <c r="AAF101" s="11"/>
      <c r="AAG101" s="11"/>
      <c r="AAH101" s="11"/>
      <c r="AAI101" s="11"/>
      <c r="AAJ101" s="11"/>
      <c r="AAK101" s="11"/>
      <c r="AAL101" s="11"/>
      <c r="AAM101" s="11"/>
      <c r="AAN101" s="11"/>
      <c r="AAO101" s="11"/>
      <c r="AAP101" s="11"/>
      <c r="AAQ101" s="11"/>
      <c r="AAR101" s="11"/>
      <c r="AAS101" s="11"/>
      <c r="AAT101" s="11"/>
      <c r="AAU101" s="11"/>
      <c r="AAV101" s="11"/>
      <c r="AAW101" s="11"/>
      <c r="AAX101" s="11"/>
      <c r="AAY101" s="11"/>
      <c r="AAZ101" s="11"/>
      <c r="ABA101" s="11"/>
      <c r="ABB101" s="11"/>
      <c r="ABC101" s="11"/>
      <c r="ABD101" s="11"/>
      <c r="ABE101" s="11"/>
      <c r="ABF101" s="11"/>
      <c r="ABG101" s="11"/>
      <c r="ABH101" s="11"/>
      <c r="ABI101" s="11"/>
      <c r="ABJ101" s="11"/>
      <c r="ABK101" s="11"/>
      <c r="ABL101" s="11"/>
      <c r="ABM101" s="11"/>
      <c r="ABN101" s="11"/>
      <c r="ABO101" s="11"/>
      <c r="ABP101" s="11"/>
      <c r="ABQ101" s="11"/>
      <c r="ABR101" s="11"/>
      <c r="ABS101" s="11"/>
      <c r="ABT101" s="11"/>
      <c r="ABU101" s="11"/>
      <c r="ABV101" s="11"/>
      <c r="ABW101" s="11"/>
      <c r="ABX101" s="11"/>
      <c r="ABY101" s="11"/>
      <c r="ABZ101" s="11"/>
      <c r="ACA101" s="11"/>
      <c r="ACB101" s="11"/>
      <c r="ACC101" s="11"/>
      <c r="ACD101" s="11"/>
      <c r="ACE101" s="11"/>
      <c r="ACF101" s="11"/>
      <c r="ACG101" s="11"/>
      <c r="ACH101" s="11"/>
      <c r="ACI101" s="11"/>
      <c r="ACJ101" s="11"/>
      <c r="ACK101" s="11"/>
      <c r="ACL101" s="11"/>
      <c r="ACM101" s="11"/>
      <c r="ACN101" s="11"/>
      <c r="ACO101" s="11"/>
      <c r="ACP101" s="11"/>
      <c r="ACQ101" s="11"/>
      <c r="ACR101" s="11"/>
      <c r="ACS101" s="11"/>
      <c r="ACT101" s="11"/>
      <c r="ACU101" s="11"/>
      <c r="ACV101" s="11"/>
      <c r="ACW101" s="11"/>
      <c r="ACX101" s="11"/>
      <c r="ACY101" s="11"/>
      <c r="ACZ101" s="11"/>
      <c r="ADA101" s="11"/>
      <c r="ADB101" s="11"/>
      <c r="ADC101" s="11"/>
      <c r="ADD101" s="11"/>
      <c r="ADE101" s="11"/>
      <c r="ADF101" s="11"/>
      <c r="ADG101" s="11"/>
      <c r="ADH101" s="11"/>
      <c r="ADI101" s="11"/>
      <c r="ADJ101" s="11"/>
      <c r="ADK101" s="11"/>
      <c r="ADL101" s="11"/>
      <c r="ADM101" s="11"/>
      <c r="ADN101" s="11"/>
      <c r="ADO101" s="11"/>
      <c r="ADP101" s="11"/>
      <c r="ADQ101" s="11"/>
      <c r="ADR101" s="11"/>
      <c r="ADS101" s="11"/>
      <c r="ADT101" s="11"/>
      <c r="ADU101" s="11"/>
      <c r="ADV101" s="11"/>
      <c r="ADW101" s="11"/>
      <c r="ADX101" s="11"/>
      <c r="ADY101" s="11"/>
      <c r="ADZ101" s="11"/>
      <c r="AEA101" s="11"/>
      <c r="AEB101" s="11"/>
      <c r="AEC101" s="11"/>
      <c r="AED101" s="11"/>
      <c r="AEE101" s="11"/>
      <c r="AEF101" s="11"/>
      <c r="AEG101" s="11"/>
      <c r="AEH101" s="11"/>
      <c r="AEI101" s="11"/>
      <c r="AEJ101" s="11"/>
      <c r="AEK101" s="11"/>
      <c r="AEL101" s="11"/>
      <c r="AEM101" s="11"/>
      <c r="AEN101" s="11"/>
      <c r="AEO101" s="11"/>
      <c r="AEP101" s="11"/>
      <c r="AEQ101" s="11"/>
      <c r="AER101" s="11"/>
      <c r="AES101" s="11"/>
      <c r="AET101" s="11"/>
      <c r="AEU101" s="11"/>
      <c r="AEV101" s="11"/>
      <c r="AEW101" s="11"/>
      <c r="AEX101" s="11"/>
      <c r="AEY101" s="11"/>
      <c r="AEZ101" s="11"/>
      <c r="AFA101" s="11"/>
      <c r="AFB101" s="11"/>
      <c r="AFC101" s="11"/>
      <c r="AFD101" s="11"/>
      <c r="AFE101" s="11"/>
      <c r="AFF101" s="11"/>
      <c r="AFG101" s="11"/>
      <c r="AFH101" s="11"/>
      <c r="AFI101" s="11"/>
    </row>
    <row r="102" spans="2:841">
      <c r="B102" s="11"/>
      <c r="C102" s="657"/>
      <c r="D102" s="289" t="s">
        <v>626</v>
      </c>
      <c r="E102" s="551">
        <f>SUMIFS(M_Datos!$N$47:$N$49,M_Datos!$O$47:$O$49,M_Lista!G20)</f>
        <v>0</v>
      </c>
      <c r="F102" s="312" t="e">
        <f>IF(AND(M_FactoresComplement!$G$439="No",M_FactoresComplement!$G$441="No"),M_Cálculos!E102*VLOOKUP(M_Datos!$E$12&amp;M_Cálculos!D102,M_Factores!$M$10:$P$108,2,FALSE)/(10^3),IF(AND(M_FactoresComplement!$G$439="Sí",M_FactoresComplement!$G$441="No"),E102*M_FactoresComplement!G462/(10^3),E102*VLOOKUP(M_FactoresComplement!$C$467&amp;M_Datos!$E$12&amp;M_Lista!G19,M_FactoresComplement!$F$446:$I$781,2,FALSE)/(10^3)))</f>
        <v>#N/A</v>
      </c>
      <c r="G102" s="313" t="e">
        <f>IF(AND(M_FactoresComplement!$G$439="No",M_FactoresComplement!$G$441="No"),M_Cálculos!E102*VLOOKUP(M_Datos!$E$12&amp;M_Cálculos!D102,M_Factores!$M$10:$P$108,3,FALSE)/(10^3),IF(AND(M_FactoresComplement!$G$439="Sí",M_FactoresComplement!$G$441="No"),E102*M_FactoresComplement!H462/(10^3),E102*VLOOKUP(M_FactoresComplement!$C$467&amp;M_Datos!$E$12&amp;M_Lista!G19,M_FactoresComplement!$F$446:$I$781,3,FALSE)/(10^3)))</f>
        <v>#N/A</v>
      </c>
      <c r="H102" s="551">
        <f>SUMIFS(M_Datos!$P$47:$P$49,M_Datos!$Q$47:$Q$49,M_Lista!G20)</f>
        <v>0</v>
      </c>
      <c r="I102" s="312" t="e">
        <f>IF(AND(M_FactoresComplement!$G$439="No",M_FactoresComplement!$G$441="No"),M_Cálculos!H102*VLOOKUP(M_Datos!$E$12&amp;M_Cálculos!D102,M_Factores!$M$10:$P$108,2,FALSE)/(10^3),IF(AND(M_FactoresComplement!$G$439="Sí",M_FactoresComplement!$G$441="No"),H102*M_FactoresComplement!G462/(10^3),H102*VLOOKUP(M_FactoresComplement!$C$467&amp;M_Datos!$E$12&amp;M_Lista!G19,M_FactoresComplement!$F$446:$I$781,2,FALSE)/(10^3)))</f>
        <v>#N/A</v>
      </c>
      <c r="J102" s="313" t="e">
        <f>IF(AND(M_FactoresComplement!$G$439="No",M_FactoresComplement!$G$441="No"),M_Cálculos!H102*VLOOKUP(M_Datos!$E$12&amp;M_Cálculos!D102,M_Factores!$M$10:$P$108,3,FALSE)/(10^3),IF(AND(M_FactoresComplement!$G$439="Sí",M_FactoresComplement!$G$441="No"),H102*M_FactoresComplement!H462/(10^3),H102*VLOOKUP(M_FactoresComplement!$C$467&amp;M_Datos!$E$12&amp;M_Lista!G19,M_FactoresComplement!$F$446:$I$781,3,FALSE)/(10^3)))</f>
        <v>#N/A</v>
      </c>
      <c r="K102" s="551">
        <f>SUMIFS(M_Datos!$R$47:$R$49,M_Datos!$S$47:$S$49,M_Lista!G20)</f>
        <v>0</v>
      </c>
      <c r="L102" s="312" t="e">
        <f>IF(AND(M_FactoresComplement!$G$439="No",M_FactoresComplement!$G$441="No"),M_Cálculos!K102*VLOOKUP(M_Datos!$E$12&amp;M_Cálculos!D102,M_Factores!$M$10:$P$108,2,FALSE)/(10^3),IF(AND(M_FactoresComplement!$G$439="Sí",M_FactoresComplement!$G$441="No"),K102*M_FactoresComplement!G462/(10^3),K102*VLOOKUP(M_FactoresComplement!$C$467&amp;M_Datos!$E$12&amp;M_Lista!G19,M_FactoresComplement!$F$446:$I$781,2,FALSE)/(10^3)))</f>
        <v>#N/A</v>
      </c>
      <c r="M102" s="313" t="e">
        <f>IF(AND(M_FactoresComplement!$G$439="No",M_FactoresComplement!$G$441="No"),M_Cálculos!K102*VLOOKUP(M_Datos!$E$12&amp;M_Cálculos!D102,M_Factores!$M$10:$P$108,3,FALSE)/(10^3),IF(AND(M_FactoresComplement!$G$439="Sí",M_FactoresComplement!$G$441="No"),K102*M_FactoresComplement!H462/(10^3),K102*VLOOKUP(M_FactoresComplement!$C$467&amp;M_Datos!$E$12&amp;M_Lista!G19,M_FactoresComplement!$F$446:$I$781,3,FALSE)/(10^3)))</f>
        <v>#N/A</v>
      </c>
      <c r="N102" s="551">
        <f>SUMIFS(M_Datos!$T$47:$T$49,M_Datos!$U$47:$U$49,M_Lista!G20)</f>
        <v>0</v>
      </c>
      <c r="O102" s="312" t="e">
        <f>IF(AND(M_FactoresComplement!$G$439="No",M_FactoresComplement!$G$441="No"),M_Cálculos!N102*VLOOKUP(M_Datos!$E$12&amp;M_Cálculos!D102,M_Factores!$M$10:$P$108,2,FALSE)/(10^3),IF(AND(M_FactoresComplement!$G$439="Sí",M_FactoresComplement!$G$441="No"),N102*M_FactoresComplement!G462/(10^3),N102*VLOOKUP(M_FactoresComplement!$C$467&amp;M_Datos!$E$12&amp;M_Lista!G19,M_FactoresComplement!$F$446:$I$781,2,FALSE)/(10^3)))</f>
        <v>#N/A</v>
      </c>
      <c r="P102" s="313" t="e">
        <f>IF(AND(M_FactoresComplement!$G$439="No",M_FactoresComplement!$G$441="No"),M_Cálculos!N102*VLOOKUP(M_Datos!$E$12&amp;M_Cálculos!D102,M_Factores!$M$10:$P$108,3,FALSE)/(10^3),IF(AND(M_FactoresComplement!$G$439="Sí",M_FactoresComplement!$G$441="No"),N102*M_FactoresComplement!H462/(10^3),N102*VLOOKUP(M_FactoresComplement!$C$467&amp;M_Datos!$E$12&amp;M_Lista!G19,M_FactoresComplement!$F$446:$I$781,3,FALSE)/(10^3)))</f>
        <v>#N/A</v>
      </c>
      <c r="Q102" s="551">
        <f>SUMIFS(M_Datos!$V$47:$V$49,M_Datos!$W$47:$W$49,M_Lista!G20)</f>
        <v>0</v>
      </c>
      <c r="R102" s="312" t="e">
        <f>IF(AND(M_FactoresComplement!$G$439="No",M_FactoresComplement!$G$441="No"),M_Cálculos!Q102*VLOOKUP(M_Datos!$E$12&amp;M_Cálculos!D102,M_Factores!$M$10:$P$108,2,FALSE)/(10^3),IF(AND(M_FactoresComplement!$G$439="Sí",M_FactoresComplement!$G$441="No"),Q102*M_FactoresComplement!G462/(10^3),Q102*VLOOKUP(M_FactoresComplement!$C$467&amp;M_Datos!$E$12&amp;M_Lista!G19,M_FactoresComplement!$F$446:$I$781,2,FALSE)/(10^3)))</f>
        <v>#N/A</v>
      </c>
      <c r="S102" s="313" t="e">
        <f>IF(AND(M_FactoresComplement!$G$439="No",M_FactoresComplement!$G$441="No"),M_Cálculos!Q102*VLOOKUP(M_Datos!$E$12&amp;M_Cálculos!D102,M_Factores!$M$10:$P$108,3,FALSE)/(10^3),IF(AND(M_FactoresComplement!$G$439="Sí",M_FactoresComplement!$G$441="No"),Q102*M_FactoresComplement!H462/(10^3),Q102*VLOOKUP(M_FactoresComplement!$C$467&amp;M_Datos!$E$12&amp;M_Lista!G19,M_FactoresComplement!$F$446:$I$781,3,FALSE)/(10^3)))</f>
        <v>#N/A</v>
      </c>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1"/>
      <c r="JA102" s="11"/>
      <c r="JB102" s="11"/>
      <c r="JC102" s="11"/>
      <c r="JD102" s="11"/>
      <c r="JE102" s="11"/>
      <c r="JF102" s="11"/>
      <c r="JG102" s="11"/>
      <c r="JH102" s="11"/>
      <c r="JI102" s="11"/>
      <c r="JJ102" s="11"/>
      <c r="JK102" s="11"/>
      <c r="JL102" s="11"/>
      <c r="JM102" s="11"/>
      <c r="JN102" s="11"/>
      <c r="JO102" s="11"/>
      <c r="JP102" s="11"/>
      <c r="JQ102" s="11"/>
      <c r="JR102" s="11"/>
      <c r="JS102" s="11"/>
      <c r="JT102" s="11"/>
      <c r="JU102" s="11"/>
      <c r="JV102" s="11"/>
      <c r="JW102" s="11"/>
      <c r="JX102" s="11"/>
      <c r="JY102" s="11"/>
      <c r="JZ102" s="11"/>
      <c r="KA102" s="11"/>
      <c r="KB102" s="11"/>
      <c r="KC102" s="11"/>
      <c r="KD102" s="11"/>
      <c r="KE102" s="11"/>
      <c r="KF102" s="11"/>
      <c r="KG102" s="11"/>
      <c r="KH102" s="11"/>
      <c r="KI102" s="11"/>
      <c r="KJ102" s="11"/>
      <c r="KK102" s="11"/>
      <c r="KL102" s="11"/>
      <c r="KM102" s="11"/>
      <c r="KN102" s="11"/>
      <c r="KO102" s="11"/>
      <c r="KP102" s="11"/>
      <c r="KQ102" s="11"/>
      <c r="KR102" s="11"/>
      <c r="KS102" s="11"/>
      <c r="KT102" s="11"/>
      <c r="KU102" s="11"/>
      <c r="KV102" s="11"/>
      <c r="KW102" s="11"/>
      <c r="KX102" s="11"/>
      <c r="KY102" s="11"/>
      <c r="KZ102" s="11"/>
      <c r="LA102" s="11"/>
      <c r="LB102" s="11"/>
      <c r="LC102" s="11"/>
      <c r="LD102" s="11"/>
      <c r="LE102" s="11"/>
      <c r="LF102" s="11"/>
      <c r="LG102" s="11"/>
      <c r="LH102" s="11"/>
      <c r="LI102" s="11"/>
      <c r="LJ102" s="11"/>
      <c r="LK102" s="11"/>
      <c r="LL102" s="11"/>
      <c r="LM102" s="11"/>
      <c r="LN102" s="11"/>
      <c r="LO102" s="11"/>
      <c r="LP102" s="11"/>
      <c r="LQ102" s="11"/>
      <c r="LR102" s="11"/>
      <c r="LS102" s="11"/>
      <c r="LT102" s="11"/>
      <c r="LU102" s="11"/>
      <c r="LV102" s="11"/>
      <c r="LW102" s="11"/>
      <c r="LX102" s="11"/>
      <c r="LY102" s="11"/>
      <c r="LZ102" s="11"/>
      <c r="MA102" s="11"/>
      <c r="MB102" s="11"/>
      <c r="MC102" s="11"/>
      <c r="MD102" s="11"/>
      <c r="ME102" s="11"/>
      <c r="MF102" s="11"/>
      <c r="MG102" s="11"/>
      <c r="MH102" s="11"/>
      <c r="MI102" s="11"/>
      <c r="MJ102" s="11"/>
      <c r="MK102" s="11"/>
      <c r="ML102" s="11"/>
      <c r="MM102" s="11"/>
      <c r="MN102" s="11"/>
      <c r="MO102" s="11"/>
      <c r="MP102" s="11"/>
      <c r="MQ102" s="11"/>
      <c r="MR102" s="11"/>
      <c r="MS102" s="11"/>
      <c r="MT102" s="11"/>
      <c r="MU102" s="11"/>
      <c r="MV102" s="11"/>
      <c r="MW102" s="11"/>
      <c r="MX102" s="11"/>
      <c r="MY102" s="11"/>
      <c r="MZ102" s="11"/>
      <c r="NA102" s="11"/>
      <c r="NB102" s="11"/>
      <c r="NC102" s="11"/>
      <c r="ND102" s="11"/>
      <c r="NE102" s="11"/>
      <c r="NF102" s="11"/>
      <c r="NG102" s="11"/>
      <c r="NH102" s="11"/>
      <c r="NI102" s="11"/>
      <c r="NJ102" s="11"/>
      <c r="NK102" s="11"/>
      <c r="NL102" s="11"/>
      <c r="NM102" s="11"/>
      <c r="NN102" s="11"/>
      <c r="NO102" s="11"/>
      <c r="NP102" s="11"/>
      <c r="NQ102" s="11"/>
      <c r="NR102" s="11"/>
      <c r="NS102" s="11"/>
      <c r="NT102" s="11"/>
      <c r="NU102" s="11"/>
      <c r="NV102" s="11"/>
      <c r="NW102" s="11"/>
      <c r="NX102" s="11"/>
      <c r="NY102" s="11"/>
      <c r="NZ102" s="11"/>
      <c r="OA102" s="11"/>
      <c r="OB102" s="11"/>
      <c r="OC102" s="11"/>
      <c r="OD102" s="11"/>
      <c r="OE102" s="11"/>
      <c r="OF102" s="11"/>
      <c r="OG102" s="11"/>
      <c r="OH102" s="11"/>
      <c r="OI102" s="11"/>
      <c r="OJ102" s="11"/>
      <c r="OK102" s="11"/>
      <c r="OL102" s="11"/>
      <c r="OM102" s="11"/>
      <c r="ON102" s="11"/>
      <c r="OO102" s="11"/>
      <c r="OP102" s="11"/>
      <c r="OQ102" s="11"/>
      <c r="OR102" s="11"/>
      <c r="OS102" s="11"/>
      <c r="OT102" s="11"/>
      <c r="OU102" s="11"/>
      <c r="OV102" s="11"/>
      <c r="OW102" s="11"/>
      <c r="OX102" s="11"/>
      <c r="OY102" s="11"/>
      <c r="OZ102" s="11"/>
      <c r="PA102" s="11"/>
      <c r="PB102" s="11"/>
      <c r="PC102" s="11"/>
      <c r="PD102" s="11"/>
      <c r="PE102" s="11"/>
      <c r="PF102" s="11"/>
      <c r="PG102" s="11"/>
      <c r="PH102" s="11"/>
      <c r="PI102" s="11"/>
      <c r="PJ102" s="11"/>
      <c r="PK102" s="11"/>
      <c r="PL102" s="11"/>
      <c r="PM102" s="11"/>
      <c r="PN102" s="11"/>
      <c r="PO102" s="11"/>
      <c r="PP102" s="11"/>
      <c r="PQ102" s="11"/>
      <c r="PR102" s="11"/>
      <c r="PS102" s="11"/>
      <c r="PT102" s="11"/>
      <c r="PU102" s="11"/>
      <c r="PV102" s="11"/>
      <c r="PW102" s="11"/>
      <c r="PX102" s="11"/>
      <c r="PY102" s="11"/>
      <c r="PZ102" s="11"/>
      <c r="QA102" s="11"/>
      <c r="QB102" s="11"/>
      <c r="QC102" s="11"/>
      <c r="QD102" s="11"/>
      <c r="QE102" s="11"/>
      <c r="QF102" s="11"/>
      <c r="QG102" s="11"/>
      <c r="QH102" s="11"/>
      <c r="QI102" s="11"/>
      <c r="QJ102" s="11"/>
      <c r="QK102" s="11"/>
      <c r="QL102" s="11"/>
      <c r="QM102" s="11"/>
      <c r="QN102" s="11"/>
      <c r="QO102" s="11"/>
      <c r="QP102" s="11"/>
      <c r="QQ102" s="11"/>
      <c r="QR102" s="11"/>
      <c r="QS102" s="11"/>
      <c r="QT102" s="11"/>
      <c r="QU102" s="11"/>
      <c r="QV102" s="11"/>
      <c r="QW102" s="11"/>
      <c r="QX102" s="11"/>
      <c r="QY102" s="11"/>
      <c r="QZ102" s="11"/>
      <c r="RA102" s="11"/>
      <c r="RB102" s="11"/>
      <c r="RC102" s="11"/>
      <c r="RD102" s="11"/>
      <c r="RE102" s="11"/>
      <c r="RF102" s="11"/>
      <c r="RG102" s="11"/>
      <c r="RH102" s="11"/>
      <c r="RI102" s="11"/>
      <c r="RJ102" s="11"/>
      <c r="RK102" s="11"/>
      <c r="RL102" s="11"/>
      <c r="RM102" s="11"/>
      <c r="RN102" s="11"/>
      <c r="RO102" s="11"/>
      <c r="RP102" s="11"/>
      <c r="RQ102" s="11"/>
      <c r="RR102" s="11"/>
      <c r="RS102" s="11"/>
      <c r="RT102" s="11"/>
      <c r="RU102" s="11"/>
      <c r="RV102" s="11"/>
      <c r="RW102" s="11"/>
      <c r="RX102" s="11"/>
      <c r="RY102" s="11"/>
      <c r="RZ102" s="11"/>
      <c r="SA102" s="11"/>
      <c r="SB102" s="11"/>
      <c r="SC102" s="11"/>
      <c r="SD102" s="11"/>
      <c r="SE102" s="11"/>
      <c r="SF102" s="11"/>
      <c r="SG102" s="11"/>
      <c r="SH102" s="11"/>
      <c r="SI102" s="11"/>
      <c r="SJ102" s="11"/>
      <c r="SK102" s="11"/>
      <c r="SL102" s="11"/>
      <c r="SM102" s="11"/>
      <c r="SN102" s="11"/>
      <c r="SO102" s="11"/>
      <c r="SP102" s="11"/>
      <c r="SQ102" s="11"/>
      <c r="SR102" s="11"/>
      <c r="SS102" s="11"/>
      <c r="ST102" s="11"/>
      <c r="SU102" s="11"/>
      <c r="SV102" s="11"/>
      <c r="SW102" s="11"/>
      <c r="SX102" s="11"/>
      <c r="SY102" s="11"/>
      <c r="SZ102" s="11"/>
      <c r="TA102" s="11"/>
      <c r="TB102" s="11"/>
      <c r="TC102" s="11"/>
      <c r="TD102" s="11"/>
      <c r="TE102" s="11"/>
      <c r="TF102" s="11"/>
      <c r="TG102" s="11"/>
      <c r="TH102" s="11"/>
      <c r="TI102" s="11"/>
      <c r="TJ102" s="11"/>
      <c r="TK102" s="11"/>
      <c r="TL102" s="11"/>
      <c r="TM102" s="11"/>
      <c r="TN102" s="11"/>
      <c r="TO102" s="11"/>
      <c r="TP102" s="11"/>
      <c r="TQ102" s="11"/>
      <c r="TR102" s="11"/>
      <c r="TS102" s="11"/>
      <c r="TT102" s="11"/>
      <c r="TU102" s="11"/>
      <c r="TV102" s="11"/>
      <c r="TW102" s="11"/>
      <c r="TX102" s="11"/>
      <c r="TY102" s="11"/>
      <c r="TZ102" s="11"/>
      <c r="UA102" s="11"/>
      <c r="UB102" s="11"/>
      <c r="UC102" s="11"/>
      <c r="UD102" s="11"/>
      <c r="UE102" s="11"/>
      <c r="UF102" s="11"/>
      <c r="UG102" s="11"/>
      <c r="UH102" s="11"/>
      <c r="UI102" s="11"/>
      <c r="UJ102" s="11"/>
      <c r="UK102" s="11"/>
      <c r="UL102" s="11"/>
      <c r="UM102" s="11"/>
      <c r="UN102" s="11"/>
      <c r="UO102" s="11"/>
      <c r="UP102" s="11"/>
      <c r="UQ102" s="11"/>
      <c r="UR102" s="11"/>
      <c r="US102" s="11"/>
      <c r="UT102" s="11"/>
      <c r="UU102" s="11"/>
      <c r="UV102" s="11"/>
      <c r="UW102" s="11"/>
      <c r="UX102" s="11"/>
      <c r="UY102" s="11"/>
      <c r="UZ102" s="11"/>
      <c r="VA102" s="11"/>
      <c r="VB102" s="11"/>
      <c r="VC102" s="11"/>
      <c r="VD102" s="11"/>
      <c r="VE102" s="11"/>
      <c r="VF102" s="11"/>
      <c r="VG102" s="11"/>
      <c r="VH102" s="11"/>
      <c r="VI102" s="11"/>
      <c r="VJ102" s="11"/>
      <c r="VK102" s="11"/>
      <c r="VL102" s="11"/>
      <c r="VM102" s="11"/>
      <c r="VN102" s="11"/>
      <c r="VO102" s="11"/>
      <c r="VP102" s="11"/>
      <c r="VQ102" s="11"/>
      <c r="VR102" s="11"/>
      <c r="VS102" s="11"/>
      <c r="VT102" s="11"/>
      <c r="VU102" s="11"/>
      <c r="VV102" s="11"/>
      <c r="VW102" s="11"/>
      <c r="VX102" s="11"/>
      <c r="VY102" s="11"/>
      <c r="VZ102" s="11"/>
      <c r="WA102" s="11"/>
      <c r="WB102" s="11"/>
      <c r="WC102" s="11"/>
      <c r="WD102" s="11"/>
      <c r="WE102" s="11"/>
      <c r="WF102" s="11"/>
      <c r="WG102" s="11"/>
      <c r="WH102" s="11"/>
      <c r="WI102" s="11"/>
      <c r="WJ102" s="11"/>
      <c r="WK102" s="11"/>
      <c r="WL102" s="11"/>
      <c r="WM102" s="11"/>
      <c r="WN102" s="11"/>
      <c r="WO102" s="11"/>
      <c r="WP102" s="11"/>
      <c r="WQ102" s="11"/>
      <c r="WR102" s="11"/>
      <c r="WS102" s="11"/>
      <c r="WT102" s="11"/>
      <c r="WU102" s="11"/>
      <c r="WV102" s="11"/>
      <c r="WW102" s="11"/>
      <c r="WX102" s="11"/>
      <c r="WY102" s="11"/>
      <c r="WZ102" s="11"/>
      <c r="XA102" s="11"/>
      <c r="XB102" s="11"/>
      <c r="XC102" s="11"/>
      <c r="XD102" s="11"/>
      <c r="XE102" s="11"/>
      <c r="XF102" s="11"/>
      <c r="XG102" s="11"/>
      <c r="XH102" s="11"/>
      <c r="XI102" s="11"/>
      <c r="XJ102" s="11"/>
      <c r="XK102" s="11"/>
      <c r="XL102" s="11"/>
      <c r="XM102" s="11"/>
      <c r="XN102" s="11"/>
      <c r="XO102" s="11"/>
      <c r="XP102" s="11"/>
      <c r="XQ102" s="11"/>
      <c r="XR102" s="11"/>
      <c r="XS102" s="11"/>
      <c r="XT102" s="11"/>
      <c r="XU102" s="11"/>
      <c r="XV102" s="11"/>
      <c r="XW102" s="11"/>
      <c r="XX102" s="11"/>
      <c r="XY102" s="11"/>
      <c r="XZ102" s="11"/>
      <c r="YA102" s="11"/>
      <c r="YB102" s="11"/>
      <c r="YC102" s="11"/>
      <c r="YD102" s="11"/>
      <c r="YE102" s="11"/>
      <c r="YF102" s="11"/>
      <c r="YG102" s="11"/>
      <c r="YH102" s="11"/>
      <c r="YI102" s="11"/>
      <c r="YJ102" s="11"/>
      <c r="YK102" s="11"/>
      <c r="YL102" s="11"/>
      <c r="YM102" s="11"/>
      <c r="YN102" s="11"/>
      <c r="YO102" s="11"/>
      <c r="YP102" s="11"/>
      <c r="YQ102" s="11"/>
      <c r="YR102" s="11"/>
      <c r="YS102" s="11"/>
      <c r="YT102" s="11"/>
      <c r="YU102" s="11"/>
      <c r="YV102" s="11"/>
      <c r="YW102" s="11"/>
      <c r="YX102" s="11"/>
      <c r="YY102" s="11"/>
      <c r="YZ102" s="11"/>
      <c r="ZA102" s="11"/>
      <c r="ZB102" s="11"/>
      <c r="ZC102" s="11"/>
      <c r="ZD102" s="11"/>
      <c r="ZE102" s="11"/>
      <c r="ZF102" s="11"/>
      <c r="ZG102" s="11"/>
      <c r="ZH102" s="11"/>
      <c r="ZI102" s="11"/>
      <c r="ZJ102" s="11"/>
      <c r="ZK102" s="11"/>
      <c r="ZL102" s="11"/>
      <c r="ZM102" s="11"/>
      <c r="ZN102" s="11"/>
      <c r="ZO102" s="11"/>
      <c r="ZP102" s="11"/>
      <c r="ZQ102" s="11"/>
      <c r="ZR102" s="11"/>
      <c r="ZS102" s="11"/>
      <c r="ZT102" s="11"/>
      <c r="ZU102" s="11"/>
      <c r="ZV102" s="11"/>
      <c r="ZW102" s="11"/>
      <c r="ZX102" s="11"/>
      <c r="ZY102" s="11"/>
      <c r="ZZ102" s="11"/>
      <c r="AAA102" s="11"/>
      <c r="AAB102" s="11"/>
      <c r="AAC102" s="11"/>
      <c r="AAD102" s="11"/>
      <c r="AAE102" s="11"/>
      <c r="AAF102" s="11"/>
      <c r="AAG102" s="11"/>
      <c r="AAH102" s="11"/>
      <c r="AAI102" s="11"/>
      <c r="AAJ102" s="11"/>
      <c r="AAK102" s="11"/>
      <c r="AAL102" s="11"/>
      <c r="AAM102" s="11"/>
      <c r="AAN102" s="11"/>
      <c r="AAO102" s="11"/>
      <c r="AAP102" s="11"/>
      <c r="AAQ102" s="11"/>
      <c r="AAR102" s="11"/>
      <c r="AAS102" s="11"/>
      <c r="AAT102" s="11"/>
      <c r="AAU102" s="11"/>
      <c r="AAV102" s="11"/>
      <c r="AAW102" s="11"/>
      <c r="AAX102" s="11"/>
      <c r="AAY102" s="11"/>
      <c r="AAZ102" s="11"/>
      <c r="ABA102" s="11"/>
      <c r="ABB102" s="11"/>
      <c r="ABC102" s="11"/>
      <c r="ABD102" s="11"/>
      <c r="ABE102" s="11"/>
      <c r="ABF102" s="11"/>
      <c r="ABG102" s="11"/>
      <c r="ABH102" s="11"/>
      <c r="ABI102" s="11"/>
      <c r="ABJ102" s="11"/>
      <c r="ABK102" s="11"/>
      <c r="ABL102" s="11"/>
      <c r="ABM102" s="11"/>
      <c r="ABN102" s="11"/>
      <c r="ABO102" s="11"/>
      <c r="ABP102" s="11"/>
      <c r="ABQ102" s="11"/>
      <c r="ABR102" s="11"/>
      <c r="ABS102" s="11"/>
      <c r="ABT102" s="11"/>
      <c r="ABU102" s="11"/>
      <c r="ABV102" s="11"/>
      <c r="ABW102" s="11"/>
      <c r="ABX102" s="11"/>
      <c r="ABY102" s="11"/>
      <c r="ABZ102" s="11"/>
      <c r="ACA102" s="11"/>
      <c r="ACB102" s="11"/>
      <c r="ACC102" s="11"/>
      <c r="ACD102" s="11"/>
      <c r="ACE102" s="11"/>
      <c r="ACF102" s="11"/>
      <c r="ACG102" s="11"/>
      <c r="ACH102" s="11"/>
      <c r="ACI102" s="11"/>
      <c r="ACJ102" s="11"/>
      <c r="ACK102" s="11"/>
      <c r="ACL102" s="11"/>
      <c r="ACM102" s="11"/>
      <c r="ACN102" s="11"/>
      <c r="ACO102" s="11"/>
      <c r="ACP102" s="11"/>
      <c r="ACQ102" s="11"/>
      <c r="ACR102" s="11"/>
      <c r="ACS102" s="11"/>
      <c r="ACT102" s="11"/>
      <c r="ACU102" s="11"/>
      <c r="ACV102" s="11"/>
      <c r="ACW102" s="11"/>
      <c r="ACX102" s="11"/>
      <c r="ACY102" s="11"/>
      <c r="ACZ102" s="11"/>
      <c r="ADA102" s="11"/>
      <c r="ADB102" s="11"/>
      <c r="ADC102" s="11"/>
      <c r="ADD102" s="11"/>
      <c r="ADE102" s="11"/>
      <c r="ADF102" s="11"/>
      <c r="ADG102" s="11"/>
      <c r="ADH102" s="11"/>
      <c r="ADI102" s="11"/>
      <c r="ADJ102" s="11"/>
      <c r="ADK102" s="11"/>
      <c r="ADL102" s="11"/>
      <c r="ADM102" s="11"/>
      <c r="ADN102" s="11"/>
      <c r="ADO102" s="11"/>
      <c r="ADP102" s="11"/>
      <c r="ADQ102" s="11"/>
      <c r="ADR102" s="11"/>
      <c r="ADS102" s="11"/>
      <c r="ADT102" s="11"/>
      <c r="ADU102" s="11"/>
      <c r="ADV102" s="11"/>
      <c r="ADW102" s="11"/>
      <c r="ADX102" s="11"/>
      <c r="ADY102" s="11"/>
      <c r="ADZ102" s="11"/>
      <c r="AEA102" s="11"/>
      <c r="AEB102" s="11"/>
      <c r="AEC102" s="11"/>
      <c r="AED102" s="11"/>
      <c r="AEE102" s="11"/>
      <c r="AEF102" s="11"/>
      <c r="AEG102" s="11"/>
      <c r="AEH102" s="11"/>
      <c r="AEI102" s="11"/>
      <c r="AEJ102" s="11"/>
      <c r="AEK102" s="11"/>
      <c r="AEL102" s="11"/>
      <c r="AEM102" s="11"/>
      <c r="AEN102" s="11"/>
      <c r="AEO102" s="11"/>
      <c r="AEP102" s="11"/>
      <c r="AEQ102" s="11"/>
      <c r="AER102" s="11"/>
      <c r="AES102" s="11"/>
      <c r="AET102" s="11"/>
      <c r="AEU102" s="11"/>
      <c r="AEV102" s="11"/>
      <c r="AEW102" s="11"/>
      <c r="AEX102" s="11"/>
      <c r="AEY102" s="11"/>
      <c r="AEZ102" s="11"/>
      <c r="AFA102" s="11"/>
      <c r="AFB102" s="11"/>
      <c r="AFC102" s="11"/>
      <c r="AFD102" s="11"/>
      <c r="AFE102" s="11"/>
      <c r="AFF102" s="11"/>
      <c r="AFG102" s="11"/>
      <c r="AFH102" s="11"/>
      <c r="AFI102" s="11"/>
    </row>
    <row r="103" spans="2:841">
      <c r="B103" s="11"/>
      <c r="C103" s="657"/>
      <c r="D103" s="289" t="s">
        <v>627</v>
      </c>
      <c r="E103" s="551">
        <f>SUMIFS(M_Datos!$N$47:$N$49,M_Datos!$O$47:$O$49,M_Lista!G21)</f>
        <v>0</v>
      </c>
      <c r="F103" s="312" t="e">
        <f>IF(AND(M_FactoresComplement!$G$439="No",M_FactoresComplement!$G$441="No"),M_Cálculos!E103*VLOOKUP(M_Datos!$E$12&amp;M_Cálculos!D103,M_Factores!$M$10:$P$108,2,FALSE)/(10^3),IF(AND(M_FactoresComplement!$G$439="Sí",M_FactoresComplement!$G$441="No"),E103*M_FactoresComplement!G463/(10^3),E103*VLOOKUP(M_FactoresComplement!$C$467&amp;M_Datos!$E$12&amp;M_Lista!G20,M_FactoresComplement!$F$446:$I$781,2,FALSE)/(10^3)))</f>
        <v>#N/A</v>
      </c>
      <c r="G103" s="313" t="e">
        <f>IF(AND(M_FactoresComplement!$G$439="No",M_FactoresComplement!$G$441="No"),M_Cálculos!E103*VLOOKUP(M_Datos!$E$12&amp;M_Cálculos!D103,M_Factores!$M$10:$P$108,3,FALSE)/(10^3),IF(AND(M_FactoresComplement!$G$439="Sí",M_FactoresComplement!$G$441="No"),E103*M_FactoresComplement!H463/(10^3),E103*VLOOKUP(M_FactoresComplement!$C$467&amp;M_Datos!$E$12&amp;M_Lista!G20,M_FactoresComplement!$F$446:$I$781,3,FALSE)/(10^3)))</f>
        <v>#N/A</v>
      </c>
      <c r="H103" s="551">
        <f>SUMIFS(M_Datos!$P$47:$P$49,M_Datos!$Q$47:$Q$49,M_Lista!G21)</f>
        <v>0</v>
      </c>
      <c r="I103" s="312" t="e">
        <f>IF(AND(M_FactoresComplement!$G$439="No",M_FactoresComplement!$G$441="No"),M_Cálculos!H103*VLOOKUP(M_Datos!$E$12&amp;M_Cálculos!D103,M_Factores!$M$10:$P$108,2,FALSE)/(10^3),IF(AND(M_FactoresComplement!$G$439="Sí",M_FactoresComplement!$G$441="No"),H103*M_FactoresComplement!G463/(10^3),H103*VLOOKUP(M_FactoresComplement!$C$467&amp;M_Datos!$E$12&amp;M_Lista!G20,M_FactoresComplement!$F$446:$I$781,2,FALSE)/(10^3)))</f>
        <v>#N/A</v>
      </c>
      <c r="J103" s="313" t="e">
        <f>IF(AND(M_FactoresComplement!$G$439="No",M_FactoresComplement!$G$441="No"),M_Cálculos!H103*VLOOKUP(M_Datos!$E$12&amp;M_Cálculos!D103,M_Factores!$M$10:$P$108,3,FALSE)/(10^3),IF(AND(M_FactoresComplement!$G$439="Sí",M_FactoresComplement!$G$441="No"),H103*M_FactoresComplement!H463/(10^3),H103*VLOOKUP(M_FactoresComplement!$C$467&amp;M_Datos!$E$12&amp;M_Lista!G20,M_FactoresComplement!$F$446:$I$781,3,FALSE)/(10^3)))</f>
        <v>#N/A</v>
      </c>
      <c r="K103" s="551">
        <f>SUMIFS(M_Datos!$R$47:$R$49,M_Datos!$S$47:$S$49,M_Lista!G21)</f>
        <v>0</v>
      </c>
      <c r="L103" s="312" t="e">
        <f>IF(AND(M_FactoresComplement!$G$439="No",M_FactoresComplement!$G$441="No"),M_Cálculos!K103*VLOOKUP(M_Datos!$E$12&amp;M_Cálculos!D103,M_Factores!$M$10:$P$108,2,FALSE)/(10^3),IF(AND(M_FactoresComplement!$G$439="Sí",M_FactoresComplement!$G$441="No"),K103*M_FactoresComplement!G463/(10^3),K103*VLOOKUP(M_FactoresComplement!$C$467&amp;M_Datos!$E$12&amp;M_Lista!G20,M_FactoresComplement!$F$446:$I$781,2,FALSE)/(10^3)))</f>
        <v>#N/A</v>
      </c>
      <c r="M103" s="313" t="e">
        <f>IF(AND(M_FactoresComplement!$G$439="No",M_FactoresComplement!$G$441="No"),M_Cálculos!K103*VLOOKUP(M_Datos!$E$12&amp;M_Cálculos!D103,M_Factores!$M$10:$P$108,3,FALSE)/(10^3),IF(AND(M_FactoresComplement!$G$439="Sí",M_FactoresComplement!$G$441="No"),K103*M_FactoresComplement!H463/(10^3),K103*VLOOKUP(M_FactoresComplement!$C$467&amp;M_Datos!$E$12&amp;M_Lista!G20,M_FactoresComplement!$F$446:$I$781,3,FALSE)/(10^3)))</f>
        <v>#N/A</v>
      </c>
      <c r="N103" s="551">
        <f>SUMIFS(M_Datos!$T$47:$T$49,M_Datos!$U$47:$U$49,M_Lista!G21)</f>
        <v>0</v>
      </c>
      <c r="O103" s="312" t="e">
        <f>IF(AND(M_FactoresComplement!$G$439="No",M_FactoresComplement!$G$441="No"),M_Cálculos!N103*VLOOKUP(M_Datos!$E$12&amp;M_Cálculos!D103,M_Factores!$M$10:$P$108,2,FALSE)/(10^3),IF(AND(M_FactoresComplement!$G$439="Sí",M_FactoresComplement!$G$441="No"),N103*M_FactoresComplement!G463/(10^3),N103*VLOOKUP(M_FactoresComplement!$C$467&amp;M_Datos!$E$12&amp;M_Lista!G20,M_FactoresComplement!$F$446:$I$781,2,FALSE)/(10^3)))</f>
        <v>#N/A</v>
      </c>
      <c r="P103" s="313" t="e">
        <f>IF(AND(M_FactoresComplement!$G$439="No",M_FactoresComplement!$G$441="No"),M_Cálculos!N103*VLOOKUP(M_Datos!$E$12&amp;M_Cálculos!D103,M_Factores!$M$10:$P$108,3,FALSE)/(10^3),IF(AND(M_FactoresComplement!$G$439="Sí",M_FactoresComplement!$G$441="No"),N103*M_FactoresComplement!H463/(10^3),N103*VLOOKUP(M_FactoresComplement!$C$467&amp;M_Datos!$E$12&amp;M_Lista!G20,M_FactoresComplement!$F$446:$I$781,3,FALSE)/(10^3)))</f>
        <v>#N/A</v>
      </c>
      <c r="Q103" s="551">
        <f>SUMIFS(M_Datos!$V$47:$V$49,M_Datos!$W$47:$W$49,M_Lista!G21)</f>
        <v>0</v>
      </c>
      <c r="R103" s="312" t="e">
        <f>IF(AND(M_FactoresComplement!$G$439="No",M_FactoresComplement!$G$441="No"),M_Cálculos!Q103*VLOOKUP(M_Datos!$E$12&amp;M_Cálculos!D103,M_Factores!$M$10:$P$108,2,FALSE)/(10^3),IF(AND(M_FactoresComplement!$G$439="Sí",M_FactoresComplement!$G$441="No"),Q103*M_FactoresComplement!G463/(10^3),Q103*VLOOKUP(M_FactoresComplement!$C$467&amp;M_Datos!$E$12&amp;M_Lista!G20,M_FactoresComplement!$F$446:$I$781,2,FALSE)/(10^3)))</f>
        <v>#N/A</v>
      </c>
      <c r="S103" s="313" t="e">
        <f>IF(AND(M_FactoresComplement!$G$439="No",M_FactoresComplement!$G$441="No"),M_Cálculos!Q103*VLOOKUP(M_Datos!$E$12&amp;M_Cálculos!D103,M_Factores!$M$10:$P$108,3,FALSE)/(10^3),IF(AND(M_FactoresComplement!$G$439="Sí",M_FactoresComplement!$G$441="No"),Q103*M_FactoresComplement!H463/(10^3),Q103*VLOOKUP(M_FactoresComplement!$C$467&amp;M_Datos!$E$12&amp;M_Lista!G20,M_FactoresComplement!$F$446:$I$781,3,FALSE)/(10^3)))</f>
        <v>#N/A</v>
      </c>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c r="JH103" s="11"/>
      <c r="JI103" s="11"/>
      <c r="JJ103" s="11"/>
      <c r="JK103" s="11"/>
      <c r="JL103" s="11"/>
      <c r="JM103" s="11"/>
      <c r="JN103" s="11"/>
      <c r="JO103" s="11"/>
      <c r="JP103" s="11"/>
      <c r="JQ103" s="11"/>
      <c r="JR103" s="11"/>
      <c r="JS103" s="11"/>
      <c r="JT103" s="11"/>
      <c r="JU103" s="11"/>
      <c r="JV103" s="11"/>
      <c r="JW103" s="11"/>
      <c r="JX103" s="11"/>
      <c r="JY103" s="11"/>
      <c r="JZ103" s="11"/>
      <c r="KA103" s="11"/>
      <c r="KB103" s="11"/>
      <c r="KC103" s="11"/>
      <c r="KD103" s="11"/>
      <c r="KE103" s="11"/>
      <c r="KF103" s="11"/>
      <c r="KG103" s="11"/>
      <c r="KH103" s="11"/>
      <c r="KI103" s="11"/>
      <c r="KJ103" s="11"/>
      <c r="KK103" s="11"/>
      <c r="KL103" s="11"/>
      <c r="KM103" s="11"/>
      <c r="KN103" s="11"/>
      <c r="KO103" s="11"/>
      <c r="KP103" s="11"/>
      <c r="KQ103" s="11"/>
      <c r="KR103" s="11"/>
      <c r="KS103" s="11"/>
      <c r="KT103" s="11"/>
      <c r="KU103" s="11"/>
      <c r="KV103" s="11"/>
      <c r="KW103" s="11"/>
      <c r="KX103" s="11"/>
      <c r="KY103" s="11"/>
      <c r="KZ103" s="11"/>
      <c r="LA103" s="11"/>
      <c r="LB103" s="11"/>
      <c r="LC103" s="11"/>
      <c r="LD103" s="11"/>
      <c r="LE103" s="11"/>
      <c r="LF103" s="11"/>
      <c r="LG103" s="11"/>
      <c r="LH103" s="11"/>
      <c r="LI103" s="11"/>
      <c r="LJ103" s="11"/>
      <c r="LK103" s="11"/>
      <c r="LL103" s="11"/>
      <c r="LM103" s="11"/>
      <c r="LN103" s="11"/>
      <c r="LO103" s="11"/>
      <c r="LP103" s="11"/>
      <c r="LQ103" s="11"/>
      <c r="LR103" s="11"/>
      <c r="LS103" s="11"/>
      <c r="LT103" s="11"/>
      <c r="LU103" s="11"/>
      <c r="LV103" s="11"/>
      <c r="LW103" s="11"/>
      <c r="LX103" s="11"/>
      <c r="LY103" s="11"/>
      <c r="LZ103" s="11"/>
      <c r="MA103" s="11"/>
      <c r="MB103" s="11"/>
      <c r="MC103" s="11"/>
      <c r="MD103" s="11"/>
      <c r="ME103" s="11"/>
      <c r="MF103" s="11"/>
      <c r="MG103" s="11"/>
      <c r="MH103" s="11"/>
      <c r="MI103" s="11"/>
      <c r="MJ103" s="11"/>
      <c r="MK103" s="11"/>
      <c r="ML103" s="11"/>
      <c r="MM103" s="11"/>
      <c r="MN103" s="11"/>
      <c r="MO103" s="11"/>
      <c r="MP103" s="11"/>
      <c r="MQ103" s="11"/>
      <c r="MR103" s="11"/>
      <c r="MS103" s="11"/>
      <c r="MT103" s="11"/>
      <c r="MU103" s="11"/>
      <c r="MV103" s="11"/>
      <c r="MW103" s="11"/>
      <c r="MX103" s="11"/>
      <c r="MY103" s="11"/>
      <c r="MZ103" s="11"/>
      <c r="NA103" s="11"/>
      <c r="NB103" s="11"/>
      <c r="NC103" s="11"/>
      <c r="ND103" s="11"/>
      <c r="NE103" s="11"/>
      <c r="NF103" s="11"/>
      <c r="NG103" s="11"/>
      <c r="NH103" s="11"/>
      <c r="NI103" s="11"/>
      <c r="NJ103" s="11"/>
      <c r="NK103" s="11"/>
      <c r="NL103" s="11"/>
      <c r="NM103" s="11"/>
      <c r="NN103" s="11"/>
      <c r="NO103" s="11"/>
      <c r="NP103" s="11"/>
      <c r="NQ103" s="11"/>
      <c r="NR103" s="11"/>
      <c r="NS103" s="11"/>
      <c r="NT103" s="11"/>
      <c r="NU103" s="11"/>
      <c r="NV103" s="11"/>
      <c r="NW103" s="11"/>
      <c r="NX103" s="11"/>
      <c r="NY103" s="11"/>
      <c r="NZ103" s="11"/>
      <c r="OA103" s="11"/>
      <c r="OB103" s="11"/>
      <c r="OC103" s="11"/>
      <c r="OD103" s="11"/>
      <c r="OE103" s="11"/>
      <c r="OF103" s="11"/>
      <c r="OG103" s="11"/>
      <c r="OH103" s="11"/>
      <c r="OI103" s="11"/>
      <c r="OJ103" s="11"/>
      <c r="OK103" s="11"/>
      <c r="OL103" s="11"/>
      <c r="OM103" s="11"/>
      <c r="ON103" s="11"/>
      <c r="OO103" s="11"/>
      <c r="OP103" s="11"/>
      <c r="OQ103" s="11"/>
      <c r="OR103" s="11"/>
      <c r="OS103" s="11"/>
      <c r="OT103" s="11"/>
      <c r="OU103" s="11"/>
      <c r="OV103" s="11"/>
      <c r="OW103" s="11"/>
      <c r="OX103" s="11"/>
      <c r="OY103" s="11"/>
      <c r="OZ103" s="11"/>
      <c r="PA103" s="11"/>
      <c r="PB103" s="11"/>
      <c r="PC103" s="11"/>
      <c r="PD103" s="11"/>
      <c r="PE103" s="11"/>
      <c r="PF103" s="11"/>
      <c r="PG103" s="11"/>
      <c r="PH103" s="11"/>
      <c r="PI103" s="11"/>
      <c r="PJ103" s="11"/>
      <c r="PK103" s="11"/>
      <c r="PL103" s="11"/>
      <c r="PM103" s="11"/>
      <c r="PN103" s="11"/>
      <c r="PO103" s="11"/>
      <c r="PP103" s="11"/>
      <c r="PQ103" s="11"/>
      <c r="PR103" s="11"/>
      <c r="PS103" s="11"/>
      <c r="PT103" s="11"/>
      <c r="PU103" s="11"/>
      <c r="PV103" s="11"/>
      <c r="PW103" s="11"/>
      <c r="PX103" s="11"/>
      <c r="PY103" s="11"/>
      <c r="PZ103" s="11"/>
      <c r="QA103" s="11"/>
      <c r="QB103" s="11"/>
      <c r="QC103" s="11"/>
      <c r="QD103" s="11"/>
      <c r="QE103" s="11"/>
      <c r="QF103" s="11"/>
      <c r="QG103" s="11"/>
      <c r="QH103" s="11"/>
      <c r="QI103" s="11"/>
      <c r="QJ103" s="11"/>
      <c r="QK103" s="11"/>
      <c r="QL103" s="11"/>
      <c r="QM103" s="11"/>
      <c r="QN103" s="11"/>
      <c r="QO103" s="11"/>
      <c r="QP103" s="11"/>
      <c r="QQ103" s="11"/>
      <c r="QR103" s="11"/>
      <c r="QS103" s="11"/>
      <c r="QT103" s="11"/>
      <c r="QU103" s="11"/>
      <c r="QV103" s="11"/>
      <c r="QW103" s="11"/>
      <c r="QX103" s="11"/>
      <c r="QY103" s="11"/>
      <c r="QZ103" s="11"/>
      <c r="RA103" s="11"/>
      <c r="RB103" s="11"/>
      <c r="RC103" s="11"/>
      <c r="RD103" s="11"/>
      <c r="RE103" s="11"/>
      <c r="RF103" s="11"/>
      <c r="RG103" s="11"/>
      <c r="RH103" s="11"/>
      <c r="RI103" s="11"/>
      <c r="RJ103" s="11"/>
      <c r="RK103" s="11"/>
      <c r="RL103" s="11"/>
      <c r="RM103" s="11"/>
      <c r="RN103" s="11"/>
      <c r="RO103" s="11"/>
      <c r="RP103" s="11"/>
      <c r="RQ103" s="11"/>
      <c r="RR103" s="11"/>
      <c r="RS103" s="11"/>
      <c r="RT103" s="11"/>
      <c r="RU103" s="11"/>
      <c r="RV103" s="11"/>
      <c r="RW103" s="11"/>
      <c r="RX103" s="11"/>
      <c r="RY103" s="11"/>
      <c r="RZ103" s="11"/>
      <c r="SA103" s="11"/>
      <c r="SB103" s="11"/>
      <c r="SC103" s="11"/>
      <c r="SD103" s="11"/>
      <c r="SE103" s="11"/>
      <c r="SF103" s="11"/>
      <c r="SG103" s="11"/>
      <c r="SH103" s="11"/>
      <c r="SI103" s="11"/>
      <c r="SJ103" s="11"/>
      <c r="SK103" s="11"/>
      <c r="SL103" s="11"/>
      <c r="SM103" s="11"/>
      <c r="SN103" s="11"/>
      <c r="SO103" s="11"/>
      <c r="SP103" s="11"/>
      <c r="SQ103" s="11"/>
      <c r="SR103" s="11"/>
      <c r="SS103" s="11"/>
      <c r="ST103" s="11"/>
      <c r="SU103" s="11"/>
      <c r="SV103" s="11"/>
      <c r="SW103" s="11"/>
      <c r="SX103" s="11"/>
      <c r="SY103" s="11"/>
      <c r="SZ103" s="11"/>
      <c r="TA103" s="11"/>
      <c r="TB103" s="11"/>
      <c r="TC103" s="11"/>
      <c r="TD103" s="11"/>
      <c r="TE103" s="11"/>
      <c r="TF103" s="11"/>
      <c r="TG103" s="11"/>
      <c r="TH103" s="11"/>
      <c r="TI103" s="11"/>
      <c r="TJ103" s="11"/>
      <c r="TK103" s="11"/>
      <c r="TL103" s="11"/>
      <c r="TM103" s="11"/>
      <c r="TN103" s="11"/>
      <c r="TO103" s="11"/>
      <c r="TP103" s="11"/>
      <c r="TQ103" s="11"/>
      <c r="TR103" s="11"/>
      <c r="TS103" s="11"/>
      <c r="TT103" s="11"/>
      <c r="TU103" s="11"/>
      <c r="TV103" s="11"/>
      <c r="TW103" s="11"/>
      <c r="TX103" s="11"/>
      <c r="TY103" s="11"/>
      <c r="TZ103" s="11"/>
      <c r="UA103" s="11"/>
      <c r="UB103" s="11"/>
      <c r="UC103" s="11"/>
      <c r="UD103" s="11"/>
      <c r="UE103" s="11"/>
      <c r="UF103" s="11"/>
      <c r="UG103" s="11"/>
      <c r="UH103" s="11"/>
      <c r="UI103" s="11"/>
      <c r="UJ103" s="11"/>
      <c r="UK103" s="11"/>
      <c r="UL103" s="11"/>
      <c r="UM103" s="11"/>
      <c r="UN103" s="11"/>
      <c r="UO103" s="11"/>
      <c r="UP103" s="11"/>
      <c r="UQ103" s="11"/>
      <c r="UR103" s="11"/>
      <c r="US103" s="11"/>
      <c r="UT103" s="11"/>
      <c r="UU103" s="11"/>
      <c r="UV103" s="11"/>
      <c r="UW103" s="11"/>
      <c r="UX103" s="11"/>
      <c r="UY103" s="11"/>
      <c r="UZ103" s="11"/>
      <c r="VA103" s="11"/>
      <c r="VB103" s="11"/>
      <c r="VC103" s="11"/>
      <c r="VD103" s="11"/>
      <c r="VE103" s="11"/>
      <c r="VF103" s="11"/>
      <c r="VG103" s="11"/>
      <c r="VH103" s="11"/>
      <c r="VI103" s="11"/>
      <c r="VJ103" s="11"/>
      <c r="VK103" s="11"/>
      <c r="VL103" s="11"/>
      <c r="VM103" s="11"/>
      <c r="VN103" s="11"/>
      <c r="VO103" s="11"/>
      <c r="VP103" s="11"/>
      <c r="VQ103" s="11"/>
      <c r="VR103" s="11"/>
      <c r="VS103" s="11"/>
      <c r="VT103" s="11"/>
      <c r="VU103" s="11"/>
      <c r="VV103" s="11"/>
      <c r="VW103" s="11"/>
      <c r="VX103" s="11"/>
      <c r="VY103" s="11"/>
      <c r="VZ103" s="11"/>
      <c r="WA103" s="11"/>
      <c r="WB103" s="11"/>
      <c r="WC103" s="11"/>
      <c r="WD103" s="11"/>
      <c r="WE103" s="11"/>
      <c r="WF103" s="11"/>
      <c r="WG103" s="11"/>
      <c r="WH103" s="11"/>
      <c r="WI103" s="11"/>
      <c r="WJ103" s="11"/>
      <c r="WK103" s="11"/>
      <c r="WL103" s="11"/>
      <c r="WM103" s="11"/>
      <c r="WN103" s="11"/>
      <c r="WO103" s="11"/>
      <c r="WP103" s="11"/>
      <c r="WQ103" s="11"/>
      <c r="WR103" s="11"/>
      <c r="WS103" s="11"/>
      <c r="WT103" s="11"/>
      <c r="WU103" s="11"/>
      <c r="WV103" s="11"/>
      <c r="WW103" s="11"/>
      <c r="WX103" s="11"/>
      <c r="WY103" s="11"/>
      <c r="WZ103" s="11"/>
      <c r="XA103" s="11"/>
      <c r="XB103" s="11"/>
      <c r="XC103" s="11"/>
      <c r="XD103" s="11"/>
      <c r="XE103" s="11"/>
      <c r="XF103" s="11"/>
      <c r="XG103" s="11"/>
      <c r="XH103" s="11"/>
      <c r="XI103" s="11"/>
      <c r="XJ103" s="11"/>
      <c r="XK103" s="11"/>
      <c r="XL103" s="11"/>
      <c r="XM103" s="11"/>
      <c r="XN103" s="11"/>
      <c r="XO103" s="11"/>
      <c r="XP103" s="11"/>
      <c r="XQ103" s="11"/>
      <c r="XR103" s="11"/>
      <c r="XS103" s="11"/>
      <c r="XT103" s="11"/>
      <c r="XU103" s="11"/>
      <c r="XV103" s="11"/>
      <c r="XW103" s="11"/>
      <c r="XX103" s="11"/>
      <c r="XY103" s="11"/>
      <c r="XZ103" s="11"/>
      <c r="YA103" s="11"/>
      <c r="YB103" s="11"/>
      <c r="YC103" s="11"/>
      <c r="YD103" s="11"/>
      <c r="YE103" s="11"/>
      <c r="YF103" s="11"/>
      <c r="YG103" s="11"/>
      <c r="YH103" s="11"/>
      <c r="YI103" s="11"/>
      <c r="YJ103" s="11"/>
      <c r="YK103" s="11"/>
      <c r="YL103" s="11"/>
      <c r="YM103" s="11"/>
      <c r="YN103" s="11"/>
      <c r="YO103" s="11"/>
      <c r="YP103" s="11"/>
      <c r="YQ103" s="11"/>
      <c r="YR103" s="11"/>
      <c r="YS103" s="11"/>
      <c r="YT103" s="11"/>
      <c r="YU103" s="11"/>
      <c r="YV103" s="11"/>
      <c r="YW103" s="11"/>
      <c r="YX103" s="11"/>
      <c r="YY103" s="11"/>
      <c r="YZ103" s="11"/>
      <c r="ZA103" s="11"/>
      <c r="ZB103" s="11"/>
      <c r="ZC103" s="11"/>
      <c r="ZD103" s="11"/>
      <c r="ZE103" s="11"/>
      <c r="ZF103" s="11"/>
      <c r="ZG103" s="11"/>
      <c r="ZH103" s="11"/>
      <c r="ZI103" s="11"/>
      <c r="ZJ103" s="11"/>
      <c r="ZK103" s="11"/>
      <c r="ZL103" s="11"/>
      <c r="ZM103" s="11"/>
      <c r="ZN103" s="11"/>
      <c r="ZO103" s="11"/>
      <c r="ZP103" s="11"/>
      <c r="ZQ103" s="11"/>
      <c r="ZR103" s="11"/>
      <c r="ZS103" s="11"/>
      <c r="ZT103" s="11"/>
      <c r="ZU103" s="11"/>
      <c r="ZV103" s="11"/>
      <c r="ZW103" s="11"/>
      <c r="ZX103" s="11"/>
      <c r="ZY103" s="11"/>
      <c r="ZZ103" s="11"/>
      <c r="AAA103" s="11"/>
      <c r="AAB103" s="11"/>
      <c r="AAC103" s="11"/>
      <c r="AAD103" s="11"/>
      <c r="AAE103" s="11"/>
      <c r="AAF103" s="11"/>
      <c r="AAG103" s="11"/>
      <c r="AAH103" s="11"/>
      <c r="AAI103" s="11"/>
      <c r="AAJ103" s="11"/>
      <c r="AAK103" s="11"/>
      <c r="AAL103" s="11"/>
      <c r="AAM103" s="11"/>
      <c r="AAN103" s="11"/>
      <c r="AAO103" s="11"/>
      <c r="AAP103" s="11"/>
      <c r="AAQ103" s="11"/>
      <c r="AAR103" s="11"/>
      <c r="AAS103" s="11"/>
      <c r="AAT103" s="11"/>
      <c r="AAU103" s="11"/>
      <c r="AAV103" s="11"/>
      <c r="AAW103" s="11"/>
      <c r="AAX103" s="11"/>
      <c r="AAY103" s="11"/>
      <c r="AAZ103" s="11"/>
      <c r="ABA103" s="11"/>
      <c r="ABB103" s="11"/>
      <c r="ABC103" s="11"/>
      <c r="ABD103" s="11"/>
      <c r="ABE103" s="11"/>
      <c r="ABF103" s="11"/>
      <c r="ABG103" s="11"/>
      <c r="ABH103" s="11"/>
      <c r="ABI103" s="11"/>
      <c r="ABJ103" s="11"/>
      <c r="ABK103" s="11"/>
      <c r="ABL103" s="11"/>
      <c r="ABM103" s="11"/>
      <c r="ABN103" s="11"/>
      <c r="ABO103" s="11"/>
      <c r="ABP103" s="11"/>
      <c r="ABQ103" s="11"/>
      <c r="ABR103" s="11"/>
      <c r="ABS103" s="11"/>
      <c r="ABT103" s="11"/>
      <c r="ABU103" s="11"/>
      <c r="ABV103" s="11"/>
      <c r="ABW103" s="11"/>
      <c r="ABX103" s="11"/>
      <c r="ABY103" s="11"/>
      <c r="ABZ103" s="11"/>
      <c r="ACA103" s="11"/>
      <c r="ACB103" s="11"/>
      <c r="ACC103" s="11"/>
      <c r="ACD103" s="11"/>
      <c r="ACE103" s="11"/>
      <c r="ACF103" s="11"/>
      <c r="ACG103" s="11"/>
      <c r="ACH103" s="11"/>
      <c r="ACI103" s="11"/>
      <c r="ACJ103" s="11"/>
      <c r="ACK103" s="11"/>
      <c r="ACL103" s="11"/>
      <c r="ACM103" s="11"/>
      <c r="ACN103" s="11"/>
      <c r="ACO103" s="11"/>
      <c r="ACP103" s="11"/>
      <c r="ACQ103" s="11"/>
      <c r="ACR103" s="11"/>
      <c r="ACS103" s="11"/>
      <c r="ACT103" s="11"/>
      <c r="ACU103" s="11"/>
      <c r="ACV103" s="11"/>
      <c r="ACW103" s="11"/>
      <c r="ACX103" s="11"/>
      <c r="ACY103" s="11"/>
      <c r="ACZ103" s="11"/>
      <c r="ADA103" s="11"/>
      <c r="ADB103" s="11"/>
      <c r="ADC103" s="11"/>
      <c r="ADD103" s="11"/>
      <c r="ADE103" s="11"/>
      <c r="ADF103" s="11"/>
      <c r="ADG103" s="11"/>
      <c r="ADH103" s="11"/>
      <c r="ADI103" s="11"/>
      <c r="ADJ103" s="11"/>
      <c r="ADK103" s="11"/>
      <c r="ADL103" s="11"/>
      <c r="ADM103" s="11"/>
      <c r="ADN103" s="11"/>
      <c r="ADO103" s="11"/>
      <c r="ADP103" s="11"/>
      <c r="ADQ103" s="11"/>
      <c r="ADR103" s="11"/>
      <c r="ADS103" s="11"/>
      <c r="ADT103" s="11"/>
      <c r="ADU103" s="11"/>
      <c r="ADV103" s="11"/>
      <c r="ADW103" s="11"/>
      <c r="ADX103" s="11"/>
      <c r="ADY103" s="11"/>
      <c r="ADZ103" s="11"/>
      <c r="AEA103" s="11"/>
      <c r="AEB103" s="11"/>
      <c r="AEC103" s="11"/>
      <c r="AED103" s="11"/>
      <c r="AEE103" s="11"/>
      <c r="AEF103" s="11"/>
      <c r="AEG103" s="11"/>
      <c r="AEH103" s="11"/>
      <c r="AEI103" s="11"/>
      <c r="AEJ103" s="11"/>
      <c r="AEK103" s="11"/>
      <c r="AEL103" s="11"/>
      <c r="AEM103" s="11"/>
      <c r="AEN103" s="11"/>
      <c r="AEO103" s="11"/>
      <c r="AEP103" s="11"/>
      <c r="AEQ103" s="11"/>
      <c r="AER103" s="11"/>
      <c r="AES103" s="11"/>
      <c r="AET103" s="11"/>
      <c r="AEU103" s="11"/>
      <c r="AEV103" s="11"/>
      <c r="AEW103" s="11"/>
      <c r="AEX103" s="11"/>
      <c r="AEY103" s="11"/>
      <c r="AEZ103" s="11"/>
      <c r="AFA103" s="11"/>
      <c r="AFB103" s="11"/>
      <c r="AFC103" s="11"/>
      <c r="AFD103" s="11"/>
      <c r="AFE103" s="11"/>
      <c r="AFF103" s="11"/>
      <c r="AFG103" s="11"/>
      <c r="AFH103" s="11"/>
      <c r="AFI103" s="11"/>
    </row>
    <row r="104" spans="2:841">
      <c r="B104" s="11"/>
      <c r="C104" s="657"/>
      <c r="D104" s="289" t="s">
        <v>628</v>
      </c>
      <c r="E104" s="551">
        <f>SUMIFS(M_Datos!$N$47:$N$49,M_Datos!$O$47:$O$49,M_Lista!G22)</f>
        <v>0</v>
      </c>
      <c r="F104" s="312" t="e">
        <f>IF(AND(M_FactoresComplement!$G$439="No",M_FactoresComplement!$G$441="No"),M_Cálculos!E104*VLOOKUP(M_Datos!$E$12&amp;M_Cálculos!D104,M_Factores!$M$10:$P$108,2,FALSE)/(10^3),IF(AND(M_FactoresComplement!$G$439="Sí",M_FactoresComplement!$G$441="No"),E104*M_FactoresComplement!G464/(10^3),E104*VLOOKUP(M_FactoresComplement!$C$467&amp;M_Datos!$E$12&amp;M_Lista!G21,M_FactoresComplement!$F$446:$I$781,2,FALSE)/(10^3)))</f>
        <v>#N/A</v>
      </c>
      <c r="G104" s="313" t="e">
        <f>IF(AND(M_FactoresComplement!$G$439="No",M_FactoresComplement!$G$441="No"),M_Cálculos!E104*VLOOKUP(M_Datos!$E$12&amp;M_Cálculos!D104,M_Factores!$M$10:$P$108,3,FALSE)/(10^3),IF(AND(M_FactoresComplement!$G$439="Sí",M_FactoresComplement!$G$441="No"),E104*M_FactoresComplement!H464/(10^3),E104*VLOOKUP(M_FactoresComplement!$C$467&amp;M_Datos!$E$12&amp;M_Lista!G21,M_FactoresComplement!$F$446:$I$781,3,FALSE)/(10^3)))</f>
        <v>#N/A</v>
      </c>
      <c r="H104" s="551">
        <f>SUMIFS(M_Datos!$P$47:$P$49,M_Datos!$Q$47:$Q$49,M_Lista!G22)</f>
        <v>0</v>
      </c>
      <c r="I104" s="312" t="e">
        <f>IF(AND(M_FactoresComplement!$G$439="No",M_FactoresComplement!$G$441="No"),M_Cálculos!H104*VLOOKUP(M_Datos!$E$12&amp;M_Cálculos!D104,M_Factores!$M$10:$P$108,2,FALSE)/(10^3),IF(AND(M_FactoresComplement!$G$439="Sí",M_FactoresComplement!$G$441="No"),H104*M_FactoresComplement!G464/(10^3),H104*VLOOKUP(M_FactoresComplement!$C$467&amp;M_Datos!$E$12&amp;M_Lista!G21,M_FactoresComplement!$F$446:$I$781,2,FALSE)/(10^3)))</f>
        <v>#N/A</v>
      </c>
      <c r="J104" s="313" t="e">
        <f>IF(AND(M_FactoresComplement!$G$439="No",M_FactoresComplement!$G$441="No"),M_Cálculos!H104*VLOOKUP(M_Datos!$E$12&amp;M_Cálculos!D104,M_Factores!$M$10:$P$108,3,FALSE)/(10^3),IF(AND(M_FactoresComplement!$G$439="Sí",M_FactoresComplement!$G$441="No"),H104*M_FactoresComplement!H464/(10^3),H104*VLOOKUP(M_FactoresComplement!$C$467&amp;M_Datos!$E$12&amp;M_Lista!G21,M_FactoresComplement!$F$446:$I$781,3,FALSE)/(10^3)))</f>
        <v>#N/A</v>
      </c>
      <c r="K104" s="551">
        <f>SUMIFS(M_Datos!$R$47:$R$49,M_Datos!$S$47:$S$49,M_Lista!G22)</f>
        <v>0</v>
      </c>
      <c r="L104" s="312" t="e">
        <f>IF(AND(M_FactoresComplement!$G$439="No",M_FactoresComplement!$G$441="No"),M_Cálculos!K104*VLOOKUP(M_Datos!$E$12&amp;M_Cálculos!D104,M_Factores!$M$10:$P$108,2,FALSE)/(10^3),IF(AND(M_FactoresComplement!$G$439="Sí",M_FactoresComplement!$G$441="No"),K104*M_FactoresComplement!G464/(10^3),K104*VLOOKUP(M_FactoresComplement!$C$467&amp;M_Datos!$E$12&amp;M_Lista!G21,M_FactoresComplement!$F$446:$I$781,2,FALSE)/(10^3)))</f>
        <v>#N/A</v>
      </c>
      <c r="M104" s="313" t="e">
        <f>IF(AND(M_FactoresComplement!$G$439="No",M_FactoresComplement!$G$441="No"),M_Cálculos!K104*VLOOKUP(M_Datos!$E$12&amp;M_Cálculos!D104,M_Factores!$M$10:$P$108,3,FALSE)/(10^3),IF(AND(M_FactoresComplement!$G$439="Sí",M_FactoresComplement!$G$441="No"),K104*M_FactoresComplement!H464/(10^3),K104*VLOOKUP(M_FactoresComplement!$C$467&amp;M_Datos!$E$12&amp;M_Lista!G21,M_FactoresComplement!$F$446:$I$781,3,FALSE)/(10^3)))</f>
        <v>#N/A</v>
      </c>
      <c r="N104" s="551">
        <f>SUMIFS(M_Datos!$T$47:$T$49,M_Datos!$U$47:$U$49,M_Lista!G22)</f>
        <v>0</v>
      </c>
      <c r="O104" s="312" t="e">
        <f>IF(AND(M_FactoresComplement!$G$439="No",M_FactoresComplement!$G$441="No"),M_Cálculos!N104*VLOOKUP(M_Datos!$E$12&amp;M_Cálculos!D104,M_Factores!$M$10:$P$108,2,FALSE)/(10^3),IF(AND(M_FactoresComplement!$G$439="Sí",M_FactoresComplement!$G$441="No"),N104*M_FactoresComplement!G464/(10^3),N104*VLOOKUP(M_FactoresComplement!$C$467&amp;M_Datos!$E$12&amp;M_Lista!G21,M_FactoresComplement!$F$446:$I$781,2,FALSE)/(10^3)))</f>
        <v>#N/A</v>
      </c>
      <c r="P104" s="313" t="e">
        <f>IF(AND(M_FactoresComplement!$G$439="No",M_FactoresComplement!$G$441="No"),M_Cálculos!N104*VLOOKUP(M_Datos!$E$12&amp;M_Cálculos!D104,M_Factores!$M$10:$P$108,3,FALSE)/(10^3),IF(AND(M_FactoresComplement!$G$439="Sí",M_FactoresComplement!$G$441="No"),N104*M_FactoresComplement!H464/(10^3),N104*VLOOKUP(M_FactoresComplement!$C$467&amp;M_Datos!$E$12&amp;M_Lista!G21,M_FactoresComplement!$F$446:$I$781,3,FALSE)/(10^3)))</f>
        <v>#N/A</v>
      </c>
      <c r="Q104" s="551">
        <f>SUMIFS(M_Datos!$V$47:$V$49,M_Datos!$W$47:$W$49,M_Lista!G22)</f>
        <v>0</v>
      </c>
      <c r="R104" s="312" t="e">
        <f>IF(AND(M_FactoresComplement!$G$439="No",M_FactoresComplement!$G$441="No"),M_Cálculos!Q104*VLOOKUP(M_Datos!$E$12&amp;M_Cálculos!D104,M_Factores!$M$10:$P$108,2,FALSE)/(10^3),IF(AND(M_FactoresComplement!$G$439="Sí",M_FactoresComplement!$G$441="No"),Q104*M_FactoresComplement!G464/(10^3),Q104*VLOOKUP(M_FactoresComplement!$C$467&amp;M_Datos!$E$12&amp;M_Lista!G21,M_FactoresComplement!$F$446:$I$781,2,FALSE)/(10^3)))</f>
        <v>#N/A</v>
      </c>
      <c r="S104" s="313" t="e">
        <f>IF(AND(M_FactoresComplement!$G$439="No",M_FactoresComplement!$G$441="No"),M_Cálculos!Q104*VLOOKUP(M_Datos!$E$12&amp;M_Cálculos!D104,M_Factores!$M$10:$P$108,3,FALSE)/(10^3),IF(AND(M_FactoresComplement!$G$439="Sí",M_FactoresComplement!$G$441="No"),Q104*M_FactoresComplement!H464/(10^3),Q104*VLOOKUP(M_FactoresComplement!$C$467&amp;M_Datos!$E$12&amp;M_Lista!G21,M_FactoresComplement!$F$446:$I$781,3,FALSE)/(10^3)))</f>
        <v>#N/A</v>
      </c>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c r="JH104" s="11"/>
      <c r="JI104" s="11"/>
      <c r="JJ104" s="11"/>
      <c r="JK104" s="11"/>
      <c r="JL104" s="11"/>
      <c r="JM104" s="11"/>
      <c r="JN104" s="11"/>
      <c r="JO104" s="11"/>
      <c r="JP104" s="11"/>
      <c r="JQ104" s="11"/>
      <c r="JR104" s="11"/>
      <c r="JS104" s="11"/>
      <c r="JT104" s="11"/>
      <c r="JU104" s="11"/>
      <c r="JV104" s="11"/>
      <c r="JW104" s="11"/>
      <c r="JX104" s="11"/>
      <c r="JY104" s="11"/>
      <c r="JZ104" s="11"/>
      <c r="KA104" s="11"/>
      <c r="KB104" s="11"/>
      <c r="KC104" s="11"/>
      <c r="KD104" s="11"/>
      <c r="KE104" s="11"/>
      <c r="KF104" s="11"/>
      <c r="KG104" s="11"/>
      <c r="KH104" s="11"/>
      <c r="KI104" s="11"/>
      <c r="KJ104" s="11"/>
      <c r="KK104" s="11"/>
      <c r="KL104" s="11"/>
      <c r="KM104" s="11"/>
      <c r="KN104" s="11"/>
      <c r="KO104" s="11"/>
      <c r="KP104" s="11"/>
      <c r="KQ104" s="11"/>
      <c r="KR104" s="11"/>
      <c r="KS104" s="11"/>
      <c r="KT104" s="11"/>
      <c r="KU104" s="11"/>
      <c r="KV104" s="11"/>
      <c r="KW104" s="11"/>
      <c r="KX104" s="11"/>
      <c r="KY104" s="11"/>
      <c r="KZ104" s="11"/>
      <c r="LA104" s="11"/>
      <c r="LB104" s="11"/>
      <c r="LC104" s="11"/>
      <c r="LD104" s="11"/>
      <c r="LE104" s="11"/>
      <c r="LF104" s="11"/>
      <c r="LG104" s="11"/>
      <c r="LH104" s="11"/>
      <c r="LI104" s="11"/>
      <c r="LJ104" s="11"/>
      <c r="LK104" s="11"/>
      <c r="LL104" s="11"/>
      <c r="LM104" s="11"/>
      <c r="LN104" s="11"/>
      <c r="LO104" s="11"/>
      <c r="LP104" s="11"/>
      <c r="LQ104" s="11"/>
      <c r="LR104" s="11"/>
      <c r="LS104" s="11"/>
      <c r="LT104" s="11"/>
      <c r="LU104" s="11"/>
      <c r="LV104" s="11"/>
      <c r="LW104" s="11"/>
      <c r="LX104" s="11"/>
      <c r="LY104" s="11"/>
      <c r="LZ104" s="11"/>
      <c r="MA104" s="11"/>
      <c r="MB104" s="11"/>
      <c r="MC104" s="11"/>
      <c r="MD104" s="11"/>
      <c r="ME104" s="11"/>
      <c r="MF104" s="11"/>
      <c r="MG104" s="11"/>
      <c r="MH104" s="11"/>
      <c r="MI104" s="11"/>
      <c r="MJ104" s="11"/>
      <c r="MK104" s="11"/>
      <c r="ML104" s="11"/>
      <c r="MM104" s="11"/>
      <c r="MN104" s="11"/>
      <c r="MO104" s="11"/>
      <c r="MP104" s="11"/>
      <c r="MQ104" s="11"/>
      <c r="MR104" s="11"/>
      <c r="MS104" s="11"/>
      <c r="MT104" s="11"/>
      <c r="MU104" s="11"/>
      <c r="MV104" s="11"/>
      <c r="MW104" s="11"/>
      <c r="MX104" s="11"/>
      <c r="MY104" s="11"/>
      <c r="MZ104" s="11"/>
      <c r="NA104" s="11"/>
      <c r="NB104" s="11"/>
      <c r="NC104" s="11"/>
      <c r="ND104" s="11"/>
      <c r="NE104" s="11"/>
      <c r="NF104" s="11"/>
      <c r="NG104" s="11"/>
      <c r="NH104" s="11"/>
      <c r="NI104" s="11"/>
      <c r="NJ104" s="11"/>
      <c r="NK104" s="11"/>
      <c r="NL104" s="11"/>
      <c r="NM104" s="11"/>
      <c r="NN104" s="11"/>
      <c r="NO104" s="11"/>
      <c r="NP104" s="11"/>
      <c r="NQ104" s="11"/>
      <c r="NR104" s="11"/>
      <c r="NS104" s="11"/>
      <c r="NT104" s="11"/>
      <c r="NU104" s="11"/>
      <c r="NV104" s="11"/>
      <c r="NW104" s="11"/>
      <c r="NX104" s="11"/>
      <c r="NY104" s="11"/>
      <c r="NZ104" s="11"/>
      <c r="OA104" s="11"/>
      <c r="OB104" s="11"/>
      <c r="OC104" s="11"/>
      <c r="OD104" s="11"/>
      <c r="OE104" s="11"/>
      <c r="OF104" s="11"/>
      <c r="OG104" s="11"/>
      <c r="OH104" s="11"/>
      <c r="OI104" s="11"/>
      <c r="OJ104" s="11"/>
      <c r="OK104" s="11"/>
      <c r="OL104" s="11"/>
      <c r="OM104" s="11"/>
      <c r="ON104" s="11"/>
      <c r="OO104" s="11"/>
      <c r="OP104" s="11"/>
      <c r="OQ104" s="11"/>
      <c r="OR104" s="11"/>
      <c r="OS104" s="11"/>
      <c r="OT104" s="11"/>
      <c r="OU104" s="11"/>
      <c r="OV104" s="11"/>
      <c r="OW104" s="11"/>
      <c r="OX104" s="11"/>
      <c r="OY104" s="11"/>
      <c r="OZ104" s="11"/>
      <c r="PA104" s="11"/>
      <c r="PB104" s="11"/>
      <c r="PC104" s="11"/>
      <c r="PD104" s="11"/>
      <c r="PE104" s="11"/>
      <c r="PF104" s="11"/>
      <c r="PG104" s="11"/>
      <c r="PH104" s="11"/>
      <c r="PI104" s="11"/>
      <c r="PJ104" s="11"/>
      <c r="PK104" s="11"/>
      <c r="PL104" s="11"/>
      <c r="PM104" s="11"/>
      <c r="PN104" s="11"/>
      <c r="PO104" s="11"/>
      <c r="PP104" s="11"/>
      <c r="PQ104" s="11"/>
      <c r="PR104" s="11"/>
      <c r="PS104" s="11"/>
      <c r="PT104" s="11"/>
      <c r="PU104" s="11"/>
      <c r="PV104" s="11"/>
      <c r="PW104" s="11"/>
      <c r="PX104" s="11"/>
      <c r="PY104" s="11"/>
      <c r="PZ104" s="11"/>
      <c r="QA104" s="11"/>
      <c r="QB104" s="11"/>
      <c r="QC104" s="11"/>
      <c r="QD104" s="11"/>
      <c r="QE104" s="11"/>
      <c r="QF104" s="11"/>
      <c r="QG104" s="11"/>
      <c r="QH104" s="11"/>
      <c r="QI104" s="11"/>
      <c r="QJ104" s="11"/>
      <c r="QK104" s="11"/>
      <c r="QL104" s="11"/>
      <c r="QM104" s="11"/>
      <c r="QN104" s="11"/>
      <c r="QO104" s="11"/>
      <c r="QP104" s="11"/>
      <c r="QQ104" s="11"/>
      <c r="QR104" s="11"/>
      <c r="QS104" s="11"/>
      <c r="QT104" s="11"/>
      <c r="QU104" s="11"/>
      <c r="QV104" s="11"/>
      <c r="QW104" s="11"/>
      <c r="QX104" s="11"/>
      <c r="QY104" s="11"/>
      <c r="QZ104" s="11"/>
      <c r="RA104" s="11"/>
      <c r="RB104" s="11"/>
      <c r="RC104" s="11"/>
      <c r="RD104" s="11"/>
      <c r="RE104" s="11"/>
      <c r="RF104" s="11"/>
      <c r="RG104" s="11"/>
      <c r="RH104" s="11"/>
      <c r="RI104" s="11"/>
      <c r="RJ104" s="11"/>
      <c r="RK104" s="11"/>
      <c r="RL104" s="11"/>
      <c r="RM104" s="11"/>
      <c r="RN104" s="11"/>
      <c r="RO104" s="11"/>
      <c r="RP104" s="11"/>
      <c r="RQ104" s="11"/>
      <c r="RR104" s="11"/>
      <c r="RS104" s="11"/>
      <c r="RT104" s="11"/>
      <c r="RU104" s="11"/>
      <c r="RV104" s="11"/>
      <c r="RW104" s="11"/>
      <c r="RX104" s="11"/>
      <c r="RY104" s="11"/>
      <c r="RZ104" s="11"/>
      <c r="SA104" s="11"/>
      <c r="SB104" s="11"/>
      <c r="SC104" s="11"/>
      <c r="SD104" s="11"/>
      <c r="SE104" s="11"/>
      <c r="SF104" s="11"/>
      <c r="SG104" s="11"/>
      <c r="SH104" s="11"/>
      <c r="SI104" s="11"/>
      <c r="SJ104" s="11"/>
      <c r="SK104" s="11"/>
      <c r="SL104" s="11"/>
      <c r="SM104" s="11"/>
      <c r="SN104" s="11"/>
      <c r="SO104" s="11"/>
      <c r="SP104" s="11"/>
      <c r="SQ104" s="11"/>
      <c r="SR104" s="11"/>
      <c r="SS104" s="11"/>
      <c r="ST104" s="11"/>
      <c r="SU104" s="11"/>
      <c r="SV104" s="11"/>
      <c r="SW104" s="11"/>
      <c r="SX104" s="11"/>
      <c r="SY104" s="11"/>
      <c r="SZ104" s="11"/>
      <c r="TA104" s="11"/>
      <c r="TB104" s="11"/>
      <c r="TC104" s="11"/>
      <c r="TD104" s="11"/>
      <c r="TE104" s="11"/>
      <c r="TF104" s="11"/>
      <c r="TG104" s="11"/>
      <c r="TH104" s="11"/>
      <c r="TI104" s="11"/>
      <c r="TJ104" s="11"/>
      <c r="TK104" s="11"/>
      <c r="TL104" s="11"/>
      <c r="TM104" s="11"/>
      <c r="TN104" s="11"/>
      <c r="TO104" s="11"/>
      <c r="TP104" s="11"/>
      <c r="TQ104" s="11"/>
      <c r="TR104" s="11"/>
      <c r="TS104" s="11"/>
      <c r="TT104" s="11"/>
      <c r="TU104" s="11"/>
      <c r="TV104" s="11"/>
      <c r="TW104" s="11"/>
      <c r="TX104" s="11"/>
      <c r="TY104" s="11"/>
      <c r="TZ104" s="11"/>
      <c r="UA104" s="11"/>
      <c r="UB104" s="11"/>
      <c r="UC104" s="11"/>
      <c r="UD104" s="11"/>
      <c r="UE104" s="11"/>
      <c r="UF104" s="11"/>
      <c r="UG104" s="11"/>
      <c r="UH104" s="11"/>
      <c r="UI104" s="11"/>
      <c r="UJ104" s="11"/>
      <c r="UK104" s="11"/>
      <c r="UL104" s="11"/>
      <c r="UM104" s="11"/>
      <c r="UN104" s="11"/>
      <c r="UO104" s="11"/>
      <c r="UP104" s="11"/>
      <c r="UQ104" s="11"/>
      <c r="UR104" s="11"/>
      <c r="US104" s="11"/>
      <c r="UT104" s="11"/>
      <c r="UU104" s="11"/>
      <c r="UV104" s="11"/>
      <c r="UW104" s="11"/>
      <c r="UX104" s="11"/>
      <c r="UY104" s="11"/>
      <c r="UZ104" s="11"/>
      <c r="VA104" s="11"/>
      <c r="VB104" s="11"/>
      <c r="VC104" s="11"/>
      <c r="VD104" s="11"/>
      <c r="VE104" s="11"/>
      <c r="VF104" s="11"/>
      <c r="VG104" s="11"/>
      <c r="VH104" s="11"/>
      <c r="VI104" s="11"/>
      <c r="VJ104" s="11"/>
      <c r="VK104" s="11"/>
      <c r="VL104" s="11"/>
      <c r="VM104" s="11"/>
      <c r="VN104" s="11"/>
      <c r="VO104" s="11"/>
      <c r="VP104" s="11"/>
      <c r="VQ104" s="11"/>
      <c r="VR104" s="11"/>
      <c r="VS104" s="11"/>
      <c r="VT104" s="11"/>
      <c r="VU104" s="11"/>
      <c r="VV104" s="11"/>
      <c r="VW104" s="11"/>
      <c r="VX104" s="11"/>
      <c r="VY104" s="11"/>
      <c r="VZ104" s="11"/>
      <c r="WA104" s="11"/>
      <c r="WB104" s="11"/>
      <c r="WC104" s="11"/>
      <c r="WD104" s="11"/>
      <c r="WE104" s="11"/>
      <c r="WF104" s="11"/>
      <c r="WG104" s="11"/>
      <c r="WH104" s="11"/>
      <c r="WI104" s="11"/>
      <c r="WJ104" s="11"/>
      <c r="WK104" s="11"/>
      <c r="WL104" s="11"/>
      <c r="WM104" s="11"/>
      <c r="WN104" s="11"/>
      <c r="WO104" s="11"/>
      <c r="WP104" s="11"/>
      <c r="WQ104" s="11"/>
      <c r="WR104" s="11"/>
      <c r="WS104" s="11"/>
      <c r="WT104" s="11"/>
      <c r="WU104" s="11"/>
      <c r="WV104" s="11"/>
      <c r="WW104" s="11"/>
      <c r="WX104" s="11"/>
      <c r="WY104" s="11"/>
      <c r="WZ104" s="11"/>
      <c r="XA104" s="11"/>
      <c r="XB104" s="11"/>
      <c r="XC104" s="11"/>
      <c r="XD104" s="11"/>
      <c r="XE104" s="11"/>
      <c r="XF104" s="11"/>
      <c r="XG104" s="11"/>
      <c r="XH104" s="11"/>
      <c r="XI104" s="11"/>
      <c r="XJ104" s="11"/>
      <c r="XK104" s="11"/>
      <c r="XL104" s="11"/>
      <c r="XM104" s="11"/>
      <c r="XN104" s="11"/>
      <c r="XO104" s="11"/>
      <c r="XP104" s="11"/>
      <c r="XQ104" s="11"/>
      <c r="XR104" s="11"/>
      <c r="XS104" s="11"/>
      <c r="XT104" s="11"/>
      <c r="XU104" s="11"/>
      <c r="XV104" s="11"/>
      <c r="XW104" s="11"/>
      <c r="XX104" s="11"/>
      <c r="XY104" s="11"/>
      <c r="XZ104" s="11"/>
      <c r="YA104" s="11"/>
      <c r="YB104" s="11"/>
      <c r="YC104" s="11"/>
      <c r="YD104" s="11"/>
      <c r="YE104" s="11"/>
      <c r="YF104" s="11"/>
      <c r="YG104" s="11"/>
      <c r="YH104" s="11"/>
      <c r="YI104" s="11"/>
      <c r="YJ104" s="11"/>
      <c r="YK104" s="11"/>
      <c r="YL104" s="11"/>
      <c r="YM104" s="11"/>
      <c r="YN104" s="11"/>
      <c r="YO104" s="11"/>
      <c r="YP104" s="11"/>
      <c r="YQ104" s="11"/>
      <c r="YR104" s="11"/>
      <c r="YS104" s="11"/>
      <c r="YT104" s="11"/>
      <c r="YU104" s="11"/>
      <c r="YV104" s="11"/>
      <c r="YW104" s="11"/>
      <c r="YX104" s="11"/>
      <c r="YY104" s="11"/>
      <c r="YZ104" s="11"/>
      <c r="ZA104" s="11"/>
      <c r="ZB104" s="11"/>
      <c r="ZC104" s="11"/>
      <c r="ZD104" s="11"/>
      <c r="ZE104" s="11"/>
      <c r="ZF104" s="11"/>
      <c r="ZG104" s="11"/>
      <c r="ZH104" s="11"/>
      <c r="ZI104" s="11"/>
      <c r="ZJ104" s="11"/>
      <c r="ZK104" s="11"/>
      <c r="ZL104" s="11"/>
      <c r="ZM104" s="11"/>
      <c r="ZN104" s="11"/>
      <c r="ZO104" s="11"/>
      <c r="ZP104" s="11"/>
      <c r="ZQ104" s="11"/>
      <c r="ZR104" s="11"/>
      <c r="ZS104" s="11"/>
      <c r="ZT104" s="11"/>
      <c r="ZU104" s="11"/>
      <c r="ZV104" s="11"/>
      <c r="ZW104" s="11"/>
      <c r="ZX104" s="11"/>
      <c r="ZY104" s="11"/>
      <c r="ZZ104" s="11"/>
      <c r="AAA104" s="11"/>
      <c r="AAB104" s="11"/>
      <c r="AAC104" s="11"/>
      <c r="AAD104" s="11"/>
      <c r="AAE104" s="11"/>
      <c r="AAF104" s="11"/>
      <c r="AAG104" s="11"/>
      <c r="AAH104" s="11"/>
      <c r="AAI104" s="11"/>
      <c r="AAJ104" s="11"/>
      <c r="AAK104" s="11"/>
      <c r="AAL104" s="11"/>
      <c r="AAM104" s="11"/>
      <c r="AAN104" s="11"/>
      <c r="AAO104" s="11"/>
      <c r="AAP104" s="11"/>
      <c r="AAQ104" s="11"/>
      <c r="AAR104" s="11"/>
      <c r="AAS104" s="11"/>
      <c r="AAT104" s="11"/>
      <c r="AAU104" s="11"/>
      <c r="AAV104" s="11"/>
      <c r="AAW104" s="11"/>
      <c r="AAX104" s="11"/>
      <c r="AAY104" s="11"/>
      <c r="AAZ104" s="11"/>
      <c r="ABA104" s="11"/>
      <c r="ABB104" s="11"/>
      <c r="ABC104" s="11"/>
      <c r="ABD104" s="11"/>
      <c r="ABE104" s="11"/>
      <c r="ABF104" s="11"/>
      <c r="ABG104" s="11"/>
      <c r="ABH104" s="11"/>
      <c r="ABI104" s="11"/>
      <c r="ABJ104" s="11"/>
      <c r="ABK104" s="11"/>
      <c r="ABL104" s="11"/>
      <c r="ABM104" s="11"/>
      <c r="ABN104" s="11"/>
      <c r="ABO104" s="11"/>
      <c r="ABP104" s="11"/>
      <c r="ABQ104" s="11"/>
      <c r="ABR104" s="11"/>
      <c r="ABS104" s="11"/>
      <c r="ABT104" s="11"/>
      <c r="ABU104" s="11"/>
      <c r="ABV104" s="11"/>
      <c r="ABW104" s="11"/>
      <c r="ABX104" s="11"/>
      <c r="ABY104" s="11"/>
      <c r="ABZ104" s="11"/>
      <c r="ACA104" s="11"/>
      <c r="ACB104" s="11"/>
      <c r="ACC104" s="11"/>
      <c r="ACD104" s="11"/>
      <c r="ACE104" s="11"/>
      <c r="ACF104" s="11"/>
      <c r="ACG104" s="11"/>
      <c r="ACH104" s="11"/>
      <c r="ACI104" s="11"/>
      <c r="ACJ104" s="11"/>
      <c r="ACK104" s="11"/>
      <c r="ACL104" s="11"/>
      <c r="ACM104" s="11"/>
      <c r="ACN104" s="11"/>
      <c r="ACO104" s="11"/>
      <c r="ACP104" s="11"/>
      <c r="ACQ104" s="11"/>
      <c r="ACR104" s="11"/>
      <c r="ACS104" s="11"/>
      <c r="ACT104" s="11"/>
      <c r="ACU104" s="11"/>
      <c r="ACV104" s="11"/>
      <c r="ACW104" s="11"/>
      <c r="ACX104" s="11"/>
      <c r="ACY104" s="11"/>
      <c r="ACZ104" s="11"/>
      <c r="ADA104" s="11"/>
      <c r="ADB104" s="11"/>
      <c r="ADC104" s="11"/>
      <c r="ADD104" s="11"/>
      <c r="ADE104" s="11"/>
      <c r="ADF104" s="11"/>
      <c r="ADG104" s="11"/>
      <c r="ADH104" s="11"/>
      <c r="ADI104" s="11"/>
      <c r="ADJ104" s="11"/>
      <c r="ADK104" s="11"/>
      <c r="ADL104" s="11"/>
      <c r="ADM104" s="11"/>
      <c r="ADN104" s="11"/>
      <c r="ADO104" s="11"/>
      <c r="ADP104" s="11"/>
      <c r="ADQ104" s="11"/>
      <c r="ADR104" s="11"/>
      <c r="ADS104" s="11"/>
      <c r="ADT104" s="11"/>
      <c r="ADU104" s="11"/>
      <c r="ADV104" s="11"/>
      <c r="ADW104" s="11"/>
      <c r="ADX104" s="11"/>
      <c r="ADY104" s="11"/>
      <c r="ADZ104" s="11"/>
      <c r="AEA104" s="11"/>
      <c r="AEB104" s="11"/>
      <c r="AEC104" s="11"/>
      <c r="AED104" s="11"/>
      <c r="AEE104" s="11"/>
      <c r="AEF104" s="11"/>
      <c r="AEG104" s="11"/>
      <c r="AEH104" s="11"/>
      <c r="AEI104" s="11"/>
      <c r="AEJ104" s="11"/>
      <c r="AEK104" s="11"/>
      <c r="AEL104" s="11"/>
      <c r="AEM104" s="11"/>
      <c r="AEN104" s="11"/>
      <c r="AEO104" s="11"/>
      <c r="AEP104" s="11"/>
      <c r="AEQ104" s="11"/>
      <c r="AER104" s="11"/>
      <c r="AES104" s="11"/>
      <c r="AET104" s="11"/>
      <c r="AEU104" s="11"/>
      <c r="AEV104" s="11"/>
      <c r="AEW104" s="11"/>
      <c r="AEX104" s="11"/>
      <c r="AEY104" s="11"/>
      <c r="AEZ104" s="11"/>
      <c r="AFA104" s="11"/>
      <c r="AFB104" s="11"/>
      <c r="AFC104" s="11"/>
      <c r="AFD104" s="11"/>
      <c r="AFE104" s="11"/>
      <c r="AFF104" s="11"/>
      <c r="AFG104" s="11"/>
      <c r="AFH104" s="11"/>
      <c r="AFI104" s="11"/>
    </row>
    <row r="105" spans="2:841">
      <c r="B105" s="11"/>
      <c r="C105" s="657"/>
      <c r="D105" s="289" t="s">
        <v>629</v>
      </c>
      <c r="E105" s="551">
        <f>SUMIFS(M_Datos!$N$47:$N$49,M_Datos!$O$47:$O$49,M_Lista!G23)</f>
        <v>0</v>
      </c>
      <c r="F105" s="312" t="e">
        <f>IF(AND(M_FactoresComplement!$G$439="No",M_FactoresComplement!$G$441="No"),M_Cálculos!E105*VLOOKUP(M_Datos!$E$12&amp;M_Cálculos!D105,M_Factores!$M$10:$P$108,2,FALSE)/(10^3),IF(AND(M_FactoresComplement!$G$439="Sí",M_FactoresComplement!$G$441="No"),E105*M_FactoresComplement!G465/(10^3),E105*VLOOKUP(M_FactoresComplement!$C$467&amp;M_Datos!$E$12&amp;M_Lista!G22,M_FactoresComplement!$F$446:$I$781,2,FALSE)/(10^3)))</f>
        <v>#N/A</v>
      </c>
      <c r="G105" s="313" t="e">
        <f>IF(AND(M_FactoresComplement!$G$439="No",M_FactoresComplement!$G$441="No"),M_Cálculos!E105*VLOOKUP(M_Datos!$E$12&amp;M_Cálculos!D105,M_Factores!$M$10:$P$108,3,FALSE)/(10^3),IF(AND(M_FactoresComplement!$G$439="Sí",M_FactoresComplement!$G$441="No"),E105*M_FactoresComplement!H465/(10^3),E105*VLOOKUP(M_FactoresComplement!$C$467&amp;M_Datos!$E$12&amp;M_Lista!G22,M_FactoresComplement!$F$446:$I$781,3,FALSE)/(10^3)))</f>
        <v>#N/A</v>
      </c>
      <c r="H105" s="551">
        <f>SUMIFS(M_Datos!$P$47:$P$49,M_Datos!$Q$47:$Q$49,M_Lista!G23)</f>
        <v>0</v>
      </c>
      <c r="I105" s="312" t="e">
        <f>IF(AND(M_FactoresComplement!$G$439="No",M_FactoresComplement!$G$441="No"),M_Cálculos!H105*VLOOKUP(M_Datos!$E$12&amp;M_Cálculos!D105,M_Factores!$M$10:$P$108,2,FALSE)/(10^3),IF(AND(M_FactoresComplement!$G$439="Sí",M_FactoresComplement!$G$441="No"),H105*M_FactoresComplement!G465/(10^3),H105*VLOOKUP(M_FactoresComplement!$C$467&amp;M_Datos!$E$12&amp;M_Lista!G22,M_FactoresComplement!$F$446:$I$781,2,FALSE)/(10^3)))</f>
        <v>#N/A</v>
      </c>
      <c r="J105" s="313" t="e">
        <f>IF(AND(M_FactoresComplement!$G$439="No",M_FactoresComplement!$G$441="No"),M_Cálculos!H105*VLOOKUP(M_Datos!$E$12&amp;M_Cálculos!D105,M_Factores!$M$10:$P$108,3,FALSE)/(10^3),IF(AND(M_FactoresComplement!$G$439="Sí",M_FactoresComplement!$G$441="No"),H105*M_FactoresComplement!H465/(10^3),H105*VLOOKUP(M_FactoresComplement!$C$467&amp;M_Datos!$E$12&amp;M_Lista!G22,M_FactoresComplement!$F$446:$I$781,3,FALSE)/(10^3)))</f>
        <v>#N/A</v>
      </c>
      <c r="K105" s="551">
        <f>SUMIFS(M_Datos!$R$47:$R$49,M_Datos!$S$47:$S$49,M_Lista!G23)</f>
        <v>0</v>
      </c>
      <c r="L105" s="312" t="e">
        <f>IF(AND(M_FactoresComplement!$G$439="No",M_FactoresComplement!$G$441="No"),M_Cálculos!K105*VLOOKUP(M_Datos!$E$12&amp;M_Cálculos!D105,M_Factores!$M$10:$P$108,2,FALSE)/(10^3),IF(AND(M_FactoresComplement!$G$439="Sí",M_FactoresComplement!$G$441="No"),K105*M_FactoresComplement!G465/(10^3),K105*VLOOKUP(M_FactoresComplement!$C$467&amp;M_Datos!$E$12&amp;M_Lista!G22,M_FactoresComplement!$F$446:$I$781,2,FALSE)/(10^3)))</f>
        <v>#N/A</v>
      </c>
      <c r="M105" s="313" t="e">
        <f>IF(AND(M_FactoresComplement!$G$439="No",M_FactoresComplement!$G$441="No"),M_Cálculos!K105*VLOOKUP(M_Datos!$E$12&amp;M_Cálculos!D105,M_Factores!$M$10:$P$108,3,FALSE)/(10^3),IF(AND(M_FactoresComplement!$G$439="Sí",M_FactoresComplement!$G$441="No"),K105*M_FactoresComplement!H465/(10^3),K105*VLOOKUP(M_FactoresComplement!$C$467&amp;M_Datos!$E$12&amp;M_Lista!G22,M_FactoresComplement!$F$446:$I$781,3,FALSE)/(10^3)))</f>
        <v>#N/A</v>
      </c>
      <c r="N105" s="551">
        <f>SUMIFS(M_Datos!$T$47:$T$49,M_Datos!$U$47:$U$49,M_Lista!G23)</f>
        <v>0</v>
      </c>
      <c r="O105" s="312" t="e">
        <f>IF(AND(M_FactoresComplement!$G$439="No",M_FactoresComplement!$G$441="No"),M_Cálculos!N105*VLOOKUP(M_Datos!$E$12&amp;M_Cálculos!D105,M_Factores!$M$10:$P$108,2,FALSE)/(10^3),IF(AND(M_FactoresComplement!$G$439="Sí",M_FactoresComplement!$G$441="No"),N105*M_FactoresComplement!G465/(10^3),N105*VLOOKUP(M_FactoresComplement!$C$467&amp;M_Datos!$E$12&amp;M_Lista!G22,M_FactoresComplement!$F$446:$I$781,2,FALSE)/(10^3)))</f>
        <v>#N/A</v>
      </c>
      <c r="P105" s="313" t="e">
        <f>IF(AND(M_FactoresComplement!$G$439="No",M_FactoresComplement!$G$441="No"),M_Cálculos!N105*VLOOKUP(M_Datos!$E$12&amp;M_Cálculos!D105,M_Factores!$M$10:$P$108,3,FALSE)/(10^3),IF(AND(M_FactoresComplement!$G$439="Sí",M_FactoresComplement!$G$441="No"),N105*M_FactoresComplement!H465/(10^3),N105*VLOOKUP(M_FactoresComplement!$C$467&amp;M_Datos!$E$12&amp;M_Lista!G22,M_FactoresComplement!$F$446:$I$781,3,FALSE)/(10^3)))</f>
        <v>#N/A</v>
      </c>
      <c r="Q105" s="551">
        <f>SUMIFS(M_Datos!$V$47:$V$49,M_Datos!$W$47:$W$49,M_Lista!G23)</f>
        <v>0</v>
      </c>
      <c r="R105" s="312" t="e">
        <f>IF(AND(M_FactoresComplement!$G$439="No",M_FactoresComplement!$G$441="No"),M_Cálculos!Q105*VLOOKUP(M_Datos!$E$12&amp;M_Cálculos!D105,M_Factores!$M$10:$P$108,2,FALSE)/(10^3),IF(AND(M_FactoresComplement!$G$439="Sí",M_FactoresComplement!$G$441="No"),Q105*M_FactoresComplement!G465/(10^3),Q105*VLOOKUP(M_FactoresComplement!$C$467&amp;M_Datos!$E$12&amp;M_Lista!G22,M_FactoresComplement!$F$446:$I$781,2,FALSE)/(10^3)))</f>
        <v>#N/A</v>
      </c>
      <c r="S105" s="313" t="e">
        <f>IF(AND(M_FactoresComplement!$G$439="No",M_FactoresComplement!$G$441="No"),M_Cálculos!Q105*VLOOKUP(M_Datos!$E$12&amp;M_Cálculos!D105,M_Factores!$M$10:$P$108,3,FALSE)/(10^3),IF(AND(M_FactoresComplement!$G$439="Sí",M_FactoresComplement!$G$441="No"),Q105*M_FactoresComplement!H465/(10^3),Q105*VLOOKUP(M_FactoresComplement!$C$467&amp;M_Datos!$E$12&amp;M_Lista!G22,M_FactoresComplement!$F$446:$I$781,3,FALSE)/(10^3)))</f>
        <v>#N/A</v>
      </c>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c r="JH105" s="11"/>
      <c r="JI105" s="11"/>
      <c r="JJ105" s="11"/>
      <c r="JK105" s="11"/>
      <c r="JL105" s="11"/>
      <c r="JM105" s="11"/>
      <c r="JN105" s="11"/>
      <c r="JO105" s="11"/>
      <c r="JP105" s="11"/>
      <c r="JQ105" s="11"/>
      <c r="JR105" s="11"/>
      <c r="JS105" s="11"/>
      <c r="JT105" s="11"/>
      <c r="JU105" s="11"/>
      <c r="JV105" s="11"/>
      <c r="JW105" s="11"/>
      <c r="JX105" s="11"/>
      <c r="JY105" s="11"/>
      <c r="JZ105" s="11"/>
      <c r="KA105" s="11"/>
      <c r="KB105" s="11"/>
      <c r="KC105" s="11"/>
      <c r="KD105" s="11"/>
      <c r="KE105" s="11"/>
      <c r="KF105" s="11"/>
      <c r="KG105" s="11"/>
      <c r="KH105" s="11"/>
      <c r="KI105" s="11"/>
      <c r="KJ105" s="11"/>
      <c r="KK105" s="11"/>
      <c r="KL105" s="11"/>
      <c r="KM105" s="11"/>
      <c r="KN105" s="11"/>
      <c r="KO105" s="11"/>
      <c r="KP105" s="11"/>
      <c r="KQ105" s="11"/>
      <c r="KR105" s="11"/>
      <c r="KS105" s="11"/>
      <c r="KT105" s="11"/>
      <c r="KU105" s="11"/>
      <c r="KV105" s="11"/>
      <c r="KW105" s="11"/>
      <c r="KX105" s="11"/>
      <c r="KY105" s="11"/>
      <c r="KZ105" s="11"/>
      <c r="LA105" s="11"/>
      <c r="LB105" s="11"/>
      <c r="LC105" s="11"/>
      <c r="LD105" s="11"/>
      <c r="LE105" s="11"/>
      <c r="LF105" s="11"/>
      <c r="LG105" s="11"/>
      <c r="LH105" s="11"/>
      <c r="LI105" s="11"/>
      <c r="LJ105" s="11"/>
      <c r="LK105" s="11"/>
      <c r="LL105" s="11"/>
      <c r="LM105" s="11"/>
      <c r="LN105" s="11"/>
      <c r="LO105" s="11"/>
      <c r="LP105" s="11"/>
      <c r="LQ105" s="11"/>
      <c r="LR105" s="11"/>
      <c r="LS105" s="11"/>
      <c r="LT105" s="11"/>
      <c r="LU105" s="11"/>
      <c r="LV105" s="11"/>
      <c r="LW105" s="11"/>
      <c r="LX105" s="11"/>
      <c r="LY105" s="11"/>
      <c r="LZ105" s="11"/>
      <c r="MA105" s="11"/>
      <c r="MB105" s="11"/>
      <c r="MC105" s="11"/>
      <c r="MD105" s="11"/>
      <c r="ME105" s="11"/>
      <c r="MF105" s="11"/>
      <c r="MG105" s="11"/>
      <c r="MH105" s="11"/>
      <c r="MI105" s="11"/>
      <c r="MJ105" s="11"/>
      <c r="MK105" s="11"/>
      <c r="ML105" s="11"/>
      <c r="MM105" s="11"/>
      <c r="MN105" s="11"/>
      <c r="MO105" s="11"/>
      <c r="MP105" s="11"/>
      <c r="MQ105" s="11"/>
      <c r="MR105" s="11"/>
      <c r="MS105" s="11"/>
      <c r="MT105" s="11"/>
      <c r="MU105" s="11"/>
      <c r="MV105" s="11"/>
      <c r="MW105" s="11"/>
      <c r="MX105" s="11"/>
      <c r="MY105" s="11"/>
      <c r="MZ105" s="11"/>
      <c r="NA105" s="11"/>
      <c r="NB105" s="11"/>
      <c r="NC105" s="11"/>
      <c r="ND105" s="11"/>
      <c r="NE105" s="11"/>
      <c r="NF105" s="11"/>
      <c r="NG105" s="11"/>
      <c r="NH105" s="11"/>
      <c r="NI105" s="11"/>
      <c r="NJ105" s="11"/>
      <c r="NK105" s="11"/>
      <c r="NL105" s="11"/>
      <c r="NM105" s="11"/>
      <c r="NN105" s="11"/>
      <c r="NO105" s="11"/>
      <c r="NP105" s="11"/>
      <c r="NQ105" s="11"/>
      <c r="NR105" s="11"/>
      <c r="NS105" s="11"/>
      <c r="NT105" s="11"/>
      <c r="NU105" s="11"/>
      <c r="NV105" s="11"/>
      <c r="NW105" s="11"/>
      <c r="NX105" s="11"/>
      <c r="NY105" s="11"/>
      <c r="NZ105" s="11"/>
      <c r="OA105" s="11"/>
      <c r="OB105" s="11"/>
      <c r="OC105" s="11"/>
      <c r="OD105" s="11"/>
      <c r="OE105" s="11"/>
      <c r="OF105" s="11"/>
      <c r="OG105" s="11"/>
      <c r="OH105" s="11"/>
      <c r="OI105" s="11"/>
      <c r="OJ105" s="11"/>
      <c r="OK105" s="11"/>
      <c r="OL105" s="11"/>
      <c r="OM105" s="11"/>
      <c r="ON105" s="11"/>
      <c r="OO105" s="11"/>
      <c r="OP105" s="11"/>
      <c r="OQ105" s="11"/>
      <c r="OR105" s="11"/>
      <c r="OS105" s="11"/>
      <c r="OT105" s="11"/>
      <c r="OU105" s="11"/>
      <c r="OV105" s="11"/>
      <c r="OW105" s="11"/>
      <c r="OX105" s="11"/>
      <c r="OY105" s="11"/>
      <c r="OZ105" s="11"/>
      <c r="PA105" s="11"/>
      <c r="PB105" s="11"/>
      <c r="PC105" s="11"/>
      <c r="PD105" s="11"/>
      <c r="PE105" s="11"/>
      <c r="PF105" s="11"/>
      <c r="PG105" s="11"/>
      <c r="PH105" s="11"/>
      <c r="PI105" s="11"/>
      <c r="PJ105" s="11"/>
      <c r="PK105" s="11"/>
      <c r="PL105" s="11"/>
      <c r="PM105" s="11"/>
      <c r="PN105" s="11"/>
      <c r="PO105" s="11"/>
      <c r="PP105" s="11"/>
      <c r="PQ105" s="11"/>
      <c r="PR105" s="11"/>
      <c r="PS105" s="11"/>
      <c r="PT105" s="11"/>
      <c r="PU105" s="11"/>
      <c r="PV105" s="11"/>
      <c r="PW105" s="11"/>
      <c r="PX105" s="11"/>
      <c r="PY105" s="11"/>
      <c r="PZ105" s="11"/>
      <c r="QA105" s="11"/>
      <c r="QB105" s="11"/>
      <c r="QC105" s="11"/>
      <c r="QD105" s="11"/>
      <c r="QE105" s="11"/>
      <c r="QF105" s="11"/>
      <c r="QG105" s="11"/>
      <c r="QH105" s="11"/>
      <c r="QI105" s="11"/>
      <c r="QJ105" s="11"/>
      <c r="QK105" s="11"/>
      <c r="QL105" s="11"/>
      <c r="QM105" s="11"/>
      <c r="QN105" s="11"/>
      <c r="QO105" s="11"/>
      <c r="QP105" s="11"/>
      <c r="QQ105" s="11"/>
      <c r="QR105" s="11"/>
      <c r="QS105" s="11"/>
      <c r="QT105" s="11"/>
      <c r="QU105" s="11"/>
      <c r="QV105" s="11"/>
      <c r="QW105" s="11"/>
      <c r="QX105" s="11"/>
      <c r="QY105" s="11"/>
      <c r="QZ105" s="11"/>
      <c r="RA105" s="11"/>
      <c r="RB105" s="11"/>
      <c r="RC105" s="11"/>
      <c r="RD105" s="11"/>
      <c r="RE105" s="11"/>
      <c r="RF105" s="11"/>
      <c r="RG105" s="11"/>
      <c r="RH105" s="11"/>
      <c r="RI105" s="11"/>
      <c r="RJ105" s="11"/>
      <c r="RK105" s="11"/>
      <c r="RL105" s="11"/>
      <c r="RM105" s="11"/>
      <c r="RN105" s="11"/>
      <c r="RO105" s="11"/>
      <c r="RP105" s="11"/>
      <c r="RQ105" s="11"/>
      <c r="RR105" s="11"/>
      <c r="RS105" s="11"/>
      <c r="RT105" s="11"/>
      <c r="RU105" s="11"/>
      <c r="RV105" s="11"/>
      <c r="RW105" s="11"/>
      <c r="RX105" s="11"/>
      <c r="RY105" s="11"/>
      <c r="RZ105" s="11"/>
      <c r="SA105" s="11"/>
      <c r="SB105" s="11"/>
      <c r="SC105" s="11"/>
      <c r="SD105" s="11"/>
      <c r="SE105" s="11"/>
      <c r="SF105" s="11"/>
      <c r="SG105" s="11"/>
      <c r="SH105" s="11"/>
      <c r="SI105" s="11"/>
      <c r="SJ105" s="11"/>
      <c r="SK105" s="11"/>
      <c r="SL105" s="11"/>
      <c r="SM105" s="11"/>
      <c r="SN105" s="11"/>
      <c r="SO105" s="11"/>
      <c r="SP105" s="11"/>
      <c r="SQ105" s="11"/>
      <c r="SR105" s="11"/>
      <c r="SS105" s="11"/>
      <c r="ST105" s="11"/>
      <c r="SU105" s="11"/>
      <c r="SV105" s="11"/>
      <c r="SW105" s="11"/>
      <c r="SX105" s="11"/>
      <c r="SY105" s="11"/>
      <c r="SZ105" s="11"/>
      <c r="TA105" s="11"/>
      <c r="TB105" s="11"/>
      <c r="TC105" s="11"/>
      <c r="TD105" s="11"/>
      <c r="TE105" s="11"/>
      <c r="TF105" s="11"/>
      <c r="TG105" s="11"/>
      <c r="TH105" s="11"/>
      <c r="TI105" s="11"/>
      <c r="TJ105" s="11"/>
      <c r="TK105" s="11"/>
      <c r="TL105" s="11"/>
      <c r="TM105" s="11"/>
      <c r="TN105" s="11"/>
      <c r="TO105" s="11"/>
      <c r="TP105" s="11"/>
      <c r="TQ105" s="11"/>
      <c r="TR105" s="11"/>
      <c r="TS105" s="11"/>
      <c r="TT105" s="11"/>
      <c r="TU105" s="11"/>
      <c r="TV105" s="11"/>
      <c r="TW105" s="11"/>
      <c r="TX105" s="11"/>
      <c r="TY105" s="11"/>
      <c r="TZ105" s="11"/>
      <c r="UA105" s="11"/>
      <c r="UB105" s="11"/>
      <c r="UC105" s="11"/>
      <c r="UD105" s="11"/>
      <c r="UE105" s="11"/>
      <c r="UF105" s="11"/>
      <c r="UG105" s="11"/>
      <c r="UH105" s="11"/>
      <c r="UI105" s="11"/>
      <c r="UJ105" s="11"/>
      <c r="UK105" s="11"/>
      <c r="UL105" s="11"/>
      <c r="UM105" s="11"/>
      <c r="UN105" s="11"/>
      <c r="UO105" s="11"/>
      <c r="UP105" s="11"/>
      <c r="UQ105" s="11"/>
      <c r="UR105" s="11"/>
      <c r="US105" s="11"/>
      <c r="UT105" s="11"/>
      <c r="UU105" s="11"/>
      <c r="UV105" s="11"/>
      <c r="UW105" s="11"/>
      <c r="UX105" s="11"/>
      <c r="UY105" s="11"/>
      <c r="UZ105" s="11"/>
      <c r="VA105" s="11"/>
      <c r="VB105" s="11"/>
      <c r="VC105" s="11"/>
      <c r="VD105" s="11"/>
      <c r="VE105" s="11"/>
      <c r="VF105" s="11"/>
      <c r="VG105" s="11"/>
      <c r="VH105" s="11"/>
      <c r="VI105" s="11"/>
      <c r="VJ105" s="11"/>
      <c r="VK105" s="11"/>
      <c r="VL105" s="11"/>
      <c r="VM105" s="11"/>
      <c r="VN105" s="11"/>
      <c r="VO105" s="11"/>
      <c r="VP105" s="11"/>
      <c r="VQ105" s="11"/>
      <c r="VR105" s="11"/>
      <c r="VS105" s="11"/>
      <c r="VT105" s="11"/>
      <c r="VU105" s="11"/>
      <c r="VV105" s="11"/>
      <c r="VW105" s="11"/>
      <c r="VX105" s="11"/>
      <c r="VY105" s="11"/>
      <c r="VZ105" s="11"/>
      <c r="WA105" s="11"/>
      <c r="WB105" s="11"/>
      <c r="WC105" s="11"/>
      <c r="WD105" s="11"/>
      <c r="WE105" s="11"/>
      <c r="WF105" s="11"/>
      <c r="WG105" s="11"/>
      <c r="WH105" s="11"/>
      <c r="WI105" s="11"/>
      <c r="WJ105" s="11"/>
      <c r="WK105" s="11"/>
      <c r="WL105" s="11"/>
      <c r="WM105" s="11"/>
      <c r="WN105" s="11"/>
      <c r="WO105" s="11"/>
      <c r="WP105" s="11"/>
      <c r="WQ105" s="11"/>
      <c r="WR105" s="11"/>
      <c r="WS105" s="11"/>
      <c r="WT105" s="11"/>
      <c r="WU105" s="11"/>
      <c r="WV105" s="11"/>
      <c r="WW105" s="11"/>
      <c r="WX105" s="11"/>
      <c r="WY105" s="11"/>
      <c r="WZ105" s="11"/>
      <c r="XA105" s="11"/>
      <c r="XB105" s="11"/>
      <c r="XC105" s="11"/>
      <c r="XD105" s="11"/>
      <c r="XE105" s="11"/>
      <c r="XF105" s="11"/>
      <c r="XG105" s="11"/>
      <c r="XH105" s="11"/>
      <c r="XI105" s="11"/>
      <c r="XJ105" s="11"/>
      <c r="XK105" s="11"/>
      <c r="XL105" s="11"/>
      <c r="XM105" s="11"/>
      <c r="XN105" s="11"/>
      <c r="XO105" s="11"/>
      <c r="XP105" s="11"/>
      <c r="XQ105" s="11"/>
      <c r="XR105" s="11"/>
      <c r="XS105" s="11"/>
      <c r="XT105" s="11"/>
      <c r="XU105" s="11"/>
      <c r="XV105" s="11"/>
      <c r="XW105" s="11"/>
      <c r="XX105" s="11"/>
      <c r="XY105" s="11"/>
      <c r="XZ105" s="11"/>
      <c r="YA105" s="11"/>
      <c r="YB105" s="11"/>
      <c r="YC105" s="11"/>
      <c r="YD105" s="11"/>
      <c r="YE105" s="11"/>
      <c r="YF105" s="11"/>
      <c r="YG105" s="11"/>
      <c r="YH105" s="11"/>
      <c r="YI105" s="11"/>
      <c r="YJ105" s="11"/>
      <c r="YK105" s="11"/>
      <c r="YL105" s="11"/>
      <c r="YM105" s="11"/>
      <c r="YN105" s="11"/>
      <c r="YO105" s="11"/>
      <c r="YP105" s="11"/>
      <c r="YQ105" s="11"/>
      <c r="YR105" s="11"/>
      <c r="YS105" s="11"/>
      <c r="YT105" s="11"/>
      <c r="YU105" s="11"/>
      <c r="YV105" s="11"/>
      <c r="YW105" s="11"/>
      <c r="YX105" s="11"/>
      <c r="YY105" s="11"/>
      <c r="YZ105" s="11"/>
      <c r="ZA105" s="11"/>
      <c r="ZB105" s="11"/>
      <c r="ZC105" s="11"/>
      <c r="ZD105" s="11"/>
      <c r="ZE105" s="11"/>
      <c r="ZF105" s="11"/>
      <c r="ZG105" s="11"/>
      <c r="ZH105" s="11"/>
      <c r="ZI105" s="11"/>
      <c r="ZJ105" s="11"/>
      <c r="ZK105" s="11"/>
      <c r="ZL105" s="11"/>
      <c r="ZM105" s="11"/>
      <c r="ZN105" s="11"/>
      <c r="ZO105" s="11"/>
      <c r="ZP105" s="11"/>
      <c r="ZQ105" s="11"/>
      <c r="ZR105" s="11"/>
      <c r="ZS105" s="11"/>
      <c r="ZT105" s="11"/>
      <c r="ZU105" s="11"/>
      <c r="ZV105" s="11"/>
      <c r="ZW105" s="11"/>
      <c r="ZX105" s="11"/>
      <c r="ZY105" s="11"/>
      <c r="ZZ105" s="11"/>
      <c r="AAA105" s="11"/>
      <c r="AAB105" s="11"/>
      <c r="AAC105" s="11"/>
      <c r="AAD105" s="11"/>
      <c r="AAE105" s="11"/>
      <c r="AAF105" s="11"/>
      <c r="AAG105" s="11"/>
      <c r="AAH105" s="11"/>
      <c r="AAI105" s="11"/>
      <c r="AAJ105" s="11"/>
      <c r="AAK105" s="11"/>
      <c r="AAL105" s="11"/>
      <c r="AAM105" s="11"/>
      <c r="AAN105" s="11"/>
      <c r="AAO105" s="11"/>
      <c r="AAP105" s="11"/>
      <c r="AAQ105" s="11"/>
      <c r="AAR105" s="11"/>
      <c r="AAS105" s="11"/>
      <c r="AAT105" s="11"/>
      <c r="AAU105" s="11"/>
      <c r="AAV105" s="11"/>
      <c r="AAW105" s="11"/>
      <c r="AAX105" s="11"/>
      <c r="AAY105" s="11"/>
      <c r="AAZ105" s="11"/>
      <c r="ABA105" s="11"/>
      <c r="ABB105" s="11"/>
      <c r="ABC105" s="11"/>
      <c r="ABD105" s="11"/>
      <c r="ABE105" s="11"/>
      <c r="ABF105" s="11"/>
      <c r="ABG105" s="11"/>
      <c r="ABH105" s="11"/>
      <c r="ABI105" s="11"/>
      <c r="ABJ105" s="11"/>
      <c r="ABK105" s="11"/>
      <c r="ABL105" s="11"/>
      <c r="ABM105" s="11"/>
      <c r="ABN105" s="11"/>
      <c r="ABO105" s="11"/>
      <c r="ABP105" s="11"/>
      <c r="ABQ105" s="11"/>
      <c r="ABR105" s="11"/>
      <c r="ABS105" s="11"/>
      <c r="ABT105" s="11"/>
      <c r="ABU105" s="11"/>
      <c r="ABV105" s="11"/>
      <c r="ABW105" s="11"/>
      <c r="ABX105" s="11"/>
      <c r="ABY105" s="11"/>
      <c r="ABZ105" s="11"/>
      <c r="ACA105" s="11"/>
      <c r="ACB105" s="11"/>
      <c r="ACC105" s="11"/>
      <c r="ACD105" s="11"/>
      <c r="ACE105" s="11"/>
      <c r="ACF105" s="11"/>
      <c r="ACG105" s="11"/>
      <c r="ACH105" s="11"/>
      <c r="ACI105" s="11"/>
      <c r="ACJ105" s="11"/>
      <c r="ACK105" s="11"/>
      <c r="ACL105" s="11"/>
      <c r="ACM105" s="11"/>
      <c r="ACN105" s="11"/>
      <c r="ACO105" s="11"/>
      <c r="ACP105" s="11"/>
      <c r="ACQ105" s="11"/>
      <c r="ACR105" s="11"/>
      <c r="ACS105" s="11"/>
      <c r="ACT105" s="11"/>
      <c r="ACU105" s="11"/>
      <c r="ACV105" s="11"/>
      <c r="ACW105" s="11"/>
      <c r="ACX105" s="11"/>
      <c r="ACY105" s="11"/>
      <c r="ACZ105" s="11"/>
      <c r="ADA105" s="11"/>
      <c r="ADB105" s="11"/>
      <c r="ADC105" s="11"/>
      <c r="ADD105" s="11"/>
      <c r="ADE105" s="11"/>
      <c r="ADF105" s="11"/>
      <c r="ADG105" s="11"/>
      <c r="ADH105" s="11"/>
      <c r="ADI105" s="11"/>
      <c r="ADJ105" s="11"/>
      <c r="ADK105" s="11"/>
      <c r="ADL105" s="11"/>
      <c r="ADM105" s="11"/>
      <c r="ADN105" s="11"/>
      <c r="ADO105" s="11"/>
      <c r="ADP105" s="11"/>
      <c r="ADQ105" s="11"/>
      <c r="ADR105" s="11"/>
      <c r="ADS105" s="11"/>
      <c r="ADT105" s="11"/>
      <c r="ADU105" s="11"/>
      <c r="ADV105" s="11"/>
      <c r="ADW105" s="11"/>
      <c r="ADX105" s="11"/>
      <c r="ADY105" s="11"/>
      <c r="ADZ105" s="11"/>
      <c r="AEA105" s="11"/>
      <c r="AEB105" s="11"/>
      <c r="AEC105" s="11"/>
      <c r="AED105" s="11"/>
      <c r="AEE105" s="11"/>
      <c r="AEF105" s="11"/>
      <c r="AEG105" s="11"/>
      <c r="AEH105" s="11"/>
      <c r="AEI105" s="11"/>
      <c r="AEJ105" s="11"/>
      <c r="AEK105" s="11"/>
      <c r="AEL105" s="11"/>
      <c r="AEM105" s="11"/>
      <c r="AEN105" s="11"/>
      <c r="AEO105" s="11"/>
      <c r="AEP105" s="11"/>
      <c r="AEQ105" s="11"/>
      <c r="AER105" s="11"/>
      <c r="AES105" s="11"/>
      <c r="AET105" s="11"/>
      <c r="AEU105" s="11"/>
      <c r="AEV105" s="11"/>
      <c r="AEW105" s="11"/>
      <c r="AEX105" s="11"/>
      <c r="AEY105" s="11"/>
      <c r="AEZ105" s="11"/>
      <c r="AFA105" s="11"/>
      <c r="AFB105" s="11"/>
      <c r="AFC105" s="11"/>
      <c r="AFD105" s="11"/>
      <c r="AFE105" s="11"/>
      <c r="AFF105" s="11"/>
      <c r="AFG105" s="11"/>
      <c r="AFH105" s="11"/>
      <c r="AFI105" s="11"/>
    </row>
    <row r="106" spans="2:841">
      <c r="B106" s="11"/>
      <c r="C106" s="657"/>
      <c r="D106" s="289" t="str">
        <f>IF(Idioma=Castellano,"Sin definir",IF(Idioma=Valencià,"Sense definir","Sin definir"))</f>
        <v>Sin definir</v>
      </c>
      <c r="E106" s="551">
        <f>SUMIFS(M_Datos!$N$47:$N$49,M_Datos!$O$47:$O$49,M_Lista!G24)</f>
        <v>0</v>
      </c>
      <c r="F106" s="312" t="e">
        <f>IF(AND(M_FactoresComplement!$G$439="No",M_FactoresComplement!$G$441="No"),M_Cálculos!E106*VLOOKUP(M_Datos!$E$12&amp;M_Cálculos!D106,M_Factores!$M$10:$P$108,2,FALSE)/(10^3),IF(AND(M_FactoresComplement!$G$439="Sí",M_FactoresComplement!$G$441="No"),E106*M_FactoresComplement!G466/(10^3),E106*VLOOKUP(M_FactoresComplement!$C$467&amp;M_Datos!$E$12&amp;M_Lista!G23,M_FactoresComplement!$F$446:$I$781,2,FALSE)/(10^3)))</f>
        <v>#N/A</v>
      </c>
      <c r="G106" s="313" t="e">
        <f>IF(AND(M_FactoresComplement!$G$439="No",M_FactoresComplement!$G$441="No"),M_Cálculos!E106*VLOOKUP(M_Datos!$E$12&amp;M_Cálculos!D106,M_Factores!$M$10:$P$108,3,FALSE)/(10^3),IF(AND(M_FactoresComplement!$G$439="Sí",M_FactoresComplement!$G$441="No"),E106*M_FactoresComplement!H466/(10^3),E106*VLOOKUP(M_FactoresComplement!$C$467&amp;M_Datos!$E$12&amp;M_Lista!G23,M_FactoresComplement!$F$446:$I$781,3,FALSE)/(10^3)))</f>
        <v>#N/A</v>
      </c>
      <c r="H106" s="551">
        <f>SUMIFS(M_Datos!$P$47:$P$49,M_Datos!$Q$47:$Q$49,M_Lista!G24)</f>
        <v>0</v>
      </c>
      <c r="I106" s="312" t="e">
        <f>IF(AND(M_FactoresComplement!$G$439="No",M_FactoresComplement!$G$441="No"),M_Cálculos!H106*VLOOKUP(M_Datos!$E$12&amp;M_Cálculos!D106,M_Factores!$M$10:$P$108,2,FALSE)/(10^3),IF(AND(M_FactoresComplement!$G$439="Sí",M_FactoresComplement!$G$441="No"),H106*M_FactoresComplement!G466/(10^3),H106*VLOOKUP(M_FactoresComplement!$C$467&amp;M_Datos!$E$12&amp;M_Lista!G23,M_FactoresComplement!$F$446:$I$781,2,FALSE)/(10^3)))</f>
        <v>#N/A</v>
      </c>
      <c r="J106" s="313" t="e">
        <f>IF(AND(M_FactoresComplement!$G$439="No",M_FactoresComplement!$G$441="No"),M_Cálculos!H106*VLOOKUP(M_Datos!$E$12&amp;M_Cálculos!D106,M_Factores!$M$10:$P$108,3,FALSE)/(10^3),IF(AND(M_FactoresComplement!$G$439="Sí",M_FactoresComplement!$G$441="No"),H106*M_FactoresComplement!H466/(10^3),H106*VLOOKUP(M_FactoresComplement!$C$467&amp;M_Datos!$E$12&amp;M_Lista!G23,M_FactoresComplement!$F$446:$I$781,3,FALSE)/(10^3)))</f>
        <v>#N/A</v>
      </c>
      <c r="K106" s="551">
        <f>SUMIFS(M_Datos!$R$47:$R$49,M_Datos!$S$47:$S$49,M_Lista!G24)</f>
        <v>0</v>
      </c>
      <c r="L106" s="312" t="e">
        <f>IF(AND(M_FactoresComplement!$G$439="No",M_FactoresComplement!$G$441="No"),M_Cálculos!K106*VLOOKUP(M_Datos!$E$12&amp;M_Cálculos!D106,M_Factores!$M$10:$P$108,2,FALSE)/(10^3),IF(AND(M_FactoresComplement!$G$439="Sí",M_FactoresComplement!$G$441="No"),K106*M_FactoresComplement!G466/(10^3),K106*VLOOKUP(M_FactoresComplement!$C$467&amp;M_Datos!$E$12&amp;M_Lista!G23,M_FactoresComplement!$F$446:$I$781,2,FALSE)/(10^3)))</f>
        <v>#N/A</v>
      </c>
      <c r="M106" s="313" t="e">
        <f>IF(AND(M_FactoresComplement!$G$439="No",M_FactoresComplement!$G$441="No"),M_Cálculos!K106*VLOOKUP(M_Datos!$E$12&amp;M_Cálculos!D106,M_Factores!$M$10:$P$108,3,FALSE)/(10^3),IF(AND(M_FactoresComplement!$G$439="Sí",M_FactoresComplement!$G$441="No"),K106*M_FactoresComplement!H466/(10^3),K106*VLOOKUP(M_FactoresComplement!$C$467&amp;M_Datos!$E$12&amp;M_Lista!G23,M_FactoresComplement!$F$446:$I$781,3,FALSE)/(10^3)))</f>
        <v>#N/A</v>
      </c>
      <c r="N106" s="551">
        <f>SUMIFS(M_Datos!$T$47:$T$49,M_Datos!$U$47:$U$49,M_Lista!G24)</f>
        <v>0</v>
      </c>
      <c r="O106" s="312" t="e">
        <f>IF(AND(M_FactoresComplement!$G$439="No",M_FactoresComplement!$G$441="No"),M_Cálculos!N106*VLOOKUP(M_Datos!$E$12&amp;M_Cálculos!D106,M_Factores!$M$10:$P$108,2,FALSE)/(10^3),IF(AND(M_FactoresComplement!$G$439="Sí",M_FactoresComplement!$G$441="No"),N106*M_FactoresComplement!G466/(10^3),N106*VLOOKUP(M_FactoresComplement!$C$467&amp;M_Datos!$E$12&amp;M_Lista!G23,M_FactoresComplement!$F$446:$I$781,2,FALSE)/(10^3)))</f>
        <v>#N/A</v>
      </c>
      <c r="P106" s="313" t="e">
        <f>IF(AND(M_FactoresComplement!$G$439="No",M_FactoresComplement!$G$441="No"),M_Cálculos!N106*VLOOKUP(M_Datos!$E$12&amp;M_Cálculos!D106,M_Factores!$M$10:$P$108,3,FALSE)/(10^3),IF(AND(M_FactoresComplement!$G$439="Sí",M_FactoresComplement!$G$441="No"),N106*M_FactoresComplement!H466/(10^3),N106*VLOOKUP(M_FactoresComplement!$C$467&amp;M_Datos!$E$12&amp;M_Lista!G23,M_FactoresComplement!$F$446:$I$781,3,FALSE)/(10^3)))</f>
        <v>#N/A</v>
      </c>
      <c r="Q106" s="551">
        <f>SUMIFS(M_Datos!$V$47:$V$49,M_Datos!$W$47:$W$49,M_Lista!G24)</f>
        <v>0</v>
      </c>
      <c r="R106" s="312" t="e">
        <f>IF(AND(M_FactoresComplement!$G$439="No",M_FactoresComplement!$G$441="No"),M_Cálculos!Q106*VLOOKUP(M_Datos!$E$12&amp;M_Cálculos!D106,M_Factores!$M$10:$P$108,2,FALSE)/(10^3),IF(AND(M_FactoresComplement!$G$439="Sí",M_FactoresComplement!$G$441="No"),Q106*M_FactoresComplement!G466/(10^3),Q106*VLOOKUP(M_FactoresComplement!$C$467&amp;M_Datos!$E$12&amp;M_Lista!G23,M_FactoresComplement!$F$446:$I$781,2,FALSE)/(10^3)))</f>
        <v>#N/A</v>
      </c>
      <c r="S106" s="313" t="e">
        <f>IF(AND(M_FactoresComplement!$G$439="No",M_FactoresComplement!$G$441="No"),M_Cálculos!Q106*VLOOKUP(M_Datos!$E$12&amp;M_Cálculos!D106,M_Factores!$M$10:$P$108,3,FALSE)/(10^3),IF(AND(M_FactoresComplement!$G$439="Sí",M_FactoresComplement!$G$441="No"),Q106*M_FactoresComplement!H466/(10^3),Q106*VLOOKUP(M_FactoresComplement!$C$467&amp;M_Datos!$E$12&amp;M_Lista!G23,M_FactoresComplement!$F$446:$I$781,3,FALSE)/(10^3)))</f>
        <v>#N/A</v>
      </c>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c r="ON106" s="11"/>
      <c r="OO106" s="11"/>
      <c r="OP106" s="11"/>
      <c r="OQ106" s="11"/>
      <c r="OR106" s="11"/>
      <c r="OS106" s="11"/>
      <c r="OT106" s="11"/>
      <c r="OU106" s="11"/>
      <c r="OV106" s="11"/>
      <c r="OW106" s="11"/>
      <c r="OX106" s="11"/>
      <c r="OY106" s="11"/>
      <c r="OZ106" s="11"/>
      <c r="PA106" s="11"/>
      <c r="PB106" s="11"/>
      <c r="PC106" s="11"/>
      <c r="PD106" s="11"/>
      <c r="PE106" s="11"/>
      <c r="PF106" s="11"/>
      <c r="PG106" s="11"/>
      <c r="PH106" s="11"/>
      <c r="PI106" s="11"/>
      <c r="PJ106" s="11"/>
      <c r="PK106" s="11"/>
      <c r="PL106" s="11"/>
      <c r="PM106" s="11"/>
      <c r="PN106" s="11"/>
      <c r="PO106" s="11"/>
      <c r="PP106" s="11"/>
      <c r="PQ106" s="11"/>
      <c r="PR106" s="11"/>
      <c r="PS106" s="11"/>
      <c r="PT106" s="11"/>
      <c r="PU106" s="11"/>
      <c r="PV106" s="11"/>
      <c r="PW106" s="11"/>
      <c r="PX106" s="11"/>
      <c r="PY106" s="11"/>
      <c r="PZ106" s="11"/>
      <c r="QA106" s="11"/>
      <c r="QB106" s="11"/>
      <c r="QC106" s="11"/>
      <c r="QD106" s="11"/>
      <c r="QE106" s="11"/>
      <c r="QF106" s="11"/>
      <c r="QG106" s="11"/>
      <c r="QH106" s="11"/>
      <c r="QI106" s="11"/>
      <c r="QJ106" s="11"/>
      <c r="QK106" s="11"/>
      <c r="QL106" s="11"/>
      <c r="QM106" s="11"/>
      <c r="QN106" s="11"/>
      <c r="QO106" s="11"/>
      <c r="QP106" s="11"/>
      <c r="QQ106" s="11"/>
      <c r="QR106" s="11"/>
      <c r="QS106" s="11"/>
      <c r="QT106" s="11"/>
      <c r="QU106" s="11"/>
      <c r="QV106" s="11"/>
      <c r="QW106" s="11"/>
      <c r="QX106" s="11"/>
      <c r="QY106" s="11"/>
      <c r="QZ106" s="11"/>
      <c r="RA106" s="11"/>
      <c r="RB106" s="11"/>
      <c r="RC106" s="11"/>
      <c r="RD106" s="11"/>
      <c r="RE106" s="11"/>
      <c r="RF106" s="11"/>
      <c r="RG106" s="11"/>
      <c r="RH106" s="11"/>
      <c r="RI106" s="11"/>
      <c r="RJ106" s="11"/>
      <c r="RK106" s="11"/>
      <c r="RL106" s="11"/>
      <c r="RM106" s="11"/>
      <c r="RN106" s="11"/>
      <c r="RO106" s="11"/>
      <c r="RP106" s="11"/>
      <c r="RQ106" s="11"/>
      <c r="RR106" s="11"/>
      <c r="RS106" s="11"/>
      <c r="RT106" s="11"/>
      <c r="RU106" s="11"/>
      <c r="RV106" s="11"/>
      <c r="RW106" s="11"/>
      <c r="RX106" s="11"/>
      <c r="RY106" s="11"/>
      <c r="RZ106" s="11"/>
      <c r="SA106" s="11"/>
      <c r="SB106" s="11"/>
      <c r="SC106" s="11"/>
      <c r="SD106" s="11"/>
      <c r="SE106" s="11"/>
      <c r="SF106" s="11"/>
      <c r="SG106" s="11"/>
      <c r="SH106" s="11"/>
      <c r="SI106" s="11"/>
      <c r="SJ106" s="11"/>
      <c r="SK106" s="11"/>
      <c r="SL106" s="11"/>
      <c r="SM106" s="11"/>
      <c r="SN106" s="11"/>
      <c r="SO106" s="11"/>
      <c r="SP106" s="11"/>
      <c r="SQ106" s="11"/>
      <c r="SR106" s="11"/>
      <c r="SS106" s="11"/>
      <c r="ST106" s="11"/>
      <c r="SU106" s="11"/>
      <c r="SV106" s="11"/>
      <c r="SW106" s="11"/>
      <c r="SX106" s="11"/>
      <c r="SY106" s="11"/>
      <c r="SZ106" s="11"/>
      <c r="TA106" s="11"/>
      <c r="TB106" s="11"/>
      <c r="TC106" s="11"/>
      <c r="TD106" s="11"/>
      <c r="TE106" s="11"/>
      <c r="TF106" s="11"/>
      <c r="TG106" s="11"/>
      <c r="TH106" s="11"/>
      <c r="TI106" s="11"/>
      <c r="TJ106" s="11"/>
      <c r="TK106" s="11"/>
      <c r="TL106" s="11"/>
      <c r="TM106" s="11"/>
      <c r="TN106" s="11"/>
      <c r="TO106" s="11"/>
      <c r="TP106" s="11"/>
      <c r="TQ106" s="11"/>
      <c r="TR106" s="11"/>
      <c r="TS106" s="11"/>
      <c r="TT106" s="11"/>
      <c r="TU106" s="11"/>
      <c r="TV106" s="11"/>
      <c r="TW106" s="11"/>
      <c r="TX106" s="11"/>
      <c r="TY106" s="11"/>
      <c r="TZ106" s="11"/>
      <c r="UA106" s="11"/>
      <c r="UB106" s="11"/>
      <c r="UC106" s="11"/>
      <c r="UD106" s="11"/>
      <c r="UE106" s="11"/>
      <c r="UF106" s="11"/>
      <c r="UG106" s="11"/>
      <c r="UH106" s="11"/>
      <c r="UI106" s="11"/>
      <c r="UJ106" s="11"/>
      <c r="UK106" s="11"/>
      <c r="UL106" s="11"/>
      <c r="UM106" s="11"/>
      <c r="UN106" s="11"/>
      <c r="UO106" s="11"/>
      <c r="UP106" s="11"/>
      <c r="UQ106" s="11"/>
      <c r="UR106" s="11"/>
      <c r="US106" s="11"/>
      <c r="UT106" s="11"/>
      <c r="UU106" s="11"/>
      <c r="UV106" s="11"/>
      <c r="UW106" s="11"/>
      <c r="UX106" s="11"/>
      <c r="UY106" s="11"/>
      <c r="UZ106" s="11"/>
      <c r="VA106" s="11"/>
      <c r="VB106" s="11"/>
      <c r="VC106" s="11"/>
      <c r="VD106" s="11"/>
      <c r="VE106" s="11"/>
      <c r="VF106" s="11"/>
      <c r="VG106" s="11"/>
      <c r="VH106" s="11"/>
      <c r="VI106" s="11"/>
      <c r="VJ106" s="11"/>
      <c r="VK106" s="11"/>
      <c r="VL106" s="11"/>
      <c r="VM106" s="11"/>
      <c r="VN106" s="11"/>
      <c r="VO106" s="11"/>
      <c r="VP106" s="11"/>
      <c r="VQ106" s="11"/>
      <c r="VR106" s="11"/>
      <c r="VS106" s="11"/>
      <c r="VT106" s="11"/>
      <c r="VU106" s="11"/>
      <c r="VV106" s="11"/>
      <c r="VW106" s="11"/>
      <c r="VX106" s="11"/>
      <c r="VY106" s="11"/>
      <c r="VZ106" s="11"/>
      <c r="WA106" s="11"/>
      <c r="WB106" s="11"/>
      <c r="WC106" s="11"/>
      <c r="WD106" s="11"/>
      <c r="WE106" s="11"/>
      <c r="WF106" s="11"/>
      <c r="WG106" s="11"/>
      <c r="WH106" s="11"/>
      <c r="WI106" s="11"/>
      <c r="WJ106" s="11"/>
      <c r="WK106" s="11"/>
      <c r="WL106" s="11"/>
      <c r="WM106" s="11"/>
      <c r="WN106" s="11"/>
      <c r="WO106" s="11"/>
      <c r="WP106" s="11"/>
      <c r="WQ106" s="11"/>
      <c r="WR106" s="11"/>
      <c r="WS106" s="11"/>
      <c r="WT106" s="11"/>
      <c r="WU106" s="11"/>
      <c r="WV106" s="11"/>
      <c r="WW106" s="11"/>
      <c r="WX106" s="11"/>
      <c r="WY106" s="11"/>
      <c r="WZ106" s="11"/>
      <c r="XA106" s="11"/>
      <c r="XB106" s="11"/>
      <c r="XC106" s="11"/>
      <c r="XD106" s="11"/>
      <c r="XE106" s="11"/>
      <c r="XF106" s="11"/>
      <c r="XG106" s="11"/>
      <c r="XH106" s="11"/>
      <c r="XI106" s="11"/>
      <c r="XJ106" s="11"/>
      <c r="XK106" s="11"/>
      <c r="XL106" s="11"/>
      <c r="XM106" s="11"/>
      <c r="XN106" s="11"/>
      <c r="XO106" s="11"/>
      <c r="XP106" s="11"/>
      <c r="XQ106" s="11"/>
      <c r="XR106" s="11"/>
      <c r="XS106" s="11"/>
      <c r="XT106" s="11"/>
      <c r="XU106" s="11"/>
      <c r="XV106" s="11"/>
      <c r="XW106" s="11"/>
      <c r="XX106" s="11"/>
      <c r="XY106" s="11"/>
      <c r="XZ106" s="11"/>
      <c r="YA106" s="11"/>
      <c r="YB106" s="11"/>
      <c r="YC106" s="11"/>
      <c r="YD106" s="11"/>
      <c r="YE106" s="11"/>
      <c r="YF106" s="11"/>
      <c r="YG106" s="11"/>
      <c r="YH106" s="11"/>
      <c r="YI106" s="11"/>
      <c r="YJ106" s="11"/>
      <c r="YK106" s="11"/>
      <c r="YL106" s="11"/>
      <c r="YM106" s="11"/>
      <c r="YN106" s="11"/>
      <c r="YO106" s="11"/>
      <c r="YP106" s="11"/>
      <c r="YQ106" s="11"/>
      <c r="YR106" s="11"/>
      <c r="YS106" s="11"/>
      <c r="YT106" s="11"/>
      <c r="YU106" s="11"/>
      <c r="YV106" s="11"/>
      <c r="YW106" s="11"/>
      <c r="YX106" s="11"/>
      <c r="YY106" s="11"/>
      <c r="YZ106" s="11"/>
      <c r="ZA106" s="11"/>
      <c r="ZB106" s="11"/>
      <c r="ZC106" s="11"/>
      <c r="ZD106" s="11"/>
      <c r="ZE106" s="11"/>
      <c r="ZF106" s="11"/>
      <c r="ZG106" s="11"/>
      <c r="ZH106" s="11"/>
      <c r="ZI106" s="11"/>
      <c r="ZJ106" s="11"/>
      <c r="ZK106" s="11"/>
      <c r="ZL106" s="11"/>
      <c r="ZM106" s="11"/>
      <c r="ZN106" s="11"/>
      <c r="ZO106" s="11"/>
      <c r="ZP106" s="11"/>
      <c r="ZQ106" s="11"/>
      <c r="ZR106" s="11"/>
      <c r="ZS106" s="11"/>
      <c r="ZT106" s="11"/>
      <c r="ZU106" s="11"/>
      <c r="ZV106" s="11"/>
      <c r="ZW106" s="11"/>
      <c r="ZX106" s="11"/>
      <c r="ZY106" s="11"/>
      <c r="ZZ106" s="11"/>
      <c r="AAA106" s="11"/>
      <c r="AAB106" s="11"/>
      <c r="AAC106" s="11"/>
      <c r="AAD106" s="11"/>
      <c r="AAE106" s="11"/>
      <c r="AAF106" s="11"/>
      <c r="AAG106" s="11"/>
      <c r="AAH106" s="11"/>
      <c r="AAI106" s="11"/>
      <c r="AAJ106" s="11"/>
      <c r="AAK106" s="11"/>
      <c r="AAL106" s="11"/>
      <c r="AAM106" s="11"/>
      <c r="AAN106" s="11"/>
      <c r="AAO106" s="11"/>
      <c r="AAP106" s="11"/>
      <c r="AAQ106" s="11"/>
      <c r="AAR106" s="11"/>
      <c r="AAS106" s="11"/>
      <c r="AAT106" s="11"/>
      <c r="AAU106" s="11"/>
      <c r="AAV106" s="11"/>
      <c r="AAW106" s="11"/>
      <c r="AAX106" s="11"/>
      <c r="AAY106" s="11"/>
      <c r="AAZ106" s="11"/>
      <c r="ABA106" s="11"/>
      <c r="ABB106" s="11"/>
      <c r="ABC106" s="11"/>
      <c r="ABD106" s="11"/>
      <c r="ABE106" s="11"/>
      <c r="ABF106" s="11"/>
      <c r="ABG106" s="11"/>
      <c r="ABH106" s="11"/>
      <c r="ABI106" s="11"/>
      <c r="ABJ106" s="11"/>
      <c r="ABK106" s="11"/>
      <c r="ABL106" s="11"/>
      <c r="ABM106" s="11"/>
      <c r="ABN106" s="11"/>
      <c r="ABO106" s="11"/>
      <c r="ABP106" s="11"/>
      <c r="ABQ106" s="11"/>
      <c r="ABR106" s="11"/>
      <c r="ABS106" s="11"/>
      <c r="ABT106" s="11"/>
      <c r="ABU106" s="11"/>
      <c r="ABV106" s="11"/>
      <c r="ABW106" s="11"/>
      <c r="ABX106" s="11"/>
      <c r="ABY106" s="11"/>
      <c r="ABZ106" s="11"/>
      <c r="ACA106" s="11"/>
      <c r="ACB106" s="11"/>
      <c r="ACC106" s="11"/>
      <c r="ACD106" s="11"/>
      <c r="ACE106" s="11"/>
      <c r="ACF106" s="11"/>
      <c r="ACG106" s="11"/>
      <c r="ACH106" s="11"/>
      <c r="ACI106" s="11"/>
      <c r="ACJ106" s="11"/>
      <c r="ACK106" s="11"/>
      <c r="ACL106" s="11"/>
      <c r="ACM106" s="11"/>
      <c r="ACN106" s="11"/>
      <c r="ACO106" s="11"/>
      <c r="ACP106" s="11"/>
      <c r="ACQ106" s="11"/>
      <c r="ACR106" s="11"/>
      <c r="ACS106" s="11"/>
      <c r="ACT106" s="11"/>
      <c r="ACU106" s="11"/>
      <c r="ACV106" s="11"/>
      <c r="ACW106" s="11"/>
      <c r="ACX106" s="11"/>
      <c r="ACY106" s="11"/>
      <c r="ACZ106" s="11"/>
      <c r="ADA106" s="11"/>
      <c r="ADB106" s="11"/>
      <c r="ADC106" s="11"/>
      <c r="ADD106" s="11"/>
      <c r="ADE106" s="11"/>
      <c r="ADF106" s="11"/>
      <c r="ADG106" s="11"/>
      <c r="ADH106" s="11"/>
      <c r="ADI106" s="11"/>
      <c r="ADJ106" s="11"/>
      <c r="ADK106" s="11"/>
      <c r="ADL106" s="11"/>
      <c r="ADM106" s="11"/>
      <c r="ADN106" s="11"/>
      <c r="ADO106" s="11"/>
      <c r="ADP106" s="11"/>
      <c r="ADQ106" s="11"/>
      <c r="ADR106" s="11"/>
      <c r="ADS106" s="11"/>
      <c r="ADT106" s="11"/>
      <c r="ADU106" s="11"/>
      <c r="ADV106" s="11"/>
      <c r="ADW106" s="11"/>
      <c r="ADX106" s="11"/>
      <c r="ADY106" s="11"/>
      <c r="ADZ106" s="11"/>
      <c r="AEA106" s="11"/>
      <c r="AEB106" s="11"/>
      <c r="AEC106" s="11"/>
      <c r="AED106" s="11"/>
      <c r="AEE106" s="11"/>
      <c r="AEF106" s="11"/>
      <c r="AEG106" s="11"/>
      <c r="AEH106" s="11"/>
      <c r="AEI106" s="11"/>
      <c r="AEJ106" s="11"/>
      <c r="AEK106" s="11"/>
      <c r="AEL106" s="11"/>
      <c r="AEM106" s="11"/>
      <c r="AEN106" s="11"/>
      <c r="AEO106" s="11"/>
      <c r="AEP106" s="11"/>
      <c r="AEQ106" s="11"/>
      <c r="AER106" s="11"/>
      <c r="AES106" s="11"/>
      <c r="AET106" s="11"/>
      <c r="AEU106" s="11"/>
      <c r="AEV106" s="11"/>
      <c r="AEW106" s="11"/>
      <c r="AEX106" s="11"/>
      <c r="AEY106" s="11"/>
      <c r="AEZ106" s="11"/>
      <c r="AFA106" s="11"/>
      <c r="AFB106" s="11"/>
      <c r="AFC106" s="11"/>
      <c r="AFD106" s="11"/>
      <c r="AFE106" s="11"/>
      <c r="AFF106" s="11"/>
      <c r="AFG106" s="11"/>
      <c r="AFH106" s="11"/>
      <c r="AFI106" s="11"/>
    </row>
    <row r="107" spans="2:841">
      <c r="B107" s="11"/>
      <c r="C107" s="657"/>
      <c r="D107" s="289" t="str">
        <f>IF(Idioma=Castellano,"Consumo nulo",IF(Idioma=Valencià,"Consum nul","Consumo nulo"))</f>
        <v>Consumo nulo</v>
      </c>
      <c r="E107" s="551">
        <f>SUMIFS(M_Datos!$N$47:$N$49,M_Datos!$O$47:$O$49,M_Lista!G25)</f>
        <v>0</v>
      </c>
      <c r="F107" s="312">
        <v>0</v>
      </c>
      <c r="G107" s="313">
        <v>0</v>
      </c>
      <c r="H107" s="551">
        <f>SUMIFS(M_Datos!$P$47:$P$49,M_Datos!$Q$47:$Q$49,M_Lista!G25)</f>
        <v>0</v>
      </c>
      <c r="I107" s="312">
        <v>0</v>
      </c>
      <c r="J107" s="313">
        <v>0</v>
      </c>
      <c r="K107" s="551">
        <f>SUMIFS(M_Datos!$R$47:$R$49,M_Datos!$S$47:$S$49,M_Lista!G25)</f>
        <v>0</v>
      </c>
      <c r="L107" s="312">
        <v>0</v>
      </c>
      <c r="M107" s="313">
        <v>0</v>
      </c>
      <c r="N107" s="551">
        <f>SUMIFS(M_Datos!$T$47:$T$49,M_Datos!$U$47:$U$49,M_Lista!G25)</f>
        <v>0</v>
      </c>
      <c r="O107" s="312">
        <v>0</v>
      </c>
      <c r="P107" s="313">
        <v>0</v>
      </c>
      <c r="Q107" s="551">
        <f>SUMIFS(M_Datos!$V$47:$V$49,M_Datos!$W$47:$W$49,M_Lista!G25)</f>
        <v>0</v>
      </c>
      <c r="R107" s="312">
        <v>0</v>
      </c>
      <c r="S107" s="313">
        <v>0</v>
      </c>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c r="ON107" s="11"/>
      <c r="OO107" s="11"/>
      <c r="OP107" s="11"/>
      <c r="OQ107" s="11"/>
      <c r="OR107" s="11"/>
      <c r="OS107" s="11"/>
      <c r="OT107" s="11"/>
      <c r="OU107" s="11"/>
      <c r="OV107" s="11"/>
      <c r="OW107" s="11"/>
      <c r="OX107" s="11"/>
      <c r="OY107" s="11"/>
      <c r="OZ107" s="11"/>
      <c r="PA107" s="11"/>
      <c r="PB107" s="11"/>
      <c r="PC107" s="11"/>
      <c r="PD107" s="11"/>
      <c r="PE107" s="11"/>
      <c r="PF107" s="11"/>
      <c r="PG107" s="11"/>
      <c r="PH107" s="11"/>
      <c r="PI107" s="11"/>
      <c r="PJ107" s="11"/>
      <c r="PK107" s="11"/>
      <c r="PL107" s="11"/>
      <c r="PM107" s="11"/>
      <c r="PN107" s="11"/>
      <c r="PO107" s="11"/>
      <c r="PP107" s="11"/>
      <c r="PQ107" s="11"/>
      <c r="PR107" s="11"/>
      <c r="PS107" s="11"/>
      <c r="PT107" s="11"/>
      <c r="PU107" s="11"/>
      <c r="PV107" s="11"/>
      <c r="PW107" s="11"/>
      <c r="PX107" s="11"/>
      <c r="PY107" s="11"/>
      <c r="PZ107" s="11"/>
      <c r="QA107" s="11"/>
      <c r="QB107" s="11"/>
      <c r="QC107" s="11"/>
      <c r="QD107" s="11"/>
      <c r="QE107" s="11"/>
      <c r="QF107" s="11"/>
      <c r="QG107" s="11"/>
      <c r="QH107" s="11"/>
      <c r="QI107" s="11"/>
      <c r="QJ107" s="11"/>
      <c r="QK107" s="11"/>
      <c r="QL107" s="11"/>
      <c r="QM107" s="11"/>
      <c r="QN107" s="11"/>
      <c r="QO107" s="11"/>
      <c r="QP107" s="11"/>
      <c r="QQ107" s="11"/>
      <c r="QR107" s="11"/>
      <c r="QS107" s="11"/>
      <c r="QT107" s="11"/>
      <c r="QU107" s="11"/>
      <c r="QV107" s="11"/>
      <c r="QW107" s="11"/>
      <c r="QX107" s="11"/>
      <c r="QY107" s="11"/>
      <c r="QZ107" s="11"/>
      <c r="RA107" s="11"/>
      <c r="RB107" s="11"/>
      <c r="RC107" s="11"/>
      <c r="RD107" s="11"/>
      <c r="RE107" s="11"/>
      <c r="RF107" s="11"/>
      <c r="RG107" s="11"/>
      <c r="RH107" s="11"/>
      <c r="RI107" s="11"/>
      <c r="RJ107" s="11"/>
      <c r="RK107" s="11"/>
      <c r="RL107" s="11"/>
      <c r="RM107" s="11"/>
      <c r="RN107" s="11"/>
      <c r="RO107" s="11"/>
      <c r="RP107" s="11"/>
      <c r="RQ107" s="11"/>
      <c r="RR107" s="11"/>
      <c r="RS107" s="11"/>
      <c r="RT107" s="11"/>
      <c r="RU107" s="11"/>
      <c r="RV107" s="11"/>
      <c r="RW107" s="11"/>
      <c r="RX107" s="11"/>
      <c r="RY107" s="11"/>
      <c r="RZ107" s="11"/>
      <c r="SA107" s="11"/>
      <c r="SB107" s="11"/>
      <c r="SC107" s="11"/>
      <c r="SD107" s="11"/>
      <c r="SE107" s="11"/>
      <c r="SF107" s="11"/>
      <c r="SG107" s="11"/>
      <c r="SH107" s="11"/>
      <c r="SI107" s="11"/>
      <c r="SJ107" s="11"/>
      <c r="SK107" s="11"/>
      <c r="SL107" s="11"/>
      <c r="SM107" s="11"/>
      <c r="SN107" s="11"/>
      <c r="SO107" s="11"/>
      <c r="SP107" s="11"/>
      <c r="SQ107" s="11"/>
      <c r="SR107" s="11"/>
      <c r="SS107" s="11"/>
      <c r="ST107" s="11"/>
      <c r="SU107" s="11"/>
      <c r="SV107" s="11"/>
      <c r="SW107" s="11"/>
      <c r="SX107" s="11"/>
      <c r="SY107" s="11"/>
      <c r="SZ107" s="11"/>
      <c r="TA107" s="11"/>
      <c r="TB107" s="11"/>
      <c r="TC107" s="11"/>
      <c r="TD107" s="11"/>
      <c r="TE107" s="11"/>
      <c r="TF107" s="11"/>
      <c r="TG107" s="11"/>
      <c r="TH107" s="11"/>
      <c r="TI107" s="11"/>
      <c r="TJ107" s="11"/>
      <c r="TK107" s="11"/>
      <c r="TL107" s="11"/>
      <c r="TM107" s="11"/>
      <c r="TN107" s="11"/>
      <c r="TO107" s="11"/>
      <c r="TP107" s="11"/>
      <c r="TQ107" s="11"/>
      <c r="TR107" s="11"/>
      <c r="TS107" s="11"/>
      <c r="TT107" s="11"/>
      <c r="TU107" s="11"/>
      <c r="TV107" s="11"/>
      <c r="TW107" s="11"/>
      <c r="TX107" s="11"/>
      <c r="TY107" s="11"/>
      <c r="TZ107" s="11"/>
      <c r="UA107" s="11"/>
      <c r="UB107" s="11"/>
      <c r="UC107" s="11"/>
      <c r="UD107" s="11"/>
      <c r="UE107" s="11"/>
      <c r="UF107" s="11"/>
      <c r="UG107" s="11"/>
      <c r="UH107" s="11"/>
      <c r="UI107" s="11"/>
      <c r="UJ107" s="11"/>
      <c r="UK107" s="11"/>
      <c r="UL107" s="11"/>
      <c r="UM107" s="11"/>
      <c r="UN107" s="11"/>
      <c r="UO107" s="11"/>
      <c r="UP107" s="11"/>
      <c r="UQ107" s="11"/>
      <c r="UR107" s="11"/>
      <c r="US107" s="11"/>
      <c r="UT107" s="11"/>
      <c r="UU107" s="11"/>
      <c r="UV107" s="11"/>
      <c r="UW107" s="11"/>
      <c r="UX107" s="11"/>
      <c r="UY107" s="11"/>
      <c r="UZ107" s="11"/>
      <c r="VA107" s="11"/>
      <c r="VB107" s="11"/>
      <c r="VC107" s="11"/>
      <c r="VD107" s="11"/>
      <c r="VE107" s="11"/>
      <c r="VF107" s="11"/>
      <c r="VG107" s="11"/>
      <c r="VH107" s="11"/>
      <c r="VI107" s="11"/>
      <c r="VJ107" s="11"/>
      <c r="VK107" s="11"/>
      <c r="VL107" s="11"/>
      <c r="VM107" s="11"/>
      <c r="VN107" s="11"/>
      <c r="VO107" s="11"/>
      <c r="VP107" s="11"/>
      <c r="VQ107" s="11"/>
      <c r="VR107" s="11"/>
      <c r="VS107" s="11"/>
      <c r="VT107" s="11"/>
      <c r="VU107" s="11"/>
      <c r="VV107" s="11"/>
      <c r="VW107" s="11"/>
      <c r="VX107" s="11"/>
      <c r="VY107" s="11"/>
      <c r="VZ107" s="11"/>
      <c r="WA107" s="11"/>
      <c r="WB107" s="11"/>
      <c r="WC107" s="11"/>
      <c r="WD107" s="11"/>
      <c r="WE107" s="11"/>
      <c r="WF107" s="11"/>
      <c r="WG107" s="11"/>
      <c r="WH107" s="11"/>
      <c r="WI107" s="11"/>
      <c r="WJ107" s="11"/>
      <c r="WK107" s="11"/>
      <c r="WL107" s="11"/>
      <c r="WM107" s="11"/>
      <c r="WN107" s="11"/>
      <c r="WO107" s="11"/>
      <c r="WP107" s="11"/>
      <c r="WQ107" s="11"/>
      <c r="WR107" s="11"/>
      <c r="WS107" s="11"/>
      <c r="WT107" s="11"/>
      <c r="WU107" s="11"/>
      <c r="WV107" s="11"/>
      <c r="WW107" s="11"/>
      <c r="WX107" s="11"/>
      <c r="WY107" s="11"/>
      <c r="WZ107" s="11"/>
      <c r="XA107" s="11"/>
      <c r="XB107" s="11"/>
      <c r="XC107" s="11"/>
      <c r="XD107" s="11"/>
      <c r="XE107" s="11"/>
      <c r="XF107" s="11"/>
      <c r="XG107" s="11"/>
      <c r="XH107" s="11"/>
      <c r="XI107" s="11"/>
      <c r="XJ107" s="11"/>
      <c r="XK107" s="11"/>
      <c r="XL107" s="11"/>
      <c r="XM107" s="11"/>
      <c r="XN107" s="11"/>
      <c r="XO107" s="11"/>
      <c r="XP107" s="11"/>
      <c r="XQ107" s="11"/>
      <c r="XR107" s="11"/>
      <c r="XS107" s="11"/>
      <c r="XT107" s="11"/>
      <c r="XU107" s="11"/>
      <c r="XV107" s="11"/>
      <c r="XW107" s="11"/>
      <c r="XX107" s="11"/>
      <c r="XY107" s="11"/>
      <c r="XZ107" s="11"/>
      <c r="YA107" s="11"/>
      <c r="YB107" s="11"/>
      <c r="YC107" s="11"/>
      <c r="YD107" s="11"/>
      <c r="YE107" s="11"/>
      <c r="YF107" s="11"/>
      <c r="YG107" s="11"/>
      <c r="YH107" s="11"/>
      <c r="YI107" s="11"/>
      <c r="YJ107" s="11"/>
      <c r="YK107" s="11"/>
      <c r="YL107" s="11"/>
      <c r="YM107" s="11"/>
      <c r="YN107" s="11"/>
      <c r="YO107" s="11"/>
      <c r="YP107" s="11"/>
      <c r="YQ107" s="11"/>
      <c r="YR107" s="11"/>
      <c r="YS107" s="11"/>
      <c r="YT107" s="11"/>
      <c r="YU107" s="11"/>
      <c r="YV107" s="11"/>
      <c r="YW107" s="11"/>
      <c r="YX107" s="11"/>
      <c r="YY107" s="11"/>
      <c r="YZ107" s="11"/>
      <c r="ZA107" s="11"/>
      <c r="ZB107" s="11"/>
      <c r="ZC107" s="11"/>
      <c r="ZD107" s="11"/>
      <c r="ZE107" s="11"/>
      <c r="ZF107" s="11"/>
      <c r="ZG107" s="11"/>
      <c r="ZH107" s="11"/>
      <c r="ZI107" s="11"/>
      <c r="ZJ107" s="11"/>
      <c r="ZK107" s="11"/>
      <c r="ZL107" s="11"/>
      <c r="ZM107" s="11"/>
      <c r="ZN107" s="11"/>
      <c r="ZO107" s="11"/>
      <c r="ZP107" s="11"/>
      <c r="ZQ107" s="11"/>
      <c r="ZR107" s="11"/>
      <c r="ZS107" s="11"/>
      <c r="ZT107" s="11"/>
      <c r="ZU107" s="11"/>
      <c r="ZV107" s="11"/>
      <c r="ZW107" s="11"/>
      <c r="ZX107" s="11"/>
      <c r="ZY107" s="11"/>
      <c r="ZZ107" s="11"/>
      <c r="AAA107" s="11"/>
      <c r="AAB107" s="11"/>
      <c r="AAC107" s="11"/>
      <c r="AAD107" s="11"/>
      <c r="AAE107" s="11"/>
      <c r="AAF107" s="11"/>
      <c r="AAG107" s="11"/>
      <c r="AAH107" s="11"/>
      <c r="AAI107" s="11"/>
      <c r="AAJ107" s="11"/>
      <c r="AAK107" s="11"/>
      <c r="AAL107" s="11"/>
      <c r="AAM107" s="11"/>
      <c r="AAN107" s="11"/>
      <c r="AAO107" s="11"/>
      <c r="AAP107" s="11"/>
      <c r="AAQ107" s="11"/>
      <c r="AAR107" s="11"/>
      <c r="AAS107" s="11"/>
      <c r="AAT107" s="11"/>
      <c r="AAU107" s="11"/>
      <c r="AAV107" s="11"/>
      <c r="AAW107" s="11"/>
      <c r="AAX107" s="11"/>
      <c r="AAY107" s="11"/>
      <c r="AAZ107" s="11"/>
      <c r="ABA107" s="11"/>
      <c r="ABB107" s="11"/>
      <c r="ABC107" s="11"/>
      <c r="ABD107" s="11"/>
      <c r="ABE107" s="11"/>
      <c r="ABF107" s="11"/>
      <c r="ABG107" s="11"/>
      <c r="ABH107" s="11"/>
      <c r="ABI107" s="11"/>
      <c r="ABJ107" s="11"/>
      <c r="ABK107" s="11"/>
      <c r="ABL107" s="11"/>
      <c r="ABM107" s="11"/>
      <c r="ABN107" s="11"/>
      <c r="ABO107" s="11"/>
      <c r="ABP107" s="11"/>
      <c r="ABQ107" s="11"/>
      <c r="ABR107" s="11"/>
      <c r="ABS107" s="11"/>
      <c r="ABT107" s="11"/>
      <c r="ABU107" s="11"/>
      <c r="ABV107" s="11"/>
      <c r="ABW107" s="11"/>
      <c r="ABX107" s="11"/>
      <c r="ABY107" s="11"/>
      <c r="ABZ107" s="11"/>
      <c r="ACA107" s="11"/>
      <c r="ACB107" s="11"/>
      <c r="ACC107" s="11"/>
      <c r="ACD107" s="11"/>
      <c r="ACE107" s="11"/>
      <c r="ACF107" s="11"/>
      <c r="ACG107" s="11"/>
      <c r="ACH107" s="11"/>
      <c r="ACI107" s="11"/>
      <c r="ACJ107" s="11"/>
      <c r="ACK107" s="11"/>
      <c r="ACL107" s="11"/>
      <c r="ACM107" s="11"/>
      <c r="ACN107" s="11"/>
      <c r="ACO107" s="11"/>
      <c r="ACP107" s="11"/>
      <c r="ACQ107" s="11"/>
      <c r="ACR107" s="11"/>
      <c r="ACS107" s="11"/>
      <c r="ACT107" s="11"/>
      <c r="ACU107" s="11"/>
      <c r="ACV107" s="11"/>
      <c r="ACW107" s="11"/>
      <c r="ACX107" s="11"/>
      <c r="ACY107" s="11"/>
      <c r="ACZ107" s="11"/>
      <c r="ADA107" s="11"/>
      <c r="ADB107" s="11"/>
      <c r="ADC107" s="11"/>
      <c r="ADD107" s="11"/>
      <c r="ADE107" s="11"/>
      <c r="ADF107" s="11"/>
      <c r="ADG107" s="11"/>
      <c r="ADH107" s="11"/>
      <c r="ADI107" s="11"/>
      <c r="ADJ107" s="11"/>
      <c r="ADK107" s="11"/>
      <c r="ADL107" s="11"/>
      <c r="ADM107" s="11"/>
      <c r="ADN107" s="11"/>
      <c r="ADO107" s="11"/>
      <c r="ADP107" s="11"/>
      <c r="ADQ107" s="11"/>
      <c r="ADR107" s="11"/>
      <c r="ADS107" s="11"/>
      <c r="ADT107" s="11"/>
      <c r="ADU107" s="11"/>
      <c r="ADV107" s="11"/>
      <c r="ADW107" s="11"/>
      <c r="ADX107" s="11"/>
      <c r="ADY107" s="11"/>
      <c r="ADZ107" s="11"/>
      <c r="AEA107" s="11"/>
      <c r="AEB107" s="11"/>
      <c r="AEC107" s="11"/>
      <c r="AED107" s="11"/>
      <c r="AEE107" s="11"/>
      <c r="AEF107" s="11"/>
      <c r="AEG107" s="11"/>
      <c r="AEH107" s="11"/>
      <c r="AEI107" s="11"/>
      <c r="AEJ107" s="11"/>
      <c r="AEK107" s="11"/>
      <c r="AEL107" s="11"/>
      <c r="AEM107" s="11"/>
      <c r="AEN107" s="11"/>
      <c r="AEO107" s="11"/>
      <c r="AEP107" s="11"/>
      <c r="AEQ107" s="11"/>
      <c r="AER107" s="11"/>
      <c r="AES107" s="11"/>
      <c r="AET107" s="11"/>
      <c r="AEU107" s="11"/>
      <c r="AEV107" s="11"/>
      <c r="AEW107" s="11"/>
      <c r="AEX107" s="11"/>
      <c r="AEY107" s="11"/>
      <c r="AEZ107" s="11"/>
      <c r="AFA107" s="11"/>
      <c r="AFB107" s="11"/>
      <c r="AFC107" s="11"/>
      <c r="AFD107" s="11"/>
      <c r="AFE107" s="11"/>
      <c r="AFF107" s="11"/>
      <c r="AFG107" s="11"/>
      <c r="AFH107" s="11"/>
      <c r="AFI107" s="11"/>
    </row>
    <row r="108" spans="2:841">
      <c r="B108" s="11"/>
      <c r="C108" s="657"/>
      <c r="D108" s="315" t="s">
        <v>925</v>
      </c>
      <c r="E108" s="552">
        <f t="shared" ref="E108:S108" si="9">SUM(E100:E107)</f>
        <v>0</v>
      </c>
      <c r="F108" s="314" t="e">
        <f t="shared" si="9"/>
        <v>#N/A</v>
      </c>
      <c r="G108" s="317" t="e">
        <f t="shared" si="9"/>
        <v>#N/A</v>
      </c>
      <c r="H108" s="552">
        <f t="shared" si="9"/>
        <v>0</v>
      </c>
      <c r="I108" s="314" t="e">
        <f t="shared" si="9"/>
        <v>#N/A</v>
      </c>
      <c r="J108" s="317" t="e">
        <f t="shared" si="9"/>
        <v>#N/A</v>
      </c>
      <c r="K108" s="552">
        <f t="shared" si="9"/>
        <v>0</v>
      </c>
      <c r="L108" s="314" t="e">
        <f t="shared" si="9"/>
        <v>#N/A</v>
      </c>
      <c r="M108" s="317" t="e">
        <f t="shared" si="9"/>
        <v>#N/A</v>
      </c>
      <c r="N108" s="552">
        <f t="shared" si="9"/>
        <v>0</v>
      </c>
      <c r="O108" s="314" t="e">
        <f t="shared" si="9"/>
        <v>#N/A</v>
      </c>
      <c r="P108" s="317" t="e">
        <f t="shared" si="9"/>
        <v>#N/A</v>
      </c>
      <c r="Q108" s="552">
        <f t="shared" si="9"/>
        <v>0</v>
      </c>
      <c r="R108" s="314" t="e">
        <f t="shared" si="9"/>
        <v>#N/A</v>
      </c>
      <c r="S108" s="317" t="e">
        <f t="shared" si="9"/>
        <v>#N/A</v>
      </c>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c r="KD108" s="11"/>
      <c r="KE108" s="11"/>
      <c r="KF108" s="11"/>
      <c r="KG108" s="11"/>
      <c r="KH108" s="11"/>
      <c r="KI108" s="11"/>
      <c r="KJ108" s="11"/>
      <c r="KK108" s="11"/>
      <c r="KL108" s="11"/>
      <c r="KM108" s="11"/>
      <c r="KN108" s="11"/>
      <c r="KO108" s="11"/>
      <c r="KP108" s="11"/>
      <c r="KQ108" s="11"/>
      <c r="KR108" s="11"/>
      <c r="KS108" s="11"/>
      <c r="KT108" s="11"/>
      <c r="KU108" s="11"/>
      <c r="KV108" s="11"/>
      <c r="KW108" s="11"/>
      <c r="KX108" s="11"/>
      <c r="KY108" s="11"/>
      <c r="KZ108" s="11"/>
      <c r="LA108" s="11"/>
      <c r="LB108" s="11"/>
      <c r="LC108" s="11"/>
      <c r="LD108" s="11"/>
      <c r="LE108" s="11"/>
      <c r="LF108" s="11"/>
      <c r="LG108" s="11"/>
      <c r="LH108" s="11"/>
      <c r="LI108" s="11"/>
      <c r="LJ108" s="11"/>
      <c r="LK108" s="11"/>
      <c r="LL108" s="11"/>
      <c r="LM108" s="11"/>
      <c r="LN108" s="11"/>
      <c r="LO108" s="11"/>
      <c r="LP108" s="11"/>
      <c r="LQ108" s="11"/>
      <c r="LR108" s="11"/>
      <c r="LS108" s="11"/>
      <c r="LT108" s="11"/>
      <c r="LU108" s="11"/>
      <c r="LV108" s="11"/>
      <c r="LW108" s="11"/>
      <c r="LX108" s="11"/>
      <c r="LY108" s="11"/>
      <c r="LZ108" s="11"/>
      <c r="MA108" s="11"/>
      <c r="MB108" s="11"/>
      <c r="MC108" s="11"/>
      <c r="MD108" s="11"/>
      <c r="ME108" s="11"/>
      <c r="MF108" s="11"/>
      <c r="MG108" s="11"/>
      <c r="MH108" s="11"/>
      <c r="MI108" s="11"/>
      <c r="MJ108" s="11"/>
      <c r="MK108" s="11"/>
      <c r="ML108" s="11"/>
      <c r="MM108" s="11"/>
      <c r="MN108" s="11"/>
      <c r="MO108" s="11"/>
      <c r="MP108" s="11"/>
      <c r="MQ108" s="11"/>
      <c r="MR108" s="11"/>
      <c r="MS108" s="11"/>
      <c r="MT108" s="11"/>
      <c r="MU108" s="11"/>
      <c r="MV108" s="11"/>
      <c r="MW108" s="11"/>
      <c r="MX108" s="11"/>
      <c r="MY108" s="11"/>
      <c r="MZ108" s="11"/>
      <c r="NA108" s="11"/>
      <c r="NB108" s="11"/>
      <c r="NC108" s="11"/>
      <c r="ND108" s="11"/>
      <c r="NE108" s="11"/>
      <c r="NF108" s="11"/>
      <c r="NG108" s="11"/>
      <c r="NH108" s="11"/>
      <c r="NI108" s="11"/>
      <c r="NJ108" s="11"/>
      <c r="NK108" s="11"/>
      <c r="NL108" s="11"/>
      <c r="NM108" s="11"/>
      <c r="NN108" s="11"/>
      <c r="NO108" s="11"/>
      <c r="NP108" s="11"/>
      <c r="NQ108" s="11"/>
      <c r="NR108" s="11"/>
      <c r="NS108" s="11"/>
      <c r="NT108" s="11"/>
      <c r="NU108" s="11"/>
      <c r="NV108" s="11"/>
      <c r="NW108" s="11"/>
      <c r="NX108" s="11"/>
      <c r="NY108" s="11"/>
      <c r="NZ108" s="11"/>
      <c r="OA108" s="11"/>
      <c r="OB108" s="11"/>
      <c r="OC108" s="11"/>
      <c r="OD108" s="11"/>
      <c r="OE108" s="11"/>
      <c r="OF108" s="11"/>
      <c r="OG108" s="11"/>
      <c r="OH108" s="11"/>
      <c r="OI108" s="11"/>
      <c r="OJ108" s="11"/>
      <c r="OK108" s="11"/>
      <c r="OL108" s="11"/>
      <c r="OM108" s="11"/>
      <c r="ON108" s="11"/>
      <c r="OO108" s="11"/>
      <c r="OP108" s="11"/>
      <c r="OQ108" s="11"/>
      <c r="OR108" s="11"/>
      <c r="OS108" s="11"/>
      <c r="OT108" s="11"/>
      <c r="OU108" s="11"/>
      <c r="OV108" s="11"/>
      <c r="OW108" s="11"/>
      <c r="OX108" s="11"/>
      <c r="OY108" s="11"/>
      <c r="OZ108" s="11"/>
      <c r="PA108" s="11"/>
      <c r="PB108" s="11"/>
      <c r="PC108" s="11"/>
      <c r="PD108" s="11"/>
      <c r="PE108" s="11"/>
      <c r="PF108" s="11"/>
      <c r="PG108" s="11"/>
      <c r="PH108" s="11"/>
      <c r="PI108" s="11"/>
      <c r="PJ108" s="11"/>
      <c r="PK108" s="11"/>
      <c r="PL108" s="11"/>
      <c r="PM108" s="11"/>
      <c r="PN108" s="11"/>
      <c r="PO108" s="11"/>
      <c r="PP108" s="11"/>
      <c r="PQ108" s="11"/>
      <c r="PR108" s="11"/>
      <c r="PS108" s="11"/>
      <c r="PT108" s="11"/>
      <c r="PU108" s="11"/>
      <c r="PV108" s="11"/>
      <c r="PW108" s="11"/>
      <c r="PX108" s="11"/>
      <c r="PY108" s="11"/>
      <c r="PZ108" s="11"/>
      <c r="QA108" s="11"/>
      <c r="QB108" s="11"/>
      <c r="QC108" s="11"/>
      <c r="QD108" s="11"/>
      <c r="QE108" s="11"/>
      <c r="QF108" s="11"/>
      <c r="QG108" s="11"/>
      <c r="QH108" s="11"/>
      <c r="QI108" s="11"/>
      <c r="QJ108" s="11"/>
      <c r="QK108" s="11"/>
      <c r="QL108" s="11"/>
      <c r="QM108" s="11"/>
      <c r="QN108" s="11"/>
      <c r="QO108" s="11"/>
      <c r="QP108" s="11"/>
      <c r="QQ108" s="11"/>
      <c r="QR108" s="11"/>
      <c r="QS108" s="11"/>
      <c r="QT108" s="11"/>
      <c r="QU108" s="11"/>
      <c r="QV108" s="11"/>
      <c r="QW108" s="11"/>
      <c r="QX108" s="11"/>
      <c r="QY108" s="11"/>
      <c r="QZ108" s="11"/>
      <c r="RA108" s="11"/>
      <c r="RB108" s="11"/>
      <c r="RC108" s="11"/>
      <c r="RD108" s="11"/>
      <c r="RE108" s="11"/>
      <c r="RF108" s="11"/>
      <c r="RG108" s="11"/>
      <c r="RH108" s="11"/>
      <c r="RI108" s="11"/>
      <c r="RJ108" s="11"/>
      <c r="RK108" s="11"/>
      <c r="RL108" s="11"/>
      <c r="RM108" s="11"/>
      <c r="RN108" s="11"/>
      <c r="RO108" s="11"/>
      <c r="RP108" s="11"/>
      <c r="RQ108" s="11"/>
      <c r="RR108" s="11"/>
      <c r="RS108" s="11"/>
      <c r="RT108" s="11"/>
      <c r="RU108" s="11"/>
      <c r="RV108" s="11"/>
      <c r="RW108" s="11"/>
      <c r="RX108" s="11"/>
      <c r="RY108" s="11"/>
      <c r="RZ108" s="11"/>
      <c r="SA108" s="11"/>
      <c r="SB108" s="11"/>
      <c r="SC108" s="11"/>
      <c r="SD108" s="11"/>
      <c r="SE108" s="11"/>
      <c r="SF108" s="11"/>
      <c r="SG108" s="11"/>
      <c r="SH108" s="11"/>
      <c r="SI108" s="11"/>
      <c r="SJ108" s="11"/>
      <c r="SK108" s="11"/>
      <c r="SL108" s="11"/>
      <c r="SM108" s="11"/>
      <c r="SN108" s="11"/>
      <c r="SO108" s="11"/>
      <c r="SP108" s="11"/>
      <c r="SQ108" s="11"/>
      <c r="SR108" s="11"/>
      <c r="SS108" s="11"/>
      <c r="ST108" s="11"/>
      <c r="SU108" s="11"/>
      <c r="SV108" s="11"/>
      <c r="SW108" s="11"/>
      <c r="SX108" s="11"/>
      <c r="SY108" s="11"/>
      <c r="SZ108" s="11"/>
      <c r="TA108" s="11"/>
      <c r="TB108" s="11"/>
      <c r="TC108" s="11"/>
      <c r="TD108" s="11"/>
      <c r="TE108" s="11"/>
      <c r="TF108" s="11"/>
      <c r="TG108" s="11"/>
      <c r="TH108" s="11"/>
      <c r="TI108" s="11"/>
      <c r="TJ108" s="11"/>
      <c r="TK108" s="11"/>
      <c r="TL108" s="11"/>
      <c r="TM108" s="11"/>
      <c r="TN108" s="11"/>
      <c r="TO108" s="11"/>
      <c r="TP108" s="11"/>
      <c r="TQ108" s="11"/>
      <c r="TR108" s="11"/>
      <c r="TS108" s="11"/>
      <c r="TT108" s="11"/>
      <c r="TU108" s="11"/>
      <c r="TV108" s="11"/>
      <c r="TW108" s="11"/>
      <c r="TX108" s="11"/>
      <c r="TY108" s="11"/>
      <c r="TZ108" s="11"/>
      <c r="UA108" s="11"/>
      <c r="UB108" s="11"/>
      <c r="UC108" s="11"/>
      <c r="UD108" s="11"/>
      <c r="UE108" s="11"/>
      <c r="UF108" s="11"/>
      <c r="UG108" s="11"/>
      <c r="UH108" s="11"/>
      <c r="UI108" s="11"/>
      <c r="UJ108" s="11"/>
      <c r="UK108" s="11"/>
      <c r="UL108" s="11"/>
      <c r="UM108" s="11"/>
      <c r="UN108" s="11"/>
      <c r="UO108" s="11"/>
      <c r="UP108" s="11"/>
      <c r="UQ108" s="11"/>
      <c r="UR108" s="11"/>
      <c r="US108" s="11"/>
      <c r="UT108" s="11"/>
      <c r="UU108" s="11"/>
      <c r="UV108" s="11"/>
      <c r="UW108" s="11"/>
      <c r="UX108" s="11"/>
      <c r="UY108" s="11"/>
      <c r="UZ108" s="11"/>
      <c r="VA108" s="11"/>
      <c r="VB108" s="11"/>
      <c r="VC108" s="11"/>
      <c r="VD108" s="11"/>
      <c r="VE108" s="11"/>
      <c r="VF108" s="11"/>
      <c r="VG108" s="11"/>
      <c r="VH108" s="11"/>
      <c r="VI108" s="11"/>
      <c r="VJ108" s="11"/>
      <c r="VK108" s="11"/>
      <c r="VL108" s="11"/>
      <c r="VM108" s="11"/>
      <c r="VN108" s="11"/>
      <c r="VO108" s="11"/>
      <c r="VP108" s="11"/>
      <c r="VQ108" s="11"/>
      <c r="VR108" s="11"/>
      <c r="VS108" s="11"/>
      <c r="VT108" s="11"/>
      <c r="VU108" s="11"/>
      <c r="VV108" s="11"/>
      <c r="VW108" s="11"/>
      <c r="VX108" s="11"/>
      <c r="VY108" s="11"/>
      <c r="VZ108" s="11"/>
      <c r="WA108" s="11"/>
      <c r="WB108" s="11"/>
      <c r="WC108" s="11"/>
      <c r="WD108" s="11"/>
      <c r="WE108" s="11"/>
      <c r="WF108" s="11"/>
      <c r="WG108" s="11"/>
      <c r="WH108" s="11"/>
      <c r="WI108" s="11"/>
      <c r="WJ108" s="11"/>
      <c r="WK108" s="11"/>
      <c r="WL108" s="11"/>
      <c r="WM108" s="11"/>
      <c r="WN108" s="11"/>
      <c r="WO108" s="11"/>
      <c r="WP108" s="11"/>
      <c r="WQ108" s="11"/>
      <c r="WR108" s="11"/>
      <c r="WS108" s="11"/>
      <c r="WT108" s="11"/>
      <c r="WU108" s="11"/>
      <c r="WV108" s="11"/>
      <c r="WW108" s="11"/>
      <c r="WX108" s="11"/>
      <c r="WY108" s="11"/>
      <c r="WZ108" s="11"/>
      <c r="XA108" s="11"/>
      <c r="XB108" s="11"/>
      <c r="XC108" s="11"/>
      <c r="XD108" s="11"/>
      <c r="XE108" s="11"/>
      <c r="XF108" s="11"/>
      <c r="XG108" s="11"/>
      <c r="XH108" s="11"/>
      <c r="XI108" s="11"/>
      <c r="XJ108" s="11"/>
      <c r="XK108" s="11"/>
      <c r="XL108" s="11"/>
      <c r="XM108" s="11"/>
      <c r="XN108" s="11"/>
      <c r="XO108" s="11"/>
      <c r="XP108" s="11"/>
      <c r="XQ108" s="11"/>
      <c r="XR108" s="11"/>
      <c r="XS108" s="11"/>
      <c r="XT108" s="11"/>
      <c r="XU108" s="11"/>
      <c r="XV108" s="11"/>
      <c r="XW108" s="11"/>
      <c r="XX108" s="11"/>
      <c r="XY108" s="11"/>
      <c r="XZ108" s="11"/>
      <c r="YA108" s="11"/>
      <c r="YB108" s="11"/>
      <c r="YC108" s="11"/>
      <c r="YD108" s="11"/>
      <c r="YE108" s="11"/>
      <c r="YF108" s="11"/>
      <c r="YG108" s="11"/>
      <c r="YH108" s="11"/>
      <c r="YI108" s="11"/>
      <c r="YJ108" s="11"/>
      <c r="YK108" s="11"/>
      <c r="YL108" s="11"/>
      <c r="YM108" s="11"/>
      <c r="YN108" s="11"/>
      <c r="YO108" s="11"/>
      <c r="YP108" s="11"/>
      <c r="YQ108" s="11"/>
      <c r="YR108" s="11"/>
      <c r="YS108" s="11"/>
      <c r="YT108" s="11"/>
      <c r="YU108" s="11"/>
      <c r="YV108" s="11"/>
      <c r="YW108" s="11"/>
      <c r="YX108" s="11"/>
      <c r="YY108" s="11"/>
      <c r="YZ108" s="11"/>
      <c r="ZA108" s="11"/>
      <c r="ZB108" s="11"/>
      <c r="ZC108" s="11"/>
      <c r="ZD108" s="11"/>
      <c r="ZE108" s="11"/>
      <c r="ZF108" s="11"/>
      <c r="ZG108" s="11"/>
      <c r="ZH108" s="11"/>
      <c r="ZI108" s="11"/>
      <c r="ZJ108" s="11"/>
      <c r="ZK108" s="11"/>
      <c r="ZL108" s="11"/>
      <c r="ZM108" s="11"/>
      <c r="ZN108" s="11"/>
      <c r="ZO108" s="11"/>
      <c r="ZP108" s="11"/>
      <c r="ZQ108" s="11"/>
      <c r="ZR108" s="11"/>
      <c r="ZS108" s="11"/>
      <c r="ZT108" s="11"/>
      <c r="ZU108" s="11"/>
      <c r="ZV108" s="11"/>
      <c r="ZW108" s="11"/>
      <c r="ZX108" s="11"/>
      <c r="ZY108" s="11"/>
      <c r="ZZ108" s="11"/>
      <c r="AAA108" s="11"/>
      <c r="AAB108" s="11"/>
      <c r="AAC108" s="11"/>
      <c r="AAD108" s="11"/>
      <c r="AAE108" s="11"/>
      <c r="AAF108" s="11"/>
      <c r="AAG108" s="11"/>
      <c r="AAH108" s="11"/>
      <c r="AAI108" s="11"/>
      <c r="AAJ108" s="11"/>
      <c r="AAK108" s="11"/>
      <c r="AAL108" s="11"/>
      <c r="AAM108" s="11"/>
      <c r="AAN108" s="11"/>
      <c r="AAO108" s="11"/>
      <c r="AAP108" s="11"/>
      <c r="AAQ108" s="11"/>
      <c r="AAR108" s="11"/>
      <c r="AAS108" s="11"/>
      <c r="AAT108" s="11"/>
      <c r="AAU108" s="11"/>
      <c r="AAV108" s="11"/>
      <c r="AAW108" s="11"/>
      <c r="AAX108" s="11"/>
      <c r="AAY108" s="11"/>
      <c r="AAZ108" s="11"/>
      <c r="ABA108" s="11"/>
      <c r="ABB108" s="11"/>
      <c r="ABC108" s="11"/>
      <c r="ABD108" s="11"/>
      <c r="ABE108" s="11"/>
      <c r="ABF108" s="11"/>
      <c r="ABG108" s="11"/>
      <c r="ABH108" s="11"/>
      <c r="ABI108" s="11"/>
      <c r="ABJ108" s="11"/>
      <c r="ABK108" s="11"/>
      <c r="ABL108" s="11"/>
      <c r="ABM108" s="11"/>
      <c r="ABN108" s="11"/>
      <c r="ABO108" s="11"/>
      <c r="ABP108" s="11"/>
      <c r="ABQ108" s="11"/>
      <c r="ABR108" s="11"/>
      <c r="ABS108" s="11"/>
      <c r="ABT108" s="11"/>
      <c r="ABU108" s="11"/>
      <c r="ABV108" s="11"/>
      <c r="ABW108" s="11"/>
      <c r="ABX108" s="11"/>
      <c r="ABY108" s="11"/>
      <c r="ABZ108" s="11"/>
      <c r="ACA108" s="11"/>
      <c r="ACB108" s="11"/>
      <c r="ACC108" s="11"/>
      <c r="ACD108" s="11"/>
      <c r="ACE108" s="11"/>
      <c r="ACF108" s="11"/>
      <c r="ACG108" s="11"/>
      <c r="ACH108" s="11"/>
      <c r="ACI108" s="11"/>
      <c r="ACJ108" s="11"/>
      <c r="ACK108" s="11"/>
      <c r="ACL108" s="11"/>
      <c r="ACM108" s="11"/>
      <c r="ACN108" s="11"/>
      <c r="ACO108" s="11"/>
      <c r="ACP108" s="11"/>
      <c r="ACQ108" s="11"/>
      <c r="ACR108" s="11"/>
      <c r="ACS108" s="11"/>
      <c r="ACT108" s="11"/>
      <c r="ACU108" s="11"/>
      <c r="ACV108" s="11"/>
      <c r="ACW108" s="11"/>
      <c r="ACX108" s="11"/>
      <c r="ACY108" s="11"/>
      <c r="ACZ108" s="11"/>
      <c r="ADA108" s="11"/>
      <c r="ADB108" s="11"/>
      <c r="ADC108" s="11"/>
      <c r="ADD108" s="11"/>
      <c r="ADE108" s="11"/>
      <c r="ADF108" s="11"/>
      <c r="ADG108" s="11"/>
      <c r="ADH108" s="11"/>
      <c r="ADI108" s="11"/>
      <c r="ADJ108" s="11"/>
      <c r="ADK108" s="11"/>
      <c r="ADL108" s="11"/>
      <c r="ADM108" s="11"/>
      <c r="ADN108" s="11"/>
      <c r="ADO108" s="11"/>
      <c r="ADP108" s="11"/>
      <c r="ADQ108" s="11"/>
      <c r="ADR108" s="11"/>
      <c r="ADS108" s="11"/>
      <c r="ADT108" s="11"/>
      <c r="ADU108" s="11"/>
      <c r="ADV108" s="11"/>
      <c r="ADW108" s="11"/>
      <c r="ADX108" s="11"/>
      <c r="ADY108" s="11"/>
      <c r="ADZ108" s="11"/>
      <c r="AEA108" s="11"/>
      <c r="AEB108" s="11"/>
      <c r="AEC108" s="11"/>
      <c r="AED108" s="11"/>
      <c r="AEE108" s="11"/>
      <c r="AEF108" s="11"/>
      <c r="AEG108" s="11"/>
      <c r="AEH108" s="11"/>
      <c r="AEI108" s="11"/>
      <c r="AEJ108" s="11"/>
      <c r="AEK108" s="11"/>
      <c r="AEL108" s="11"/>
      <c r="AEM108" s="11"/>
      <c r="AEN108" s="11"/>
      <c r="AEO108" s="11"/>
      <c r="AEP108" s="11"/>
      <c r="AEQ108" s="11"/>
      <c r="AER108" s="11"/>
      <c r="AES108" s="11"/>
      <c r="AET108" s="11"/>
      <c r="AEU108" s="11"/>
      <c r="AEV108" s="11"/>
      <c r="AEW108" s="11"/>
      <c r="AEX108" s="11"/>
      <c r="AEY108" s="11"/>
      <c r="AEZ108" s="11"/>
      <c r="AFA108" s="11"/>
      <c r="AFB108" s="11"/>
      <c r="AFC108" s="11"/>
      <c r="AFD108" s="11"/>
      <c r="AFE108" s="11"/>
      <c r="AFF108" s="11"/>
      <c r="AFG108" s="11"/>
      <c r="AFH108" s="11"/>
      <c r="AFI108" s="11"/>
    </row>
    <row r="109" spans="2:841" ht="15" customHeight="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c r="JH109" s="11"/>
      <c r="JI109" s="11"/>
      <c r="JJ109" s="11"/>
      <c r="JK109" s="11"/>
      <c r="JL109" s="11"/>
      <c r="JM109" s="11"/>
      <c r="JN109" s="11"/>
      <c r="JO109" s="11"/>
      <c r="JP109" s="11"/>
      <c r="JQ109" s="11"/>
      <c r="JR109" s="11"/>
      <c r="JS109" s="11"/>
      <c r="JT109" s="11"/>
      <c r="JU109" s="11"/>
      <c r="JV109" s="11"/>
      <c r="JW109" s="11"/>
      <c r="JX109" s="11"/>
      <c r="JY109" s="11"/>
      <c r="JZ109" s="11"/>
      <c r="KA109" s="11"/>
      <c r="KB109" s="11"/>
      <c r="KC109" s="11"/>
      <c r="KD109" s="11"/>
      <c r="KE109" s="11"/>
      <c r="KF109" s="11"/>
      <c r="KG109" s="11"/>
      <c r="KH109" s="11"/>
      <c r="KI109" s="11"/>
      <c r="KJ109" s="11"/>
      <c r="KK109" s="11"/>
      <c r="KL109" s="11"/>
      <c r="KM109" s="11"/>
      <c r="KN109" s="11"/>
      <c r="KO109" s="11"/>
      <c r="KP109" s="11"/>
      <c r="KQ109" s="11"/>
      <c r="KR109" s="11"/>
      <c r="KS109" s="11"/>
      <c r="KT109" s="11"/>
      <c r="KU109" s="11"/>
      <c r="KV109" s="11"/>
      <c r="KW109" s="11"/>
      <c r="KX109" s="11"/>
      <c r="KY109" s="11"/>
      <c r="KZ109" s="11"/>
      <c r="LA109" s="11"/>
      <c r="LB109" s="11"/>
      <c r="LC109" s="11"/>
      <c r="LD109" s="11"/>
      <c r="LE109" s="11"/>
      <c r="LF109" s="11"/>
      <c r="LG109" s="11"/>
      <c r="LH109" s="11"/>
      <c r="LI109" s="11"/>
      <c r="LJ109" s="11"/>
      <c r="LK109" s="11"/>
      <c r="LL109" s="11"/>
      <c r="LM109" s="11"/>
      <c r="LN109" s="11"/>
      <c r="LO109" s="11"/>
      <c r="LP109" s="11"/>
      <c r="LQ109" s="11"/>
      <c r="LR109" s="11"/>
      <c r="LS109" s="11"/>
      <c r="LT109" s="11"/>
      <c r="LU109" s="11"/>
      <c r="LV109" s="11"/>
      <c r="LW109" s="11"/>
      <c r="LX109" s="11"/>
      <c r="LY109" s="11"/>
      <c r="LZ109" s="11"/>
      <c r="MA109" s="11"/>
      <c r="MB109" s="11"/>
      <c r="MC109" s="11"/>
      <c r="MD109" s="11"/>
      <c r="ME109" s="11"/>
      <c r="MF109" s="11"/>
      <c r="MG109" s="11"/>
      <c r="MH109" s="11"/>
      <c r="MI109" s="11"/>
      <c r="MJ109" s="11"/>
      <c r="MK109" s="11"/>
      <c r="ML109" s="11"/>
      <c r="MM109" s="11"/>
      <c r="MN109" s="11"/>
      <c r="MO109" s="11"/>
      <c r="MP109" s="11"/>
      <c r="MQ109" s="11"/>
      <c r="MR109" s="11"/>
      <c r="MS109" s="11"/>
      <c r="MT109" s="11"/>
      <c r="MU109" s="11"/>
      <c r="MV109" s="11"/>
      <c r="MW109" s="11"/>
      <c r="MX109" s="11"/>
      <c r="MY109" s="11"/>
      <c r="MZ109" s="11"/>
      <c r="NA109" s="11"/>
      <c r="NB109" s="11"/>
      <c r="NC109" s="11"/>
      <c r="ND109" s="11"/>
      <c r="NE109" s="11"/>
      <c r="NF109" s="11"/>
      <c r="NG109" s="11"/>
      <c r="NH109" s="11"/>
      <c r="NI109" s="11"/>
      <c r="NJ109" s="11"/>
      <c r="NK109" s="11"/>
      <c r="NL109" s="11"/>
      <c r="NM109" s="11"/>
      <c r="NN109" s="11"/>
      <c r="NO109" s="11"/>
      <c r="NP109" s="11"/>
      <c r="NQ109" s="11"/>
      <c r="NR109" s="11"/>
      <c r="NS109" s="11"/>
      <c r="NT109" s="11"/>
      <c r="NU109" s="11"/>
      <c r="NV109" s="11"/>
      <c r="NW109" s="11"/>
      <c r="NX109" s="11"/>
      <c r="NY109" s="11"/>
      <c r="NZ109" s="11"/>
      <c r="OA109" s="11"/>
      <c r="OB109" s="11"/>
      <c r="OC109" s="11"/>
      <c r="OD109" s="11"/>
      <c r="OE109" s="11"/>
      <c r="OF109" s="11"/>
      <c r="OG109" s="11"/>
      <c r="OH109" s="11"/>
      <c r="OI109" s="11"/>
      <c r="OJ109" s="11"/>
      <c r="OK109" s="11"/>
      <c r="OL109" s="11"/>
      <c r="OM109" s="11"/>
      <c r="ON109" s="11"/>
      <c r="OO109" s="11"/>
      <c r="OP109" s="11"/>
      <c r="OQ109" s="11"/>
      <c r="OR109" s="11"/>
      <c r="OS109" s="11"/>
      <c r="OT109" s="11"/>
      <c r="OU109" s="11"/>
      <c r="OV109" s="11"/>
      <c r="OW109" s="11"/>
      <c r="OX109" s="11"/>
      <c r="OY109" s="11"/>
      <c r="OZ109" s="11"/>
      <c r="PA109" s="11"/>
      <c r="PB109" s="11"/>
      <c r="PC109" s="11"/>
      <c r="PD109" s="11"/>
      <c r="PE109" s="11"/>
      <c r="PF109" s="11"/>
      <c r="PG109" s="11"/>
      <c r="PH109" s="11"/>
      <c r="PI109" s="11"/>
      <c r="PJ109" s="11"/>
      <c r="PK109" s="11"/>
      <c r="PL109" s="11"/>
      <c r="PM109" s="11"/>
      <c r="PN109" s="11"/>
      <c r="PO109" s="11"/>
      <c r="PP109" s="11"/>
      <c r="PQ109" s="11"/>
      <c r="PR109" s="11"/>
      <c r="PS109" s="11"/>
      <c r="PT109" s="11"/>
      <c r="PU109" s="11"/>
      <c r="PV109" s="11"/>
      <c r="PW109" s="11"/>
      <c r="PX109" s="11"/>
      <c r="PY109" s="11"/>
      <c r="PZ109" s="11"/>
      <c r="QA109" s="11"/>
      <c r="QB109" s="11"/>
      <c r="QC109" s="11"/>
      <c r="QD109" s="11"/>
      <c r="QE109" s="11"/>
      <c r="QF109" s="11"/>
      <c r="QG109" s="11"/>
      <c r="QH109" s="11"/>
      <c r="QI109" s="11"/>
      <c r="QJ109" s="11"/>
      <c r="QK109" s="11"/>
      <c r="QL109" s="11"/>
      <c r="QM109" s="11"/>
      <c r="QN109" s="11"/>
      <c r="QO109" s="11"/>
      <c r="QP109" s="11"/>
      <c r="QQ109" s="11"/>
      <c r="QR109" s="11"/>
      <c r="QS109" s="11"/>
      <c r="QT109" s="11"/>
      <c r="QU109" s="11"/>
      <c r="QV109" s="11"/>
      <c r="QW109" s="11"/>
      <c r="QX109" s="11"/>
      <c r="QY109" s="11"/>
      <c r="QZ109" s="11"/>
      <c r="RA109" s="11"/>
      <c r="RB109" s="11"/>
      <c r="RC109" s="11"/>
      <c r="RD109" s="11"/>
      <c r="RE109" s="11"/>
      <c r="RF109" s="11"/>
      <c r="RG109" s="11"/>
      <c r="RH109" s="11"/>
      <c r="RI109" s="11"/>
      <c r="RJ109" s="11"/>
      <c r="RK109" s="11"/>
      <c r="RL109" s="11"/>
      <c r="RM109" s="11"/>
      <c r="RN109" s="11"/>
      <c r="RO109" s="11"/>
      <c r="RP109" s="11"/>
      <c r="RQ109" s="11"/>
      <c r="RR109" s="11"/>
      <c r="RS109" s="11"/>
      <c r="RT109" s="11"/>
      <c r="RU109" s="11"/>
      <c r="RV109" s="11"/>
      <c r="RW109" s="11"/>
      <c r="RX109" s="11"/>
      <c r="RY109" s="11"/>
      <c r="RZ109" s="11"/>
      <c r="SA109" s="11"/>
      <c r="SB109" s="11"/>
      <c r="SC109" s="11"/>
      <c r="SD109" s="11"/>
      <c r="SE109" s="11"/>
      <c r="SF109" s="11"/>
      <c r="SG109" s="11"/>
      <c r="SH109" s="11"/>
      <c r="SI109" s="11"/>
      <c r="SJ109" s="11"/>
      <c r="SK109" s="11"/>
      <c r="SL109" s="11"/>
      <c r="SM109" s="11"/>
      <c r="SN109" s="11"/>
      <c r="SO109" s="11"/>
      <c r="SP109" s="11"/>
      <c r="SQ109" s="11"/>
      <c r="SR109" s="11"/>
      <c r="SS109" s="11"/>
      <c r="ST109" s="11"/>
      <c r="SU109" s="11"/>
      <c r="SV109" s="11"/>
      <c r="SW109" s="11"/>
      <c r="SX109" s="11"/>
      <c r="SY109" s="11"/>
      <c r="SZ109" s="11"/>
      <c r="TA109" s="11"/>
      <c r="TB109" s="11"/>
      <c r="TC109" s="11"/>
      <c r="TD109" s="11"/>
      <c r="TE109" s="11"/>
      <c r="TF109" s="11"/>
      <c r="TG109" s="11"/>
      <c r="TH109" s="11"/>
      <c r="TI109" s="11"/>
      <c r="TJ109" s="11"/>
      <c r="TK109" s="11"/>
      <c r="TL109" s="11"/>
      <c r="TM109" s="11"/>
      <c r="TN109" s="11"/>
      <c r="TO109" s="11"/>
      <c r="TP109" s="11"/>
      <c r="TQ109" s="11"/>
      <c r="TR109" s="11"/>
      <c r="TS109" s="11"/>
      <c r="TT109" s="11"/>
      <c r="TU109" s="11"/>
      <c r="TV109" s="11"/>
      <c r="TW109" s="11"/>
      <c r="TX109" s="11"/>
      <c r="TY109" s="11"/>
      <c r="TZ109" s="11"/>
      <c r="UA109" s="11"/>
      <c r="UB109" s="11"/>
      <c r="UC109" s="11"/>
      <c r="UD109" s="11"/>
      <c r="UE109" s="11"/>
      <c r="UF109" s="11"/>
      <c r="UG109" s="11"/>
      <c r="UH109" s="11"/>
      <c r="UI109" s="11"/>
      <c r="UJ109" s="11"/>
      <c r="UK109" s="11"/>
      <c r="UL109" s="11"/>
      <c r="UM109" s="11"/>
      <c r="UN109" s="11"/>
      <c r="UO109" s="11"/>
      <c r="UP109" s="11"/>
      <c r="UQ109" s="11"/>
      <c r="UR109" s="11"/>
      <c r="US109" s="11"/>
      <c r="UT109" s="11"/>
      <c r="UU109" s="11"/>
      <c r="UV109" s="11"/>
      <c r="UW109" s="11"/>
      <c r="UX109" s="11"/>
      <c r="UY109" s="11"/>
      <c r="UZ109" s="11"/>
      <c r="VA109" s="11"/>
      <c r="VB109" s="11"/>
      <c r="VC109" s="11"/>
      <c r="VD109" s="11"/>
      <c r="VE109" s="11"/>
      <c r="VF109" s="11"/>
      <c r="VG109" s="11"/>
      <c r="VH109" s="11"/>
      <c r="VI109" s="11"/>
      <c r="VJ109" s="11"/>
      <c r="VK109" s="11"/>
      <c r="VL109" s="11"/>
      <c r="VM109" s="11"/>
      <c r="VN109" s="11"/>
      <c r="VO109" s="11"/>
      <c r="VP109" s="11"/>
      <c r="VQ109" s="11"/>
      <c r="VR109" s="11"/>
      <c r="VS109" s="11"/>
      <c r="VT109" s="11"/>
      <c r="VU109" s="11"/>
      <c r="VV109" s="11"/>
      <c r="VW109" s="11"/>
      <c r="VX109" s="11"/>
      <c r="VY109" s="11"/>
      <c r="VZ109" s="11"/>
      <c r="WA109" s="11"/>
      <c r="WB109" s="11"/>
      <c r="WC109" s="11"/>
      <c r="WD109" s="11"/>
      <c r="WE109" s="11"/>
      <c r="WF109" s="11"/>
      <c r="WG109" s="11"/>
      <c r="WH109" s="11"/>
      <c r="WI109" s="11"/>
      <c r="WJ109" s="11"/>
      <c r="WK109" s="11"/>
      <c r="WL109" s="11"/>
      <c r="WM109" s="11"/>
      <c r="WN109" s="11"/>
      <c r="WO109" s="11"/>
      <c r="WP109" s="11"/>
      <c r="WQ109" s="11"/>
      <c r="WR109" s="11"/>
      <c r="WS109" s="11"/>
      <c r="WT109" s="11"/>
      <c r="WU109" s="11"/>
      <c r="WV109" s="11"/>
      <c r="WW109" s="11"/>
      <c r="WX109" s="11"/>
      <c r="WY109" s="11"/>
      <c r="WZ109" s="11"/>
      <c r="XA109" s="11"/>
      <c r="XB109" s="11"/>
      <c r="XC109" s="11"/>
      <c r="XD109" s="11"/>
      <c r="XE109" s="11"/>
      <c r="XF109" s="11"/>
      <c r="XG109" s="11"/>
      <c r="XH109" s="11"/>
      <c r="XI109" s="11"/>
      <c r="XJ109" s="11"/>
      <c r="XK109" s="11"/>
      <c r="XL109" s="11"/>
      <c r="XM109" s="11"/>
      <c r="XN109" s="11"/>
      <c r="XO109" s="11"/>
      <c r="XP109" s="11"/>
      <c r="XQ109" s="11"/>
      <c r="XR109" s="11"/>
      <c r="XS109" s="11"/>
      <c r="XT109" s="11"/>
      <c r="XU109" s="11"/>
      <c r="XV109" s="11"/>
      <c r="XW109" s="11"/>
      <c r="XX109" s="11"/>
      <c r="XY109" s="11"/>
      <c r="XZ109" s="11"/>
      <c r="YA109" s="11"/>
      <c r="YB109" s="11"/>
      <c r="YC109" s="11"/>
      <c r="YD109" s="11"/>
      <c r="YE109" s="11"/>
      <c r="YF109" s="11"/>
      <c r="YG109" s="11"/>
      <c r="YH109" s="11"/>
      <c r="YI109" s="11"/>
      <c r="YJ109" s="11"/>
      <c r="YK109" s="11"/>
      <c r="YL109" s="11"/>
      <c r="YM109" s="11"/>
      <c r="YN109" s="11"/>
      <c r="YO109" s="11"/>
      <c r="YP109" s="11"/>
      <c r="YQ109" s="11"/>
      <c r="YR109" s="11"/>
      <c r="YS109" s="11"/>
      <c r="YT109" s="11"/>
      <c r="YU109" s="11"/>
      <c r="YV109" s="11"/>
      <c r="YW109" s="11"/>
      <c r="YX109" s="11"/>
      <c r="YY109" s="11"/>
      <c r="YZ109" s="11"/>
      <c r="ZA109" s="11"/>
      <c r="ZB109" s="11"/>
      <c r="ZC109" s="11"/>
      <c r="ZD109" s="11"/>
      <c r="ZE109" s="11"/>
      <c r="ZF109" s="11"/>
      <c r="ZG109" s="11"/>
      <c r="ZH109" s="11"/>
      <c r="ZI109" s="11"/>
      <c r="ZJ109" s="11"/>
      <c r="ZK109" s="11"/>
      <c r="ZL109" s="11"/>
      <c r="ZM109" s="11"/>
      <c r="ZN109" s="11"/>
      <c r="ZO109" s="11"/>
      <c r="ZP109" s="11"/>
      <c r="ZQ109" s="11"/>
      <c r="ZR109" s="11"/>
      <c r="ZS109" s="11"/>
      <c r="ZT109" s="11"/>
      <c r="ZU109" s="11"/>
      <c r="ZV109" s="11"/>
      <c r="ZW109" s="11"/>
      <c r="ZX109" s="11"/>
      <c r="ZY109" s="11"/>
      <c r="ZZ109" s="11"/>
      <c r="AAA109" s="11"/>
      <c r="AAB109" s="11"/>
      <c r="AAC109" s="11"/>
      <c r="AAD109" s="11"/>
      <c r="AAE109" s="11"/>
      <c r="AAF109" s="11"/>
      <c r="AAG109" s="11"/>
      <c r="AAH109" s="11"/>
      <c r="AAI109" s="11"/>
      <c r="AAJ109" s="11"/>
      <c r="AAK109" s="11"/>
      <c r="AAL109" s="11"/>
      <c r="AAM109" s="11"/>
      <c r="AAN109" s="11"/>
      <c r="AAO109" s="11"/>
      <c r="AAP109" s="11"/>
      <c r="AAQ109" s="11"/>
      <c r="AAR109" s="11"/>
      <c r="AAS109" s="11"/>
      <c r="AAT109" s="11"/>
      <c r="AAU109" s="11"/>
      <c r="AAV109" s="11"/>
      <c r="AAW109" s="11"/>
      <c r="AAX109" s="11"/>
      <c r="AAY109" s="11"/>
      <c r="AAZ109" s="11"/>
      <c r="ABA109" s="11"/>
      <c r="ABB109" s="11"/>
      <c r="ABC109" s="11"/>
      <c r="ABD109" s="11"/>
      <c r="ABE109" s="11"/>
      <c r="ABF109" s="11"/>
      <c r="ABG109" s="11"/>
      <c r="ABH109" s="11"/>
      <c r="ABI109" s="11"/>
      <c r="ABJ109" s="11"/>
      <c r="ABK109" s="11"/>
      <c r="ABL109" s="11"/>
      <c r="ABM109" s="11"/>
      <c r="ABN109" s="11"/>
      <c r="ABO109" s="11"/>
      <c r="ABP109" s="11"/>
      <c r="ABQ109" s="11"/>
      <c r="ABR109" s="11"/>
      <c r="ABS109" s="11"/>
      <c r="ABT109" s="11"/>
      <c r="ABU109" s="11"/>
      <c r="ABV109" s="11"/>
      <c r="ABW109" s="11"/>
      <c r="ABX109" s="11"/>
      <c r="ABY109" s="11"/>
      <c r="ABZ109" s="11"/>
      <c r="ACA109" s="11"/>
      <c r="ACB109" s="11"/>
      <c r="ACC109" s="11"/>
      <c r="ACD109" s="11"/>
      <c r="ACE109" s="11"/>
      <c r="ACF109" s="11"/>
      <c r="ACG109" s="11"/>
      <c r="ACH109" s="11"/>
      <c r="ACI109" s="11"/>
      <c r="ACJ109" s="11"/>
      <c r="ACK109" s="11"/>
      <c r="ACL109" s="11"/>
      <c r="ACM109" s="11"/>
      <c r="ACN109" s="11"/>
      <c r="ACO109" s="11"/>
      <c r="ACP109" s="11"/>
      <c r="ACQ109" s="11"/>
      <c r="ACR109" s="11"/>
      <c r="ACS109" s="11"/>
      <c r="ACT109" s="11"/>
      <c r="ACU109" s="11"/>
      <c r="ACV109" s="11"/>
      <c r="ACW109" s="11"/>
      <c r="ACX109" s="11"/>
      <c r="ACY109" s="11"/>
      <c r="ACZ109" s="11"/>
      <c r="ADA109" s="11"/>
      <c r="ADB109" s="11"/>
      <c r="ADC109" s="11"/>
      <c r="ADD109" s="11"/>
      <c r="ADE109" s="11"/>
      <c r="ADF109" s="11"/>
      <c r="ADG109" s="11"/>
      <c r="ADH109" s="11"/>
      <c r="ADI109" s="11"/>
      <c r="ADJ109" s="11"/>
      <c r="ADK109" s="11"/>
      <c r="ADL109" s="11"/>
      <c r="ADM109" s="11"/>
      <c r="ADN109" s="11"/>
      <c r="ADO109" s="11"/>
      <c r="ADP109" s="11"/>
      <c r="ADQ109" s="11"/>
      <c r="ADR109" s="11"/>
      <c r="ADS109" s="11"/>
      <c r="ADT109" s="11"/>
      <c r="ADU109" s="11"/>
      <c r="ADV109" s="11"/>
      <c r="ADW109" s="11"/>
      <c r="ADX109" s="11"/>
      <c r="ADY109" s="11"/>
      <c r="ADZ109" s="11"/>
      <c r="AEA109" s="11"/>
      <c r="AEB109" s="11"/>
      <c r="AEC109" s="11"/>
      <c r="AED109" s="11"/>
      <c r="AEE109" s="11"/>
      <c r="AEF109" s="11"/>
      <c r="AEG109" s="11"/>
      <c r="AEH109" s="11"/>
      <c r="AEI109" s="11"/>
      <c r="AEJ109" s="11"/>
      <c r="AEK109" s="11"/>
      <c r="AEL109" s="11"/>
      <c r="AEM109" s="11"/>
      <c r="AEN109" s="11"/>
      <c r="AEO109" s="11"/>
      <c r="AEP109" s="11"/>
      <c r="AEQ109" s="11"/>
      <c r="AER109" s="11"/>
      <c r="AES109" s="11"/>
      <c r="AET109" s="11"/>
      <c r="AEU109" s="11"/>
      <c r="AEV109" s="11"/>
      <c r="AEW109" s="11"/>
      <c r="AEX109" s="11"/>
      <c r="AEY109" s="11"/>
      <c r="AEZ109" s="11"/>
      <c r="AFA109" s="11"/>
      <c r="AFB109" s="11"/>
      <c r="AFC109" s="11"/>
      <c r="AFD109" s="11"/>
      <c r="AFE109" s="11"/>
      <c r="AFF109" s="11"/>
      <c r="AFG109" s="11"/>
      <c r="AFH109" s="11"/>
      <c r="AFI109" s="11"/>
    </row>
    <row r="110" spans="2:841" ht="15" customHeight="1">
      <c r="B110" s="11"/>
      <c r="C110" s="14" t="s">
        <v>602</v>
      </c>
      <c r="D110" s="11"/>
      <c r="E110" s="499">
        <f t="shared" ref="E110:S110" si="10">E78+E88+E98+E108</f>
        <v>0</v>
      </c>
      <c r="F110" s="499" t="e">
        <f t="shared" si="10"/>
        <v>#N/A</v>
      </c>
      <c r="G110" s="499" t="e">
        <f t="shared" si="10"/>
        <v>#N/A</v>
      </c>
      <c r="H110" s="499">
        <f t="shared" si="10"/>
        <v>0</v>
      </c>
      <c r="I110" s="499" t="e">
        <f t="shared" si="10"/>
        <v>#N/A</v>
      </c>
      <c r="J110" s="499" t="e">
        <f t="shared" si="10"/>
        <v>#N/A</v>
      </c>
      <c r="K110" s="499">
        <f t="shared" si="10"/>
        <v>0</v>
      </c>
      <c r="L110" s="499" t="e">
        <f t="shared" si="10"/>
        <v>#N/A</v>
      </c>
      <c r="M110" s="499" t="e">
        <f t="shared" si="10"/>
        <v>#N/A</v>
      </c>
      <c r="N110" s="499">
        <f t="shared" si="10"/>
        <v>0</v>
      </c>
      <c r="O110" s="499" t="e">
        <f t="shared" si="10"/>
        <v>#N/A</v>
      </c>
      <c r="P110" s="499" t="e">
        <f t="shared" si="10"/>
        <v>#N/A</v>
      </c>
      <c r="Q110" s="499">
        <f t="shared" si="10"/>
        <v>0</v>
      </c>
      <c r="R110" s="499" t="e">
        <f t="shared" si="10"/>
        <v>#N/A</v>
      </c>
      <c r="S110" s="499" t="e">
        <f t="shared" si="10"/>
        <v>#N/A</v>
      </c>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c r="IW110" s="11"/>
      <c r="IX110" s="11"/>
      <c r="IY110" s="11"/>
      <c r="IZ110" s="11"/>
      <c r="JA110" s="11"/>
      <c r="JB110" s="11"/>
      <c r="JC110" s="11"/>
      <c r="JD110" s="11"/>
      <c r="JE110" s="11"/>
      <c r="JF110" s="11"/>
      <c r="JG110" s="11"/>
      <c r="JH110" s="11"/>
      <c r="JI110" s="11"/>
      <c r="JJ110" s="11"/>
      <c r="JK110" s="11"/>
      <c r="JL110" s="11"/>
      <c r="JM110" s="11"/>
      <c r="JN110" s="11"/>
      <c r="JO110" s="11"/>
      <c r="JP110" s="11"/>
      <c r="JQ110" s="11"/>
      <c r="JR110" s="11"/>
      <c r="JS110" s="11"/>
      <c r="JT110" s="11"/>
      <c r="JU110" s="11"/>
      <c r="JV110" s="11"/>
      <c r="JW110" s="11"/>
      <c r="JX110" s="11"/>
      <c r="JY110" s="11"/>
      <c r="JZ110" s="11"/>
      <c r="KA110" s="11"/>
      <c r="KB110" s="11"/>
      <c r="KC110" s="11"/>
      <c r="KD110" s="11"/>
      <c r="KE110" s="11"/>
      <c r="KF110" s="11"/>
      <c r="KG110" s="11"/>
      <c r="KH110" s="11"/>
      <c r="KI110" s="11"/>
      <c r="KJ110" s="11"/>
      <c r="KK110" s="11"/>
      <c r="KL110" s="11"/>
      <c r="KM110" s="11"/>
      <c r="KN110" s="11"/>
      <c r="KO110" s="11"/>
      <c r="KP110" s="11"/>
      <c r="KQ110" s="11"/>
      <c r="KR110" s="11"/>
      <c r="KS110" s="11"/>
      <c r="KT110" s="11"/>
      <c r="KU110" s="11"/>
      <c r="KV110" s="11"/>
      <c r="KW110" s="11"/>
      <c r="KX110" s="11"/>
      <c r="KY110" s="11"/>
      <c r="KZ110" s="11"/>
      <c r="LA110" s="11"/>
      <c r="LB110" s="11"/>
      <c r="LC110" s="11"/>
      <c r="LD110" s="11"/>
      <c r="LE110" s="11"/>
      <c r="LF110" s="11"/>
      <c r="LG110" s="11"/>
      <c r="LH110" s="11"/>
      <c r="LI110" s="11"/>
      <c r="LJ110" s="11"/>
      <c r="LK110" s="11"/>
      <c r="LL110" s="11"/>
      <c r="LM110" s="11"/>
      <c r="LN110" s="11"/>
      <c r="LO110" s="11"/>
      <c r="LP110" s="11"/>
      <c r="LQ110" s="11"/>
      <c r="LR110" s="11"/>
      <c r="LS110" s="11"/>
      <c r="LT110" s="11"/>
      <c r="LU110" s="11"/>
      <c r="LV110" s="11"/>
      <c r="LW110" s="11"/>
      <c r="LX110" s="11"/>
      <c r="LY110" s="11"/>
      <c r="LZ110" s="11"/>
      <c r="MA110" s="11"/>
      <c r="MB110" s="11"/>
      <c r="MC110" s="11"/>
      <c r="MD110" s="11"/>
      <c r="ME110" s="11"/>
      <c r="MF110" s="11"/>
      <c r="MG110" s="11"/>
      <c r="MH110" s="11"/>
      <c r="MI110" s="11"/>
      <c r="MJ110" s="11"/>
      <c r="MK110" s="11"/>
      <c r="ML110" s="11"/>
      <c r="MM110" s="11"/>
      <c r="MN110" s="11"/>
      <c r="MO110" s="11"/>
      <c r="MP110" s="11"/>
      <c r="MQ110" s="11"/>
      <c r="MR110" s="11"/>
      <c r="MS110" s="11"/>
      <c r="MT110" s="11"/>
      <c r="MU110" s="11"/>
      <c r="MV110" s="11"/>
      <c r="MW110" s="11"/>
      <c r="MX110" s="11"/>
      <c r="MY110" s="11"/>
      <c r="MZ110" s="11"/>
      <c r="NA110" s="11"/>
      <c r="NB110" s="11"/>
      <c r="NC110" s="11"/>
      <c r="ND110" s="11"/>
      <c r="NE110" s="11"/>
      <c r="NF110" s="11"/>
      <c r="NG110" s="11"/>
      <c r="NH110" s="11"/>
      <c r="NI110" s="11"/>
      <c r="NJ110" s="11"/>
      <c r="NK110" s="11"/>
      <c r="NL110" s="11"/>
      <c r="NM110" s="11"/>
      <c r="NN110" s="11"/>
      <c r="NO110" s="11"/>
      <c r="NP110" s="11"/>
      <c r="NQ110" s="11"/>
      <c r="NR110" s="11"/>
      <c r="NS110" s="11"/>
      <c r="NT110" s="11"/>
      <c r="NU110" s="11"/>
      <c r="NV110" s="11"/>
      <c r="NW110" s="11"/>
      <c r="NX110" s="11"/>
      <c r="NY110" s="11"/>
      <c r="NZ110" s="11"/>
      <c r="OA110" s="11"/>
      <c r="OB110" s="11"/>
      <c r="OC110" s="11"/>
      <c r="OD110" s="11"/>
      <c r="OE110" s="11"/>
      <c r="OF110" s="11"/>
      <c r="OG110" s="11"/>
      <c r="OH110" s="11"/>
      <c r="OI110" s="11"/>
      <c r="OJ110" s="11"/>
      <c r="OK110" s="11"/>
      <c r="OL110" s="11"/>
      <c r="OM110" s="11"/>
      <c r="ON110" s="11"/>
      <c r="OO110" s="11"/>
      <c r="OP110" s="11"/>
      <c r="OQ110" s="11"/>
      <c r="OR110" s="11"/>
      <c r="OS110" s="11"/>
      <c r="OT110" s="11"/>
      <c r="OU110" s="11"/>
      <c r="OV110" s="11"/>
      <c r="OW110" s="11"/>
      <c r="OX110" s="11"/>
      <c r="OY110" s="11"/>
      <c r="OZ110" s="11"/>
      <c r="PA110" s="11"/>
      <c r="PB110" s="11"/>
      <c r="PC110" s="11"/>
      <c r="PD110" s="11"/>
      <c r="PE110" s="11"/>
      <c r="PF110" s="11"/>
      <c r="PG110" s="11"/>
      <c r="PH110" s="11"/>
      <c r="PI110" s="11"/>
      <c r="PJ110" s="11"/>
      <c r="PK110" s="11"/>
      <c r="PL110" s="11"/>
      <c r="PM110" s="11"/>
      <c r="PN110" s="11"/>
      <c r="PO110" s="11"/>
      <c r="PP110" s="11"/>
      <c r="PQ110" s="11"/>
      <c r="PR110" s="11"/>
      <c r="PS110" s="11"/>
      <c r="PT110" s="11"/>
      <c r="PU110" s="11"/>
      <c r="PV110" s="11"/>
      <c r="PW110" s="11"/>
      <c r="PX110" s="11"/>
      <c r="PY110" s="11"/>
      <c r="PZ110" s="11"/>
      <c r="QA110" s="11"/>
      <c r="QB110" s="11"/>
      <c r="QC110" s="11"/>
      <c r="QD110" s="11"/>
      <c r="QE110" s="11"/>
      <c r="QF110" s="11"/>
      <c r="QG110" s="11"/>
      <c r="QH110" s="11"/>
      <c r="QI110" s="11"/>
      <c r="QJ110" s="11"/>
      <c r="QK110" s="11"/>
      <c r="QL110" s="11"/>
      <c r="QM110" s="11"/>
      <c r="QN110" s="11"/>
      <c r="QO110" s="11"/>
      <c r="QP110" s="11"/>
      <c r="QQ110" s="11"/>
      <c r="QR110" s="11"/>
      <c r="QS110" s="11"/>
      <c r="QT110" s="11"/>
      <c r="QU110" s="11"/>
      <c r="QV110" s="11"/>
      <c r="QW110" s="11"/>
      <c r="QX110" s="11"/>
      <c r="QY110" s="11"/>
      <c r="QZ110" s="11"/>
      <c r="RA110" s="11"/>
      <c r="RB110" s="11"/>
      <c r="RC110" s="11"/>
      <c r="RD110" s="11"/>
      <c r="RE110" s="11"/>
      <c r="RF110" s="11"/>
      <c r="RG110" s="11"/>
      <c r="RH110" s="11"/>
      <c r="RI110" s="11"/>
      <c r="RJ110" s="11"/>
      <c r="RK110" s="11"/>
      <c r="RL110" s="11"/>
      <c r="RM110" s="11"/>
      <c r="RN110" s="11"/>
      <c r="RO110" s="11"/>
      <c r="RP110" s="11"/>
      <c r="RQ110" s="11"/>
      <c r="RR110" s="11"/>
      <c r="RS110" s="11"/>
      <c r="RT110" s="11"/>
      <c r="RU110" s="11"/>
      <c r="RV110" s="11"/>
      <c r="RW110" s="11"/>
      <c r="RX110" s="11"/>
      <c r="RY110" s="11"/>
      <c r="RZ110" s="11"/>
      <c r="SA110" s="11"/>
      <c r="SB110" s="11"/>
      <c r="SC110" s="11"/>
      <c r="SD110" s="11"/>
      <c r="SE110" s="11"/>
      <c r="SF110" s="11"/>
      <c r="SG110" s="11"/>
      <c r="SH110" s="11"/>
      <c r="SI110" s="11"/>
      <c r="SJ110" s="11"/>
      <c r="SK110" s="11"/>
      <c r="SL110" s="11"/>
      <c r="SM110" s="11"/>
      <c r="SN110" s="11"/>
      <c r="SO110" s="11"/>
      <c r="SP110" s="11"/>
      <c r="SQ110" s="11"/>
      <c r="SR110" s="11"/>
      <c r="SS110" s="11"/>
      <c r="ST110" s="11"/>
      <c r="SU110" s="11"/>
      <c r="SV110" s="11"/>
      <c r="SW110" s="11"/>
      <c r="SX110" s="11"/>
      <c r="SY110" s="11"/>
      <c r="SZ110" s="11"/>
      <c r="TA110" s="11"/>
      <c r="TB110" s="11"/>
      <c r="TC110" s="11"/>
      <c r="TD110" s="11"/>
      <c r="TE110" s="11"/>
      <c r="TF110" s="11"/>
      <c r="TG110" s="11"/>
      <c r="TH110" s="11"/>
      <c r="TI110" s="11"/>
      <c r="TJ110" s="11"/>
      <c r="TK110" s="11"/>
      <c r="TL110" s="11"/>
      <c r="TM110" s="11"/>
      <c r="TN110" s="11"/>
      <c r="TO110" s="11"/>
      <c r="TP110" s="11"/>
      <c r="TQ110" s="11"/>
      <c r="TR110" s="11"/>
      <c r="TS110" s="11"/>
      <c r="TT110" s="11"/>
      <c r="TU110" s="11"/>
      <c r="TV110" s="11"/>
      <c r="TW110" s="11"/>
      <c r="TX110" s="11"/>
      <c r="TY110" s="11"/>
      <c r="TZ110" s="11"/>
      <c r="UA110" s="11"/>
      <c r="UB110" s="11"/>
      <c r="UC110" s="11"/>
      <c r="UD110" s="11"/>
      <c r="UE110" s="11"/>
      <c r="UF110" s="11"/>
      <c r="UG110" s="11"/>
      <c r="UH110" s="11"/>
      <c r="UI110" s="11"/>
      <c r="UJ110" s="11"/>
      <c r="UK110" s="11"/>
      <c r="UL110" s="11"/>
      <c r="UM110" s="11"/>
      <c r="UN110" s="11"/>
      <c r="UO110" s="11"/>
      <c r="UP110" s="11"/>
      <c r="UQ110" s="11"/>
      <c r="UR110" s="11"/>
      <c r="US110" s="11"/>
      <c r="UT110" s="11"/>
      <c r="UU110" s="11"/>
      <c r="UV110" s="11"/>
      <c r="UW110" s="11"/>
      <c r="UX110" s="11"/>
      <c r="UY110" s="11"/>
      <c r="UZ110" s="11"/>
      <c r="VA110" s="11"/>
      <c r="VB110" s="11"/>
      <c r="VC110" s="11"/>
      <c r="VD110" s="11"/>
      <c r="VE110" s="11"/>
      <c r="VF110" s="11"/>
      <c r="VG110" s="11"/>
      <c r="VH110" s="11"/>
      <c r="VI110" s="11"/>
      <c r="VJ110" s="11"/>
      <c r="VK110" s="11"/>
      <c r="VL110" s="11"/>
      <c r="VM110" s="11"/>
      <c r="VN110" s="11"/>
      <c r="VO110" s="11"/>
      <c r="VP110" s="11"/>
      <c r="VQ110" s="11"/>
      <c r="VR110" s="11"/>
      <c r="VS110" s="11"/>
      <c r="VT110" s="11"/>
      <c r="VU110" s="11"/>
      <c r="VV110" s="11"/>
      <c r="VW110" s="11"/>
      <c r="VX110" s="11"/>
      <c r="VY110" s="11"/>
      <c r="VZ110" s="11"/>
      <c r="WA110" s="11"/>
      <c r="WB110" s="11"/>
      <c r="WC110" s="11"/>
      <c r="WD110" s="11"/>
      <c r="WE110" s="11"/>
      <c r="WF110" s="11"/>
      <c r="WG110" s="11"/>
      <c r="WH110" s="11"/>
      <c r="WI110" s="11"/>
      <c r="WJ110" s="11"/>
      <c r="WK110" s="11"/>
      <c r="WL110" s="11"/>
      <c r="WM110" s="11"/>
      <c r="WN110" s="11"/>
      <c r="WO110" s="11"/>
      <c r="WP110" s="11"/>
      <c r="WQ110" s="11"/>
      <c r="WR110" s="11"/>
      <c r="WS110" s="11"/>
      <c r="WT110" s="11"/>
      <c r="WU110" s="11"/>
      <c r="WV110" s="11"/>
      <c r="WW110" s="11"/>
      <c r="WX110" s="11"/>
      <c r="WY110" s="11"/>
      <c r="WZ110" s="11"/>
      <c r="XA110" s="11"/>
      <c r="XB110" s="11"/>
      <c r="XC110" s="11"/>
      <c r="XD110" s="11"/>
      <c r="XE110" s="11"/>
      <c r="XF110" s="11"/>
      <c r="XG110" s="11"/>
      <c r="XH110" s="11"/>
      <c r="XI110" s="11"/>
      <c r="XJ110" s="11"/>
      <c r="XK110" s="11"/>
      <c r="XL110" s="11"/>
      <c r="XM110" s="11"/>
      <c r="XN110" s="11"/>
      <c r="XO110" s="11"/>
      <c r="XP110" s="11"/>
      <c r="XQ110" s="11"/>
      <c r="XR110" s="11"/>
      <c r="XS110" s="11"/>
      <c r="XT110" s="11"/>
      <c r="XU110" s="11"/>
      <c r="XV110" s="11"/>
      <c r="XW110" s="11"/>
      <c r="XX110" s="11"/>
      <c r="XY110" s="11"/>
      <c r="XZ110" s="11"/>
      <c r="YA110" s="11"/>
      <c r="YB110" s="11"/>
      <c r="YC110" s="11"/>
      <c r="YD110" s="11"/>
      <c r="YE110" s="11"/>
      <c r="YF110" s="11"/>
      <c r="YG110" s="11"/>
      <c r="YH110" s="11"/>
      <c r="YI110" s="11"/>
      <c r="YJ110" s="11"/>
      <c r="YK110" s="11"/>
      <c r="YL110" s="11"/>
      <c r="YM110" s="11"/>
      <c r="YN110" s="11"/>
      <c r="YO110" s="11"/>
      <c r="YP110" s="11"/>
      <c r="YQ110" s="11"/>
      <c r="YR110" s="11"/>
      <c r="YS110" s="11"/>
      <c r="YT110" s="11"/>
      <c r="YU110" s="11"/>
      <c r="YV110" s="11"/>
      <c r="YW110" s="11"/>
      <c r="YX110" s="11"/>
      <c r="YY110" s="11"/>
      <c r="YZ110" s="11"/>
      <c r="ZA110" s="11"/>
      <c r="ZB110" s="11"/>
      <c r="ZC110" s="11"/>
      <c r="ZD110" s="11"/>
      <c r="ZE110" s="11"/>
      <c r="ZF110" s="11"/>
      <c r="ZG110" s="11"/>
      <c r="ZH110" s="11"/>
      <c r="ZI110" s="11"/>
      <c r="ZJ110" s="11"/>
      <c r="ZK110" s="11"/>
      <c r="ZL110" s="11"/>
      <c r="ZM110" s="11"/>
      <c r="ZN110" s="11"/>
      <c r="ZO110" s="11"/>
      <c r="ZP110" s="11"/>
      <c r="ZQ110" s="11"/>
      <c r="ZR110" s="11"/>
      <c r="ZS110" s="11"/>
      <c r="ZT110" s="11"/>
      <c r="ZU110" s="11"/>
      <c r="ZV110" s="11"/>
      <c r="ZW110" s="11"/>
      <c r="ZX110" s="11"/>
      <c r="ZY110" s="11"/>
      <c r="ZZ110" s="11"/>
      <c r="AAA110" s="11"/>
      <c r="AAB110" s="11"/>
      <c r="AAC110" s="11"/>
      <c r="AAD110" s="11"/>
      <c r="AAE110" s="11"/>
      <c r="AAF110" s="11"/>
      <c r="AAG110" s="11"/>
      <c r="AAH110" s="11"/>
      <c r="AAI110" s="11"/>
      <c r="AAJ110" s="11"/>
      <c r="AAK110" s="11"/>
      <c r="AAL110" s="11"/>
      <c r="AAM110" s="11"/>
      <c r="AAN110" s="11"/>
      <c r="AAO110" s="11"/>
      <c r="AAP110" s="11"/>
      <c r="AAQ110" s="11"/>
      <c r="AAR110" s="11"/>
      <c r="AAS110" s="11"/>
      <c r="AAT110" s="11"/>
      <c r="AAU110" s="11"/>
      <c r="AAV110" s="11"/>
      <c r="AAW110" s="11"/>
      <c r="AAX110" s="11"/>
      <c r="AAY110" s="11"/>
      <c r="AAZ110" s="11"/>
      <c r="ABA110" s="11"/>
      <c r="ABB110" s="11"/>
      <c r="ABC110" s="11"/>
      <c r="ABD110" s="11"/>
      <c r="ABE110" s="11"/>
      <c r="ABF110" s="11"/>
      <c r="ABG110" s="11"/>
      <c r="ABH110" s="11"/>
      <c r="ABI110" s="11"/>
      <c r="ABJ110" s="11"/>
      <c r="ABK110" s="11"/>
      <c r="ABL110" s="11"/>
      <c r="ABM110" s="11"/>
      <c r="ABN110" s="11"/>
      <c r="ABO110" s="11"/>
      <c r="ABP110" s="11"/>
      <c r="ABQ110" s="11"/>
      <c r="ABR110" s="11"/>
      <c r="ABS110" s="11"/>
      <c r="ABT110" s="11"/>
      <c r="ABU110" s="11"/>
      <c r="ABV110" s="11"/>
      <c r="ABW110" s="11"/>
      <c r="ABX110" s="11"/>
      <c r="ABY110" s="11"/>
      <c r="ABZ110" s="11"/>
      <c r="ACA110" s="11"/>
      <c r="ACB110" s="11"/>
      <c r="ACC110" s="11"/>
      <c r="ACD110" s="11"/>
      <c r="ACE110" s="11"/>
      <c r="ACF110" s="11"/>
      <c r="ACG110" s="11"/>
      <c r="ACH110" s="11"/>
      <c r="ACI110" s="11"/>
      <c r="ACJ110" s="11"/>
      <c r="ACK110" s="11"/>
      <c r="ACL110" s="11"/>
      <c r="ACM110" s="11"/>
      <c r="ACN110" s="11"/>
      <c r="ACO110" s="11"/>
      <c r="ACP110" s="11"/>
      <c r="ACQ110" s="11"/>
      <c r="ACR110" s="11"/>
      <c r="ACS110" s="11"/>
      <c r="ACT110" s="11"/>
      <c r="ACU110" s="11"/>
      <c r="ACV110" s="11"/>
      <c r="ACW110" s="11"/>
      <c r="ACX110" s="11"/>
      <c r="ACY110" s="11"/>
      <c r="ACZ110" s="11"/>
      <c r="ADA110" s="11"/>
      <c r="ADB110" s="11"/>
      <c r="ADC110" s="11"/>
      <c r="ADD110" s="11"/>
      <c r="ADE110" s="11"/>
      <c r="ADF110" s="11"/>
      <c r="ADG110" s="11"/>
      <c r="ADH110" s="11"/>
      <c r="ADI110" s="11"/>
      <c r="ADJ110" s="11"/>
      <c r="ADK110" s="11"/>
      <c r="ADL110" s="11"/>
      <c r="ADM110" s="11"/>
      <c r="ADN110" s="11"/>
      <c r="ADO110" s="11"/>
      <c r="ADP110" s="11"/>
      <c r="ADQ110" s="11"/>
      <c r="ADR110" s="11"/>
      <c r="ADS110" s="11"/>
      <c r="ADT110" s="11"/>
      <c r="ADU110" s="11"/>
      <c r="ADV110" s="11"/>
      <c r="ADW110" s="11"/>
      <c r="ADX110" s="11"/>
      <c r="ADY110" s="11"/>
      <c r="ADZ110" s="11"/>
      <c r="AEA110" s="11"/>
      <c r="AEB110" s="11"/>
      <c r="AEC110" s="11"/>
      <c r="AED110" s="11"/>
      <c r="AEE110" s="11"/>
      <c r="AEF110" s="11"/>
      <c r="AEG110" s="11"/>
      <c r="AEH110" s="11"/>
      <c r="AEI110" s="11"/>
      <c r="AEJ110" s="11"/>
      <c r="AEK110" s="11"/>
      <c r="AEL110" s="11"/>
      <c r="AEM110" s="11"/>
      <c r="AEN110" s="11"/>
      <c r="AEO110" s="11"/>
      <c r="AEP110" s="11"/>
      <c r="AEQ110" s="11"/>
      <c r="AER110" s="11"/>
      <c r="AES110" s="11"/>
      <c r="AET110" s="11"/>
      <c r="AEU110" s="11"/>
      <c r="AEV110" s="11"/>
      <c r="AEW110" s="11"/>
      <c r="AEX110" s="11"/>
      <c r="AEY110" s="11"/>
      <c r="AEZ110" s="11"/>
      <c r="AFA110" s="11"/>
      <c r="AFB110" s="11"/>
      <c r="AFC110" s="11"/>
      <c r="AFD110" s="11"/>
      <c r="AFE110" s="11"/>
      <c r="AFF110" s="11"/>
      <c r="AFG110" s="11"/>
      <c r="AFH110" s="11"/>
      <c r="AFI110" s="11"/>
    </row>
    <row r="111" spans="2:841" ht="15" customHeight="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c r="JG111" s="11"/>
      <c r="JH111" s="11"/>
      <c r="JI111" s="11"/>
      <c r="JJ111" s="11"/>
      <c r="JK111" s="11"/>
      <c r="JL111" s="11"/>
      <c r="JM111" s="11"/>
      <c r="JN111" s="11"/>
      <c r="JO111" s="11"/>
      <c r="JP111" s="11"/>
      <c r="JQ111" s="11"/>
      <c r="JR111" s="11"/>
      <c r="JS111" s="11"/>
      <c r="JT111" s="11"/>
      <c r="JU111" s="11"/>
      <c r="JV111" s="11"/>
      <c r="JW111" s="11"/>
      <c r="JX111" s="11"/>
      <c r="JY111" s="11"/>
      <c r="JZ111" s="11"/>
      <c r="KA111" s="11"/>
      <c r="KB111" s="11"/>
      <c r="KC111" s="11"/>
      <c r="KD111" s="11"/>
      <c r="KE111" s="11"/>
      <c r="KF111" s="11"/>
      <c r="KG111" s="11"/>
      <c r="KH111" s="11"/>
      <c r="KI111" s="11"/>
      <c r="KJ111" s="11"/>
      <c r="KK111" s="11"/>
      <c r="KL111" s="11"/>
      <c r="KM111" s="11"/>
      <c r="KN111" s="11"/>
      <c r="KO111" s="11"/>
      <c r="KP111" s="11"/>
      <c r="KQ111" s="11"/>
      <c r="KR111" s="11"/>
      <c r="KS111" s="11"/>
      <c r="KT111" s="11"/>
      <c r="KU111" s="11"/>
      <c r="KV111" s="11"/>
      <c r="KW111" s="11"/>
      <c r="KX111" s="11"/>
      <c r="KY111" s="11"/>
      <c r="KZ111" s="11"/>
      <c r="LA111" s="11"/>
      <c r="LB111" s="11"/>
      <c r="LC111" s="11"/>
      <c r="LD111" s="11"/>
      <c r="LE111" s="11"/>
      <c r="LF111" s="11"/>
      <c r="LG111" s="11"/>
      <c r="LH111" s="11"/>
      <c r="LI111" s="11"/>
      <c r="LJ111" s="11"/>
      <c r="LK111" s="11"/>
      <c r="LL111" s="11"/>
      <c r="LM111" s="11"/>
      <c r="LN111" s="11"/>
      <c r="LO111" s="11"/>
      <c r="LP111" s="11"/>
      <c r="LQ111" s="11"/>
      <c r="LR111" s="11"/>
      <c r="LS111" s="11"/>
      <c r="LT111" s="11"/>
      <c r="LU111" s="11"/>
      <c r="LV111" s="11"/>
      <c r="LW111" s="11"/>
      <c r="LX111" s="11"/>
      <c r="LY111" s="11"/>
      <c r="LZ111" s="11"/>
      <c r="MA111" s="11"/>
      <c r="MB111" s="11"/>
      <c r="MC111" s="11"/>
      <c r="MD111" s="11"/>
      <c r="ME111" s="11"/>
      <c r="MF111" s="11"/>
      <c r="MG111" s="11"/>
      <c r="MH111" s="11"/>
      <c r="MI111" s="11"/>
      <c r="MJ111" s="11"/>
      <c r="MK111" s="11"/>
      <c r="ML111" s="11"/>
      <c r="MM111" s="11"/>
      <c r="MN111" s="11"/>
      <c r="MO111" s="11"/>
      <c r="MP111" s="11"/>
      <c r="MQ111" s="11"/>
      <c r="MR111" s="11"/>
      <c r="MS111" s="11"/>
      <c r="MT111" s="11"/>
      <c r="MU111" s="11"/>
      <c r="MV111" s="11"/>
      <c r="MW111" s="11"/>
      <c r="MX111" s="11"/>
      <c r="MY111" s="11"/>
      <c r="MZ111" s="11"/>
      <c r="NA111" s="11"/>
      <c r="NB111" s="11"/>
      <c r="NC111" s="11"/>
      <c r="ND111" s="11"/>
      <c r="NE111" s="11"/>
      <c r="NF111" s="11"/>
      <c r="NG111" s="11"/>
      <c r="NH111" s="11"/>
      <c r="NI111" s="11"/>
      <c r="NJ111" s="11"/>
      <c r="NK111" s="11"/>
      <c r="NL111" s="11"/>
      <c r="NM111" s="11"/>
      <c r="NN111" s="11"/>
      <c r="NO111" s="11"/>
      <c r="NP111" s="11"/>
      <c r="NQ111" s="11"/>
      <c r="NR111" s="11"/>
      <c r="NS111" s="11"/>
      <c r="NT111" s="11"/>
      <c r="NU111" s="11"/>
      <c r="NV111" s="11"/>
      <c r="NW111" s="11"/>
      <c r="NX111" s="11"/>
      <c r="NY111" s="11"/>
      <c r="NZ111" s="11"/>
      <c r="OA111" s="11"/>
      <c r="OB111" s="11"/>
      <c r="OC111" s="11"/>
      <c r="OD111" s="11"/>
      <c r="OE111" s="11"/>
      <c r="OF111" s="11"/>
      <c r="OG111" s="11"/>
      <c r="OH111" s="11"/>
      <c r="OI111" s="11"/>
      <c r="OJ111" s="11"/>
      <c r="OK111" s="11"/>
      <c r="OL111" s="11"/>
      <c r="OM111" s="11"/>
      <c r="ON111" s="11"/>
      <c r="OO111" s="11"/>
      <c r="OP111" s="11"/>
      <c r="OQ111" s="11"/>
      <c r="OR111" s="11"/>
      <c r="OS111" s="11"/>
      <c r="OT111" s="11"/>
      <c r="OU111" s="11"/>
      <c r="OV111" s="11"/>
      <c r="OW111" s="11"/>
      <c r="OX111" s="11"/>
      <c r="OY111" s="11"/>
      <c r="OZ111" s="11"/>
      <c r="PA111" s="11"/>
      <c r="PB111" s="11"/>
      <c r="PC111" s="11"/>
      <c r="PD111" s="11"/>
      <c r="PE111" s="11"/>
      <c r="PF111" s="11"/>
      <c r="PG111" s="11"/>
      <c r="PH111" s="11"/>
      <c r="PI111" s="11"/>
      <c r="PJ111" s="11"/>
      <c r="PK111" s="11"/>
      <c r="PL111" s="11"/>
      <c r="PM111" s="11"/>
      <c r="PN111" s="11"/>
      <c r="PO111" s="11"/>
      <c r="PP111" s="11"/>
      <c r="PQ111" s="11"/>
      <c r="PR111" s="11"/>
      <c r="PS111" s="11"/>
      <c r="PT111" s="11"/>
      <c r="PU111" s="11"/>
      <c r="PV111" s="11"/>
      <c r="PW111" s="11"/>
      <c r="PX111" s="11"/>
      <c r="PY111" s="11"/>
      <c r="PZ111" s="11"/>
      <c r="QA111" s="11"/>
      <c r="QB111" s="11"/>
      <c r="QC111" s="11"/>
      <c r="QD111" s="11"/>
      <c r="QE111" s="11"/>
      <c r="QF111" s="11"/>
      <c r="QG111" s="11"/>
      <c r="QH111" s="11"/>
      <c r="QI111" s="11"/>
      <c r="QJ111" s="11"/>
      <c r="QK111" s="11"/>
      <c r="QL111" s="11"/>
      <c r="QM111" s="11"/>
      <c r="QN111" s="11"/>
      <c r="QO111" s="11"/>
      <c r="QP111" s="11"/>
      <c r="QQ111" s="11"/>
      <c r="QR111" s="11"/>
      <c r="QS111" s="11"/>
      <c r="QT111" s="11"/>
      <c r="QU111" s="11"/>
      <c r="QV111" s="11"/>
      <c r="QW111" s="11"/>
      <c r="QX111" s="11"/>
      <c r="QY111" s="11"/>
      <c r="QZ111" s="11"/>
      <c r="RA111" s="11"/>
      <c r="RB111" s="11"/>
      <c r="RC111" s="11"/>
      <c r="RD111" s="11"/>
      <c r="RE111" s="11"/>
      <c r="RF111" s="11"/>
      <c r="RG111" s="11"/>
      <c r="RH111" s="11"/>
      <c r="RI111" s="11"/>
      <c r="RJ111" s="11"/>
      <c r="RK111" s="11"/>
      <c r="RL111" s="11"/>
      <c r="RM111" s="11"/>
      <c r="RN111" s="11"/>
      <c r="RO111" s="11"/>
      <c r="RP111" s="11"/>
      <c r="RQ111" s="11"/>
      <c r="RR111" s="11"/>
      <c r="RS111" s="11"/>
      <c r="RT111" s="11"/>
      <c r="RU111" s="11"/>
      <c r="RV111" s="11"/>
      <c r="RW111" s="11"/>
      <c r="RX111" s="11"/>
      <c r="RY111" s="11"/>
      <c r="RZ111" s="11"/>
      <c r="SA111" s="11"/>
      <c r="SB111" s="11"/>
      <c r="SC111" s="11"/>
      <c r="SD111" s="11"/>
      <c r="SE111" s="11"/>
      <c r="SF111" s="11"/>
      <c r="SG111" s="11"/>
      <c r="SH111" s="11"/>
      <c r="SI111" s="11"/>
      <c r="SJ111" s="11"/>
      <c r="SK111" s="11"/>
      <c r="SL111" s="11"/>
      <c r="SM111" s="11"/>
      <c r="SN111" s="11"/>
      <c r="SO111" s="11"/>
      <c r="SP111" s="11"/>
      <c r="SQ111" s="11"/>
      <c r="SR111" s="11"/>
      <c r="SS111" s="11"/>
      <c r="ST111" s="11"/>
      <c r="SU111" s="11"/>
      <c r="SV111" s="11"/>
      <c r="SW111" s="11"/>
      <c r="SX111" s="11"/>
      <c r="SY111" s="11"/>
      <c r="SZ111" s="11"/>
      <c r="TA111" s="11"/>
      <c r="TB111" s="11"/>
      <c r="TC111" s="11"/>
      <c r="TD111" s="11"/>
      <c r="TE111" s="11"/>
      <c r="TF111" s="11"/>
      <c r="TG111" s="11"/>
      <c r="TH111" s="11"/>
      <c r="TI111" s="11"/>
      <c r="TJ111" s="11"/>
      <c r="TK111" s="11"/>
      <c r="TL111" s="11"/>
      <c r="TM111" s="11"/>
      <c r="TN111" s="11"/>
      <c r="TO111" s="11"/>
      <c r="TP111" s="11"/>
      <c r="TQ111" s="11"/>
      <c r="TR111" s="11"/>
      <c r="TS111" s="11"/>
      <c r="TT111" s="11"/>
      <c r="TU111" s="11"/>
      <c r="TV111" s="11"/>
      <c r="TW111" s="11"/>
      <c r="TX111" s="11"/>
      <c r="TY111" s="11"/>
      <c r="TZ111" s="11"/>
      <c r="UA111" s="11"/>
      <c r="UB111" s="11"/>
      <c r="UC111" s="11"/>
      <c r="UD111" s="11"/>
      <c r="UE111" s="11"/>
      <c r="UF111" s="11"/>
      <c r="UG111" s="11"/>
      <c r="UH111" s="11"/>
      <c r="UI111" s="11"/>
      <c r="UJ111" s="11"/>
      <c r="UK111" s="11"/>
      <c r="UL111" s="11"/>
      <c r="UM111" s="11"/>
      <c r="UN111" s="11"/>
      <c r="UO111" s="11"/>
      <c r="UP111" s="11"/>
      <c r="UQ111" s="11"/>
      <c r="UR111" s="11"/>
      <c r="US111" s="11"/>
      <c r="UT111" s="11"/>
      <c r="UU111" s="11"/>
      <c r="UV111" s="11"/>
      <c r="UW111" s="11"/>
      <c r="UX111" s="11"/>
      <c r="UY111" s="11"/>
      <c r="UZ111" s="11"/>
      <c r="VA111" s="11"/>
      <c r="VB111" s="11"/>
      <c r="VC111" s="11"/>
      <c r="VD111" s="11"/>
      <c r="VE111" s="11"/>
      <c r="VF111" s="11"/>
      <c r="VG111" s="11"/>
      <c r="VH111" s="11"/>
      <c r="VI111" s="11"/>
      <c r="VJ111" s="11"/>
      <c r="VK111" s="11"/>
      <c r="VL111" s="11"/>
      <c r="VM111" s="11"/>
      <c r="VN111" s="11"/>
      <c r="VO111" s="11"/>
      <c r="VP111" s="11"/>
      <c r="VQ111" s="11"/>
      <c r="VR111" s="11"/>
      <c r="VS111" s="11"/>
      <c r="VT111" s="11"/>
      <c r="VU111" s="11"/>
      <c r="VV111" s="11"/>
      <c r="VW111" s="11"/>
      <c r="VX111" s="11"/>
      <c r="VY111" s="11"/>
      <c r="VZ111" s="11"/>
      <c r="WA111" s="11"/>
      <c r="WB111" s="11"/>
      <c r="WC111" s="11"/>
      <c r="WD111" s="11"/>
      <c r="WE111" s="11"/>
      <c r="WF111" s="11"/>
      <c r="WG111" s="11"/>
      <c r="WH111" s="11"/>
      <c r="WI111" s="11"/>
      <c r="WJ111" s="11"/>
      <c r="WK111" s="11"/>
      <c r="WL111" s="11"/>
      <c r="WM111" s="11"/>
      <c r="WN111" s="11"/>
      <c r="WO111" s="11"/>
      <c r="WP111" s="11"/>
      <c r="WQ111" s="11"/>
      <c r="WR111" s="11"/>
      <c r="WS111" s="11"/>
      <c r="WT111" s="11"/>
      <c r="WU111" s="11"/>
      <c r="WV111" s="11"/>
      <c r="WW111" s="11"/>
      <c r="WX111" s="11"/>
      <c r="WY111" s="11"/>
      <c r="WZ111" s="11"/>
      <c r="XA111" s="11"/>
      <c r="XB111" s="11"/>
      <c r="XC111" s="11"/>
      <c r="XD111" s="11"/>
      <c r="XE111" s="11"/>
      <c r="XF111" s="11"/>
      <c r="XG111" s="11"/>
      <c r="XH111" s="11"/>
      <c r="XI111" s="11"/>
      <c r="XJ111" s="11"/>
      <c r="XK111" s="11"/>
      <c r="XL111" s="11"/>
      <c r="XM111" s="11"/>
      <c r="XN111" s="11"/>
      <c r="XO111" s="11"/>
      <c r="XP111" s="11"/>
      <c r="XQ111" s="11"/>
      <c r="XR111" s="11"/>
      <c r="XS111" s="11"/>
      <c r="XT111" s="11"/>
      <c r="XU111" s="11"/>
      <c r="XV111" s="11"/>
      <c r="XW111" s="11"/>
      <c r="XX111" s="11"/>
      <c r="XY111" s="11"/>
      <c r="XZ111" s="11"/>
      <c r="YA111" s="11"/>
      <c r="YB111" s="11"/>
      <c r="YC111" s="11"/>
      <c r="YD111" s="11"/>
      <c r="YE111" s="11"/>
      <c r="YF111" s="11"/>
      <c r="YG111" s="11"/>
      <c r="YH111" s="11"/>
      <c r="YI111" s="11"/>
      <c r="YJ111" s="11"/>
      <c r="YK111" s="11"/>
      <c r="YL111" s="11"/>
      <c r="YM111" s="11"/>
      <c r="YN111" s="11"/>
      <c r="YO111" s="11"/>
      <c r="YP111" s="11"/>
      <c r="YQ111" s="11"/>
      <c r="YR111" s="11"/>
      <c r="YS111" s="11"/>
      <c r="YT111" s="11"/>
      <c r="YU111" s="11"/>
      <c r="YV111" s="11"/>
      <c r="YW111" s="11"/>
      <c r="YX111" s="11"/>
      <c r="YY111" s="11"/>
      <c r="YZ111" s="11"/>
      <c r="ZA111" s="11"/>
      <c r="ZB111" s="11"/>
      <c r="ZC111" s="11"/>
      <c r="ZD111" s="11"/>
      <c r="ZE111" s="11"/>
      <c r="ZF111" s="11"/>
      <c r="ZG111" s="11"/>
      <c r="ZH111" s="11"/>
      <c r="ZI111" s="11"/>
      <c r="ZJ111" s="11"/>
      <c r="ZK111" s="11"/>
      <c r="ZL111" s="11"/>
      <c r="ZM111" s="11"/>
      <c r="ZN111" s="11"/>
      <c r="ZO111" s="11"/>
      <c r="ZP111" s="11"/>
      <c r="ZQ111" s="11"/>
      <c r="ZR111" s="11"/>
      <c r="ZS111" s="11"/>
      <c r="ZT111" s="11"/>
      <c r="ZU111" s="11"/>
      <c r="ZV111" s="11"/>
      <c r="ZW111" s="11"/>
      <c r="ZX111" s="11"/>
      <c r="ZY111" s="11"/>
      <c r="ZZ111" s="11"/>
      <c r="AAA111" s="11"/>
      <c r="AAB111" s="11"/>
      <c r="AAC111" s="11"/>
      <c r="AAD111" s="11"/>
      <c r="AAE111" s="11"/>
      <c r="AAF111" s="11"/>
      <c r="AAG111" s="11"/>
      <c r="AAH111" s="11"/>
      <c r="AAI111" s="11"/>
      <c r="AAJ111" s="11"/>
      <c r="AAK111" s="11"/>
      <c r="AAL111" s="11"/>
      <c r="AAM111" s="11"/>
      <c r="AAN111" s="11"/>
      <c r="AAO111" s="11"/>
      <c r="AAP111" s="11"/>
      <c r="AAQ111" s="11"/>
      <c r="AAR111" s="11"/>
      <c r="AAS111" s="11"/>
      <c r="AAT111" s="11"/>
      <c r="AAU111" s="11"/>
      <c r="AAV111" s="11"/>
      <c r="AAW111" s="11"/>
      <c r="AAX111" s="11"/>
      <c r="AAY111" s="11"/>
      <c r="AAZ111" s="11"/>
      <c r="ABA111" s="11"/>
      <c r="ABB111" s="11"/>
      <c r="ABC111" s="11"/>
      <c r="ABD111" s="11"/>
      <c r="ABE111" s="11"/>
      <c r="ABF111" s="11"/>
      <c r="ABG111" s="11"/>
      <c r="ABH111" s="11"/>
      <c r="ABI111" s="11"/>
      <c r="ABJ111" s="11"/>
      <c r="ABK111" s="11"/>
      <c r="ABL111" s="11"/>
      <c r="ABM111" s="11"/>
      <c r="ABN111" s="11"/>
      <c r="ABO111" s="11"/>
      <c r="ABP111" s="11"/>
      <c r="ABQ111" s="11"/>
      <c r="ABR111" s="11"/>
      <c r="ABS111" s="11"/>
      <c r="ABT111" s="11"/>
      <c r="ABU111" s="11"/>
      <c r="ABV111" s="11"/>
      <c r="ABW111" s="11"/>
      <c r="ABX111" s="11"/>
      <c r="ABY111" s="11"/>
      <c r="ABZ111" s="11"/>
      <c r="ACA111" s="11"/>
      <c r="ACB111" s="11"/>
      <c r="ACC111" s="11"/>
      <c r="ACD111" s="11"/>
      <c r="ACE111" s="11"/>
      <c r="ACF111" s="11"/>
      <c r="ACG111" s="11"/>
      <c r="ACH111" s="11"/>
      <c r="ACI111" s="11"/>
      <c r="ACJ111" s="11"/>
      <c r="ACK111" s="11"/>
      <c r="ACL111" s="11"/>
      <c r="ACM111" s="11"/>
      <c r="ACN111" s="11"/>
      <c r="ACO111" s="11"/>
      <c r="ACP111" s="11"/>
      <c r="ACQ111" s="11"/>
      <c r="ACR111" s="11"/>
      <c r="ACS111" s="11"/>
      <c r="ACT111" s="11"/>
      <c r="ACU111" s="11"/>
      <c r="ACV111" s="11"/>
      <c r="ACW111" s="11"/>
      <c r="ACX111" s="11"/>
      <c r="ACY111" s="11"/>
      <c r="ACZ111" s="11"/>
      <c r="ADA111" s="11"/>
      <c r="ADB111" s="11"/>
      <c r="ADC111" s="11"/>
      <c r="ADD111" s="11"/>
      <c r="ADE111" s="11"/>
      <c r="ADF111" s="11"/>
      <c r="ADG111" s="11"/>
      <c r="ADH111" s="11"/>
      <c r="ADI111" s="11"/>
      <c r="ADJ111" s="11"/>
      <c r="ADK111" s="11"/>
      <c r="ADL111" s="11"/>
      <c r="ADM111" s="11"/>
      <c r="ADN111" s="11"/>
      <c r="ADO111" s="11"/>
      <c r="ADP111" s="11"/>
      <c r="ADQ111" s="11"/>
      <c r="ADR111" s="11"/>
      <c r="ADS111" s="11"/>
      <c r="ADT111" s="11"/>
      <c r="ADU111" s="11"/>
      <c r="ADV111" s="11"/>
      <c r="ADW111" s="11"/>
      <c r="ADX111" s="11"/>
      <c r="ADY111" s="11"/>
      <c r="ADZ111" s="11"/>
      <c r="AEA111" s="11"/>
      <c r="AEB111" s="11"/>
      <c r="AEC111" s="11"/>
      <c r="AED111" s="11"/>
      <c r="AEE111" s="11"/>
      <c r="AEF111" s="11"/>
      <c r="AEG111" s="11"/>
      <c r="AEH111" s="11"/>
      <c r="AEI111" s="11"/>
      <c r="AEJ111" s="11"/>
      <c r="AEK111" s="11"/>
      <c r="AEL111" s="11"/>
      <c r="AEM111" s="11"/>
      <c r="AEN111" s="11"/>
      <c r="AEO111" s="11"/>
      <c r="AEP111" s="11"/>
      <c r="AEQ111" s="11"/>
      <c r="AER111" s="11"/>
      <c r="AES111" s="11"/>
      <c r="AET111" s="11"/>
      <c r="AEU111" s="11"/>
      <c r="AEV111" s="11"/>
      <c r="AEW111" s="11"/>
      <c r="AEX111" s="11"/>
      <c r="AEY111" s="11"/>
      <c r="AEZ111" s="11"/>
      <c r="AFA111" s="11"/>
      <c r="AFB111" s="11"/>
      <c r="AFC111" s="11"/>
      <c r="AFD111" s="11"/>
      <c r="AFE111" s="11"/>
      <c r="AFF111" s="11"/>
      <c r="AFG111" s="11"/>
      <c r="AFH111" s="11"/>
      <c r="AFI111" s="11"/>
    </row>
    <row r="112" spans="2:841" ht="15" customHeight="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c r="IW112" s="11"/>
      <c r="IX112" s="11"/>
      <c r="IY112" s="11"/>
      <c r="IZ112" s="11"/>
      <c r="JA112" s="11"/>
      <c r="JB112" s="11"/>
      <c r="JC112" s="11"/>
      <c r="JD112" s="11"/>
      <c r="JE112" s="11"/>
      <c r="JF112" s="11"/>
      <c r="JG112" s="11"/>
      <c r="JH112" s="11"/>
      <c r="JI112" s="11"/>
      <c r="JJ112" s="11"/>
      <c r="JK112" s="11"/>
      <c r="JL112" s="11"/>
      <c r="JM112" s="11"/>
      <c r="JN112" s="11"/>
      <c r="JO112" s="11"/>
      <c r="JP112" s="11"/>
      <c r="JQ112" s="11"/>
      <c r="JR112" s="11"/>
      <c r="JS112" s="11"/>
      <c r="JT112" s="11"/>
      <c r="JU112" s="11"/>
      <c r="JV112" s="11"/>
      <c r="JW112" s="11"/>
      <c r="JX112" s="11"/>
      <c r="JY112" s="11"/>
      <c r="JZ112" s="11"/>
      <c r="KA112" s="11"/>
      <c r="KB112" s="11"/>
      <c r="KC112" s="11"/>
      <c r="KD112" s="11"/>
      <c r="KE112" s="11"/>
      <c r="KF112" s="11"/>
      <c r="KG112" s="11"/>
      <c r="KH112" s="11"/>
      <c r="KI112" s="11"/>
      <c r="KJ112" s="11"/>
      <c r="KK112" s="11"/>
      <c r="KL112" s="11"/>
      <c r="KM112" s="11"/>
      <c r="KN112" s="11"/>
      <c r="KO112" s="11"/>
      <c r="KP112" s="11"/>
      <c r="KQ112" s="11"/>
      <c r="KR112" s="11"/>
      <c r="KS112" s="11"/>
      <c r="KT112" s="11"/>
      <c r="KU112" s="11"/>
      <c r="KV112" s="11"/>
      <c r="KW112" s="11"/>
      <c r="KX112" s="11"/>
      <c r="KY112" s="11"/>
      <c r="KZ112" s="11"/>
      <c r="LA112" s="11"/>
      <c r="LB112" s="11"/>
      <c r="LC112" s="11"/>
      <c r="LD112" s="11"/>
      <c r="LE112" s="11"/>
      <c r="LF112" s="11"/>
      <c r="LG112" s="11"/>
      <c r="LH112" s="11"/>
      <c r="LI112" s="11"/>
      <c r="LJ112" s="11"/>
      <c r="LK112" s="11"/>
      <c r="LL112" s="11"/>
      <c r="LM112" s="11"/>
      <c r="LN112" s="11"/>
      <c r="LO112" s="11"/>
      <c r="LP112" s="11"/>
      <c r="LQ112" s="11"/>
      <c r="LR112" s="11"/>
      <c r="LS112" s="11"/>
      <c r="LT112" s="11"/>
      <c r="LU112" s="11"/>
      <c r="LV112" s="11"/>
      <c r="LW112" s="11"/>
      <c r="LX112" s="11"/>
      <c r="LY112" s="11"/>
      <c r="LZ112" s="11"/>
      <c r="MA112" s="11"/>
      <c r="MB112" s="11"/>
      <c r="MC112" s="11"/>
      <c r="MD112" s="11"/>
      <c r="ME112" s="11"/>
      <c r="MF112" s="11"/>
      <c r="MG112" s="11"/>
      <c r="MH112" s="11"/>
      <c r="MI112" s="11"/>
      <c r="MJ112" s="11"/>
      <c r="MK112" s="11"/>
      <c r="ML112" s="11"/>
      <c r="MM112" s="11"/>
      <c r="MN112" s="11"/>
      <c r="MO112" s="11"/>
      <c r="MP112" s="11"/>
      <c r="MQ112" s="11"/>
      <c r="MR112" s="11"/>
      <c r="MS112" s="11"/>
      <c r="MT112" s="11"/>
      <c r="MU112" s="11"/>
      <c r="MV112" s="11"/>
      <c r="MW112" s="11"/>
      <c r="MX112" s="11"/>
      <c r="MY112" s="11"/>
      <c r="MZ112" s="11"/>
      <c r="NA112" s="11"/>
      <c r="NB112" s="11"/>
      <c r="NC112" s="11"/>
      <c r="ND112" s="11"/>
      <c r="NE112" s="11"/>
      <c r="NF112" s="11"/>
      <c r="NG112" s="11"/>
      <c r="NH112" s="11"/>
      <c r="NI112" s="11"/>
      <c r="NJ112" s="11"/>
      <c r="NK112" s="11"/>
      <c r="NL112" s="11"/>
      <c r="NM112" s="11"/>
      <c r="NN112" s="11"/>
      <c r="NO112" s="11"/>
      <c r="NP112" s="11"/>
      <c r="NQ112" s="11"/>
      <c r="NR112" s="11"/>
      <c r="NS112" s="11"/>
      <c r="NT112" s="11"/>
      <c r="NU112" s="11"/>
      <c r="NV112" s="11"/>
      <c r="NW112" s="11"/>
      <c r="NX112" s="11"/>
      <c r="NY112" s="11"/>
      <c r="NZ112" s="11"/>
      <c r="OA112" s="11"/>
      <c r="OB112" s="11"/>
      <c r="OC112" s="11"/>
      <c r="OD112" s="11"/>
      <c r="OE112" s="11"/>
      <c r="OF112" s="11"/>
      <c r="OG112" s="11"/>
      <c r="OH112" s="11"/>
      <c r="OI112" s="11"/>
      <c r="OJ112" s="11"/>
      <c r="OK112" s="11"/>
      <c r="OL112" s="11"/>
      <c r="OM112" s="11"/>
      <c r="ON112" s="11"/>
      <c r="OO112" s="11"/>
      <c r="OP112" s="11"/>
      <c r="OQ112" s="11"/>
      <c r="OR112" s="11"/>
      <c r="OS112" s="11"/>
      <c r="OT112" s="11"/>
      <c r="OU112" s="11"/>
      <c r="OV112" s="11"/>
      <c r="OW112" s="11"/>
      <c r="OX112" s="11"/>
      <c r="OY112" s="11"/>
      <c r="OZ112" s="11"/>
      <c r="PA112" s="11"/>
      <c r="PB112" s="11"/>
      <c r="PC112" s="11"/>
      <c r="PD112" s="11"/>
      <c r="PE112" s="11"/>
      <c r="PF112" s="11"/>
      <c r="PG112" s="11"/>
      <c r="PH112" s="11"/>
      <c r="PI112" s="11"/>
      <c r="PJ112" s="11"/>
      <c r="PK112" s="11"/>
      <c r="PL112" s="11"/>
      <c r="PM112" s="11"/>
      <c r="PN112" s="11"/>
      <c r="PO112" s="11"/>
      <c r="PP112" s="11"/>
      <c r="PQ112" s="11"/>
      <c r="PR112" s="11"/>
      <c r="PS112" s="11"/>
      <c r="PT112" s="11"/>
      <c r="PU112" s="11"/>
      <c r="PV112" s="11"/>
      <c r="PW112" s="11"/>
      <c r="PX112" s="11"/>
      <c r="PY112" s="11"/>
      <c r="PZ112" s="11"/>
      <c r="QA112" s="11"/>
      <c r="QB112" s="11"/>
      <c r="QC112" s="11"/>
      <c r="QD112" s="11"/>
      <c r="QE112" s="11"/>
      <c r="QF112" s="11"/>
      <c r="QG112" s="11"/>
      <c r="QH112" s="11"/>
      <c r="QI112" s="11"/>
      <c r="QJ112" s="11"/>
      <c r="QK112" s="11"/>
      <c r="QL112" s="11"/>
      <c r="QM112" s="11"/>
      <c r="QN112" s="11"/>
      <c r="QO112" s="11"/>
      <c r="QP112" s="11"/>
      <c r="QQ112" s="11"/>
      <c r="QR112" s="11"/>
      <c r="QS112" s="11"/>
      <c r="QT112" s="11"/>
      <c r="QU112" s="11"/>
      <c r="QV112" s="11"/>
      <c r="QW112" s="11"/>
      <c r="QX112" s="11"/>
      <c r="QY112" s="11"/>
      <c r="QZ112" s="11"/>
      <c r="RA112" s="11"/>
      <c r="RB112" s="11"/>
      <c r="RC112" s="11"/>
      <c r="RD112" s="11"/>
      <c r="RE112" s="11"/>
      <c r="RF112" s="11"/>
      <c r="RG112" s="11"/>
      <c r="RH112" s="11"/>
      <c r="RI112" s="11"/>
      <c r="RJ112" s="11"/>
      <c r="RK112" s="11"/>
      <c r="RL112" s="11"/>
      <c r="RM112" s="11"/>
      <c r="RN112" s="11"/>
      <c r="RO112" s="11"/>
      <c r="RP112" s="11"/>
      <c r="RQ112" s="11"/>
      <c r="RR112" s="11"/>
      <c r="RS112" s="11"/>
      <c r="RT112" s="11"/>
      <c r="RU112" s="11"/>
      <c r="RV112" s="11"/>
      <c r="RW112" s="11"/>
      <c r="RX112" s="11"/>
      <c r="RY112" s="11"/>
      <c r="RZ112" s="11"/>
      <c r="SA112" s="11"/>
      <c r="SB112" s="11"/>
      <c r="SC112" s="11"/>
      <c r="SD112" s="11"/>
      <c r="SE112" s="11"/>
      <c r="SF112" s="11"/>
      <c r="SG112" s="11"/>
      <c r="SH112" s="11"/>
      <c r="SI112" s="11"/>
      <c r="SJ112" s="11"/>
      <c r="SK112" s="11"/>
      <c r="SL112" s="11"/>
      <c r="SM112" s="11"/>
      <c r="SN112" s="11"/>
      <c r="SO112" s="11"/>
      <c r="SP112" s="11"/>
      <c r="SQ112" s="11"/>
      <c r="SR112" s="11"/>
      <c r="SS112" s="11"/>
      <c r="ST112" s="11"/>
      <c r="SU112" s="11"/>
      <c r="SV112" s="11"/>
      <c r="SW112" s="11"/>
      <c r="SX112" s="11"/>
      <c r="SY112" s="11"/>
      <c r="SZ112" s="11"/>
      <c r="TA112" s="11"/>
      <c r="TB112" s="11"/>
      <c r="TC112" s="11"/>
      <c r="TD112" s="11"/>
      <c r="TE112" s="11"/>
      <c r="TF112" s="11"/>
      <c r="TG112" s="11"/>
      <c r="TH112" s="11"/>
      <c r="TI112" s="11"/>
      <c r="TJ112" s="11"/>
      <c r="TK112" s="11"/>
      <c r="TL112" s="11"/>
      <c r="TM112" s="11"/>
      <c r="TN112" s="11"/>
      <c r="TO112" s="11"/>
      <c r="TP112" s="11"/>
      <c r="TQ112" s="11"/>
      <c r="TR112" s="11"/>
      <c r="TS112" s="11"/>
      <c r="TT112" s="11"/>
      <c r="TU112" s="11"/>
      <c r="TV112" s="11"/>
      <c r="TW112" s="11"/>
      <c r="TX112" s="11"/>
      <c r="TY112" s="11"/>
      <c r="TZ112" s="11"/>
      <c r="UA112" s="11"/>
      <c r="UB112" s="11"/>
      <c r="UC112" s="11"/>
      <c r="UD112" s="11"/>
      <c r="UE112" s="11"/>
      <c r="UF112" s="11"/>
      <c r="UG112" s="11"/>
      <c r="UH112" s="11"/>
      <c r="UI112" s="11"/>
      <c r="UJ112" s="11"/>
      <c r="UK112" s="11"/>
      <c r="UL112" s="11"/>
      <c r="UM112" s="11"/>
      <c r="UN112" s="11"/>
      <c r="UO112" s="11"/>
      <c r="UP112" s="11"/>
      <c r="UQ112" s="11"/>
      <c r="UR112" s="11"/>
      <c r="US112" s="11"/>
      <c r="UT112" s="11"/>
      <c r="UU112" s="11"/>
      <c r="UV112" s="11"/>
      <c r="UW112" s="11"/>
      <c r="UX112" s="11"/>
      <c r="UY112" s="11"/>
      <c r="UZ112" s="11"/>
      <c r="VA112" s="11"/>
      <c r="VB112" s="11"/>
      <c r="VC112" s="11"/>
      <c r="VD112" s="11"/>
      <c r="VE112" s="11"/>
      <c r="VF112" s="11"/>
      <c r="VG112" s="11"/>
      <c r="VH112" s="11"/>
      <c r="VI112" s="11"/>
      <c r="VJ112" s="11"/>
      <c r="VK112" s="11"/>
      <c r="VL112" s="11"/>
      <c r="VM112" s="11"/>
      <c r="VN112" s="11"/>
      <c r="VO112" s="11"/>
      <c r="VP112" s="11"/>
      <c r="VQ112" s="11"/>
      <c r="VR112" s="11"/>
      <c r="VS112" s="11"/>
      <c r="VT112" s="11"/>
      <c r="VU112" s="11"/>
      <c r="VV112" s="11"/>
      <c r="VW112" s="11"/>
      <c r="VX112" s="11"/>
      <c r="VY112" s="11"/>
      <c r="VZ112" s="11"/>
      <c r="WA112" s="11"/>
      <c r="WB112" s="11"/>
      <c r="WC112" s="11"/>
      <c r="WD112" s="11"/>
      <c r="WE112" s="11"/>
      <c r="WF112" s="11"/>
      <c r="WG112" s="11"/>
      <c r="WH112" s="11"/>
      <c r="WI112" s="11"/>
      <c r="WJ112" s="11"/>
      <c r="WK112" s="11"/>
      <c r="WL112" s="11"/>
      <c r="WM112" s="11"/>
      <c r="WN112" s="11"/>
      <c r="WO112" s="11"/>
      <c r="WP112" s="11"/>
      <c r="WQ112" s="11"/>
      <c r="WR112" s="11"/>
      <c r="WS112" s="11"/>
      <c r="WT112" s="11"/>
      <c r="WU112" s="11"/>
      <c r="WV112" s="11"/>
      <c r="WW112" s="11"/>
      <c r="WX112" s="11"/>
      <c r="WY112" s="11"/>
      <c r="WZ112" s="11"/>
      <c r="XA112" s="11"/>
      <c r="XB112" s="11"/>
      <c r="XC112" s="11"/>
      <c r="XD112" s="11"/>
      <c r="XE112" s="11"/>
      <c r="XF112" s="11"/>
      <c r="XG112" s="11"/>
      <c r="XH112" s="11"/>
      <c r="XI112" s="11"/>
      <c r="XJ112" s="11"/>
      <c r="XK112" s="11"/>
      <c r="XL112" s="11"/>
      <c r="XM112" s="11"/>
      <c r="XN112" s="11"/>
      <c r="XO112" s="11"/>
      <c r="XP112" s="11"/>
      <c r="XQ112" s="11"/>
      <c r="XR112" s="11"/>
      <c r="XS112" s="11"/>
      <c r="XT112" s="11"/>
      <c r="XU112" s="11"/>
      <c r="XV112" s="11"/>
      <c r="XW112" s="11"/>
      <c r="XX112" s="11"/>
      <c r="XY112" s="11"/>
      <c r="XZ112" s="11"/>
      <c r="YA112" s="11"/>
      <c r="YB112" s="11"/>
      <c r="YC112" s="11"/>
      <c r="YD112" s="11"/>
      <c r="YE112" s="11"/>
      <c r="YF112" s="11"/>
      <c r="YG112" s="11"/>
      <c r="YH112" s="11"/>
      <c r="YI112" s="11"/>
      <c r="YJ112" s="11"/>
      <c r="YK112" s="11"/>
      <c r="YL112" s="11"/>
      <c r="YM112" s="11"/>
      <c r="YN112" s="11"/>
      <c r="YO112" s="11"/>
      <c r="YP112" s="11"/>
      <c r="YQ112" s="11"/>
      <c r="YR112" s="11"/>
      <c r="YS112" s="11"/>
      <c r="YT112" s="11"/>
      <c r="YU112" s="11"/>
      <c r="YV112" s="11"/>
      <c r="YW112" s="11"/>
      <c r="YX112" s="11"/>
      <c r="YY112" s="11"/>
      <c r="YZ112" s="11"/>
      <c r="ZA112" s="11"/>
      <c r="ZB112" s="11"/>
      <c r="ZC112" s="11"/>
      <c r="ZD112" s="11"/>
      <c r="ZE112" s="11"/>
      <c r="ZF112" s="11"/>
      <c r="ZG112" s="11"/>
      <c r="ZH112" s="11"/>
      <c r="ZI112" s="11"/>
      <c r="ZJ112" s="11"/>
      <c r="ZK112" s="11"/>
      <c r="ZL112" s="11"/>
      <c r="ZM112" s="11"/>
      <c r="ZN112" s="11"/>
      <c r="ZO112" s="11"/>
      <c r="ZP112" s="11"/>
      <c r="ZQ112" s="11"/>
      <c r="ZR112" s="11"/>
      <c r="ZS112" s="11"/>
      <c r="ZT112" s="11"/>
      <c r="ZU112" s="11"/>
      <c r="ZV112" s="11"/>
      <c r="ZW112" s="11"/>
      <c r="ZX112" s="11"/>
      <c r="ZY112" s="11"/>
      <c r="ZZ112" s="11"/>
      <c r="AAA112" s="11"/>
      <c r="AAB112" s="11"/>
      <c r="AAC112" s="11"/>
      <c r="AAD112" s="11"/>
      <c r="AAE112" s="11"/>
      <c r="AAF112" s="11"/>
      <c r="AAG112" s="11"/>
      <c r="AAH112" s="11"/>
      <c r="AAI112" s="11"/>
      <c r="AAJ112" s="11"/>
      <c r="AAK112" s="11"/>
      <c r="AAL112" s="11"/>
      <c r="AAM112" s="11"/>
      <c r="AAN112" s="11"/>
      <c r="AAO112" s="11"/>
      <c r="AAP112" s="11"/>
      <c r="AAQ112" s="11"/>
      <c r="AAR112" s="11"/>
      <c r="AAS112" s="11"/>
      <c r="AAT112" s="11"/>
      <c r="AAU112" s="11"/>
      <c r="AAV112" s="11"/>
      <c r="AAW112" s="11"/>
      <c r="AAX112" s="11"/>
      <c r="AAY112" s="11"/>
      <c r="AAZ112" s="11"/>
      <c r="ABA112" s="11"/>
      <c r="ABB112" s="11"/>
      <c r="ABC112" s="11"/>
      <c r="ABD112" s="11"/>
      <c r="ABE112" s="11"/>
      <c r="ABF112" s="11"/>
      <c r="ABG112" s="11"/>
      <c r="ABH112" s="11"/>
      <c r="ABI112" s="11"/>
      <c r="ABJ112" s="11"/>
      <c r="ABK112" s="11"/>
      <c r="ABL112" s="11"/>
      <c r="ABM112" s="11"/>
      <c r="ABN112" s="11"/>
      <c r="ABO112" s="11"/>
      <c r="ABP112" s="11"/>
      <c r="ABQ112" s="11"/>
      <c r="ABR112" s="11"/>
      <c r="ABS112" s="11"/>
      <c r="ABT112" s="11"/>
      <c r="ABU112" s="11"/>
      <c r="ABV112" s="11"/>
      <c r="ABW112" s="11"/>
      <c r="ABX112" s="11"/>
      <c r="ABY112" s="11"/>
      <c r="ABZ112" s="11"/>
      <c r="ACA112" s="11"/>
      <c r="ACB112" s="11"/>
      <c r="ACC112" s="11"/>
      <c r="ACD112" s="11"/>
      <c r="ACE112" s="11"/>
      <c r="ACF112" s="11"/>
      <c r="ACG112" s="11"/>
      <c r="ACH112" s="11"/>
      <c r="ACI112" s="11"/>
      <c r="ACJ112" s="11"/>
      <c r="ACK112" s="11"/>
      <c r="ACL112" s="11"/>
      <c r="ACM112" s="11"/>
      <c r="ACN112" s="11"/>
      <c r="ACO112" s="11"/>
      <c r="ACP112" s="11"/>
      <c r="ACQ112" s="11"/>
      <c r="ACR112" s="11"/>
      <c r="ACS112" s="11"/>
      <c r="ACT112" s="11"/>
      <c r="ACU112" s="11"/>
      <c r="ACV112" s="11"/>
      <c r="ACW112" s="11"/>
      <c r="ACX112" s="11"/>
      <c r="ACY112" s="11"/>
      <c r="ACZ112" s="11"/>
      <c r="ADA112" s="11"/>
      <c r="ADB112" s="11"/>
      <c r="ADC112" s="11"/>
      <c r="ADD112" s="11"/>
      <c r="ADE112" s="11"/>
      <c r="ADF112" s="11"/>
      <c r="ADG112" s="11"/>
      <c r="ADH112" s="11"/>
      <c r="ADI112" s="11"/>
      <c r="ADJ112" s="11"/>
      <c r="ADK112" s="11"/>
      <c r="ADL112" s="11"/>
      <c r="ADM112" s="11"/>
      <c r="ADN112" s="11"/>
      <c r="ADO112" s="11"/>
      <c r="ADP112" s="11"/>
      <c r="ADQ112" s="11"/>
      <c r="ADR112" s="11"/>
      <c r="ADS112" s="11"/>
      <c r="ADT112" s="11"/>
      <c r="ADU112" s="11"/>
      <c r="ADV112" s="11"/>
      <c r="ADW112" s="11"/>
      <c r="ADX112" s="11"/>
      <c r="ADY112" s="11"/>
      <c r="ADZ112" s="11"/>
      <c r="AEA112" s="11"/>
      <c r="AEB112" s="11"/>
      <c r="AEC112" s="11"/>
      <c r="AED112" s="11"/>
      <c r="AEE112" s="11"/>
      <c r="AEF112" s="11"/>
      <c r="AEG112" s="11"/>
      <c r="AEH112" s="11"/>
      <c r="AEI112" s="11"/>
      <c r="AEJ112" s="11"/>
      <c r="AEK112" s="11"/>
      <c r="AEL112" s="11"/>
      <c r="AEM112" s="11"/>
      <c r="AEN112" s="11"/>
      <c r="AEO112" s="11"/>
      <c r="AEP112" s="11"/>
      <c r="AEQ112" s="11"/>
      <c r="AER112" s="11"/>
      <c r="AES112" s="11"/>
      <c r="AET112" s="11"/>
      <c r="AEU112" s="11"/>
      <c r="AEV112" s="11"/>
      <c r="AEW112" s="11"/>
      <c r="AEX112" s="11"/>
      <c r="AEY112" s="11"/>
      <c r="AEZ112" s="11"/>
      <c r="AFA112" s="11"/>
      <c r="AFB112" s="11"/>
      <c r="AFC112" s="11"/>
      <c r="AFD112" s="11"/>
      <c r="AFE112" s="11"/>
      <c r="AFF112" s="11"/>
      <c r="AFG112" s="11"/>
      <c r="AFH112" s="11"/>
      <c r="AFI112" s="11"/>
    </row>
    <row r="113" spans="2:841" ht="15" customHeight="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c r="IW113" s="11"/>
      <c r="IX113" s="11"/>
      <c r="IY113" s="11"/>
      <c r="IZ113" s="11"/>
      <c r="JA113" s="11"/>
      <c r="JB113" s="11"/>
      <c r="JC113" s="11"/>
      <c r="JD113" s="11"/>
      <c r="JE113" s="11"/>
      <c r="JF113" s="11"/>
      <c r="JG113" s="11"/>
      <c r="JH113" s="11"/>
      <c r="JI113" s="11"/>
      <c r="JJ113" s="11"/>
      <c r="JK113" s="11"/>
      <c r="JL113" s="11"/>
      <c r="JM113" s="11"/>
      <c r="JN113" s="11"/>
      <c r="JO113" s="11"/>
      <c r="JP113" s="11"/>
      <c r="JQ113" s="11"/>
      <c r="JR113" s="11"/>
      <c r="JS113" s="11"/>
      <c r="JT113" s="11"/>
      <c r="JU113" s="11"/>
      <c r="JV113" s="11"/>
      <c r="JW113" s="11"/>
      <c r="JX113" s="11"/>
      <c r="JY113" s="11"/>
      <c r="JZ113" s="11"/>
      <c r="KA113" s="11"/>
      <c r="KB113" s="11"/>
      <c r="KC113" s="11"/>
      <c r="KD113" s="11"/>
      <c r="KE113" s="11"/>
      <c r="KF113" s="11"/>
      <c r="KG113" s="11"/>
      <c r="KH113" s="11"/>
      <c r="KI113" s="11"/>
      <c r="KJ113" s="11"/>
      <c r="KK113" s="11"/>
      <c r="KL113" s="11"/>
      <c r="KM113" s="11"/>
      <c r="KN113" s="11"/>
      <c r="KO113" s="11"/>
      <c r="KP113" s="11"/>
      <c r="KQ113" s="11"/>
      <c r="KR113" s="11"/>
      <c r="KS113" s="11"/>
      <c r="KT113" s="11"/>
      <c r="KU113" s="11"/>
      <c r="KV113" s="11"/>
      <c r="KW113" s="11"/>
      <c r="KX113" s="11"/>
      <c r="KY113" s="11"/>
      <c r="KZ113" s="11"/>
      <c r="LA113" s="11"/>
      <c r="LB113" s="11"/>
      <c r="LC113" s="11"/>
      <c r="LD113" s="11"/>
      <c r="LE113" s="11"/>
      <c r="LF113" s="11"/>
      <c r="LG113" s="11"/>
      <c r="LH113" s="11"/>
      <c r="LI113" s="11"/>
      <c r="LJ113" s="11"/>
      <c r="LK113" s="11"/>
      <c r="LL113" s="11"/>
      <c r="LM113" s="11"/>
      <c r="LN113" s="11"/>
      <c r="LO113" s="11"/>
      <c r="LP113" s="11"/>
      <c r="LQ113" s="11"/>
      <c r="LR113" s="11"/>
      <c r="LS113" s="11"/>
      <c r="LT113" s="11"/>
      <c r="LU113" s="11"/>
      <c r="LV113" s="11"/>
      <c r="LW113" s="11"/>
      <c r="LX113" s="11"/>
      <c r="LY113" s="11"/>
      <c r="LZ113" s="11"/>
      <c r="MA113" s="11"/>
      <c r="MB113" s="11"/>
      <c r="MC113" s="11"/>
      <c r="MD113" s="11"/>
      <c r="ME113" s="11"/>
      <c r="MF113" s="11"/>
      <c r="MG113" s="11"/>
      <c r="MH113" s="11"/>
      <c r="MI113" s="11"/>
      <c r="MJ113" s="11"/>
      <c r="MK113" s="11"/>
      <c r="ML113" s="11"/>
      <c r="MM113" s="11"/>
      <c r="MN113" s="11"/>
      <c r="MO113" s="11"/>
      <c r="MP113" s="11"/>
      <c r="MQ113" s="11"/>
      <c r="MR113" s="11"/>
      <c r="MS113" s="11"/>
      <c r="MT113" s="11"/>
      <c r="MU113" s="11"/>
      <c r="MV113" s="11"/>
      <c r="MW113" s="11"/>
      <c r="MX113" s="11"/>
      <c r="MY113" s="11"/>
      <c r="MZ113" s="11"/>
      <c r="NA113" s="11"/>
      <c r="NB113" s="11"/>
      <c r="NC113" s="11"/>
      <c r="ND113" s="11"/>
      <c r="NE113" s="11"/>
      <c r="NF113" s="11"/>
      <c r="NG113" s="11"/>
      <c r="NH113" s="11"/>
      <c r="NI113" s="11"/>
      <c r="NJ113" s="11"/>
      <c r="NK113" s="11"/>
      <c r="NL113" s="11"/>
      <c r="NM113" s="11"/>
      <c r="NN113" s="11"/>
      <c r="NO113" s="11"/>
      <c r="NP113" s="11"/>
      <c r="NQ113" s="11"/>
      <c r="NR113" s="11"/>
      <c r="NS113" s="11"/>
      <c r="NT113" s="11"/>
      <c r="NU113" s="11"/>
      <c r="NV113" s="11"/>
      <c r="NW113" s="11"/>
      <c r="NX113" s="11"/>
      <c r="NY113" s="11"/>
      <c r="NZ113" s="11"/>
      <c r="OA113" s="11"/>
      <c r="OB113" s="11"/>
      <c r="OC113" s="11"/>
      <c r="OD113" s="11"/>
      <c r="OE113" s="11"/>
      <c r="OF113" s="11"/>
      <c r="OG113" s="11"/>
      <c r="OH113" s="11"/>
      <c r="OI113" s="11"/>
      <c r="OJ113" s="11"/>
      <c r="OK113" s="11"/>
      <c r="OL113" s="11"/>
      <c r="OM113" s="11"/>
      <c r="ON113" s="11"/>
      <c r="OO113" s="11"/>
      <c r="OP113" s="11"/>
      <c r="OQ113" s="11"/>
      <c r="OR113" s="11"/>
      <c r="OS113" s="11"/>
      <c r="OT113" s="11"/>
      <c r="OU113" s="11"/>
      <c r="OV113" s="11"/>
      <c r="OW113" s="11"/>
      <c r="OX113" s="11"/>
      <c r="OY113" s="11"/>
      <c r="OZ113" s="11"/>
      <c r="PA113" s="11"/>
      <c r="PB113" s="11"/>
      <c r="PC113" s="11"/>
      <c r="PD113" s="11"/>
      <c r="PE113" s="11"/>
      <c r="PF113" s="11"/>
      <c r="PG113" s="11"/>
      <c r="PH113" s="11"/>
      <c r="PI113" s="11"/>
      <c r="PJ113" s="11"/>
      <c r="PK113" s="11"/>
      <c r="PL113" s="11"/>
      <c r="PM113" s="11"/>
      <c r="PN113" s="11"/>
      <c r="PO113" s="11"/>
      <c r="PP113" s="11"/>
      <c r="PQ113" s="11"/>
      <c r="PR113" s="11"/>
      <c r="PS113" s="11"/>
      <c r="PT113" s="11"/>
      <c r="PU113" s="11"/>
      <c r="PV113" s="11"/>
      <c r="PW113" s="11"/>
      <c r="PX113" s="11"/>
      <c r="PY113" s="11"/>
      <c r="PZ113" s="11"/>
      <c r="QA113" s="11"/>
      <c r="QB113" s="11"/>
      <c r="QC113" s="11"/>
      <c r="QD113" s="11"/>
      <c r="QE113" s="11"/>
      <c r="QF113" s="11"/>
      <c r="QG113" s="11"/>
      <c r="QH113" s="11"/>
      <c r="QI113" s="11"/>
      <c r="QJ113" s="11"/>
      <c r="QK113" s="11"/>
      <c r="QL113" s="11"/>
      <c r="QM113" s="11"/>
      <c r="QN113" s="11"/>
      <c r="QO113" s="11"/>
      <c r="QP113" s="11"/>
      <c r="QQ113" s="11"/>
      <c r="QR113" s="11"/>
      <c r="QS113" s="11"/>
      <c r="QT113" s="11"/>
      <c r="QU113" s="11"/>
      <c r="QV113" s="11"/>
      <c r="QW113" s="11"/>
      <c r="QX113" s="11"/>
      <c r="QY113" s="11"/>
      <c r="QZ113" s="11"/>
      <c r="RA113" s="11"/>
      <c r="RB113" s="11"/>
      <c r="RC113" s="11"/>
      <c r="RD113" s="11"/>
      <c r="RE113" s="11"/>
      <c r="RF113" s="11"/>
      <c r="RG113" s="11"/>
      <c r="RH113" s="11"/>
      <c r="RI113" s="11"/>
      <c r="RJ113" s="11"/>
      <c r="RK113" s="11"/>
      <c r="RL113" s="11"/>
      <c r="RM113" s="11"/>
      <c r="RN113" s="11"/>
      <c r="RO113" s="11"/>
      <c r="RP113" s="11"/>
      <c r="RQ113" s="11"/>
      <c r="RR113" s="11"/>
      <c r="RS113" s="11"/>
      <c r="RT113" s="11"/>
      <c r="RU113" s="11"/>
      <c r="RV113" s="11"/>
      <c r="RW113" s="11"/>
      <c r="RX113" s="11"/>
      <c r="RY113" s="11"/>
      <c r="RZ113" s="11"/>
      <c r="SA113" s="11"/>
      <c r="SB113" s="11"/>
      <c r="SC113" s="11"/>
      <c r="SD113" s="11"/>
      <c r="SE113" s="11"/>
      <c r="SF113" s="11"/>
      <c r="SG113" s="11"/>
      <c r="SH113" s="11"/>
      <c r="SI113" s="11"/>
      <c r="SJ113" s="11"/>
      <c r="SK113" s="11"/>
      <c r="SL113" s="11"/>
      <c r="SM113" s="11"/>
      <c r="SN113" s="11"/>
      <c r="SO113" s="11"/>
      <c r="SP113" s="11"/>
      <c r="SQ113" s="11"/>
      <c r="SR113" s="11"/>
      <c r="SS113" s="11"/>
      <c r="ST113" s="11"/>
      <c r="SU113" s="11"/>
      <c r="SV113" s="11"/>
      <c r="SW113" s="11"/>
      <c r="SX113" s="11"/>
      <c r="SY113" s="11"/>
      <c r="SZ113" s="11"/>
      <c r="TA113" s="11"/>
      <c r="TB113" s="11"/>
      <c r="TC113" s="11"/>
      <c r="TD113" s="11"/>
      <c r="TE113" s="11"/>
      <c r="TF113" s="11"/>
      <c r="TG113" s="11"/>
      <c r="TH113" s="11"/>
      <c r="TI113" s="11"/>
      <c r="TJ113" s="11"/>
      <c r="TK113" s="11"/>
      <c r="TL113" s="11"/>
      <c r="TM113" s="11"/>
      <c r="TN113" s="11"/>
      <c r="TO113" s="11"/>
      <c r="TP113" s="11"/>
      <c r="TQ113" s="11"/>
      <c r="TR113" s="11"/>
      <c r="TS113" s="11"/>
      <c r="TT113" s="11"/>
      <c r="TU113" s="11"/>
      <c r="TV113" s="11"/>
      <c r="TW113" s="11"/>
      <c r="TX113" s="11"/>
      <c r="TY113" s="11"/>
      <c r="TZ113" s="11"/>
      <c r="UA113" s="11"/>
      <c r="UB113" s="11"/>
      <c r="UC113" s="11"/>
      <c r="UD113" s="11"/>
      <c r="UE113" s="11"/>
      <c r="UF113" s="11"/>
      <c r="UG113" s="11"/>
      <c r="UH113" s="11"/>
      <c r="UI113" s="11"/>
      <c r="UJ113" s="11"/>
      <c r="UK113" s="11"/>
      <c r="UL113" s="11"/>
      <c r="UM113" s="11"/>
      <c r="UN113" s="11"/>
      <c r="UO113" s="11"/>
      <c r="UP113" s="11"/>
      <c r="UQ113" s="11"/>
      <c r="UR113" s="11"/>
      <c r="US113" s="11"/>
      <c r="UT113" s="11"/>
      <c r="UU113" s="11"/>
      <c r="UV113" s="11"/>
      <c r="UW113" s="11"/>
      <c r="UX113" s="11"/>
      <c r="UY113" s="11"/>
      <c r="UZ113" s="11"/>
      <c r="VA113" s="11"/>
      <c r="VB113" s="11"/>
      <c r="VC113" s="11"/>
      <c r="VD113" s="11"/>
      <c r="VE113" s="11"/>
      <c r="VF113" s="11"/>
      <c r="VG113" s="11"/>
      <c r="VH113" s="11"/>
      <c r="VI113" s="11"/>
      <c r="VJ113" s="11"/>
      <c r="VK113" s="11"/>
      <c r="VL113" s="11"/>
      <c r="VM113" s="11"/>
      <c r="VN113" s="11"/>
      <c r="VO113" s="11"/>
      <c r="VP113" s="11"/>
      <c r="VQ113" s="11"/>
      <c r="VR113" s="11"/>
      <c r="VS113" s="11"/>
      <c r="VT113" s="11"/>
      <c r="VU113" s="11"/>
      <c r="VV113" s="11"/>
      <c r="VW113" s="11"/>
      <c r="VX113" s="11"/>
      <c r="VY113" s="11"/>
      <c r="VZ113" s="11"/>
      <c r="WA113" s="11"/>
      <c r="WB113" s="11"/>
      <c r="WC113" s="11"/>
      <c r="WD113" s="11"/>
      <c r="WE113" s="11"/>
      <c r="WF113" s="11"/>
      <c r="WG113" s="11"/>
      <c r="WH113" s="11"/>
      <c r="WI113" s="11"/>
      <c r="WJ113" s="11"/>
      <c r="WK113" s="11"/>
      <c r="WL113" s="11"/>
      <c r="WM113" s="11"/>
      <c r="WN113" s="11"/>
      <c r="WO113" s="11"/>
      <c r="WP113" s="11"/>
      <c r="WQ113" s="11"/>
      <c r="WR113" s="11"/>
      <c r="WS113" s="11"/>
      <c r="WT113" s="11"/>
      <c r="WU113" s="11"/>
      <c r="WV113" s="11"/>
      <c r="WW113" s="11"/>
      <c r="WX113" s="11"/>
      <c r="WY113" s="11"/>
      <c r="WZ113" s="11"/>
      <c r="XA113" s="11"/>
      <c r="XB113" s="11"/>
      <c r="XC113" s="11"/>
      <c r="XD113" s="11"/>
      <c r="XE113" s="11"/>
      <c r="XF113" s="11"/>
      <c r="XG113" s="11"/>
      <c r="XH113" s="11"/>
      <c r="XI113" s="11"/>
      <c r="XJ113" s="11"/>
      <c r="XK113" s="11"/>
      <c r="XL113" s="11"/>
      <c r="XM113" s="11"/>
      <c r="XN113" s="11"/>
      <c r="XO113" s="11"/>
      <c r="XP113" s="11"/>
      <c r="XQ113" s="11"/>
      <c r="XR113" s="11"/>
      <c r="XS113" s="11"/>
      <c r="XT113" s="11"/>
      <c r="XU113" s="11"/>
      <c r="XV113" s="11"/>
      <c r="XW113" s="11"/>
      <c r="XX113" s="11"/>
      <c r="XY113" s="11"/>
      <c r="XZ113" s="11"/>
      <c r="YA113" s="11"/>
      <c r="YB113" s="11"/>
      <c r="YC113" s="11"/>
      <c r="YD113" s="11"/>
      <c r="YE113" s="11"/>
      <c r="YF113" s="11"/>
      <c r="YG113" s="11"/>
      <c r="YH113" s="11"/>
      <c r="YI113" s="11"/>
      <c r="YJ113" s="11"/>
      <c r="YK113" s="11"/>
      <c r="YL113" s="11"/>
      <c r="YM113" s="11"/>
      <c r="YN113" s="11"/>
      <c r="YO113" s="11"/>
      <c r="YP113" s="11"/>
      <c r="YQ113" s="11"/>
      <c r="YR113" s="11"/>
      <c r="YS113" s="11"/>
      <c r="YT113" s="11"/>
      <c r="YU113" s="11"/>
      <c r="YV113" s="11"/>
      <c r="YW113" s="11"/>
      <c r="YX113" s="11"/>
      <c r="YY113" s="11"/>
      <c r="YZ113" s="11"/>
      <c r="ZA113" s="11"/>
      <c r="ZB113" s="11"/>
      <c r="ZC113" s="11"/>
      <c r="ZD113" s="11"/>
      <c r="ZE113" s="11"/>
      <c r="ZF113" s="11"/>
      <c r="ZG113" s="11"/>
      <c r="ZH113" s="11"/>
      <c r="ZI113" s="11"/>
      <c r="ZJ113" s="11"/>
      <c r="ZK113" s="11"/>
      <c r="ZL113" s="11"/>
      <c r="ZM113" s="11"/>
      <c r="ZN113" s="11"/>
      <c r="ZO113" s="11"/>
      <c r="ZP113" s="11"/>
      <c r="ZQ113" s="11"/>
      <c r="ZR113" s="11"/>
      <c r="ZS113" s="11"/>
      <c r="ZT113" s="11"/>
      <c r="ZU113" s="11"/>
      <c r="ZV113" s="11"/>
      <c r="ZW113" s="11"/>
      <c r="ZX113" s="11"/>
      <c r="ZY113" s="11"/>
      <c r="ZZ113" s="11"/>
      <c r="AAA113" s="11"/>
      <c r="AAB113" s="11"/>
      <c r="AAC113" s="11"/>
      <c r="AAD113" s="11"/>
      <c r="AAE113" s="11"/>
      <c r="AAF113" s="11"/>
      <c r="AAG113" s="11"/>
      <c r="AAH113" s="11"/>
      <c r="AAI113" s="11"/>
      <c r="AAJ113" s="11"/>
      <c r="AAK113" s="11"/>
      <c r="AAL113" s="11"/>
      <c r="AAM113" s="11"/>
      <c r="AAN113" s="11"/>
      <c r="AAO113" s="11"/>
      <c r="AAP113" s="11"/>
      <c r="AAQ113" s="11"/>
      <c r="AAR113" s="11"/>
      <c r="AAS113" s="11"/>
      <c r="AAT113" s="11"/>
      <c r="AAU113" s="11"/>
      <c r="AAV113" s="11"/>
      <c r="AAW113" s="11"/>
      <c r="AAX113" s="11"/>
      <c r="AAY113" s="11"/>
      <c r="AAZ113" s="11"/>
      <c r="ABA113" s="11"/>
      <c r="ABB113" s="11"/>
      <c r="ABC113" s="11"/>
      <c r="ABD113" s="11"/>
      <c r="ABE113" s="11"/>
      <c r="ABF113" s="11"/>
      <c r="ABG113" s="11"/>
      <c r="ABH113" s="11"/>
      <c r="ABI113" s="11"/>
      <c r="ABJ113" s="11"/>
      <c r="ABK113" s="11"/>
      <c r="ABL113" s="11"/>
      <c r="ABM113" s="11"/>
      <c r="ABN113" s="11"/>
      <c r="ABO113" s="11"/>
      <c r="ABP113" s="11"/>
      <c r="ABQ113" s="11"/>
      <c r="ABR113" s="11"/>
      <c r="ABS113" s="11"/>
      <c r="ABT113" s="11"/>
      <c r="ABU113" s="11"/>
      <c r="ABV113" s="11"/>
      <c r="ABW113" s="11"/>
      <c r="ABX113" s="11"/>
      <c r="ABY113" s="11"/>
      <c r="ABZ113" s="11"/>
      <c r="ACA113" s="11"/>
      <c r="ACB113" s="11"/>
      <c r="ACC113" s="11"/>
      <c r="ACD113" s="11"/>
      <c r="ACE113" s="11"/>
      <c r="ACF113" s="11"/>
      <c r="ACG113" s="11"/>
      <c r="ACH113" s="11"/>
      <c r="ACI113" s="11"/>
      <c r="ACJ113" s="11"/>
      <c r="ACK113" s="11"/>
      <c r="ACL113" s="11"/>
      <c r="ACM113" s="11"/>
      <c r="ACN113" s="11"/>
      <c r="ACO113" s="11"/>
      <c r="ACP113" s="11"/>
      <c r="ACQ113" s="11"/>
      <c r="ACR113" s="11"/>
      <c r="ACS113" s="11"/>
      <c r="ACT113" s="11"/>
      <c r="ACU113" s="11"/>
      <c r="ACV113" s="11"/>
      <c r="ACW113" s="11"/>
      <c r="ACX113" s="11"/>
      <c r="ACY113" s="11"/>
      <c r="ACZ113" s="11"/>
      <c r="ADA113" s="11"/>
      <c r="ADB113" s="11"/>
      <c r="ADC113" s="11"/>
      <c r="ADD113" s="11"/>
      <c r="ADE113" s="11"/>
      <c r="ADF113" s="11"/>
      <c r="ADG113" s="11"/>
      <c r="ADH113" s="11"/>
      <c r="ADI113" s="11"/>
      <c r="ADJ113" s="11"/>
      <c r="ADK113" s="11"/>
      <c r="ADL113" s="11"/>
      <c r="ADM113" s="11"/>
      <c r="ADN113" s="11"/>
      <c r="ADO113" s="11"/>
      <c r="ADP113" s="11"/>
      <c r="ADQ113" s="11"/>
      <c r="ADR113" s="11"/>
      <c r="ADS113" s="11"/>
      <c r="ADT113" s="11"/>
      <c r="ADU113" s="11"/>
      <c r="ADV113" s="11"/>
      <c r="ADW113" s="11"/>
      <c r="ADX113" s="11"/>
      <c r="ADY113" s="11"/>
      <c r="ADZ113" s="11"/>
      <c r="AEA113" s="11"/>
      <c r="AEB113" s="11"/>
      <c r="AEC113" s="11"/>
      <c r="AED113" s="11"/>
      <c r="AEE113" s="11"/>
      <c r="AEF113" s="11"/>
      <c r="AEG113" s="11"/>
      <c r="AEH113" s="11"/>
      <c r="AEI113" s="11"/>
      <c r="AEJ113" s="11"/>
      <c r="AEK113" s="11"/>
      <c r="AEL113" s="11"/>
      <c r="AEM113" s="11"/>
      <c r="AEN113" s="11"/>
      <c r="AEO113" s="11"/>
      <c r="AEP113" s="11"/>
      <c r="AEQ113" s="11"/>
      <c r="AER113" s="11"/>
      <c r="AES113" s="11"/>
      <c r="AET113" s="11"/>
      <c r="AEU113" s="11"/>
      <c r="AEV113" s="11"/>
      <c r="AEW113" s="11"/>
      <c r="AEX113" s="11"/>
      <c r="AEY113" s="11"/>
      <c r="AEZ113" s="11"/>
      <c r="AFA113" s="11"/>
      <c r="AFB113" s="11"/>
      <c r="AFC113" s="11"/>
      <c r="AFD113" s="11"/>
      <c r="AFE113" s="11"/>
      <c r="AFF113" s="11"/>
      <c r="AFG113" s="11"/>
      <c r="AFH113" s="11"/>
      <c r="AFI113" s="11"/>
    </row>
    <row r="114" spans="2:841" ht="15" customHeight="1">
      <c r="B114" s="11"/>
      <c r="C114" s="246" t="s">
        <v>889</v>
      </c>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c r="IW114" s="11"/>
      <c r="IX114" s="11"/>
      <c r="IY114" s="11"/>
      <c r="IZ114" s="11"/>
      <c r="JA114" s="11"/>
      <c r="JB114" s="11"/>
      <c r="JC114" s="11"/>
      <c r="JD114" s="11"/>
      <c r="JE114" s="11"/>
      <c r="JF114" s="11"/>
      <c r="JG114" s="11"/>
      <c r="JH114" s="11"/>
      <c r="JI114" s="11"/>
      <c r="JJ114" s="11"/>
      <c r="JK114" s="11"/>
      <c r="JL114" s="11"/>
      <c r="JM114" s="11"/>
      <c r="JN114" s="11"/>
      <c r="JO114" s="11"/>
      <c r="JP114" s="11"/>
      <c r="JQ114" s="11"/>
      <c r="JR114" s="11"/>
      <c r="JS114" s="11"/>
      <c r="JT114" s="11"/>
      <c r="JU114" s="11"/>
      <c r="JV114" s="11"/>
      <c r="JW114" s="11"/>
      <c r="JX114" s="11"/>
      <c r="JY114" s="11"/>
      <c r="JZ114" s="11"/>
      <c r="KA114" s="11"/>
      <c r="KB114" s="11"/>
      <c r="KC114" s="11"/>
      <c r="KD114" s="11"/>
      <c r="KE114" s="11"/>
      <c r="KF114" s="11"/>
      <c r="KG114" s="11"/>
      <c r="KH114" s="11"/>
      <c r="KI114" s="11"/>
      <c r="KJ114" s="11"/>
      <c r="KK114" s="11"/>
      <c r="KL114" s="11"/>
      <c r="KM114" s="11"/>
      <c r="KN114" s="11"/>
      <c r="KO114" s="11"/>
      <c r="KP114" s="11"/>
      <c r="KQ114" s="11"/>
      <c r="KR114" s="11"/>
      <c r="KS114" s="11"/>
      <c r="KT114" s="11"/>
      <c r="KU114" s="11"/>
      <c r="KV114" s="11"/>
      <c r="KW114" s="11"/>
      <c r="KX114" s="11"/>
      <c r="KY114" s="11"/>
      <c r="KZ114" s="11"/>
      <c r="LA114" s="11"/>
      <c r="LB114" s="11"/>
      <c r="LC114" s="11"/>
      <c r="LD114" s="11"/>
      <c r="LE114" s="11"/>
      <c r="LF114" s="11"/>
      <c r="LG114" s="11"/>
      <c r="LH114" s="11"/>
      <c r="LI114" s="11"/>
      <c r="LJ114" s="11"/>
      <c r="LK114" s="11"/>
      <c r="LL114" s="11"/>
      <c r="LM114" s="11"/>
      <c r="LN114" s="11"/>
      <c r="LO114" s="11"/>
      <c r="LP114" s="11"/>
      <c r="LQ114" s="11"/>
      <c r="LR114" s="11"/>
      <c r="LS114" s="11"/>
      <c r="LT114" s="11"/>
      <c r="LU114" s="11"/>
      <c r="LV114" s="11"/>
      <c r="LW114" s="11"/>
      <c r="LX114" s="11"/>
      <c r="LY114" s="11"/>
      <c r="LZ114" s="11"/>
      <c r="MA114" s="11"/>
      <c r="MB114" s="11"/>
      <c r="MC114" s="11"/>
      <c r="MD114" s="11"/>
      <c r="ME114" s="11"/>
      <c r="MF114" s="11"/>
      <c r="MG114" s="11"/>
      <c r="MH114" s="11"/>
      <c r="MI114" s="11"/>
      <c r="MJ114" s="11"/>
      <c r="MK114" s="11"/>
      <c r="ML114" s="11"/>
      <c r="MM114" s="11"/>
      <c r="MN114" s="11"/>
      <c r="MO114" s="11"/>
      <c r="MP114" s="11"/>
      <c r="MQ114" s="11"/>
      <c r="MR114" s="11"/>
      <c r="MS114" s="11"/>
      <c r="MT114" s="11"/>
      <c r="MU114" s="11"/>
      <c r="MV114" s="11"/>
      <c r="MW114" s="11"/>
      <c r="MX114" s="11"/>
      <c r="MY114" s="11"/>
      <c r="MZ114" s="11"/>
      <c r="NA114" s="11"/>
      <c r="NB114" s="11"/>
      <c r="NC114" s="11"/>
      <c r="ND114" s="11"/>
      <c r="NE114" s="11"/>
      <c r="NF114" s="11"/>
      <c r="NG114" s="11"/>
      <c r="NH114" s="11"/>
      <c r="NI114" s="11"/>
      <c r="NJ114" s="11"/>
      <c r="NK114" s="11"/>
      <c r="NL114" s="11"/>
      <c r="NM114" s="11"/>
      <c r="NN114" s="11"/>
      <c r="NO114" s="11"/>
      <c r="NP114" s="11"/>
      <c r="NQ114" s="11"/>
      <c r="NR114" s="11"/>
      <c r="NS114" s="11"/>
      <c r="NT114" s="11"/>
      <c r="NU114" s="11"/>
      <c r="NV114" s="11"/>
      <c r="NW114" s="11"/>
      <c r="NX114" s="11"/>
      <c r="NY114" s="11"/>
      <c r="NZ114" s="11"/>
      <c r="OA114" s="11"/>
      <c r="OB114" s="11"/>
      <c r="OC114" s="11"/>
      <c r="OD114" s="11"/>
      <c r="OE114" s="11"/>
      <c r="OF114" s="11"/>
      <c r="OG114" s="11"/>
      <c r="OH114" s="11"/>
      <c r="OI114" s="11"/>
      <c r="OJ114" s="11"/>
      <c r="OK114" s="11"/>
      <c r="OL114" s="11"/>
      <c r="OM114" s="11"/>
      <c r="ON114" s="11"/>
      <c r="OO114" s="11"/>
      <c r="OP114" s="11"/>
      <c r="OQ114" s="11"/>
      <c r="OR114" s="11"/>
      <c r="OS114" s="11"/>
      <c r="OT114" s="11"/>
      <c r="OU114" s="11"/>
      <c r="OV114" s="11"/>
      <c r="OW114" s="11"/>
      <c r="OX114" s="11"/>
      <c r="OY114" s="11"/>
      <c r="OZ114" s="11"/>
      <c r="PA114" s="11"/>
      <c r="PB114" s="11"/>
      <c r="PC114" s="11"/>
      <c r="PD114" s="11"/>
      <c r="PE114" s="11"/>
      <c r="PF114" s="11"/>
      <c r="PG114" s="11"/>
      <c r="PH114" s="11"/>
      <c r="PI114" s="11"/>
      <c r="PJ114" s="11"/>
      <c r="PK114" s="11"/>
      <c r="PL114" s="11"/>
      <c r="PM114" s="11"/>
      <c r="PN114" s="11"/>
      <c r="PO114" s="11"/>
      <c r="PP114" s="11"/>
      <c r="PQ114" s="11"/>
      <c r="PR114" s="11"/>
      <c r="PS114" s="11"/>
      <c r="PT114" s="11"/>
      <c r="PU114" s="11"/>
      <c r="PV114" s="11"/>
      <c r="PW114" s="11"/>
      <c r="PX114" s="11"/>
      <c r="PY114" s="11"/>
      <c r="PZ114" s="11"/>
      <c r="QA114" s="11"/>
      <c r="QB114" s="11"/>
      <c r="QC114" s="11"/>
      <c r="QD114" s="11"/>
      <c r="QE114" s="11"/>
      <c r="QF114" s="11"/>
      <c r="QG114" s="11"/>
      <c r="QH114" s="11"/>
      <c r="QI114" s="11"/>
      <c r="QJ114" s="11"/>
      <c r="QK114" s="11"/>
      <c r="QL114" s="11"/>
      <c r="QM114" s="11"/>
      <c r="QN114" s="11"/>
      <c r="QO114" s="11"/>
      <c r="QP114" s="11"/>
      <c r="QQ114" s="11"/>
      <c r="QR114" s="11"/>
      <c r="QS114" s="11"/>
      <c r="QT114" s="11"/>
      <c r="QU114" s="11"/>
      <c r="QV114" s="11"/>
      <c r="QW114" s="11"/>
      <c r="QX114" s="11"/>
      <c r="QY114" s="11"/>
      <c r="QZ114" s="11"/>
      <c r="RA114" s="11"/>
      <c r="RB114" s="11"/>
      <c r="RC114" s="11"/>
      <c r="RD114" s="11"/>
      <c r="RE114" s="11"/>
      <c r="RF114" s="11"/>
      <c r="RG114" s="11"/>
      <c r="RH114" s="11"/>
      <c r="RI114" s="11"/>
      <c r="RJ114" s="11"/>
      <c r="RK114" s="11"/>
      <c r="RL114" s="11"/>
      <c r="RM114" s="11"/>
      <c r="RN114" s="11"/>
      <c r="RO114" s="11"/>
      <c r="RP114" s="11"/>
      <c r="RQ114" s="11"/>
      <c r="RR114" s="11"/>
      <c r="RS114" s="11"/>
      <c r="RT114" s="11"/>
      <c r="RU114" s="11"/>
      <c r="RV114" s="11"/>
      <c r="RW114" s="11"/>
      <c r="RX114" s="11"/>
      <c r="RY114" s="11"/>
      <c r="RZ114" s="11"/>
      <c r="SA114" s="11"/>
      <c r="SB114" s="11"/>
      <c r="SC114" s="11"/>
      <c r="SD114" s="11"/>
      <c r="SE114" s="11"/>
      <c r="SF114" s="11"/>
      <c r="SG114" s="11"/>
      <c r="SH114" s="11"/>
      <c r="SI114" s="11"/>
      <c r="SJ114" s="11"/>
      <c r="SK114" s="11"/>
      <c r="SL114" s="11"/>
      <c r="SM114" s="11"/>
      <c r="SN114" s="11"/>
      <c r="SO114" s="11"/>
      <c r="SP114" s="11"/>
      <c r="SQ114" s="11"/>
      <c r="SR114" s="11"/>
      <c r="SS114" s="11"/>
      <c r="ST114" s="11"/>
      <c r="SU114" s="11"/>
      <c r="SV114" s="11"/>
      <c r="SW114" s="11"/>
      <c r="SX114" s="11"/>
      <c r="SY114" s="11"/>
      <c r="SZ114" s="11"/>
      <c r="TA114" s="11"/>
      <c r="TB114" s="11"/>
      <c r="TC114" s="11"/>
      <c r="TD114" s="11"/>
      <c r="TE114" s="11"/>
      <c r="TF114" s="11"/>
      <c r="TG114" s="11"/>
      <c r="TH114" s="11"/>
      <c r="TI114" s="11"/>
      <c r="TJ114" s="11"/>
      <c r="TK114" s="11"/>
      <c r="TL114" s="11"/>
      <c r="TM114" s="11"/>
      <c r="TN114" s="11"/>
      <c r="TO114" s="11"/>
      <c r="TP114" s="11"/>
      <c r="TQ114" s="11"/>
      <c r="TR114" s="11"/>
      <c r="TS114" s="11"/>
      <c r="TT114" s="11"/>
      <c r="TU114" s="11"/>
      <c r="TV114" s="11"/>
      <c r="TW114" s="11"/>
      <c r="TX114" s="11"/>
      <c r="TY114" s="11"/>
      <c r="TZ114" s="11"/>
      <c r="UA114" s="11"/>
      <c r="UB114" s="11"/>
      <c r="UC114" s="11"/>
      <c r="UD114" s="11"/>
      <c r="UE114" s="11"/>
      <c r="UF114" s="11"/>
      <c r="UG114" s="11"/>
      <c r="UH114" s="11"/>
      <c r="UI114" s="11"/>
      <c r="UJ114" s="11"/>
      <c r="UK114" s="11"/>
      <c r="UL114" s="11"/>
      <c r="UM114" s="11"/>
      <c r="UN114" s="11"/>
      <c r="UO114" s="11"/>
      <c r="UP114" s="11"/>
      <c r="UQ114" s="11"/>
      <c r="UR114" s="11"/>
      <c r="US114" s="11"/>
      <c r="UT114" s="11"/>
      <c r="UU114" s="11"/>
      <c r="UV114" s="11"/>
      <c r="UW114" s="11"/>
      <c r="UX114" s="11"/>
      <c r="UY114" s="11"/>
      <c r="UZ114" s="11"/>
      <c r="VA114" s="11"/>
      <c r="VB114" s="11"/>
      <c r="VC114" s="11"/>
      <c r="VD114" s="11"/>
      <c r="VE114" s="11"/>
      <c r="VF114" s="11"/>
      <c r="VG114" s="11"/>
      <c r="VH114" s="11"/>
      <c r="VI114" s="11"/>
      <c r="VJ114" s="11"/>
      <c r="VK114" s="11"/>
      <c r="VL114" s="11"/>
      <c r="VM114" s="11"/>
      <c r="VN114" s="11"/>
      <c r="VO114" s="11"/>
      <c r="VP114" s="11"/>
      <c r="VQ114" s="11"/>
      <c r="VR114" s="11"/>
      <c r="VS114" s="11"/>
      <c r="VT114" s="11"/>
      <c r="VU114" s="11"/>
      <c r="VV114" s="11"/>
      <c r="VW114" s="11"/>
      <c r="VX114" s="11"/>
      <c r="VY114" s="11"/>
      <c r="VZ114" s="11"/>
      <c r="WA114" s="11"/>
      <c r="WB114" s="11"/>
      <c r="WC114" s="11"/>
      <c r="WD114" s="11"/>
      <c r="WE114" s="11"/>
      <c r="WF114" s="11"/>
      <c r="WG114" s="11"/>
      <c r="WH114" s="11"/>
      <c r="WI114" s="11"/>
      <c r="WJ114" s="11"/>
      <c r="WK114" s="11"/>
      <c r="WL114" s="11"/>
      <c r="WM114" s="11"/>
      <c r="WN114" s="11"/>
      <c r="WO114" s="11"/>
      <c r="WP114" s="11"/>
      <c r="WQ114" s="11"/>
      <c r="WR114" s="11"/>
      <c r="WS114" s="11"/>
      <c r="WT114" s="11"/>
      <c r="WU114" s="11"/>
      <c r="WV114" s="11"/>
      <c r="WW114" s="11"/>
      <c r="WX114" s="11"/>
      <c r="WY114" s="11"/>
      <c r="WZ114" s="11"/>
      <c r="XA114" s="11"/>
      <c r="XB114" s="11"/>
      <c r="XC114" s="11"/>
      <c r="XD114" s="11"/>
      <c r="XE114" s="11"/>
      <c r="XF114" s="11"/>
      <c r="XG114" s="11"/>
      <c r="XH114" s="11"/>
      <c r="XI114" s="11"/>
      <c r="XJ114" s="11"/>
      <c r="XK114" s="11"/>
      <c r="XL114" s="11"/>
      <c r="XM114" s="11"/>
      <c r="XN114" s="11"/>
      <c r="XO114" s="11"/>
      <c r="XP114" s="11"/>
      <c r="XQ114" s="11"/>
      <c r="XR114" s="11"/>
      <c r="XS114" s="11"/>
      <c r="XT114" s="11"/>
      <c r="XU114" s="11"/>
      <c r="XV114" s="11"/>
      <c r="XW114" s="11"/>
      <c r="XX114" s="11"/>
      <c r="XY114" s="11"/>
      <c r="XZ114" s="11"/>
      <c r="YA114" s="11"/>
      <c r="YB114" s="11"/>
      <c r="YC114" s="11"/>
      <c r="YD114" s="11"/>
      <c r="YE114" s="11"/>
      <c r="YF114" s="11"/>
      <c r="YG114" s="11"/>
      <c r="YH114" s="11"/>
      <c r="YI114" s="11"/>
      <c r="YJ114" s="11"/>
      <c r="YK114" s="11"/>
      <c r="YL114" s="11"/>
      <c r="YM114" s="11"/>
      <c r="YN114" s="11"/>
      <c r="YO114" s="11"/>
      <c r="YP114" s="11"/>
      <c r="YQ114" s="11"/>
      <c r="YR114" s="11"/>
      <c r="YS114" s="11"/>
      <c r="YT114" s="11"/>
      <c r="YU114" s="11"/>
      <c r="YV114" s="11"/>
      <c r="YW114" s="11"/>
      <c r="YX114" s="11"/>
      <c r="YY114" s="11"/>
      <c r="YZ114" s="11"/>
      <c r="ZA114" s="11"/>
      <c r="ZB114" s="11"/>
      <c r="ZC114" s="11"/>
      <c r="ZD114" s="11"/>
      <c r="ZE114" s="11"/>
      <c r="ZF114" s="11"/>
      <c r="ZG114" s="11"/>
      <c r="ZH114" s="11"/>
      <c r="ZI114" s="11"/>
      <c r="ZJ114" s="11"/>
      <c r="ZK114" s="11"/>
      <c r="ZL114" s="11"/>
      <c r="ZM114" s="11"/>
      <c r="ZN114" s="11"/>
      <c r="ZO114" s="11"/>
      <c r="ZP114" s="11"/>
      <c r="ZQ114" s="11"/>
      <c r="ZR114" s="11"/>
      <c r="ZS114" s="11"/>
      <c r="ZT114" s="11"/>
      <c r="ZU114" s="11"/>
      <c r="ZV114" s="11"/>
      <c r="ZW114" s="11"/>
      <c r="ZX114" s="11"/>
      <c r="ZY114" s="11"/>
      <c r="ZZ114" s="11"/>
      <c r="AAA114" s="11"/>
      <c r="AAB114" s="11"/>
      <c r="AAC114" s="11"/>
      <c r="AAD114" s="11"/>
      <c r="AAE114" s="11"/>
      <c r="AAF114" s="11"/>
      <c r="AAG114" s="11"/>
      <c r="AAH114" s="11"/>
      <c r="AAI114" s="11"/>
      <c r="AAJ114" s="11"/>
      <c r="AAK114" s="11"/>
      <c r="AAL114" s="11"/>
      <c r="AAM114" s="11"/>
      <c r="AAN114" s="11"/>
      <c r="AAO114" s="11"/>
      <c r="AAP114" s="11"/>
      <c r="AAQ114" s="11"/>
      <c r="AAR114" s="11"/>
      <c r="AAS114" s="11"/>
      <c r="AAT114" s="11"/>
      <c r="AAU114" s="11"/>
      <c r="AAV114" s="11"/>
      <c r="AAW114" s="11"/>
      <c r="AAX114" s="11"/>
      <c r="AAY114" s="11"/>
      <c r="AAZ114" s="11"/>
      <c r="ABA114" s="11"/>
      <c r="ABB114" s="11"/>
      <c r="ABC114" s="11"/>
      <c r="ABD114" s="11"/>
      <c r="ABE114" s="11"/>
      <c r="ABF114" s="11"/>
      <c r="ABG114" s="11"/>
      <c r="ABH114" s="11"/>
      <c r="ABI114" s="11"/>
      <c r="ABJ114" s="11"/>
      <c r="ABK114" s="11"/>
      <c r="ABL114" s="11"/>
      <c r="ABM114" s="11"/>
      <c r="ABN114" s="11"/>
      <c r="ABO114" s="11"/>
      <c r="ABP114" s="11"/>
      <c r="ABQ114" s="11"/>
      <c r="ABR114" s="11"/>
      <c r="ABS114" s="11"/>
      <c r="ABT114" s="11"/>
      <c r="ABU114" s="11"/>
      <c r="ABV114" s="11"/>
      <c r="ABW114" s="11"/>
      <c r="ABX114" s="11"/>
      <c r="ABY114" s="11"/>
      <c r="ABZ114" s="11"/>
      <c r="ACA114" s="11"/>
      <c r="ACB114" s="11"/>
      <c r="ACC114" s="11"/>
      <c r="ACD114" s="11"/>
      <c r="ACE114" s="11"/>
      <c r="ACF114" s="11"/>
      <c r="ACG114" s="11"/>
      <c r="ACH114" s="11"/>
      <c r="ACI114" s="11"/>
      <c r="ACJ114" s="11"/>
      <c r="ACK114" s="11"/>
      <c r="ACL114" s="11"/>
      <c r="ACM114" s="11"/>
      <c r="ACN114" s="11"/>
      <c r="ACO114" s="11"/>
      <c r="ACP114" s="11"/>
      <c r="ACQ114" s="11"/>
      <c r="ACR114" s="11"/>
      <c r="ACS114" s="11"/>
      <c r="ACT114" s="11"/>
      <c r="ACU114" s="11"/>
      <c r="ACV114" s="11"/>
      <c r="ACW114" s="11"/>
      <c r="ACX114" s="11"/>
      <c r="ACY114" s="11"/>
      <c r="ACZ114" s="11"/>
      <c r="ADA114" s="11"/>
      <c r="ADB114" s="11"/>
      <c r="ADC114" s="11"/>
      <c r="ADD114" s="11"/>
      <c r="ADE114" s="11"/>
      <c r="ADF114" s="11"/>
      <c r="ADG114" s="11"/>
      <c r="ADH114" s="11"/>
      <c r="ADI114" s="11"/>
      <c r="ADJ114" s="11"/>
      <c r="ADK114" s="11"/>
      <c r="ADL114" s="11"/>
      <c r="ADM114" s="11"/>
      <c r="ADN114" s="11"/>
      <c r="ADO114" s="11"/>
      <c r="ADP114" s="11"/>
      <c r="ADQ114" s="11"/>
      <c r="ADR114" s="11"/>
      <c r="ADS114" s="11"/>
      <c r="ADT114" s="11"/>
      <c r="ADU114" s="11"/>
      <c r="ADV114" s="11"/>
      <c r="ADW114" s="11"/>
      <c r="ADX114" s="11"/>
      <c r="ADY114" s="11"/>
      <c r="ADZ114" s="11"/>
      <c r="AEA114" s="11"/>
      <c r="AEB114" s="11"/>
      <c r="AEC114" s="11"/>
      <c r="AED114" s="11"/>
      <c r="AEE114" s="11"/>
      <c r="AEF114" s="11"/>
      <c r="AEG114" s="11"/>
      <c r="AEH114" s="11"/>
      <c r="AEI114" s="11"/>
      <c r="AEJ114" s="11"/>
      <c r="AEK114" s="11"/>
      <c r="AEL114" s="11"/>
      <c r="AEM114" s="11"/>
      <c r="AEN114" s="11"/>
      <c r="AEO114" s="11"/>
      <c r="AEP114" s="11"/>
      <c r="AEQ114" s="11"/>
      <c r="AER114" s="11"/>
      <c r="AES114" s="11"/>
      <c r="AET114" s="11"/>
      <c r="AEU114" s="11"/>
      <c r="AEV114" s="11"/>
      <c r="AEW114" s="11"/>
      <c r="AEX114" s="11"/>
      <c r="AEY114" s="11"/>
      <c r="AEZ114" s="11"/>
      <c r="AFA114" s="11"/>
      <c r="AFB114" s="11"/>
      <c r="AFC114" s="11"/>
      <c r="AFD114" s="11"/>
      <c r="AFE114" s="11"/>
      <c r="AFF114" s="11"/>
      <c r="AFG114" s="11"/>
      <c r="AFH114" s="11"/>
      <c r="AFI114" s="11"/>
    </row>
    <row r="115" spans="2:841" ht="15" customHeight="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c r="IV115" s="11"/>
      <c r="IW115" s="11"/>
      <c r="IX115" s="11"/>
      <c r="IY115" s="11"/>
      <c r="IZ115" s="11"/>
      <c r="JA115" s="11"/>
      <c r="JB115" s="11"/>
      <c r="JC115" s="11"/>
      <c r="JD115" s="11"/>
      <c r="JE115" s="11"/>
      <c r="JF115" s="11"/>
      <c r="JG115" s="11"/>
      <c r="JH115" s="11"/>
      <c r="JI115" s="11"/>
      <c r="JJ115" s="11"/>
      <c r="JK115" s="11"/>
      <c r="JL115" s="11"/>
      <c r="JM115" s="11"/>
      <c r="JN115" s="11"/>
      <c r="JO115" s="11"/>
      <c r="JP115" s="11"/>
      <c r="JQ115" s="11"/>
      <c r="JR115" s="11"/>
      <c r="JS115" s="11"/>
      <c r="JT115" s="11"/>
      <c r="JU115" s="11"/>
      <c r="JV115" s="11"/>
      <c r="JW115" s="11"/>
      <c r="JX115" s="11"/>
      <c r="JY115" s="11"/>
      <c r="JZ115" s="11"/>
      <c r="KA115" s="11"/>
      <c r="KB115" s="11"/>
      <c r="KC115" s="11"/>
      <c r="KD115" s="11"/>
      <c r="KE115" s="11"/>
      <c r="KF115" s="11"/>
      <c r="KG115" s="11"/>
      <c r="KH115" s="11"/>
      <c r="KI115" s="11"/>
      <c r="KJ115" s="11"/>
      <c r="KK115" s="11"/>
      <c r="KL115" s="11"/>
      <c r="KM115" s="11"/>
      <c r="KN115" s="11"/>
      <c r="KO115" s="11"/>
      <c r="KP115" s="11"/>
      <c r="KQ115" s="11"/>
      <c r="KR115" s="11"/>
      <c r="KS115" s="11"/>
      <c r="KT115" s="11"/>
      <c r="KU115" s="11"/>
      <c r="KV115" s="11"/>
      <c r="KW115" s="11"/>
      <c r="KX115" s="11"/>
      <c r="KY115" s="11"/>
      <c r="KZ115" s="11"/>
      <c r="LA115" s="11"/>
      <c r="LB115" s="11"/>
      <c r="LC115" s="11"/>
      <c r="LD115" s="11"/>
      <c r="LE115" s="11"/>
      <c r="LF115" s="11"/>
      <c r="LG115" s="11"/>
      <c r="LH115" s="11"/>
      <c r="LI115" s="11"/>
      <c r="LJ115" s="11"/>
      <c r="LK115" s="11"/>
      <c r="LL115" s="11"/>
      <c r="LM115" s="11"/>
      <c r="LN115" s="11"/>
      <c r="LO115" s="11"/>
      <c r="LP115" s="11"/>
      <c r="LQ115" s="11"/>
      <c r="LR115" s="11"/>
      <c r="LS115" s="11"/>
      <c r="LT115" s="11"/>
      <c r="LU115" s="11"/>
      <c r="LV115" s="11"/>
      <c r="LW115" s="11"/>
      <c r="LX115" s="11"/>
      <c r="LY115" s="11"/>
      <c r="LZ115" s="11"/>
      <c r="MA115" s="11"/>
      <c r="MB115" s="11"/>
      <c r="MC115" s="11"/>
      <c r="MD115" s="11"/>
      <c r="ME115" s="11"/>
      <c r="MF115" s="11"/>
      <c r="MG115" s="11"/>
      <c r="MH115" s="11"/>
      <c r="MI115" s="11"/>
      <c r="MJ115" s="11"/>
      <c r="MK115" s="11"/>
      <c r="ML115" s="11"/>
      <c r="MM115" s="11"/>
      <c r="MN115" s="11"/>
      <c r="MO115" s="11"/>
      <c r="MP115" s="11"/>
      <c r="MQ115" s="11"/>
      <c r="MR115" s="11"/>
      <c r="MS115" s="11"/>
      <c r="MT115" s="11"/>
      <c r="MU115" s="11"/>
      <c r="MV115" s="11"/>
      <c r="MW115" s="11"/>
      <c r="MX115" s="11"/>
      <c r="MY115" s="11"/>
      <c r="MZ115" s="11"/>
      <c r="NA115" s="11"/>
      <c r="NB115" s="11"/>
      <c r="NC115" s="11"/>
      <c r="ND115" s="11"/>
      <c r="NE115" s="11"/>
      <c r="NF115" s="11"/>
      <c r="NG115" s="11"/>
      <c r="NH115" s="11"/>
      <c r="NI115" s="11"/>
      <c r="NJ115" s="11"/>
      <c r="NK115" s="11"/>
      <c r="NL115" s="11"/>
      <c r="NM115" s="11"/>
      <c r="NN115" s="11"/>
      <c r="NO115" s="11"/>
      <c r="NP115" s="11"/>
      <c r="NQ115" s="11"/>
      <c r="NR115" s="11"/>
      <c r="NS115" s="11"/>
      <c r="NT115" s="11"/>
      <c r="NU115" s="11"/>
      <c r="NV115" s="11"/>
      <c r="NW115" s="11"/>
      <c r="NX115" s="11"/>
      <c r="NY115" s="11"/>
      <c r="NZ115" s="11"/>
      <c r="OA115" s="11"/>
      <c r="OB115" s="11"/>
      <c r="OC115" s="11"/>
      <c r="OD115" s="11"/>
      <c r="OE115" s="11"/>
      <c r="OF115" s="11"/>
      <c r="OG115" s="11"/>
      <c r="OH115" s="11"/>
      <c r="OI115" s="11"/>
      <c r="OJ115" s="11"/>
      <c r="OK115" s="11"/>
      <c r="OL115" s="11"/>
      <c r="OM115" s="11"/>
      <c r="ON115" s="11"/>
      <c r="OO115" s="11"/>
      <c r="OP115" s="11"/>
      <c r="OQ115" s="11"/>
      <c r="OR115" s="11"/>
      <c r="OS115" s="11"/>
      <c r="OT115" s="11"/>
      <c r="OU115" s="11"/>
      <c r="OV115" s="11"/>
      <c r="OW115" s="11"/>
      <c r="OX115" s="11"/>
      <c r="OY115" s="11"/>
      <c r="OZ115" s="11"/>
      <c r="PA115" s="11"/>
      <c r="PB115" s="11"/>
      <c r="PC115" s="11"/>
      <c r="PD115" s="11"/>
      <c r="PE115" s="11"/>
      <c r="PF115" s="11"/>
      <c r="PG115" s="11"/>
      <c r="PH115" s="11"/>
      <c r="PI115" s="11"/>
      <c r="PJ115" s="11"/>
      <c r="PK115" s="11"/>
      <c r="PL115" s="11"/>
      <c r="PM115" s="11"/>
      <c r="PN115" s="11"/>
      <c r="PO115" s="11"/>
      <c r="PP115" s="11"/>
      <c r="PQ115" s="11"/>
      <c r="PR115" s="11"/>
      <c r="PS115" s="11"/>
      <c r="PT115" s="11"/>
      <c r="PU115" s="11"/>
      <c r="PV115" s="11"/>
      <c r="PW115" s="11"/>
      <c r="PX115" s="11"/>
      <c r="PY115" s="11"/>
      <c r="PZ115" s="11"/>
      <c r="QA115" s="11"/>
      <c r="QB115" s="11"/>
      <c r="QC115" s="11"/>
      <c r="QD115" s="11"/>
      <c r="QE115" s="11"/>
      <c r="QF115" s="11"/>
      <c r="QG115" s="11"/>
      <c r="QH115" s="11"/>
      <c r="QI115" s="11"/>
      <c r="QJ115" s="11"/>
      <c r="QK115" s="11"/>
      <c r="QL115" s="11"/>
      <c r="QM115" s="11"/>
      <c r="QN115" s="11"/>
      <c r="QO115" s="11"/>
      <c r="QP115" s="11"/>
      <c r="QQ115" s="11"/>
      <c r="QR115" s="11"/>
      <c r="QS115" s="11"/>
      <c r="QT115" s="11"/>
      <c r="QU115" s="11"/>
      <c r="QV115" s="11"/>
      <c r="QW115" s="11"/>
      <c r="QX115" s="11"/>
      <c r="QY115" s="11"/>
      <c r="QZ115" s="11"/>
      <c r="RA115" s="11"/>
      <c r="RB115" s="11"/>
      <c r="RC115" s="11"/>
      <c r="RD115" s="11"/>
      <c r="RE115" s="11"/>
      <c r="RF115" s="11"/>
      <c r="RG115" s="11"/>
      <c r="RH115" s="11"/>
      <c r="RI115" s="11"/>
      <c r="RJ115" s="11"/>
      <c r="RK115" s="11"/>
      <c r="RL115" s="11"/>
      <c r="RM115" s="11"/>
      <c r="RN115" s="11"/>
      <c r="RO115" s="11"/>
      <c r="RP115" s="11"/>
      <c r="RQ115" s="11"/>
      <c r="RR115" s="11"/>
      <c r="RS115" s="11"/>
      <c r="RT115" s="11"/>
      <c r="RU115" s="11"/>
      <c r="RV115" s="11"/>
      <c r="RW115" s="11"/>
      <c r="RX115" s="11"/>
      <c r="RY115" s="11"/>
      <c r="RZ115" s="11"/>
      <c r="SA115" s="11"/>
      <c r="SB115" s="11"/>
      <c r="SC115" s="11"/>
      <c r="SD115" s="11"/>
      <c r="SE115" s="11"/>
      <c r="SF115" s="11"/>
      <c r="SG115" s="11"/>
      <c r="SH115" s="11"/>
      <c r="SI115" s="11"/>
      <c r="SJ115" s="11"/>
      <c r="SK115" s="11"/>
      <c r="SL115" s="11"/>
      <c r="SM115" s="11"/>
      <c r="SN115" s="11"/>
      <c r="SO115" s="11"/>
      <c r="SP115" s="11"/>
      <c r="SQ115" s="11"/>
      <c r="SR115" s="11"/>
      <c r="SS115" s="11"/>
      <c r="ST115" s="11"/>
      <c r="SU115" s="11"/>
      <c r="SV115" s="11"/>
      <c r="SW115" s="11"/>
      <c r="SX115" s="11"/>
      <c r="SY115" s="11"/>
      <c r="SZ115" s="11"/>
      <c r="TA115" s="11"/>
      <c r="TB115" s="11"/>
      <c r="TC115" s="11"/>
      <c r="TD115" s="11"/>
      <c r="TE115" s="11"/>
      <c r="TF115" s="11"/>
      <c r="TG115" s="11"/>
      <c r="TH115" s="11"/>
      <c r="TI115" s="11"/>
      <c r="TJ115" s="11"/>
      <c r="TK115" s="11"/>
      <c r="TL115" s="11"/>
      <c r="TM115" s="11"/>
      <c r="TN115" s="11"/>
      <c r="TO115" s="11"/>
      <c r="TP115" s="11"/>
      <c r="TQ115" s="11"/>
      <c r="TR115" s="11"/>
      <c r="TS115" s="11"/>
      <c r="TT115" s="11"/>
      <c r="TU115" s="11"/>
      <c r="TV115" s="11"/>
      <c r="TW115" s="11"/>
      <c r="TX115" s="11"/>
      <c r="TY115" s="11"/>
      <c r="TZ115" s="11"/>
      <c r="UA115" s="11"/>
      <c r="UB115" s="11"/>
      <c r="UC115" s="11"/>
      <c r="UD115" s="11"/>
      <c r="UE115" s="11"/>
      <c r="UF115" s="11"/>
      <c r="UG115" s="11"/>
      <c r="UH115" s="11"/>
      <c r="UI115" s="11"/>
      <c r="UJ115" s="11"/>
      <c r="UK115" s="11"/>
      <c r="UL115" s="11"/>
      <c r="UM115" s="11"/>
      <c r="UN115" s="11"/>
      <c r="UO115" s="11"/>
      <c r="UP115" s="11"/>
      <c r="UQ115" s="11"/>
      <c r="UR115" s="11"/>
      <c r="US115" s="11"/>
      <c r="UT115" s="11"/>
      <c r="UU115" s="11"/>
      <c r="UV115" s="11"/>
      <c r="UW115" s="11"/>
      <c r="UX115" s="11"/>
      <c r="UY115" s="11"/>
      <c r="UZ115" s="11"/>
      <c r="VA115" s="11"/>
      <c r="VB115" s="11"/>
      <c r="VC115" s="11"/>
      <c r="VD115" s="11"/>
      <c r="VE115" s="11"/>
      <c r="VF115" s="11"/>
      <c r="VG115" s="11"/>
      <c r="VH115" s="11"/>
      <c r="VI115" s="11"/>
      <c r="VJ115" s="11"/>
      <c r="VK115" s="11"/>
      <c r="VL115" s="11"/>
      <c r="VM115" s="11"/>
      <c r="VN115" s="11"/>
      <c r="VO115" s="11"/>
      <c r="VP115" s="11"/>
      <c r="VQ115" s="11"/>
      <c r="VR115" s="11"/>
      <c r="VS115" s="11"/>
      <c r="VT115" s="11"/>
      <c r="VU115" s="11"/>
      <c r="VV115" s="11"/>
      <c r="VW115" s="11"/>
      <c r="VX115" s="11"/>
      <c r="VY115" s="11"/>
      <c r="VZ115" s="11"/>
      <c r="WA115" s="11"/>
      <c r="WB115" s="11"/>
      <c r="WC115" s="11"/>
      <c r="WD115" s="11"/>
      <c r="WE115" s="11"/>
      <c r="WF115" s="11"/>
      <c r="WG115" s="11"/>
      <c r="WH115" s="11"/>
      <c r="WI115" s="11"/>
      <c r="WJ115" s="11"/>
      <c r="WK115" s="11"/>
      <c r="WL115" s="11"/>
      <c r="WM115" s="11"/>
      <c r="WN115" s="11"/>
      <c r="WO115" s="11"/>
      <c r="WP115" s="11"/>
      <c r="WQ115" s="11"/>
      <c r="WR115" s="11"/>
      <c r="WS115" s="11"/>
      <c r="WT115" s="11"/>
      <c r="WU115" s="11"/>
      <c r="WV115" s="11"/>
      <c r="WW115" s="11"/>
      <c r="WX115" s="11"/>
      <c r="WY115" s="11"/>
      <c r="WZ115" s="11"/>
      <c r="XA115" s="11"/>
      <c r="XB115" s="11"/>
      <c r="XC115" s="11"/>
      <c r="XD115" s="11"/>
      <c r="XE115" s="11"/>
      <c r="XF115" s="11"/>
      <c r="XG115" s="11"/>
      <c r="XH115" s="11"/>
      <c r="XI115" s="11"/>
      <c r="XJ115" s="11"/>
      <c r="XK115" s="11"/>
      <c r="XL115" s="11"/>
      <c r="XM115" s="11"/>
      <c r="XN115" s="11"/>
      <c r="XO115" s="11"/>
      <c r="XP115" s="11"/>
      <c r="XQ115" s="11"/>
      <c r="XR115" s="11"/>
      <c r="XS115" s="11"/>
      <c r="XT115" s="11"/>
      <c r="XU115" s="11"/>
      <c r="XV115" s="11"/>
      <c r="XW115" s="11"/>
      <c r="XX115" s="11"/>
      <c r="XY115" s="11"/>
      <c r="XZ115" s="11"/>
      <c r="YA115" s="11"/>
      <c r="YB115" s="11"/>
      <c r="YC115" s="11"/>
      <c r="YD115" s="11"/>
      <c r="YE115" s="11"/>
      <c r="YF115" s="11"/>
      <c r="YG115" s="11"/>
      <c r="YH115" s="11"/>
      <c r="YI115" s="11"/>
      <c r="YJ115" s="11"/>
      <c r="YK115" s="11"/>
      <c r="YL115" s="11"/>
      <c r="YM115" s="11"/>
      <c r="YN115" s="11"/>
      <c r="YO115" s="11"/>
      <c r="YP115" s="11"/>
      <c r="YQ115" s="11"/>
      <c r="YR115" s="11"/>
      <c r="YS115" s="11"/>
      <c r="YT115" s="11"/>
      <c r="YU115" s="11"/>
      <c r="YV115" s="11"/>
      <c r="YW115" s="11"/>
      <c r="YX115" s="11"/>
      <c r="YY115" s="11"/>
      <c r="YZ115" s="11"/>
      <c r="ZA115" s="11"/>
      <c r="ZB115" s="11"/>
      <c r="ZC115" s="11"/>
      <c r="ZD115" s="11"/>
      <c r="ZE115" s="11"/>
      <c r="ZF115" s="11"/>
      <c r="ZG115" s="11"/>
      <c r="ZH115" s="11"/>
      <c r="ZI115" s="11"/>
      <c r="ZJ115" s="11"/>
      <c r="ZK115" s="11"/>
      <c r="ZL115" s="11"/>
      <c r="ZM115" s="11"/>
      <c r="ZN115" s="11"/>
      <c r="ZO115" s="11"/>
      <c r="ZP115" s="11"/>
      <c r="ZQ115" s="11"/>
      <c r="ZR115" s="11"/>
      <c r="ZS115" s="11"/>
      <c r="ZT115" s="11"/>
      <c r="ZU115" s="11"/>
      <c r="ZV115" s="11"/>
      <c r="ZW115" s="11"/>
      <c r="ZX115" s="11"/>
      <c r="ZY115" s="11"/>
      <c r="ZZ115" s="11"/>
      <c r="AAA115" s="11"/>
      <c r="AAB115" s="11"/>
      <c r="AAC115" s="11"/>
      <c r="AAD115" s="11"/>
      <c r="AAE115" s="11"/>
      <c r="AAF115" s="11"/>
      <c r="AAG115" s="11"/>
      <c r="AAH115" s="11"/>
      <c r="AAI115" s="11"/>
      <c r="AAJ115" s="11"/>
      <c r="AAK115" s="11"/>
      <c r="AAL115" s="11"/>
      <c r="AAM115" s="11"/>
      <c r="AAN115" s="11"/>
      <c r="AAO115" s="11"/>
      <c r="AAP115" s="11"/>
      <c r="AAQ115" s="11"/>
      <c r="AAR115" s="11"/>
      <c r="AAS115" s="11"/>
      <c r="AAT115" s="11"/>
      <c r="AAU115" s="11"/>
      <c r="AAV115" s="11"/>
      <c r="AAW115" s="11"/>
      <c r="AAX115" s="11"/>
      <c r="AAY115" s="11"/>
      <c r="AAZ115" s="11"/>
      <c r="ABA115" s="11"/>
      <c r="ABB115" s="11"/>
      <c r="ABC115" s="11"/>
      <c r="ABD115" s="11"/>
      <c r="ABE115" s="11"/>
      <c r="ABF115" s="11"/>
      <c r="ABG115" s="11"/>
      <c r="ABH115" s="11"/>
      <c r="ABI115" s="11"/>
      <c r="ABJ115" s="11"/>
      <c r="ABK115" s="11"/>
      <c r="ABL115" s="11"/>
      <c r="ABM115" s="11"/>
      <c r="ABN115" s="11"/>
      <c r="ABO115" s="11"/>
      <c r="ABP115" s="11"/>
      <c r="ABQ115" s="11"/>
      <c r="ABR115" s="11"/>
      <c r="ABS115" s="11"/>
      <c r="ABT115" s="11"/>
      <c r="ABU115" s="11"/>
      <c r="ABV115" s="11"/>
      <c r="ABW115" s="11"/>
      <c r="ABX115" s="11"/>
      <c r="ABY115" s="11"/>
      <c r="ABZ115" s="11"/>
      <c r="ACA115" s="11"/>
      <c r="ACB115" s="11"/>
      <c r="ACC115" s="11"/>
      <c r="ACD115" s="11"/>
      <c r="ACE115" s="11"/>
      <c r="ACF115" s="11"/>
      <c r="ACG115" s="11"/>
      <c r="ACH115" s="11"/>
      <c r="ACI115" s="11"/>
      <c r="ACJ115" s="11"/>
      <c r="ACK115" s="11"/>
      <c r="ACL115" s="11"/>
      <c r="ACM115" s="11"/>
      <c r="ACN115" s="11"/>
      <c r="ACO115" s="11"/>
      <c r="ACP115" s="11"/>
      <c r="ACQ115" s="11"/>
      <c r="ACR115" s="11"/>
      <c r="ACS115" s="11"/>
      <c r="ACT115" s="11"/>
      <c r="ACU115" s="11"/>
      <c r="ACV115" s="11"/>
      <c r="ACW115" s="11"/>
      <c r="ACX115" s="11"/>
      <c r="ACY115" s="11"/>
      <c r="ACZ115" s="11"/>
      <c r="ADA115" s="11"/>
      <c r="ADB115" s="11"/>
      <c r="ADC115" s="11"/>
      <c r="ADD115" s="11"/>
      <c r="ADE115" s="11"/>
      <c r="ADF115" s="11"/>
      <c r="ADG115" s="11"/>
      <c r="ADH115" s="11"/>
      <c r="ADI115" s="11"/>
      <c r="ADJ115" s="11"/>
      <c r="ADK115" s="11"/>
      <c r="ADL115" s="11"/>
      <c r="ADM115" s="11"/>
      <c r="ADN115" s="11"/>
      <c r="ADO115" s="11"/>
      <c r="ADP115" s="11"/>
      <c r="ADQ115" s="11"/>
      <c r="ADR115" s="11"/>
      <c r="ADS115" s="11"/>
      <c r="ADT115" s="11"/>
      <c r="ADU115" s="11"/>
      <c r="ADV115" s="11"/>
      <c r="ADW115" s="11"/>
      <c r="ADX115" s="11"/>
      <c r="ADY115" s="11"/>
      <c r="ADZ115" s="11"/>
      <c r="AEA115" s="11"/>
      <c r="AEB115" s="11"/>
      <c r="AEC115" s="11"/>
      <c r="AED115" s="11"/>
      <c r="AEE115" s="11"/>
      <c r="AEF115" s="11"/>
      <c r="AEG115" s="11"/>
      <c r="AEH115" s="11"/>
      <c r="AEI115" s="11"/>
      <c r="AEJ115" s="11"/>
      <c r="AEK115" s="11"/>
      <c r="AEL115" s="11"/>
      <c r="AEM115" s="11"/>
      <c r="AEN115" s="11"/>
      <c r="AEO115" s="11"/>
      <c r="AEP115" s="11"/>
      <c r="AEQ115" s="11"/>
      <c r="AER115" s="11"/>
      <c r="AES115" s="11"/>
      <c r="AET115" s="11"/>
      <c r="AEU115" s="11"/>
      <c r="AEV115" s="11"/>
      <c r="AEW115" s="11"/>
      <c r="AEX115" s="11"/>
      <c r="AEY115" s="11"/>
      <c r="AEZ115" s="11"/>
      <c r="AFA115" s="11"/>
      <c r="AFB115" s="11"/>
      <c r="AFC115" s="11"/>
      <c r="AFD115" s="11"/>
      <c r="AFE115" s="11"/>
      <c r="AFF115" s="11"/>
      <c r="AFG115" s="11"/>
      <c r="AFH115" s="11"/>
      <c r="AFI115" s="11"/>
    </row>
    <row r="116" spans="2:841" ht="15" customHeight="1">
      <c r="B116" s="11"/>
      <c r="C116" s="11"/>
      <c r="D116" s="11"/>
      <c r="E116" s="482" t="s">
        <v>23</v>
      </c>
      <c r="F116" s="483"/>
      <c r="G116" s="484"/>
      <c r="H116" s="496" t="s">
        <v>31</v>
      </c>
      <c r="I116" s="497"/>
      <c r="J116" s="498"/>
      <c r="K116" s="496" t="s">
        <v>36</v>
      </c>
      <c r="L116" s="497"/>
      <c r="M116" s="498"/>
      <c r="N116" s="496" t="s">
        <v>39</v>
      </c>
      <c r="O116" s="497"/>
      <c r="P116" s="498"/>
      <c r="Q116" s="496" t="s">
        <v>42</v>
      </c>
      <c r="R116" s="497"/>
      <c r="S116" s="498"/>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c r="IW116" s="11"/>
      <c r="IX116" s="11"/>
      <c r="IY116" s="11"/>
      <c r="IZ116" s="11"/>
      <c r="JA116" s="11"/>
      <c r="JB116" s="11"/>
      <c r="JC116" s="11"/>
      <c r="JD116" s="11"/>
      <c r="JE116" s="11"/>
      <c r="JF116" s="11"/>
      <c r="JG116" s="11"/>
      <c r="JH116" s="11"/>
      <c r="JI116" s="11"/>
      <c r="JJ116" s="11"/>
      <c r="JK116" s="11"/>
      <c r="JL116" s="11"/>
      <c r="JM116" s="11"/>
      <c r="JN116" s="11"/>
      <c r="JO116" s="11"/>
      <c r="JP116" s="11"/>
      <c r="JQ116" s="11"/>
      <c r="JR116" s="11"/>
      <c r="JS116" s="11"/>
      <c r="JT116" s="11"/>
      <c r="JU116" s="11"/>
      <c r="JV116" s="11"/>
      <c r="JW116" s="11"/>
      <c r="JX116" s="11"/>
      <c r="JY116" s="11"/>
      <c r="JZ116" s="11"/>
      <c r="KA116" s="11"/>
      <c r="KB116" s="11"/>
      <c r="KC116" s="11"/>
      <c r="KD116" s="11"/>
      <c r="KE116" s="11"/>
      <c r="KF116" s="11"/>
      <c r="KG116" s="11"/>
      <c r="KH116" s="11"/>
      <c r="KI116" s="11"/>
      <c r="KJ116" s="11"/>
      <c r="KK116" s="11"/>
      <c r="KL116" s="11"/>
      <c r="KM116" s="11"/>
      <c r="KN116" s="11"/>
      <c r="KO116" s="11"/>
      <c r="KP116" s="11"/>
      <c r="KQ116" s="11"/>
      <c r="KR116" s="11"/>
      <c r="KS116" s="11"/>
      <c r="KT116" s="11"/>
      <c r="KU116" s="11"/>
      <c r="KV116" s="11"/>
      <c r="KW116" s="11"/>
      <c r="KX116" s="11"/>
      <c r="KY116" s="11"/>
      <c r="KZ116" s="11"/>
      <c r="LA116" s="11"/>
      <c r="LB116" s="11"/>
      <c r="LC116" s="11"/>
      <c r="LD116" s="11"/>
      <c r="LE116" s="11"/>
      <c r="LF116" s="11"/>
      <c r="LG116" s="11"/>
      <c r="LH116" s="11"/>
      <c r="LI116" s="11"/>
      <c r="LJ116" s="11"/>
      <c r="LK116" s="11"/>
      <c r="LL116" s="11"/>
      <c r="LM116" s="11"/>
      <c r="LN116" s="11"/>
      <c r="LO116" s="11"/>
      <c r="LP116" s="11"/>
      <c r="LQ116" s="11"/>
      <c r="LR116" s="11"/>
      <c r="LS116" s="11"/>
      <c r="LT116" s="11"/>
      <c r="LU116" s="11"/>
      <c r="LV116" s="11"/>
      <c r="LW116" s="11"/>
      <c r="LX116" s="11"/>
      <c r="LY116" s="11"/>
      <c r="LZ116" s="11"/>
      <c r="MA116" s="11"/>
      <c r="MB116" s="11"/>
      <c r="MC116" s="11"/>
      <c r="MD116" s="11"/>
      <c r="ME116" s="11"/>
      <c r="MF116" s="11"/>
      <c r="MG116" s="11"/>
      <c r="MH116" s="11"/>
      <c r="MI116" s="11"/>
      <c r="MJ116" s="11"/>
      <c r="MK116" s="11"/>
      <c r="ML116" s="11"/>
      <c r="MM116" s="11"/>
      <c r="MN116" s="11"/>
      <c r="MO116" s="11"/>
      <c r="MP116" s="11"/>
      <c r="MQ116" s="11"/>
      <c r="MR116" s="11"/>
      <c r="MS116" s="11"/>
      <c r="MT116" s="11"/>
      <c r="MU116" s="11"/>
      <c r="MV116" s="11"/>
      <c r="MW116" s="11"/>
      <c r="MX116" s="11"/>
      <c r="MY116" s="11"/>
      <c r="MZ116" s="11"/>
      <c r="NA116" s="11"/>
      <c r="NB116" s="11"/>
      <c r="NC116" s="11"/>
      <c r="ND116" s="11"/>
      <c r="NE116" s="11"/>
      <c r="NF116" s="11"/>
      <c r="NG116" s="11"/>
      <c r="NH116" s="11"/>
      <c r="NI116" s="11"/>
      <c r="NJ116" s="11"/>
      <c r="NK116" s="11"/>
      <c r="NL116" s="11"/>
      <c r="NM116" s="11"/>
      <c r="NN116" s="11"/>
      <c r="NO116" s="11"/>
      <c r="NP116" s="11"/>
      <c r="NQ116" s="11"/>
      <c r="NR116" s="11"/>
      <c r="NS116" s="11"/>
      <c r="NT116" s="11"/>
      <c r="NU116" s="11"/>
      <c r="NV116" s="11"/>
      <c r="NW116" s="11"/>
      <c r="NX116" s="11"/>
      <c r="NY116" s="11"/>
      <c r="NZ116" s="11"/>
      <c r="OA116" s="11"/>
      <c r="OB116" s="11"/>
      <c r="OC116" s="11"/>
      <c r="OD116" s="11"/>
      <c r="OE116" s="11"/>
      <c r="OF116" s="11"/>
      <c r="OG116" s="11"/>
      <c r="OH116" s="11"/>
      <c r="OI116" s="11"/>
      <c r="OJ116" s="11"/>
      <c r="OK116" s="11"/>
      <c r="OL116" s="11"/>
      <c r="OM116" s="11"/>
      <c r="ON116" s="11"/>
      <c r="OO116" s="11"/>
      <c r="OP116" s="11"/>
      <c r="OQ116" s="11"/>
      <c r="OR116" s="11"/>
      <c r="OS116" s="11"/>
      <c r="OT116" s="11"/>
      <c r="OU116" s="11"/>
      <c r="OV116" s="11"/>
      <c r="OW116" s="11"/>
      <c r="OX116" s="11"/>
      <c r="OY116" s="11"/>
      <c r="OZ116" s="11"/>
      <c r="PA116" s="11"/>
      <c r="PB116" s="11"/>
      <c r="PC116" s="11"/>
      <c r="PD116" s="11"/>
      <c r="PE116" s="11"/>
      <c r="PF116" s="11"/>
      <c r="PG116" s="11"/>
      <c r="PH116" s="11"/>
      <c r="PI116" s="11"/>
      <c r="PJ116" s="11"/>
      <c r="PK116" s="11"/>
      <c r="PL116" s="11"/>
      <c r="PM116" s="11"/>
      <c r="PN116" s="11"/>
      <c r="PO116" s="11"/>
      <c r="PP116" s="11"/>
      <c r="PQ116" s="11"/>
      <c r="PR116" s="11"/>
      <c r="PS116" s="11"/>
      <c r="PT116" s="11"/>
      <c r="PU116" s="11"/>
      <c r="PV116" s="11"/>
      <c r="PW116" s="11"/>
      <c r="PX116" s="11"/>
      <c r="PY116" s="11"/>
      <c r="PZ116" s="11"/>
      <c r="QA116" s="11"/>
      <c r="QB116" s="11"/>
      <c r="QC116" s="11"/>
      <c r="QD116" s="11"/>
      <c r="QE116" s="11"/>
      <c r="QF116" s="11"/>
      <c r="QG116" s="11"/>
      <c r="QH116" s="11"/>
      <c r="QI116" s="11"/>
      <c r="QJ116" s="11"/>
      <c r="QK116" s="11"/>
      <c r="QL116" s="11"/>
      <c r="QM116" s="11"/>
      <c r="QN116" s="11"/>
      <c r="QO116" s="11"/>
      <c r="QP116" s="11"/>
      <c r="QQ116" s="11"/>
      <c r="QR116" s="11"/>
      <c r="QS116" s="11"/>
      <c r="QT116" s="11"/>
      <c r="QU116" s="11"/>
      <c r="QV116" s="11"/>
      <c r="QW116" s="11"/>
      <c r="QX116" s="11"/>
      <c r="QY116" s="11"/>
      <c r="QZ116" s="11"/>
      <c r="RA116" s="11"/>
      <c r="RB116" s="11"/>
      <c r="RC116" s="11"/>
      <c r="RD116" s="11"/>
      <c r="RE116" s="11"/>
      <c r="RF116" s="11"/>
      <c r="RG116" s="11"/>
      <c r="RH116" s="11"/>
      <c r="RI116" s="11"/>
      <c r="RJ116" s="11"/>
      <c r="RK116" s="11"/>
      <c r="RL116" s="11"/>
      <c r="RM116" s="11"/>
      <c r="RN116" s="11"/>
      <c r="RO116" s="11"/>
      <c r="RP116" s="11"/>
      <c r="RQ116" s="11"/>
      <c r="RR116" s="11"/>
      <c r="RS116" s="11"/>
      <c r="RT116" s="11"/>
      <c r="RU116" s="11"/>
      <c r="RV116" s="11"/>
      <c r="RW116" s="11"/>
      <c r="RX116" s="11"/>
      <c r="RY116" s="11"/>
      <c r="RZ116" s="11"/>
      <c r="SA116" s="11"/>
      <c r="SB116" s="11"/>
      <c r="SC116" s="11"/>
      <c r="SD116" s="11"/>
      <c r="SE116" s="11"/>
      <c r="SF116" s="11"/>
      <c r="SG116" s="11"/>
      <c r="SH116" s="11"/>
      <c r="SI116" s="11"/>
      <c r="SJ116" s="11"/>
      <c r="SK116" s="11"/>
      <c r="SL116" s="11"/>
      <c r="SM116" s="11"/>
      <c r="SN116" s="11"/>
      <c r="SO116" s="11"/>
      <c r="SP116" s="11"/>
      <c r="SQ116" s="11"/>
      <c r="SR116" s="11"/>
      <c r="SS116" s="11"/>
      <c r="ST116" s="11"/>
      <c r="SU116" s="11"/>
      <c r="SV116" s="11"/>
      <c r="SW116" s="11"/>
      <c r="SX116" s="11"/>
      <c r="SY116" s="11"/>
      <c r="SZ116" s="11"/>
      <c r="TA116" s="11"/>
      <c r="TB116" s="11"/>
      <c r="TC116" s="11"/>
      <c r="TD116" s="11"/>
      <c r="TE116" s="11"/>
      <c r="TF116" s="11"/>
      <c r="TG116" s="11"/>
      <c r="TH116" s="11"/>
      <c r="TI116" s="11"/>
      <c r="TJ116" s="11"/>
      <c r="TK116" s="11"/>
      <c r="TL116" s="11"/>
      <c r="TM116" s="11"/>
      <c r="TN116" s="11"/>
      <c r="TO116" s="11"/>
      <c r="TP116" s="11"/>
      <c r="TQ116" s="11"/>
      <c r="TR116" s="11"/>
      <c r="TS116" s="11"/>
      <c r="TT116" s="11"/>
      <c r="TU116" s="11"/>
      <c r="TV116" s="11"/>
      <c r="TW116" s="11"/>
      <c r="TX116" s="11"/>
      <c r="TY116" s="11"/>
      <c r="TZ116" s="11"/>
      <c r="UA116" s="11"/>
      <c r="UB116" s="11"/>
      <c r="UC116" s="11"/>
      <c r="UD116" s="11"/>
      <c r="UE116" s="11"/>
      <c r="UF116" s="11"/>
      <c r="UG116" s="11"/>
      <c r="UH116" s="11"/>
      <c r="UI116" s="11"/>
      <c r="UJ116" s="11"/>
      <c r="UK116" s="11"/>
      <c r="UL116" s="11"/>
      <c r="UM116" s="11"/>
      <c r="UN116" s="11"/>
      <c r="UO116" s="11"/>
      <c r="UP116" s="11"/>
      <c r="UQ116" s="11"/>
      <c r="UR116" s="11"/>
      <c r="US116" s="11"/>
      <c r="UT116" s="11"/>
      <c r="UU116" s="11"/>
      <c r="UV116" s="11"/>
      <c r="UW116" s="11"/>
      <c r="UX116" s="11"/>
      <c r="UY116" s="11"/>
      <c r="UZ116" s="11"/>
      <c r="VA116" s="11"/>
      <c r="VB116" s="11"/>
      <c r="VC116" s="11"/>
      <c r="VD116" s="11"/>
      <c r="VE116" s="11"/>
      <c r="VF116" s="11"/>
      <c r="VG116" s="11"/>
      <c r="VH116" s="11"/>
      <c r="VI116" s="11"/>
      <c r="VJ116" s="11"/>
      <c r="VK116" s="11"/>
      <c r="VL116" s="11"/>
      <c r="VM116" s="11"/>
      <c r="VN116" s="11"/>
      <c r="VO116" s="11"/>
      <c r="VP116" s="11"/>
      <c r="VQ116" s="11"/>
      <c r="VR116" s="11"/>
      <c r="VS116" s="11"/>
      <c r="VT116" s="11"/>
      <c r="VU116" s="11"/>
      <c r="VV116" s="11"/>
      <c r="VW116" s="11"/>
      <c r="VX116" s="11"/>
      <c r="VY116" s="11"/>
      <c r="VZ116" s="11"/>
      <c r="WA116" s="11"/>
      <c r="WB116" s="11"/>
      <c r="WC116" s="11"/>
      <c r="WD116" s="11"/>
      <c r="WE116" s="11"/>
      <c r="WF116" s="11"/>
      <c r="WG116" s="11"/>
      <c r="WH116" s="11"/>
      <c r="WI116" s="11"/>
      <c r="WJ116" s="11"/>
      <c r="WK116" s="11"/>
      <c r="WL116" s="11"/>
      <c r="WM116" s="11"/>
      <c r="WN116" s="11"/>
      <c r="WO116" s="11"/>
      <c r="WP116" s="11"/>
      <c r="WQ116" s="11"/>
      <c r="WR116" s="11"/>
      <c r="WS116" s="11"/>
      <c r="WT116" s="11"/>
      <c r="WU116" s="11"/>
      <c r="WV116" s="11"/>
      <c r="WW116" s="11"/>
      <c r="WX116" s="11"/>
      <c r="WY116" s="11"/>
      <c r="WZ116" s="11"/>
      <c r="XA116" s="11"/>
      <c r="XB116" s="11"/>
      <c r="XC116" s="11"/>
      <c r="XD116" s="11"/>
      <c r="XE116" s="11"/>
      <c r="XF116" s="11"/>
      <c r="XG116" s="11"/>
      <c r="XH116" s="11"/>
      <c r="XI116" s="11"/>
      <c r="XJ116" s="11"/>
      <c r="XK116" s="11"/>
      <c r="XL116" s="11"/>
      <c r="XM116" s="11"/>
      <c r="XN116" s="11"/>
      <c r="XO116" s="11"/>
      <c r="XP116" s="11"/>
      <c r="XQ116" s="11"/>
      <c r="XR116" s="11"/>
      <c r="XS116" s="11"/>
      <c r="XT116" s="11"/>
      <c r="XU116" s="11"/>
      <c r="XV116" s="11"/>
      <c r="XW116" s="11"/>
      <c r="XX116" s="11"/>
      <c r="XY116" s="11"/>
      <c r="XZ116" s="11"/>
      <c r="YA116" s="11"/>
      <c r="YB116" s="11"/>
      <c r="YC116" s="11"/>
      <c r="YD116" s="11"/>
      <c r="YE116" s="11"/>
      <c r="YF116" s="11"/>
      <c r="YG116" s="11"/>
      <c r="YH116" s="11"/>
      <c r="YI116" s="11"/>
      <c r="YJ116" s="11"/>
      <c r="YK116" s="11"/>
      <c r="YL116" s="11"/>
      <c r="YM116" s="11"/>
      <c r="YN116" s="11"/>
      <c r="YO116" s="11"/>
      <c r="YP116" s="11"/>
      <c r="YQ116" s="11"/>
      <c r="YR116" s="11"/>
      <c r="YS116" s="11"/>
      <c r="YT116" s="11"/>
      <c r="YU116" s="11"/>
      <c r="YV116" s="11"/>
      <c r="YW116" s="11"/>
      <c r="YX116" s="11"/>
      <c r="YY116" s="11"/>
      <c r="YZ116" s="11"/>
      <c r="ZA116" s="11"/>
      <c r="ZB116" s="11"/>
      <c r="ZC116" s="11"/>
      <c r="ZD116" s="11"/>
      <c r="ZE116" s="11"/>
      <c r="ZF116" s="11"/>
      <c r="ZG116" s="11"/>
      <c r="ZH116" s="11"/>
      <c r="ZI116" s="11"/>
      <c r="ZJ116" s="11"/>
      <c r="ZK116" s="11"/>
      <c r="ZL116" s="11"/>
      <c r="ZM116" s="11"/>
      <c r="ZN116" s="11"/>
      <c r="ZO116" s="11"/>
      <c r="ZP116" s="11"/>
      <c r="ZQ116" s="11"/>
      <c r="ZR116" s="11"/>
      <c r="ZS116" s="11"/>
      <c r="ZT116" s="11"/>
      <c r="ZU116" s="11"/>
      <c r="ZV116" s="11"/>
      <c r="ZW116" s="11"/>
      <c r="ZX116" s="11"/>
      <c r="ZY116" s="11"/>
      <c r="ZZ116" s="11"/>
      <c r="AAA116" s="11"/>
      <c r="AAB116" s="11"/>
      <c r="AAC116" s="11"/>
      <c r="AAD116" s="11"/>
      <c r="AAE116" s="11"/>
      <c r="AAF116" s="11"/>
      <c r="AAG116" s="11"/>
      <c r="AAH116" s="11"/>
      <c r="AAI116" s="11"/>
      <c r="AAJ116" s="11"/>
      <c r="AAK116" s="11"/>
      <c r="AAL116" s="11"/>
      <c r="AAM116" s="11"/>
      <c r="AAN116" s="11"/>
      <c r="AAO116" s="11"/>
      <c r="AAP116" s="11"/>
      <c r="AAQ116" s="11"/>
      <c r="AAR116" s="11"/>
      <c r="AAS116" s="11"/>
      <c r="AAT116" s="11"/>
      <c r="AAU116" s="11"/>
      <c r="AAV116" s="11"/>
      <c r="AAW116" s="11"/>
      <c r="AAX116" s="11"/>
      <c r="AAY116" s="11"/>
      <c r="AAZ116" s="11"/>
      <c r="ABA116" s="11"/>
      <c r="ABB116" s="11"/>
      <c r="ABC116" s="11"/>
      <c r="ABD116" s="11"/>
      <c r="ABE116" s="11"/>
      <c r="ABF116" s="11"/>
      <c r="ABG116" s="11"/>
      <c r="ABH116" s="11"/>
      <c r="ABI116" s="11"/>
      <c r="ABJ116" s="11"/>
      <c r="ABK116" s="11"/>
      <c r="ABL116" s="11"/>
      <c r="ABM116" s="11"/>
      <c r="ABN116" s="11"/>
      <c r="ABO116" s="11"/>
      <c r="ABP116" s="11"/>
      <c r="ABQ116" s="11"/>
      <c r="ABR116" s="11"/>
      <c r="ABS116" s="11"/>
      <c r="ABT116" s="11"/>
      <c r="ABU116" s="11"/>
      <c r="ABV116" s="11"/>
      <c r="ABW116" s="11"/>
      <c r="ABX116" s="11"/>
      <c r="ABY116" s="11"/>
      <c r="ABZ116" s="11"/>
      <c r="ACA116" s="11"/>
      <c r="ACB116" s="11"/>
      <c r="ACC116" s="11"/>
      <c r="ACD116" s="11"/>
      <c r="ACE116" s="11"/>
      <c r="ACF116" s="11"/>
      <c r="ACG116" s="11"/>
      <c r="ACH116" s="11"/>
      <c r="ACI116" s="11"/>
      <c r="ACJ116" s="11"/>
      <c r="ACK116" s="11"/>
      <c r="ACL116" s="11"/>
      <c r="ACM116" s="11"/>
      <c r="ACN116" s="11"/>
      <c r="ACO116" s="11"/>
      <c r="ACP116" s="11"/>
      <c r="ACQ116" s="11"/>
      <c r="ACR116" s="11"/>
      <c r="ACS116" s="11"/>
      <c r="ACT116" s="11"/>
      <c r="ACU116" s="11"/>
      <c r="ACV116" s="11"/>
      <c r="ACW116" s="11"/>
      <c r="ACX116" s="11"/>
      <c r="ACY116" s="11"/>
      <c r="ACZ116" s="11"/>
      <c r="ADA116" s="11"/>
      <c r="ADB116" s="11"/>
      <c r="ADC116" s="11"/>
      <c r="ADD116" s="11"/>
      <c r="ADE116" s="11"/>
      <c r="ADF116" s="11"/>
      <c r="ADG116" s="11"/>
      <c r="ADH116" s="11"/>
      <c r="ADI116" s="11"/>
      <c r="ADJ116" s="11"/>
      <c r="ADK116" s="11"/>
      <c r="ADL116" s="11"/>
      <c r="ADM116" s="11"/>
      <c r="ADN116" s="11"/>
      <c r="ADO116" s="11"/>
      <c r="ADP116" s="11"/>
      <c r="ADQ116" s="11"/>
      <c r="ADR116" s="11"/>
      <c r="ADS116" s="11"/>
      <c r="ADT116" s="11"/>
      <c r="ADU116" s="11"/>
      <c r="ADV116" s="11"/>
      <c r="ADW116" s="11"/>
      <c r="ADX116" s="11"/>
      <c r="ADY116" s="11"/>
      <c r="ADZ116" s="11"/>
      <c r="AEA116" s="11"/>
      <c r="AEB116" s="11"/>
      <c r="AEC116" s="11"/>
      <c r="AED116" s="11"/>
      <c r="AEE116" s="11"/>
      <c r="AEF116" s="11"/>
      <c r="AEG116" s="11"/>
      <c r="AEH116" s="11"/>
      <c r="AEI116" s="11"/>
      <c r="AEJ116" s="11"/>
      <c r="AEK116" s="11"/>
      <c r="AEL116" s="11"/>
      <c r="AEM116" s="11"/>
      <c r="AEN116" s="11"/>
      <c r="AEO116" s="11"/>
      <c r="AEP116" s="11"/>
      <c r="AEQ116" s="11"/>
      <c r="AER116" s="11"/>
      <c r="AES116" s="11"/>
      <c r="AET116" s="11"/>
      <c r="AEU116" s="11"/>
      <c r="AEV116" s="11"/>
      <c r="AEW116" s="11"/>
      <c r="AEX116" s="11"/>
      <c r="AEY116" s="11"/>
      <c r="AEZ116" s="11"/>
      <c r="AFA116" s="11"/>
      <c r="AFB116" s="11"/>
      <c r="AFC116" s="11"/>
      <c r="AFD116" s="11"/>
      <c r="AFE116" s="11"/>
      <c r="AFF116" s="11"/>
      <c r="AFG116" s="11"/>
      <c r="AFH116" s="11"/>
      <c r="AFI116" s="11"/>
    </row>
    <row r="117" spans="2:841" ht="15" customHeight="1">
      <c r="B117" s="11"/>
      <c r="C117" s="11"/>
      <c r="D117" s="11"/>
      <c r="E117" s="488" t="s">
        <v>623</v>
      </c>
      <c r="F117" s="488" t="s">
        <v>948</v>
      </c>
      <c r="G117" s="488" t="s">
        <v>624</v>
      </c>
      <c r="H117" s="488" t="s">
        <v>623</v>
      </c>
      <c r="I117" s="488" t="s">
        <v>948</v>
      </c>
      <c r="J117" s="488" t="s">
        <v>624</v>
      </c>
      <c r="K117" s="488" t="s">
        <v>623</v>
      </c>
      <c r="L117" s="488" t="s">
        <v>948</v>
      </c>
      <c r="M117" s="488" t="s">
        <v>624</v>
      </c>
      <c r="N117" s="488" t="s">
        <v>623</v>
      </c>
      <c r="O117" s="488" t="s">
        <v>948</v>
      </c>
      <c r="P117" s="488" t="s">
        <v>624</v>
      </c>
      <c r="Q117" s="488" t="s">
        <v>623</v>
      </c>
      <c r="R117" s="488" t="s">
        <v>948</v>
      </c>
      <c r="S117" s="488" t="s">
        <v>624</v>
      </c>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c r="IW117" s="11"/>
      <c r="IX117" s="11"/>
      <c r="IY117" s="11"/>
      <c r="IZ117" s="11"/>
      <c r="JA117" s="11"/>
      <c r="JB117" s="11"/>
      <c r="JC117" s="11"/>
      <c r="JD117" s="11"/>
      <c r="JE117" s="11"/>
      <c r="JF117" s="11"/>
      <c r="JG117" s="11"/>
      <c r="JH117" s="11"/>
      <c r="JI117" s="11"/>
      <c r="JJ117" s="11"/>
      <c r="JK117" s="11"/>
      <c r="JL117" s="11"/>
      <c r="JM117" s="11"/>
      <c r="JN117" s="11"/>
      <c r="JO117" s="11"/>
      <c r="JP117" s="11"/>
      <c r="JQ117" s="11"/>
      <c r="JR117" s="11"/>
      <c r="JS117" s="11"/>
      <c r="JT117" s="11"/>
      <c r="JU117" s="11"/>
      <c r="JV117" s="11"/>
      <c r="JW117" s="11"/>
      <c r="JX117" s="11"/>
      <c r="JY117" s="11"/>
      <c r="JZ117" s="11"/>
      <c r="KA117" s="11"/>
      <c r="KB117" s="11"/>
      <c r="KC117" s="11"/>
      <c r="KD117" s="11"/>
      <c r="KE117" s="11"/>
      <c r="KF117" s="11"/>
      <c r="KG117" s="11"/>
      <c r="KH117" s="11"/>
      <c r="KI117" s="11"/>
      <c r="KJ117" s="11"/>
      <c r="KK117" s="11"/>
      <c r="KL117" s="11"/>
      <c r="KM117" s="11"/>
      <c r="KN117" s="11"/>
      <c r="KO117" s="11"/>
      <c r="KP117" s="11"/>
      <c r="KQ117" s="11"/>
      <c r="KR117" s="11"/>
      <c r="KS117" s="11"/>
      <c r="KT117" s="11"/>
      <c r="KU117" s="11"/>
      <c r="KV117" s="11"/>
      <c r="KW117" s="11"/>
      <c r="KX117" s="11"/>
      <c r="KY117" s="11"/>
      <c r="KZ117" s="11"/>
      <c r="LA117" s="11"/>
      <c r="LB117" s="11"/>
      <c r="LC117" s="11"/>
      <c r="LD117" s="11"/>
      <c r="LE117" s="11"/>
      <c r="LF117" s="11"/>
      <c r="LG117" s="11"/>
      <c r="LH117" s="11"/>
      <c r="LI117" s="11"/>
      <c r="LJ117" s="11"/>
      <c r="LK117" s="11"/>
      <c r="LL117" s="11"/>
      <c r="LM117" s="11"/>
      <c r="LN117" s="11"/>
      <c r="LO117" s="11"/>
      <c r="LP117" s="11"/>
      <c r="LQ117" s="11"/>
      <c r="LR117" s="11"/>
      <c r="LS117" s="11"/>
      <c r="LT117" s="11"/>
      <c r="LU117" s="11"/>
      <c r="LV117" s="11"/>
      <c r="LW117" s="11"/>
      <c r="LX117" s="11"/>
      <c r="LY117" s="11"/>
      <c r="LZ117" s="11"/>
      <c r="MA117" s="11"/>
      <c r="MB117" s="11"/>
      <c r="MC117" s="11"/>
      <c r="MD117" s="11"/>
      <c r="ME117" s="11"/>
      <c r="MF117" s="11"/>
      <c r="MG117" s="11"/>
      <c r="MH117" s="11"/>
      <c r="MI117" s="11"/>
      <c r="MJ117" s="11"/>
      <c r="MK117" s="11"/>
      <c r="ML117" s="11"/>
      <c r="MM117" s="11"/>
      <c r="MN117" s="11"/>
      <c r="MO117" s="11"/>
      <c r="MP117" s="11"/>
      <c r="MQ117" s="11"/>
      <c r="MR117" s="11"/>
      <c r="MS117" s="11"/>
      <c r="MT117" s="11"/>
      <c r="MU117" s="11"/>
      <c r="MV117" s="11"/>
      <c r="MW117" s="11"/>
      <c r="MX117" s="11"/>
      <c r="MY117" s="11"/>
      <c r="MZ117" s="11"/>
      <c r="NA117" s="11"/>
      <c r="NB117" s="11"/>
      <c r="NC117" s="11"/>
      <c r="ND117" s="11"/>
      <c r="NE117" s="11"/>
      <c r="NF117" s="11"/>
      <c r="NG117" s="11"/>
      <c r="NH117" s="11"/>
      <c r="NI117" s="11"/>
      <c r="NJ117" s="11"/>
      <c r="NK117" s="11"/>
      <c r="NL117" s="11"/>
      <c r="NM117" s="11"/>
      <c r="NN117" s="11"/>
      <c r="NO117" s="11"/>
      <c r="NP117" s="11"/>
      <c r="NQ117" s="11"/>
      <c r="NR117" s="11"/>
      <c r="NS117" s="11"/>
      <c r="NT117" s="11"/>
      <c r="NU117" s="11"/>
      <c r="NV117" s="11"/>
      <c r="NW117" s="11"/>
      <c r="NX117" s="11"/>
      <c r="NY117" s="11"/>
      <c r="NZ117" s="11"/>
      <c r="OA117" s="11"/>
      <c r="OB117" s="11"/>
      <c r="OC117" s="11"/>
      <c r="OD117" s="11"/>
      <c r="OE117" s="11"/>
      <c r="OF117" s="11"/>
      <c r="OG117" s="11"/>
      <c r="OH117" s="11"/>
      <c r="OI117" s="11"/>
      <c r="OJ117" s="11"/>
      <c r="OK117" s="11"/>
      <c r="OL117" s="11"/>
      <c r="OM117" s="11"/>
      <c r="ON117" s="11"/>
      <c r="OO117" s="11"/>
      <c r="OP117" s="11"/>
      <c r="OQ117" s="11"/>
      <c r="OR117" s="11"/>
      <c r="OS117" s="11"/>
      <c r="OT117" s="11"/>
      <c r="OU117" s="11"/>
      <c r="OV117" s="11"/>
      <c r="OW117" s="11"/>
      <c r="OX117" s="11"/>
      <c r="OY117" s="11"/>
      <c r="OZ117" s="11"/>
      <c r="PA117" s="11"/>
      <c r="PB117" s="11"/>
      <c r="PC117" s="11"/>
      <c r="PD117" s="11"/>
      <c r="PE117" s="11"/>
      <c r="PF117" s="11"/>
      <c r="PG117" s="11"/>
      <c r="PH117" s="11"/>
      <c r="PI117" s="11"/>
      <c r="PJ117" s="11"/>
      <c r="PK117" s="11"/>
      <c r="PL117" s="11"/>
      <c r="PM117" s="11"/>
      <c r="PN117" s="11"/>
      <c r="PO117" s="11"/>
      <c r="PP117" s="11"/>
      <c r="PQ117" s="11"/>
      <c r="PR117" s="11"/>
      <c r="PS117" s="11"/>
      <c r="PT117" s="11"/>
      <c r="PU117" s="11"/>
      <c r="PV117" s="11"/>
      <c r="PW117" s="11"/>
      <c r="PX117" s="11"/>
      <c r="PY117" s="11"/>
      <c r="PZ117" s="11"/>
      <c r="QA117" s="11"/>
      <c r="QB117" s="11"/>
      <c r="QC117" s="11"/>
      <c r="QD117" s="11"/>
      <c r="QE117" s="11"/>
      <c r="QF117" s="11"/>
      <c r="QG117" s="11"/>
      <c r="QH117" s="11"/>
      <c r="QI117" s="11"/>
      <c r="QJ117" s="11"/>
      <c r="QK117" s="11"/>
      <c r="QL117" s="11"/>
      <c r="QM117" s="11"/>
      <c r="QN117" s="11"/>
      <c r="QO117" s="11"/>
      <c r="QP117" s="11"/>
      <c r="QQ117" s="11"/>
      <c r="QR117" s="11"/>
      <c r="QS117" s="11"/>
      <c r="QT117" s="11"/>
      <c r="QU117" s="11"/>
      <c r="QV117" s="11"/>
      <c r="QW117" s="11"/>
      <c r="QX117" s="11"/>
      <c r="QY117" s="11"/>
      <c r="QZ117" s="11"/>
      <c r="RA117" s="11"/>
      <c r="RB117" s="11"/>
      <c r="RC117" s="11"/>
      <c r="RD117" s="11"/>
      <c r="RE117" s="11"/>
      <c r="RF117" s="11"/>
      <c r="RG117" s="11"/>
      <c r="RH117" s="11"/>
      <c r="RI117" s="11"/>
      <c r="RJ117" s="11"/>
      <c r="RK117" s="11"/>
      <c r="RL117" s="11"/>
      <c r="RM117" s="11"/>
      <c r="RN117" s="11"/>
      <c r="RO117" s="11"/>
      <c r="RP117" s="11"/>
      <c r="RQ117" s="11"/>
      <c r="RR117" s="11"/>
      <c r="RS117" s="11"/>
      <c r="RT117" s="11"/>
      <c r="RU117" s="11"/>
      <c r="RV117" s="11"/>
      <c r="RW117" s="11"/>
      <c r="RX117" s="11"/>
      <c r="RY117" s="11"/>
      <c r="RZ117" s="11"/>
      <c r="SA117" s="11"/>
      <c r="SB117" s="11"/>
      <c r="SC117" s="11"/>
      <c r="SD117" s="11"/>
      <c r="SE117" s="11"/>
      <c r="SF117" s="11"/>
      <c r="SG117" s="11"/>
      <c r="SH117" s="11"/>
      <c r="SI117" s="11"/>
      <c r="SJ117" s="11"/>
      <c r="SK117" s="11"/>
      <c r="SL117" s="11"/>
      <c r="SM117" s="11"/>
      <c r="SN117" s="11"/>
      <c r="SO117" s="11"/>
      <c r="SP117" s="11"/>
      <c r="SQ117" s="11"/>
      <c r="SR117" s="11"/>
      <c r="SS117" s="11"/>
      <c r="ST117" s="11"/>
      <c r="SU117" s="11"/>
      <c r="SV117" s="11"/>
      <c r="SW117" s="11"/>
      <c r="SX117" s="11"/>
      <c r="SY117" s="11"/>
      <c r="SZ117" s="11"/>
      <c r="TA117" s="11"/>
      <c r="TB117" s="11"/>
      <c r="TC117" s="11"/>
      <c r="TD117" s="11"/>
      <c r="TE117" s="11"/>
      <c r="TF117" s="11"/>
      <c r="TG117" s="11"/>
      <c r="TH117" s="11"/>
      <c r="TI117" s="11"/>
      <c r="TJ117" s="11"/>
      <c r="TK117" s="11"/>
      <c r="TL117" s="11"/>
      <c r="TM117" s="11"/>
      <c r="TN117" s="11"/>
      <c r="TO117" s="11"/>
      <c r="TP117" s="11"/>
      <c r="TQ117" s="11"/>
      <c r="TR117" s="11"/>
      <c r="TS117" s="11"/>
      <c r="TT117" s="11"/>
      <c r="TU117" s="11"/>
      <c r="TV117" s="11"/>
      <c r="TW117" s="11"/>
      <c r="TX117" s="11"/>
      <c r="TY117" s="11"/>
      <c r="TZ117" s="11"/>
      <c r="UA117" s="11"/>
      <c r="UB117" s="11"/>
      <c r="UC117" s="11"/>
      <c r="UD117" s="11"/>
      <c r="UE117" s="11"/>
      <c r="UF117" s="11"/>
      <c r="UG117" s="11"/>
      <c r="UH117" s="11"/>
      <c r="UI117" s="11"/>
      <c r="UJ117" s="11"/>
      <c r="UK117" s="11"/>
      <c r="UL117" s="11"/>
      <c r="UM117" s="11"/>
      <c r="UN117" s="11"/>
      <c r="UO117" s="11"/>
      <c r="UP117" s="11"/>
      <c r="UQ117" s="11"/>
      <c r="UR117" s="11"/>
      <c r="US117" s="11"/>
      <c r="UT117" s="11"/>
      <c r="UU117" s="11"/>
      <c r="UV117" s="11"/>
      <c r="UW117" s="11"/>
      <c r="UX117" s="11"/>
      <c r="UY117" s="11"/>
      <c r="UZ117" s="11"/>
      <c r="VA117" s="11"/>
      <c r="VB117" s="11"/>
      <c r="VC117" s="11"/>
      <c r="VD117" s="11"/>
      <c r="VE117" s="11"/>
      <c r="VF117" s="11"/>
      <c r="VG117" s="11"/>
      <c r="VH117" s="11"/>
      <c r="VI117" s="11"/>
      <c r="VJ117" s="11"/>
      <c r="VK117" s="11"/>
      <c r="VL117" s="11"/>
      <c r="VM117" s="11"/>
      <c r="VN117" s="11"/>
      <c r="VO117" s="11"/>
      <c r="VP117" s="11"/>
      <c r="VQ117" s="11"/>
      <c r="VR117" s="11"/>
      <c r="VS117" s="11"/>
      <c r="VT117" s="11"/>
      <c r="VU117" s="11"/>
      <c r="VV117" s="11"/>
      <c r="VW117" s="11"/>
      <c r="VX117" s="11"/>
      <c r="VY117" s="11"/>
      <c r="VZ117" s="11"/>
      <c r="WA117" s="11"/>
      <c r="WB117" s="11"/>
      <c r="WC117" s="11"/>
      <c r="WD117" s="11"/>
      <c r="WE117" s="11"/>
      <c r="WF117" s="11"/>
      <c r="WG117" s="11"/>
      <c r="WH117" s="11"/>
      <c r="WI117" s="11"/>
      <c r="WJ117" s="11"/>
      <c r="WK117" s="11"/>
      <c r="WL117" s="11"/>
      <c r="WM117" s="11"/>
      <c r="WN117" s="11"/>
      <c r="WO117" s="11"/>
      <c r="WP117" s="11"/>
      <c r="WQ117" s="11"/>
      <c r="WR117" s="11"/>
      <c r="WS117" s="11"/>
      <c r="WT117" s="11"/>
      <c r="WU117" s="11"/>
      <c r="WV117" s="11"/>
      <c r="WW117" s="11"/>
      <c r="WX117" s="11"/>
      <c r="WY117" s="11"/>
      <c r="WZ117" s="11"/>
      <c r="XA117" s="11"/>
      <c r="XB117" s="11"/>
      <c r="XC117" s="11"/>
      <c r="XD117" s="11"/>
      <c r="XE117" s="11"/>
      <c r="XF117" s="11"/>
      <c r="XG117" s="11"/>
      <c r="XH117" s="11"/>
      <c r="XI117" s="11"/>
      <c r="XJ117" s="11"/>
      <c r="XK117" s="11"/>
      <c r="XL117" s="11"/>
      <c r="XM117" s="11"/>
      <c r="XN117" s="11"/>
      <c r="XO117" s="11"/>
      <c r="XP117" s="11"/>
      <c r="XQ117" s="11"/>
      <c r="XR117" s="11"/>
      <c r="XS117" s="11"/>
      <c r="XT117" s="11"/>
      <c r="XU117" s="11"/>
      <c r="XV117" s="11"/>
      <c r="XW117" s="11"/>
      <c r="XX117" s="11"/>
      <c r="XY117" s="11"/>
      <c r="XZ117" s="11"/>
      <c r="YA117" s="11"/>
      <c r="YB117" s="11"/>
      <c r="YC117" s="11"/>
      <c r="YD117" s="11"/>
      <c r="YE117" s="11"/>
      <c r="YF117" s="11"/>
      <c r="YG117" s="11"/>
      <c r="YH117" s="11"/>
      <c r="YI117" s="11"/>
      <c r="YJ117" s="11"/>
      <c r="YK117" s="11"/>
      <c r="YL117" s="11"/>
      <c r="YM117" s="11"/>
      <c r="YN117" s="11"/>
      <c r="YO117" s="11"/>
      <c r="YP117" s="11"/>
      <c r="YQ117" s="11"/>
      <c r="YR117" s="11"/>
      <c r="YS117" s="11"/>
      <c r="YT117" s="11"/>
      <c r="YU117" s="11"/>
      <c r="YV117" s="11"/>
      <c r="YW117" s="11"/>
      <c r="YX117" s="11"/>
      <c r="YY117" s="11"/>
      <c r="YZ117" s="11"/>
      <c r="ZA117" s="11"/>
      <c r="ZB117" s="11"/>
      <c r="ZC117" s="11"/>
      <c r="ZD117" s="11"/>
      <c r="ZE117" s="11"/>
      <c r="ZF117" s="11"/>
      <c r="ZG117" s="11"/>
      <c r="ZH117" s="11"/>
      <c r="ZI117" s="11"/>
      <c r="ZJ117" s="11"/>
      <c r="ZK117" s="11"/>
      <c r="ZL117" s="11"/>
      <c r="ZM117" s="11"/>
      <c r="ZN117" s="11"/>
      <c r="ZO117" s="11"/>
      <c r="ZP117" s="11"/>
      <c r="ZQ117" s="11"/>
      <c r="ZR117" s="11"/>
      <c r="ZS117" s="11"/>
      <c r="ZT117" s="11"/>
      <c r="ZU117" s="11"/>
      <c r="ZV117" s="11"/>
      <c r="ZW117" s="11"/>
      <c r="ZX117" s="11"/>
      <c r="ZY117" s="11"/>
      <c r="ZZ117" s="11"/>
      <c r="AAA117" s="11"/>
      <c r="AAB117" s="11"/>
      <c r="AAC117" s="11"/>
      <c r="AAD117" s="11"/>
      <c r="AAE117" s="11"/>
      <c r="AAF117" s="11"/>
      <c r="AAG117" s="11"/>
      <c r="AAH117" s="11"/>
      <c r="AAI117" s="11"/>
      <c r="AAJ117" s="11"/>
      <c r="AAK117" s="11"/>
      <c r="AAL117" s="11"/>
      <c r="AAM117" s="11"/>
      <c r="AAN117" s="11"/>
      <c r="AAO117" s="11"/>
      <c r="AAP117" s="11"/>
      <c r="AAQ117" s="11"/>
      <c r="AAR117" s="11"/>
      <c r="AAS117" s="11"/>
      <c r="AAT117" s="11"/>
      <c r="AAU117" s="11"/>
      <c r="AAV117" s="11"/>
      <c r="AAW117" s="11"/>
      <c r="AAX117" s="11"/>
      <c r="AAY117" s="11"/>
      <c r="AAZ117" s="11"/>
      <c r="ABA117" s="11"/>
      <c r="ABB117" s="11"/>
      <c r="ABC117" s="11"/>
      <c r="ABD117" s="11"/>
      <c r="ABE117" s="11"/>
      <c r="ABF117" s="11"/>
      <c r="ABG117" s="11"/>
      <c r="ABH117" s="11"/>
      <c r="ABI117" s="11"/>
      <c r="ABJ117" s="11"/>
      <c r="ABK117" s="11"/>
      <c r="ABL117" s="11"/>
      <c r="ABM117" s="11"/>
      <c r="ABN117" s="11"/>
      <c r="ABO117" s="11"/>
      <c r="ABP117" s="11"/>
      <c r="ABQ117" s="11"/>
      <c r="ABR117" s="11"/>
      <c r="ABS117" s="11"/>
      <c r="ABT117" s="11"/>
      <c r="ABU117" s="11"/>
      <c r="ABV117" s="11"/>
      <c r="ABW117" s="11"/>
      <c r="ABX117" s="11"/>
      <c r="ABY117" s="11"/>
      <c r="ABZ117" s="11"/>
      <c r="ACA117" s="11"/>
      <c r="ACB117" s="11"/>
      <c r="ACC117" s="11"/>
      <c r="ACD117" s="11"/>
      <c r="ACE117" s="11"/>
      <c r="ACF117" s="11"/>
      <c r="ACG117" s="11"/>
      <c r="ACH117" s="11"/>
      <c r="ACI117" s="11"/>
      <c r="ACJ117" s="11"/>
      <c r="ACK117" s="11"/>
      <c r="ACL117" s="11"/>
      <c r="ACM117" s="11"/>
      <c r="ACN117" s="11"/>
      <c r="ACO117" s="11"/>
      <c r="ACP117" s="11"/>
      <c r="ACQ117" s="11"/>
      <c r="ACR117" s="11"/>
      <c r="ACS117" s="11"/>
      <c r="ACT117" s="11"/>
      <c r="ACU117" s="11"/>
      <c r="ACV117" s="11"/>
      <c r="ACW117" s="11"/>
      <c r="ACX117" s="11"/>
      <c r="ACY117" s="11"/>
      <c r="ACZ117" s="11"/>
      <c r="ADA117" s="11"/>
      <c r="ADB117" s="11"/>
      <c r="ADC117" s="11"/>
      <c r="ADD117" s="11"/>
      <c r="ADE117" s="11"/>
      <c r="ADF117" s="11"/>
      <c r="ADG117" s="11"/>
      <c r="ADH117" s="11"/>
      <c r="ADI117" s="11"/>
      <c r="ADJ117" s="11"/>
      <c r="ADK117" s="11"/>
      <c r="ADL117" s="11"/>
      <c r="ADM117" s="11"/>
      <c r="ADN117" s="11"/>
      <c r="ADO117" s="11"/>
      <c r="ADP117" s="11"/>
      <c r="ADQ117" s="11"/>
      <c r="ADR117" s="11"/>
      <c r="ADS117" s="11"/>
      <c r="ADT117" s="11"/>
      <c r="ADU117" s="11"/>
      <c r="ADV117" s="11"/>
      <c r="ADW117" s="11"/>
      <c r="ADX117" s="11"/>
      <c r="ADY117" s="11"/>
      <c r="ADZ117" s="11"/>
      <c r="AEA117" s="11"/>
      <c r="AEB117" s="11"/>
      <c r="AEC117" s="11"/>
      <c r="AED117" s="11"/>
      <c r="AEE117" s="11"/>
      <c r="AEF117" s="11"/>
      <c r="AEG117" s="11"/>
      <c r="AEH117" s="11"/>
      <c r="AEI117" s="11"/>
      <c r="AEJ117" s="11"/>
      <c r="AEK117" s="11"/>
      <c r="AEL117" s="11"/>
      <c r="AEM117" s="11"/>
      <c r="AEN117" s="11"/>
      <c r="AEO117" s="11"/>
      <c r="AEP117" s="11"/>
      <c r="AEQ117" s="11"/>
      <c r="AER117" s="11"/>
      <c r="AES117" s="11"/>
      <c r="AET117" s="11"/>
      <c r="AEU117" s="11"/>
      <c r="AEV117" s="11"/>
      <c r="AEW117" s="11"/>
      <c r="AEX117" s="11"/>
      <c r="AEY117" s="11"/>
      <c r="AEZ117" s="11"/>
      <c r="AFA117" s="11"/>
      <c r="AFB117" s="11"/>
      <c r="AFC117" s="11"/>
      <c r="AFD117" s="11"/>
      <c r="AFE117" s="11"/>
      <c r="AFF117" s="11"/>
      <c r="AFG117" s="11"/>
      <c r="AFH117" s="11"/>
      <c r="AFI117" s="11"/>
    </row>
    <row r="118" spans="2:841">
      <c r="B118" s="11"/>
      <c r="C118" s="658" t="str">
        <f>M_A0!C29</f>
        <v>Sin especificar</v>
      </c>
      <c r="D118" s="658"/>
      <c r="E118" s="551">
        <f>SUM(M_Datos!N78:N80)</f>
        <v>0</v>
      </c>
      <c r="F118" s="312">
        <f>IF(M_FactoresComplement!G785= "Sí", E118*M_FactoresComplement!D789/(10^3), M_Cálculos!E118*M_Factores!D212/(10^3))</f>
        <v>0</v>
      </c>
      <c r="G118" s="313">
        <f>IF(M_FactoresComplement!G785="Sí", M_Cálculos!E118*M_FactoresComplement!E789/(10^3),M_Cálculos!E118*M_Factores!E212/(10^3))</f>
        <v>0</v>
      </c>
      <c r="H118" s="551">
        <f>SUM(M_Datos!O78:O80)</f>
        <v>0</v>
      </c>
      <c r="I118" s="312">
        <f>IF(M_FactoresComplement!G785= "Sí", H118*M_FactoresComplement!D789/(10^3), M_Cálculos!H118*M_Factores!D212/(10^3))</f>
        <v>0</v>
      </c>
      <c r="J118" s="313">
        <f>IF(M_FactoresComplement!G785="Sí", M_Cálculos!H118*M_FactoresComplement!E789/(10^3),M_Cálculos!H118*M_Factores!E212/(10^3))</f>
        <v>0</v>
      </c>
      <c r="K118" s="551">
        <f>SUM(M_Datos!P78:P80)</f>
        <v>0</v>
      </c>
      <c r="L118" s="312">
        <f>IF(M_FactoresComplement!G785= "Sí", K118*M_FactoresComplement!D789/(10^3), M_Cálculos!K118*M_Factores!D212/(10^3))</f>
        <v>0</v>
      </c>
      <c r="M118" s="313">
        <f>IF(M_FactoresComplement!G785= "Sí", K118*M_FactoresComplement!D789/(10^3), M_Cálculos!K118*M_Factores!E212/(10^3))</f>
        <v>0</v>
      </c>
      <c r="N118" s="551">
        <f>SUM(M_Datos!Q78:Q80)</f>
        <v>0</v>
      </c>
      <c r="O118" s="312">
        <f>IF(M_FactoresComplement!G785= "Sí", N118*M_FactoresComplement!D789/(10^3), M_Cálculos!N118*M_Factores!D212/(10^3))</f>
        <v>0</v>
      </c>
      <c r="P118" s="313">
        <f>IF(M_FactoresComplement!G785= "Sí", N118*M_FactoresComplement!D789/(10^3), M_Cálculos!N118*M_Factores!D212/(10^3))</f>
        <v>0</v>
      </c>
      <c r="Q118" s="551">
        <f>SUM(M_Datos!R78:R80)</f>
        <v>0</v>
      </c>
      <c r="R118" s="312">
        <f>IF(M_FactoresComplement!G785= "Sí", Q118*M_FactoresComplement!D789/(10^3), M_Cálculos!Q118*M_Factores!D212/(10^3))</f>
        <v>0</v>
      </c>
      <c r="S118" s="313">
        <f>IF(M_FactoresComplement!G785= "Sí", Q118*M_FactoresComplement!D789/(10^3), M_Cálculos!Q118*M_Factores!D212/(10^3))</f>
        <v>0</v>
      </c>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1"/>
      <c r="JA118" s="11"/>
      <c r="JB118" s="11"/>
      <c r="JC118" s="11"/>
      <c r="JD118" s="11"/>
      <c r="JE118" s="11"/>
      <c r="JF118" s="11"/>
      <c r="JG118" s="11"/>
      <c r="JH118" s="11"/>
      <c r="JI118" s="11"/>
      <c r="JJ118" s="11"/>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c r="KH118" s="11"/>
      <c r="KI118" s="11"/>
      <c r="KJ118" s="11"/>
      <c r="KK118" s="11"/>
      <c r="KL118" s="11"/>
      <c r="KM118" s="11"/>
      <c r="KN118" s="11"/>
      <c r="KO118" s="11"/>
      <c r="KP118" s="11"/>
      <c r="KQ118" s="11"/>
      <c r="KR118" s="11"/>
      <c r="KS118" s="11"/>
      <c r="KT118" s="11"/>
      <c r="KU118" s="11"/>
      <c r="KV118" s="11"/>
      <c r="KW118" s="11"/>
      <c r="KX118" s="11"/>
      <c r="KY118" s="11"/>
      <c r="KZ118" s="11"/>
      <c r="LA118" s="11"/>
      <c r="LB118" s="11"/>
      <c r="LC118" s="11"/>
      <c r="LD118" s="11"/>
      <c r="LE118" s="11"/>
      <c r="LF118" s="11"/>
      <c r="LG118" s="11"/>
      <c r="LH118" s="11"/>
      <c r="LI118" s="11"/>
      <c r="LJ118" s="11"/>
      <c r="LK118" s="11"/>
      <c r="LL118" s="11"/>
      <c r="LM118" s="11"/>
      <c r="LN118" s="11"/>
      <c r="LO118" s="11"/>
      <c r="LP118" s="11"/>
      <c r="LQ118" s="11"/>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c r="PE118" s="11"/>
      <c r="PF118" s="11"/>
      <c r="PG118" s="11"/>
      <c r="PH118" s="11"/>
      <c r="PI118" s="11"/>
      <c r="PJ118" s="11"/>
      <c r="PK118" s="11"/>
      <c r="PL118" s="11"/>
      <c r="PM118" s="11"/>
      <c r="PN118" s="11"/>
      <c r="PO118" s="11"/>
      <c r="PP118" s="11"/>
      <c r="PQ118" s="11"/>
      <c r="PR118" s="11"/>
      <c r="PS118" s="11"/>
      <c r="PT118" s="11"/>
      <c r="PU118" s="11"/>
      <c r="PV118" s="11"/>
      <c r="PW118" s="11"/>
      <c r="PX118" s="11"/>
      <c r="PY118" s="11"/>
      <c r="PZ118" s="11"/>
      <c r="QA118" s="11"/>
      <c r="QB118" s="11"/>
      <c r="QC118" s="11"/>
      <c r="QD118" s="11"/>
      <c r="QE118" s="11"/>
      <c r="QF118" s="11"/>
      <c r="QG118" s="11"/>
      <c r="QH118" s="11"/>
      <c r="QI118" s="11"/>
      <c r="QJ118" s="11"/>
      <c r="QK118" s="11"/>
      <c r="QL118" s="11"/>
      <c r="QM118" s="11"/>
      <c r="QN118" s="11"/>
      <c r="QO118" s="11"/>
      <c r="QP118" s="11"/>
      <c r="QQ118" s="11"/>
      <c r="QR118" s="11"/>
      <c r="QS118" s="11"/>
      <c r="QT118" s="11"/>
      <c r="QU118" s="11"/>
      <c r="QV118" s="11"/>
      <c r="QW118" s="11"/>
      <c r="QX118" s="11"/>
      <c r="QY118" s="11"/>
      <c r="QZ118" s="11"/>
      <c r="RA118" s="11"/>
      <c r="RB118" s="11"/>
      <c r="RC118" s="11"/>
      <c r="RD118" s="11"/>
      <c r="RE118" s="11"/>
      <c r="RF118" s="11"/>
      <c r="RG118" s="11"/>
      <c r="RH118" s="11"/>
      <c r="RI118" s="11"/>
      <c r="RJ118" s="11"/>
      <c r="RK118" s="11"/>
      <c r="RL118" s="11"/>
      <c r="RM118" s="11"/>
      <c r="RN118" s="11"/>
      <c r="RO118" s="11"/>
      <c r="RP118" s="11"/>
      <c r="RQ118" s="11"/>
      <c r="RR118" s="11"/>
      <c r="RS118" s="11"/>
      <c r="RT118" s="11"/>
      <c r="RU118" s="11"/>
      <c r="RV118" s="11"/>
      <c r="RW118" s="11"/>
      <c r="RX118" s="11"/>
      <c r="RY118" s="11"/>
      <c r="RZ118" s="11"/>
      <c r="SA118" s="11"/>
      <c r="SB118" s="11"/>
      <c r="SC118" s="11"/>
      <c r="SD118" s="11"/>
      <c r="SE118" s="11"/>
      <c r="SF118" s="11"/>
      <c r="SG118" s="11"/>
      <c r="SH118" s="11"/>
      <c r="SI118" s="11"/>
      <c r="SJ118" s="11"/>
      <c r="SK118" s="11"/>
      <c r="SL118" s="11"/>
      <c r="SM118" s="11"/>
      <c r="SN118" s="11"/>
      <c r="SO118" s="11"/>
      <c r="SP118" s="11"/>
      <c r="SQ118" s="11"/>
      <c r="SR118" s="11"/>
      <c r="SS118" s="11"/>
      <c r="ST118" s="11"/>
      <c r="SU118" s="11"/>
      <c r="SV118" s="11"/>
      <c r="SW118" s="11"/>
      <c r="SX118" s="11"/>
      <c r="SY118" s="11"/>
      <c r="SZ118" s="11"/>
      <c r="TA118" s="11"/>
      <c r="TB118" s="11"/>
      <c r="TC118" s="11"/>
      <c r="TD118" s="11"/>
      <c r="TE118" s="11"/>
      <c r="TF118" s="11"/>
      <c r="TG118" s="11"/>
      <c r="TH118" s="11"/>
      <c r="TI118" s="11"/>
      <c r="TJ118" s="11"/>
      <c r="TK118" s="11"/>
      <c r="TL118" s="11"/>
      <c r="TM118" s="11"/>
      <c r="TN118" s="11"/>
      <c r="TO118" s="11"/>
      <c r="TP118" s="11"/>
      <c r="TQ118" s="11"/>
      <c r="TR118" s="11"/>
      <c r="TS118" s="11"/>
      <c r="TT118" s="11"/>
      <c r="TU118" s="11"/>
      <c r="TV118" s="11"/>
      <c r="TW118" s="11"/>
      <c r="TX118" s="11"/>
      <c r="TY118" s="11"/>
      <c r="TZ118" s="11"/>
      <c r="UA118" s="11"/>
      <c r="UB118" s="11"/>
      <c r="UC118" s="11"/>
      <c r="UD118" s="11"/>
      <c r="UE118" s="11"/>
      <c r="UF118" s="11"/>
      <c r="UG118" s="11"/>
      <c r="UH118" s="11"/>
      <c r="UI118" s="11"/>
      <c r="UJ118" s="11"/>
      <c r="UK118" s="11"/>
      <c r="UL118" s="11"/>
      <c r="UM118" s="11"/>
      <c r="UN118" s="11"/>
      <c r="UO118" s="11"/>
      <c r="UP118" s="11"/>
      <c r="UQ118" s="11"/>
      <c r="UR118" s="11"/>
      <c r="US118" s="11"/>
      <c r="UT118" s="11"/>
      <c r="UU118" s="11"/>
      <c r="UV118" s="11"/>
      <c r="UW118" s="11"/>
      <c r="UX118" s="11"/>
      <c r="UY118" s="11"/>
      <c r="UZ118" s="11"/>
      <c r="VA118" s="11"/>
      <c r="VB118" s="11"/>
      <c r="VC118" s="11"/>
      <c r="VD118" s="11"/>
      <c r="VE118" s="11"/>
      <c r="VF118" s="11"/>
      <c r="VG118" s="11"/>
      <c r="VH118" s="11"/>
      <c r="VI118" s="11"/>
      <c r="VJ118" s="11"/>
      <c r="VK118" s="11"/>
      <c r="VL118" s="11"/>
      <c r="VM118" s="11"/>
      <c r="VN118" s="11"/>
      <c r="VO118" s="11"/>
      <c r="VP118" s="11"/>
      <c r="VQ118" s="11"/>
      <c r="VR118" s="11"/>
      <c r="VS118" s="11"/>
      <c r="VT118" s="11"/>
      <c r="VU118" s="11"/>
      <c r="VV118" s="11"/>
      <c r="VW118" s="11"/>
      <c r="VX118" s="11"/>
      <c r="VY118" s="11"/>
      <c r="VZ118" s="11"/>
      <c r="WA118" s="11"/>
      <c r="WB118" s="11"/>
      <c r="WC118" s="11"/>
      <c r="WD118" s="11"/>
      <c r="WE118" s="11"/>
      <c r="WF118" s="11"/>
      <c r="WG118" s="11"/>
      <c r="WH118" s="11"/>
      <c r="WI118" s="11"/>
      <c r="WJ118" s="11"/>
      <c r="WK118" s="11"/>
      <c r="WL118" s="11"/>
      <c r="WM118" s="11"/>
      <c r="WN118" s="11"/>
      <c r="WO118" s="11"/>
      <c r="WP118" s="11"/>
      <c r="WQ118" s="11"/>
      <c r="WR118" s="11"/>
      <c r="WS118" s="11"/>
      <c r="WT118" s="11"/>
      <c r="WU118" s="11"/>
      <c r="WV118" s="11"/>
      <c r="WW118" s="11"/>
      <c r="WX118" s="11"/>
      <c r="WY118" s="11"/>
      <c r="WZ118" s="11"/>
      <c r="XA118" s="11"/>
      <c r="XB118" s="11"/>
      <c r="XC118" s="11"/>
      <c r="XD118" s="11"/>
      <c r="XE118" s="11"/>
      <c r="XF118" s="11"/>
      <c r="XG118" s="11"/>
      <c r="XH118" s="11"/>
      <c r="XI118" s="11"/>
      <c r="XJ118" s="11"/>
      <c r="XK118" s="11"/>
      <c r="XL118" s="11"/>
      <c r="XM118" s="11"/>
      <c r="XN118" s="11"/>
      <c r="XO118" s="11"/>
      <c r="XP118" s="11"/>
      <c r="XQ118" s="11"/>
      <c r="XR118" s="11"/>
      <c r="XS118" s="11"/>
      <c r="XT118" s="11"/>
      <c r="XU118" s="11"/>
      <c r="XV118" s="11"/>
      <c r="XW118" s="11"/>
      <c r="XX118" s="11"/>
      <c r="XY118" s="11"/>
      <c r="XZ118" s="11"/>
      <c r="YA118" s="11"/>
      <c r="YB118" s="11"/>
      <c r="YC118" s="11"/>
      <c r="YD118" s="11"/>
      <c r="YE118" s="11"/>
      <c r="YF118" s="11"/>
      <c r="YG118" s="11"/>
      <c r="YH118" s="11"/>
      <c r="YI118" s="11"/>
      <c r="YJ118" s="11"/>
      <c r="YK118" s="11"/>
      <c r="YL118" s="11"/>
      <c r="YM118" s="11"/>
      <c r="YN118" s="11"/>
      <c r="YO118" s="11"/>
      <c r="YP118" s="11"/>
      <c r="YQ118" s="11"/>
      <c r="YR118" s="11"/>
      <c r="YS118" s="11"/>
      <c r="YT118" s="11"/>
      <c r="YU118" s="11"/>
      <c r="YV118" s="11"/>
      <c r="YW118" s="11"/>
      <c r="YX118" s="11"/>
      <c r="YY118" s="11"/>
      <c r="YZ118" s="11"/>
      <c r="ZA118" s="11"/>
      <c r="ZB118" s="11"/>
      <c r="ZC118" s="11"/>
      <c r="ZD118" s="11"/>
      <c r="ZE118" s="11"/>
      <c r="ZF118" s="11"/>
      <c r="ZG118" s="11"/>
      <c r="ZH118" s="11"/>
      <c r="ZI118" s="11"/>
      <c r="ZJ118" s="11"/>
      <c r="ZK118" s="11"/>
      <c r="ZL118" s="11"/>
      <c r="ZM118" s="11"/>
      <c r="ZN118" s="11"/>
      <c r="ZO118" s="11"/>
      <c r="ZP118" s="11"/>
      <c r="ZQ118" s="11"/>
      <c r="ZR118" s="11"/>
      <c r="ZS118" s="11"/>
      <c r="ZT118" s="11"/>
      <c r="ZU118" s="11"/>
      <c r="ZV118" s="11"/>
      <c r="ZW118" s="11"/>
      <c r="ZX118" s="11"/>
      <c r="ZY118" s="11"/>
      <c r="ZZ118" s="11"/>
      <c r="AAA118" s="11"/>
      <c r="AAB118" s="11"/>
      <c r="AAC118" s="11"/>
      <c r="AAD118" s="11"/>
      <c r="AAE118" s="11"/>
      <c r="AAF118" s="11"/>
      <c r="AAG118" s="11"/>
      <c r="AAH118" s="11"/>
      <c r="AAI118" s="11"/>
      <c r="AAJ118" s="11"/>
      <c r="AAK118" s="11"/>
      <c r="AAL118" s="11"/>
      <c r="AAM118" s="11"/>
      <c r="AAN118" s="11"/>
      <c r="AAO118" s="11"/>
      <c r="AAP118" s="11"/>
      <c r="AAQ118" s="11"/>
      <c r="AAR118" s="11"/>
      <c r="AAS118" s="11"/>
      <c r="AAT118" s="11"/>
      <c r="AAU118" s="11"/>
      <c r="AAV118" s="11"/>
      <c r="AAW118" s="11"/>
      <c r="AAX118" s="11"/>
      <c r="AAY118" s="11"/>
      <c r="AAZ118" s="11"/>
      <c r="ABA118" s="11"/>
      <c r="ABB118" s="11"/>
      <c r="ABC118" s="11"/>
      <c r="ABD118" s="11"/>
      <c r="ABE118" s="11"/>
      <c r="ABF118" s="11"/>
      <c r="ABG118" s="11"/>
      <c r="ABH118" s="11"/>
      <c r="ABI118" s="11"/>
      <c r="ABJ118" s="11"/>
      <c r="ABK118" s="11"/>
      <c r="ABL118" s="11"/>
      <c r="ABM118" s="11"/>
      <c r="ABN118" s="11"/>
      <c r="ABO118" s="11"/>
      <c r="ABP118" s="11"/>
      <c r="ABQ118" s="11"/>
      <c r="ABR118" s="11"/>
      <c r="ABS118" s="11"/>
      <c r="ABT118" s="11"/>
      <c r="ABU118" s="11"/>
      <c r="ABV118" s="11"/>
      <c r="ABW118" s="11"/>
      <c r="ABX118" s="11"/>
      <c r="ABY118" s="11"/>
      <c r="ABZ118" s="11"/>
      <c r="ACA118" s="11"/>
      <c r="ACB118" s="11"/>
      <c r="ACC118" s="11"/>
      <c r="ACD118" s="11"/>
      <c r="ACE118" s="11"/>
      <c r="ACF118" s="11"/>
      <c r="ACG118" s="11"/>
      <c r="ACH118" s="11"/>
      <c r="ACI118" s="11"/>
      <c r="ACJ118" s="11"/>
      <c r="ACK118" s="11"/>
      <c r="ACL118" s="11"/>
      <c r="ACM118" s="11"/>
      <c r="ACN118" s="11"/>
      <c r="ACO118" s="11"/>
      <c r="ACP118" s="11"/>
      <c r="ACQ118" s="11"/>
      <c r="ACR118" s="11"/>
      <c r="ACS118" s="11"/>
      <c r="ACT118" s="11"/>
      <c r="ACU118" s="11"/>
      <c r="ACV118" s="11"/>
      <c r="ACW118" s="11"/>
      <c r="ACX118" s="11"/>
      <c r="ACY118" s="11"/>
      <c r="ACZ118" s="11"/>
      <c r="ADA118" s="11"/>
      <c r="ADB118" s="11"/>
      <c r="ADC118" s="11"/>
      <c r="ADD118" s="11"/>
      <c r="ADE118" s="11"/>
      <c r="ADF118" s="11"/>
      <c r="ADG118" s="11"/>
      <c r="ADH118" s="11"/>
      <c r="ADI118" s="11"/>
      <c r="ADJ118" s="11"/>
      <c r="ADK118" s="11"/>
      <c r="ADL118" s="11"/>
      <c r="ADM118" s="11"/>
      <c r="ADN118" s="11"/>
      <c r="ADO118" s="11"/>
      <c r="ADP118" s="11"/>
      <c r="ADQ118" s="11"/>
      <c r="ADR118" s="11"/>
      <c r="ADS118" s="11"/>
      <c r="ADT118" s="11"/>
      <c r="ADU118" s="11"/>
      <c r="ADV118" s="11"/>
      <c r="ADW118" s="11"/>
      <c r="ADX118" s="11"/>
      <c r="ADY118" s="11"/>
      <c r="ADZ118" s="11"/>
      <c r="AEA118" s="11"/>
      <c r="AEB118" s="11"/>
      <c r="AEC118" s="11"/>
      <c r="AED118" s="11"/>
      <c r="AEE118" s="11"/>
      <c r="AEF118" s="11"/>
      <c r="AEG118" s="11"/>
      <c r="AEH118" s="11"/>
      <c r="AEI118" s="11"/>
      <c r="AEJ118" s="11"/>
      <c r="AEK118" s="11"/>
      <c r="AEL118" s="11"/>
      <c r="AEM118" s="11"/>
      <c r="AEN118" s="11"/>
      <c r="AEO118" s="11"/>
      <c r="AEP118" s="11"/>
      <c r="AEQ118" s="11"/>
      <c r="AER118" s="11"/>
      <c r="AES118" s="11"/>
      <c r="AET118" s="11"/>
      <c r="AEU118" s="11"/>
      <c r="AEV118" s="11"/>
      <c r="AEW118" s="11"/>
      <c r="AEX118" s="11"/>
      <c r="AEY118" s="11"/>
      <c r="AEZ118" s="11"/>
      <c r="AFA118" s="11"/>
      <c r="AFB118" s="11"/>
      <c r="AFC118" s="11"/>
      <c r="AFD118" s="11"/>
      <c r="AFE118" s="11"/>
      <c r="AFF118" s="11"/>
      <c r="AFG118" s="11"/>
      <c r="AFH118" s="11"/>
      <c r="AFI118" s="11"/>
    </row>
    <row r="119" spans="2:841">
      <c r="B119" s="11"/>
      <c r="C119" s="658" t="str">
        <f>M_A0!C30</f>
        <v>Cerámica</v>
      </c>
      <c r="D119" s="658"/>
      <c r="E119" s="551">
        <f>SUM(M_Datos!N81:N83)</f>
        <v>0</v>
      </c>
      <c r="F119" s="312">
        <f>IF(M_FactoresComplement!G786= "Sí", E119*M_FactoresComplement!D790/(10^3), M_Cálculos!E119*M_Factores!D212/(10^3))</f>
        <v>0</v>
      </c>
      <c r="G119" s="313">
        <f>IF(M_FactoresComplement!G786="Sí", M_Cálculos!E119*M_FactoresComplement!E790/(10^3),M_Cálculos!E119*M_Factores!E213/(10^3))</f>
        <v>0</v>
      </c>
      <c r="H119" s="551">
        <f>SUM(M_Datos!O81:O83)</f>
        <v>0</v>
      </c>
      <c r="I119" s="312">
        <f>IF(M_FactoresComplement!G786= "Sí", H119*M_FactoresComplement!D790/(10^3), M_Cálculos!H119*M_Factores!D212/(10^3))</f>
        <v>0</v>
      </c>
      <c r="J119" s="313">
        <f>IF(M_FactoresComplement!G786="Sí", M_Cálculos!H119*M_FactoresComplement!E790/(10^3),M_Cálculos!H119*M_Factores!E212/(10^3))</f>
        <v>0</v>
      </c>
      <c r="K119" s="551">
        <f>SUM(M_Datos!P81:P83)</f>
        <v>0</v>
      </c>
      <c r="L119" s="312">
        <f>IF(M_FactoresComplement!G786= "Sí", K119*M_FactoresComplement!D790/(10^3), M_Cálculos!K119*M_Factores!D212/(10^3))</f>
        <v>0</v>
      </c>
      <c r="M119" s="313">
        <f>IF(M_FactoresComplement!G786= "Sí", K119*M_FactoresComplement!D790/(10^3), M_Cálculos!K119*M_Factores!E212/(10^3))</f>
        <v>0</v>
      </c>
      <c r="N119" s="551">
        <f>SUM(M_Datos!Q81:Q83)</f>
        <v>0</v>
      </c>
      <c r="O119" s="312">
        <f>IF(M_FactoresComplement!G786= "Sí", N119*M_FactoresComplement!D790/(10^3), M_Cálculos!N119*M_Factores!D212/(10^3))</f>
        <v>0</v>
      </c>
      <c r="P119" s="313">
        <f>IF(M_FactoresComplement!G786= "Sí", N119*M_FactoresComplement!D790/(10^3), M_Cálculos!N119*M_Factores!D212/(10^3))</f>
        <v>0</v>
      </c>
      <c r="Q119" s="551">
        <f>SUM(M_Datos!R81:R83)</f>
        <v>0</v>
      </c>
      <c r="R119" s="312">
        <f>IF(M_FactoresComplement!G786= "Sí", Q119*M_FactoresComplement!D790/(10^3), M_Cálculos!Q119*M_Factores!D212/(10^3))</f>
        <v>0</v>
      </c>
      <c r="S119" s="313">
        <f>IF(M_FactoresComplement!G786= "Sí", Q119*M_FactoresComplement!D790/(10^3), M_Cálculos!Q119*M_Factores!D212/(10^3))</f>
        <v>0</v>
      </c>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c r="IW119" s="11"/>
      <c r="IX119" s="11"/>
      <c r="IY119" s="11"/>
      <c r="IZ119" s="11"/>
      <c r="JA119" s="11"/>
      <c r="JB119" s="11"/>
      <c r="JC119" s="11"/>
      <c r="JD119" s="11"/>
      <c r="JE119" s="11"/>
      <c r="JF119" s="11"/>
      <c r="JG119" s="11"/>
      <c r="JH119" s="11"/>
      <c r="JI119" s="11"/>
      <c r="JJ119" s="11"/>
      <c r="JK119" s="11"/>
      <c r="JL119" s="11"/>
      <c r="JM119" s="11"/>
      <c r="JN119" s="11"/>
      <c r="JO119" s="11"/>
      <c r="JP119" s="11"/>
      <c r="JQ119" s="11"/>
      <c r="JR119" s="11"/>
      <c r="JS119" s="11"/>
      <c r="JT119" s="11"/>
      <c r="JU119" s="11"/>
      <c r="JV119" s="11"/>
      <c r="JW119" s="11"/>
      <c r="JX119" s="11"/>
      <c r="JY119" s="11"/>
      <c r="JZ119" s="11"/>
      <c r="KA119" s="11"/>
      <c r="KB119" s="11"/>
      <c r="KC119" s="11"/>
      <c r="KD119" s="11"/>
      <c r="KE119" s="11"/>
      <c r="KF119" s="11"/>
      <c r="KG119" s="11"/>
      <c r="KH119" s="11"/>
      <c r="KI119" s="11"/>
      <c r="KJ119" s="11"/>
      <c r="KK119" s="11"/>
      <c r="KL119" s="11"/>
      <c r="KM119" s="11"/>
      <c r="KN119" s="11"/>
      <c r="KO119" s="11"/>
      <c r="KP119" s="11"/>
      <c r="KQ119" s="11"/>
      <c r="KR119" s="11"/>
      <c r="KS119" s="11"/>
      <c r="KT119" s="11"/>
      <c r="KU119" s="11"/>
      <c r="KV119" s="11"/>
      <c r="KW119" s="11"/>
      <c r="KX119" s="11"/>
      <c r="KY119" s="11"/>
      <c r="KZ119" s="11"/>
      <c r="LA119" s="11"/>
      <c r="LB119" s="11"/>
      <c r="LC119" s="11"/>
      <c r="LD119" s="11"/>
      <c r="LE119" s="11"/>
      <c r="LF119" s="11"/>
      <c r="LG119" s="11"/>
      <c r="LH119" s="11"/>
      <c r="LI119" s="11"/>
      <c r="LJ119" s="11"/>
      <c r="LK119" s="11"/>
      <c r="LL119" s="11"/>
      <c r="LM119" s="11"/>
      <c r="LN119" s="11"/>
      <c r="LO119" s="11"/>
      <c r="LP119" s="11"/>
      <c r="LQ119" s="11"/>
      <c r="LR119" s="11"/>
      <c r="LS119" s="11"/>
      <c r="LT119" s="11"/>
      <c r="LU119" s="11"/>
      <c r="LV119" s="11"/>
      <c r="LW119" s="11"/>
      <c r="LX119" s="11"/>
      <c r="LY119" s="11"/>
      <c r="LZ119" s="11"/>
      <c r="MA119" s="11"/>
      <c r="MB119" s="11"/>
      <c r="MC119" s="11"/>
      <c r="MD119" s="11"/>
      <c r="ME119" s="11"/>
      <c r="MF119" s="11"/>
      <c r="MG119" s="11"/>
      <c r="MH119" s="11"/>
      <c r="MI119" s="11"/>
      <c r="MJ119" s="11"/>
      <c r="MK119" s="11"/>
      <c r="ML119" s="11"/>
      <c r="MM119" s="11"/>
      <c r="MN119" s="11"/>
      <c r="MO119" s="11"/>
      <c r="MP119" s="11"/>
      <c r="MQ119" s="11"/>
      <c r="MR119" s="11"/>
      <c r="MS119" s="11"/>
      <c r="MT119" s="11"/>
      <c r="MU119" s="11"/>
      <c r="MV119" s="11"/>
      <c r="MW119" s="11"/>
      <c r="MX119" s="11"/>
      <c r="MY119" s="11"/>
      <c r="MZ119" s="11"/>
      <c r="NA119" s="11"/>
      <c r="NB119" s="11"/>
      <c r="NC119" s="11"/>
      <c r="ND119" s="11"/>
      <c r="NE119" s="11"/>
      <c r="NF119" s="11"/>
      <c r="NG119" s="11"/>
      <c r="NH119" s="11"/>
      <c r="NI119" s="11"/>
      <c r="NJ119" s="11"/>
      <c r="NK119" s="11"/>
      <c r="NL119" s="11"/>
      <c r="NM119" s="11"/>
      <c r="NN119" s="11"/>
      <c r="NO119" s="11"/>
      <c r="NP119" s="11"/>
      <c r="NQ119" s="11"/>
      <c r="NR119" s="11"/>
      <c r="NS119" s="11"/>
      <c r="NT119" s="11"/>
      <c r="NU119" s="11"/>
      <c r="NV119" s="11"/>
      <c r="NW119" s="11"/>
      <c r="NX119" s="11"/>
      <c r="NY119" s="11"/>
      <c r="NZ119" s="11"/>
      <c r="OA119" s="11"/>
      <c r="OB119" s="11"/>
      <c r="OC119" s="11"/>
      <c r="OD119" s="11"/>
      <c r="OE119" s="11"/>
      <c r="OF119" s="11"/>
      <c r="OG119" s="11"/>
      <c r="OH119" s="11"/>
      <c r="OI119" s="11"/>
      <c r="OJ119" s="11"/>
      <c r="OK119" s="11"/>
      <c r="OL119" s="11"/>
      <c r="OM119" s="11"/>
      <c r="ON119" s="11"/>
      <c r="OO119" s="11"/>
      <c r="OP119" s="11"/>
      <c r="OQ119" s="11"/>
      <c r="OR119" s="11"/>
      <c r="OS119" s="11"/>
      <c r="OT119" s="11"/>
      <c r="OU119" s="11"/>
      <c r="OV119" s="11"/>
      <c r="OW119" s="11"/>
      <c r="OX119" s="11"/>
      <c r="OY119" s="11"/>
      <c r="OZ119" s="11"/>
      <c r="PA119" s="11"/>
      <c r="PB119" s="11"/>
      <c r="PC119" s="11"/>
      <c r="PD119" s="11"/>
      <c r="PE119" s="11"/>
      <c r="PF119" s="11"/>
      <c r="PG119" s="11"/>
      <c r="PH119" s="11"/>
      <c r="PI119" s="11"/>
      <c r="PJ119" s="11"/>
      <c r="PK119" s="11"/>
      <c r="PL119" s="11"/>
      <c r="PM119" s="11"/>
      <c r="PN119" s="11"/>
      <c r="PO119" s="11"/>
      <c r="PP119" s="11"/>
      <c r="PQ119" s="11"/>
      <c r="PR119" s="11"/>
      <c r="PS119" s="11"/>
      <c r="PT119" s="11"/>
      <c r="PU119" s="11"/>
      <c r="PV119" s="11"/>
      <c r="PW119" s="11"/>
      <c r="PX119" s="11"/>
      <c r="PY119" s="11"/>
      <c r="PZ119" s="11"/>
      <c r="QA119" s="11"/>
      <c r="QB119" s="11"/>
      <c r="QC119" s="11"/>
      <c r="QD119" s="11"/>
      <c r="QE119" s="11"/>
      <c r="QF119" s="11"/>
      <c r="QG119" s="11"/>
      <c r="QH119" s="11"/>
      <c r="QI119" s="11"/>
      <c r="QJ119" s="11"/>
      <c r="QK119" s="11"/>
      <c r="QL119" s="11"/>
      <c r="QM119" s="11"/>
      <c r="QN119" s="11"/>
      <c r="QO119" s="11"/>
      <c r="QP119" s="11"/>
      <c r="QQ119" s="11"/>
      <c r="QR119" s="11"/>
      <c r="QS119" s="11"/>
      <c r="QT119" s="11"/>
      <c r="QU119" s="11"/>
      <c r="QV119" s="11"/>
      <c r="QW119" s="11"/>
      <c r="QX119" s="11"/>
      <c r="QY119" s="11"/>
      <c r="QZ119" s="11"/>
      <c r="RA119" s="11"/>
      <c r="RB119" s="11"/>
      <c r="RC119" s="11"/>
      <c r="RD119" s="11"/>
      <c r="RE119" s="11"/>
      <c r="RF119" s="11"/>
      <c r="RG119" s="11"/>
      <c r="RH119" s="11"/>
      <c r="RI119" s="11"/>
      <c r="RJ119" s="11"/>
      <c r="RK119" s="11"/>
      <c r="RL119" s="11"/>
      <c r="RM119" s="11"/>
      <c r="RN119" s="11"/>
      <c r="RO119" s="11"/>
      <c r="RP119" s="11"/>
      <c r="RQ119" s="11"/>
      <c r="RR119" s="11"/>
      <c r="RS119" s="11"/>
      <c r="RT119" s="11"/>
      <c r="RU119" s="11"/>
      <c r="RV119" s="11"/>
      <c r="RW119" s="11"/>
      <c r="RX119" s="11"/>
      <c r="RY119" s="11"/>
      <c r="RZ119" s="11"/>
      <c r="SA119" s="11"/>
      <c r="SB119" s="11"/>
      <c r="SC119" s="11"/>
      <c r="SD119" s="11"/>
      <c r="SE119" s="11"/>
      <c r="SF119" s="11"/>
      <c r="SG119" s="11"/>
      <c r="SH119" s="11"/>
      <c r="SI119" s="11"/>
      <c r="SJ119" s="11"/>
      <c r="SK119" s="11"/>
      <c r="SL119" s="11"/>
      <c r="SM119" s="11"/>
      <c r="SN119" s="11"/>
      <c r="SO119" s="11"/>
      <c r="SP119" s="11"/>
      <c r="SQ119" s="11"/>
      <c r="SR119" s="11"/>
      <c r="SS119" s="11"/>
      <c r="ST119" s="11"/>
      <c r="SU119" s="11"/>
      <c r="SV119" s="11"/>
      <c r="SW119" s="11"/>
      <c r="SX119" s="11"/>
      <c r="SY119" s="11"/>
      <c r="SZ119" s="11"/>
      <c r="TA119" s="11"/>
      <c r="TB119" s="11"/>
      <c r="TC119" s="11"/>
      <c r="TD119" s="11"/>
      <c r="TE119" s="11"/>
      <c r="TF119" s="11"/>
      <c r="TG119" s="11"/>
      <c r="TH119" s="11"/>
      <c r="TI119" s="11"/>
      <c r="TJ119" s="11"/>
      <c r="TK119" s="11"/>
      <c r="TL119" s="11"/>
      <c r="TM119" s="11"/>
      <c r="TN119" s="11"/>
      <c r="TO119" s="11"/>
      <c r="TP119" s="11"/>
      <c r="TQ119" s="11"/>
      <c r="TR119" s="11"/>
      <c r="TS119" s="11"/>
      <c r="TT119" s="11"/>
      <c r="TU119" s="11"/>
      <c r="TV119" s="11"/>
      <c r="TW119" s="11"/>
      <c r="TX119" s="11"/>
      <c r="TY119" s="11"/>
      <c r="TZ119" s="11"/>
      <c r="UA119" s="11"/>
      <c r="UB119" s="11"/>
      <c r="UC119" s="11"/>
      <c r="UD119" s="11"/>
      <c r="UE119" s="11"/>
      <c r="UF119" s="11"/>
      <c r="UG119" s="11"/>
      <c r="UH119" s="11"/>
      <c r="UI119" s="11"/>
      <c r="UJ119" s="11"/>
      <c r="UK119" s="11"/>
      <c r="UL119" s="11"/>
      <c r="UM119" s="11"/>
      <c r="UN119" s="11"/>
      <c r="UO119" s="11"/>
      <c r="UP119" s="11"/>
      <c r="UQ119" s="11"/>
      <c r="UR119" s="11"/>
      <c r="US119" s="11"/>
      <c r="UT119" s="11"/>
      <c r="UU119" s="11"/>
      <c r="UV119" s="11"/>
      <c r="UW119" s="11"/>
      <c r="UX119" s="11"/>
      <c r="UY119" s="11"/>
      <c r="UZ119" s="11"/>
      <c r="VA119" s="11"/>
      <c r="VB119" s="11"/>
      <c r="VC119" s="11"/>
      <c r="VD119" s="11"/>
      <c r="VE119" s="11"/>
      <c r="VF119" s="11"/>
      <c r="VG119" s="11"/>
      <c r="VH119" s="11"/>
      <c r="VI119" s="11"/>
      <c r="VJ119" s="11"/>
      <c r="VK119" s="11"/>
      <c r="VL119" s="11"/>
      <c r="VM119" s="11"/>
      <c r="VN119" s="11"/>
      <c r="VO119" s="11"/>
      <c r="VP119" s="11"/>
      <c r="VQ119" s="11"/>
      <c r="VR119" s="11"/>
      <c r="VS119" s="11"/>
      <c r="VT119" s="11"/>
      <c r="VU119" s="11"/>
      <c r="VV119" s="11"/>
      <c r="VW119" s="11"/>
      <c r="VX119" s="11"/>
      <c r="VY119" s="11"/>
      <c r="VZ119" s="11"/>
      <c r="WA119" s="11"/>
      <c r="WB119" s="11"/>
      <c r="WC119" s="11"/>
      <c r="WD119" s="11"/>
      <c r="WE119" s="11"/>
      <c r="WF119" s="11"/>
      <c r="WG119" s="11"/>
      <c r="WH119" s="11"/>
      <c r="WI119" s="11"/>
      <c r="WJ119" s="11"/>
      <c r="WK119" s="11"/>
      <c r="WL119" s="11"/>
      <c r="WM119" s="11"/>
      <c r="WN119" s="11"/>
      <c r="WO119" s="11"/>
      <c r="WP119" s="11"/>
      <c r="WQ119" s="11"/>
      <c r="WR119" s="11"/>
      <c r="WS119" s="11"/>
      <c r="WT119" s="11"/>
      <c r="WU119" s="11"/>
      <c r="WV119" s="11"/>
      <c r="WW119" s="11"/>
      <c r="WX119" s="11"/>
      <c r="WY119" s="11"/>
      <c r="WZ119" s="11"/>
      <c r="XA119" s="11"/>
      <c r="XB119" s="11"/>
      <c r="XC119" s="11"/>
      <c r="XD119" s="11"/>
      <c r="XE119" s="11"/>
      <c r="XF119" s="11"/>
      <c r="XG119" s="11"/>
      <c r="XH119" s="11"/>
      <c r="XI119" s="11"/>
      <c r="XJ119" s="11"/>
      <c r="XK119" s="11"/>
      <c r="XL119" s="11"/>
      <c r="XM119" s="11"/>
      <c r="XN119" s="11"/>
      <c r="XO119" s="11"/>
      <c r="XP119" s="11"/>
      <c r="XQ119" s="11"/>
      <c r="XR119" s="11"/>
      <c r="XS119" s="11"/>
      <c r="XT119" s="11"/>
      <c r="XU119" s="11"/>
      <c r="XV119" s="11"/>
      <c r="XW119" s="11"/>
      <c r="XX119" s="11"/>
      <c r="XY119" s="11"/>
      <c r="XZ119" s="11"/>
      <c r="YA119" s="11"/>
      <c r="YB119" s="11"/>
      <c r="YC119" s="11"/>
      <c r="YD119" s="11"/>
      <c r="YE119" s="11"/>
      <c r="YF119" s="11"/>
      <c r="YG119" s="11"/>
      <c r="YH119" s="11"/>
      <c r="YI119" s="11"/>
      <c r="YJ119" s="11"/>
      <c r="YK119" s="11"/>
      <c r="YL119" s="11"/>
      <c r="YM119" s="11"/>
      <c r="YN119" s="11"/>
      <c r="YO119" s="11"/>
      <c r="YP119" s="11"/>
      <c r="YQ119" s="11"/>
      <c r="YR119" s="11"/>
      <c r="YS119" s="11"/>
      <c r="YT119" s="11"/>
      <c r="YU119" s="11"/>
      <c r="YV119" s="11"/>
      <c r="YW119" s="11"/>
      <c r="YX119" s="11"/>
      <c r="YY119" s="11"/>
      <c r="YZ119" s="11"/>
      <c r="ZA119" s="11"/>
      <c r="ZB119" s="11"/>
      <c r="ZC119" s="11"/>
      <c r="ZD119" s="11"/>
      <c r="ZE119" s="11"/>
      <c r="ZF119" s="11"/>
      <c r="ZG119" s="11"/>
      <c r="ZH119" s="11"/>
      <c r="ZI119" s="11"/>
      <c r="ZJ119" s="11"/>
      <c r="ZK119" s="11"/>
      <c r="ZL119" s="11"/>
      <c r="ZM119" s="11"/>
      <c r="ZN119" s="11"/>
      <c r="ZO119" s="11"/>
      <c r="ZP119" s="11"/>
      <c r="ZQ119" s="11"/>
      <c r="ZR119" s="11"/>
      <c r="ZS119" s="11"/>
      <c r="ZT119" s="11"/>
      <c r="ZU119" s="11"/>
      <c r="ZV119" s="11"/>
      <c r="ZW119" s="11"/>
      <c r="ZX119" s="11"/>
      <c r="ZY119" s="11"/>
      <c r="ZZ119" s="11"/>
      <c r="AAA119" s="11"/>
      <c r="AAB119" s="11"/>
      <c r="AAC119" s="11"/>
      <c r="AAD119" s="11"/>
      <c r="AAE119" s="11"/>
      <c r="AAF119" s="11"/>
      <c r="AAG119" s="11"/>
      <c r="AAH119" s="11"/>
      <c r="AAI119" s="11"/>
      <c r="AAJ119" s="11"/>
      <c r="AAK119" s="11"/>
      <c r="AAL119" s="11"/>
      <c r="AAM119" s="11"/>
      <c r="AAN119" s="11"/>
      <c r="AAO119" s="11"/>
      <c r="AAP119" s="11"/>
      <c r="AAQ119" s="11"/>
      <c r="AAR119" s="11"/>
      <c r="AAS119" s="11"/>
      <c r="AAT119" s="11"/>
      <c r="AAU119" s="11"/>
      <c r="AAV119" s="11"/>
      <c r="AAW119" s="11"/>
      <c r="AAX119" s="11"/>
      <c r="AAY119" s="11"/>
      <c r="AAZ119" s="11"/>
      <c r="ABA119" s="11"/>
      <c r="ABB119" s="11"/>
      <c r="ABC119" s="11"/>
      <c r="ABD119" s="11"/>
      <c r="ABE119" s="11"/>
      <c r="ABF119" s="11"/>
      <c r="ABG119" s="11"/>
      <c r="ABH119" s="11"/>
      <c r="ABI119" s="11"/>
      <c r="ABJ119" s="11"/>
      <c r="ABK119" s="11"/>
      <c r="ABL119" s="11"/>
      <c r="ABM119" s="11"/>
      <c r="ABN119" s="11"/>
      <c r="ABO119" s="11"/>
      <c r="ABP119" s="11"/>
      <c r="ABQ119" s="11"/>
      <c r="ABR119" s="11"/>
      <c r="ABS119" s="11"/>
      <c r="ABT119" s="11"/>
      <c r="ABU119" s="11"/>
      <c r="ABV119" s="11"/>
      <c r="ABW119" s="11"/>
      <c r="ABX119" s="11"/>
      <c r="ABY119" s="11"/>
      <c r="ABZ119" s="11"/>
      <c r="ACA119" s="11"/>
      <c r="ACB119" s="11"/>
      <c r="ACC119" s="11"/>
      <c r="ACD119" s="11"/>
      <c r="ACE119" s="11"/>
      <c r="ACF119" s="11"/>
      <c r="ACG119" s="11"/>
      <c r="ACH119" s="11"/>
      <c r="ACI119" s="11"/>
      <c r="ACJ119" s="11"/>
      <c r="ACK119" s="11"/>
      <c r="ACL119" s="11"/>
      <c r="ACM119" s="11"/>
      <c r="ACN119" s="11"/>
      <c r="ACO119" s="11"/>
      <c r="ACP119" s="11"/>
      <c r="ACQ119" s="11"/>
      <c r="ACR119" s="11"/>
      <c r="ACS119" s="11"/>
      <c r="ACT119" s="11"/>
      <c r="ACU119" s="11"/>
      <c r="ACV119" s="11"/>
      <c r="ACW119" s="11"/>
      <c r="ACX119" s="11"/>
      <c r="ACY119" s="11"/>
      <c r="ACZ119" s="11"/>
      <c r="ADA119" s="11"/>
      <c r="ADB119" s="11"/>
      <c r="ADC119" s="11"/>
      <c r="ADD119" s="11"/>
      <c r="ADE119" s="11"/>
      <c r="ADF119" s="11"/>
      <c r="ADG119" s="11"/>
      <c r="ADH119" s="11"/>
      <c r="ADI119" s="11"/>
      <c r="ADJ119" s="11"/>
      <c r="ADK119" s="11"/>
      <c r="ADL119" s="11"/>
      <c r="ADM119" s="11"/>
      <c r="ADN119" s="11"/>
      <c r="ADO119" s="11"/>
      <c r="ADP119" s="11"/>
      <c r="ADQ119" s="11"/>
      <c r="ADR119" s="11"/>
      <c r="ADS119" s="11"/>
      <c r="ADT119" s="11"/>
      <c r="ADU119" s="11"/>
      <c r="ADV119" s="11"/>
      <c r="ADW119" s="11"/>
      <c r="ADX119" s="11"/>
      <c r="ADY119" s="11"/>
      <c r="ADZ119" s="11"/>
      <c r="AEA119" s="11"/>
      <c r="AEB119" s="11"/>
      <c r="AEC119" s="11"/>
      <c r="AED119" s="11"/>
      <c r="AEE119" s="11"/>
      <c r="AEF119" s="11"/>
      <c r="AEG119" s="11"/>
      <c r="AEH119" s="11"/>
      <c r="AEI119" s="11"/>
      <c r="AEJ119" s="11"/>
      <c r="AEK119" s="11"/>
      <c r="AEL119" s="11"/>
      <c r="AEM119" s="11"/>
      <c r="AEN119" s="11"/>
      <c r="AEO119" s="11"/>
      <c r="AEP119" s="11"/>
      <c r="AEQ119" s="11"/>
      <c r="AER119" s="11"/>
      <c r="AES119" s="11"/>
      <c r="AET119" s="11"/>
      <c r="AEU119" s="11"/>
      <c r="AEV119" s="11"/>
      <c r="AEW119" s="11"/>
      <c r="AEX119" s="11"/>
      <c r="AEY119" s="11"/>
      <c r="AEZ119" s="11"/>
      <c r="AFA119" s="11"/>
      <c r="AFB119" s="11"/>
      <c r="AFC119" s="11"/>
      <c r="AFD119" s="11"/>
      <c r="AFE119" s="11"/>
      <c r="AFF119" s="11"/>
      <c r="AFG119" s="11"/>
      <c r="AFH119" s="11"/>
      <c r="AFI119" s="11"/>
    </row>
    <row r="120" spans="2:841">
      <c r="B120" s="11"/>
      <c r="C120" s="658" t="str">
        <f>M_A0!C31</f>
        <v>Agroalimentaria</v>
      </c>
      <c r="D120" s="658"/>
      <c r="E120" s="551">
        <f>SUM(M_Datos!N84:N86)</f>
        <v>0</v>
      </c>
      <c r="F120" s="312">
        <f>IF(M_FactoresComplement!G787= "Sí", E120*M_FactoresComplement!D791/(10^3), M_Cálculos!E120*M_Factores!D212/(10^3))</f>
        <v>0</v>
      </c>
      <c r="G120" s="313">
        <f>IF(M_FactoresComplement!G787="Sí", M_Cálculos!E120*M_FactoresComplement!E791/(10^3),M_Cálculos!E120*M_Factores!E212/(10^3))</f>
        <v>0</v>
      </c>
      <c r="H120" s="551">
        <f>SUM(M_Datos!O84:O86)</f>
        <v>0</v>
      </c>
      <c r="I120" s="312">
        <f>IF(M_FactoresComplement!G787= "Sí", H120*M_FactoresComplement!D791/(10^3), M_Cálculos!H120*M_Factores!D212/(10^3))</f>
        <v>0</v>
      </c>
      <c r="J120" s="313">
        <f>IF(M_FactoresComplement!G787="Sí", M_Cálculos!H120*M_FactoresComplement!E791/(10^3),M_Cálculos!H120*M_Factores!E212/(10^3))</f>
        <v>0</v>
      </c>
      <c r="K120" s="551">
        <f>SUM(M_Datos!P84:P86)</f>
        <v>0</v>
      </c>
      <c r="L120" s="312">
        <f>IF(M_FactoresComplement!G787= "Sí", K120*M_FactoresComplement!D791/(10^3), M_Cálculos!K120*M_Factores!D212/(10^3))</f>
        <v>0</v>
      </c>
      <c r="M120" s="313">
        <f>IF(M_FactoresComplement!G787= "Sí", K120*M_FactoresComplement!D791/(10^3), M_Cálculos!K120*M_Factores!E212/(10^3))</f>
        <v>0</v>
      </c>
      <c r="N120" s="551">
        <f>SUM(M_Datos!Q84:Q86)</f>
        <v>0</v>
      </c>
      <c r="O120" s="312">
        <f>IF(M_FactoresComplement!G787= "Sí", N120*M_FactoresComplement!D791/(10^3), M_Cálculos!N120*M_Factores!D212/(10^3))</f>
        <v>0</v>
      </c>
      <c r="P120" s="313">
        <f>IF(M_FactoresComplement!G787= "Sí", N120*M_FactoresComplement!D791/(10^3), M_Cálculos!N120*M_Factores!D212/(10^3))</f>
        <v>0</v>
      </c>
      <c r="Q120" s="551">
        <f>SUM(M_Datos!R84:R86)</f>
        <v>0</v>
      </c>
      <c r="R120" s="312">
        <f>IF(M_FactoresComplement!G787= "Sí", Q120*M_FactoresComplement!D791/(10^3), M_Cálculos!Q120*M_Factores!D212/(10^3))</f>
        <v>0</v>
      </c>
      <c r="S120" s="313">
        <f>IF(M_FactoresComplement!G787= "Sí", Q120*M_FactoresComplement!D791/(10^3), M_Cálculos!Q120*M_Factores!D212/(10^3))</f>
        <v>0</v>
      </c>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c r="IV120" s="11"/>
      <c r="IW120" s="11"/>
      <c r="IX120" s="11"/>
      <c r="IY120" s="11"/>
      <c r="IZ120" s="11"/>
      <c r="JA120" s="11"/>
      <c r="JB120" s="11"/>
      <c r="JC120" s="11"/>
      <c r="JD120" s="11"/>
      <c r="JE120" s="11"/>
      <c r="JF120" s="11"/>
      <c r="JG120" s="11"/>
      <c r="JH120" s="11"/>
      <c r="JI120" s="11"/>
      <c r="JJ120" s="11"/>
      <c r="JK120" s="11"/>
      <c r="JL120" s="11"/>
      <c r="JM120" s="11"/>
      <c r="JN120" s="11"/>
      <c r="JO120" s="11"/>
      <c r="JP120" s="11"/>
      <c r="JQ120" s="11"/>
      <c r="JR120" s="11"/>
      <c r="JS120" s="11"/>
      <c r="JT120" s="11"/>
      <c r="JU120" s="11"/>
      <c r="JV120" s="11"/>
      <c r="JW120" s="11"/>
      <c r="JX120" s="11"/>
      <c r="JY120" s="11"/>
      <c r="JZ120" s="11"/>
      <c r="KA120" s="11"/>
      <c r="KB120" s="11"/>
      <c r="KC120" s="11"/>
      <c r="KD120" s="11"/>
      <c r="KE120" s="11"/>
      <c r="KF120" s="11"/>
      <c r="KG120" s="11"/>
      <c r="KH120" s="11"/>
      <c r="KI120" s="11"/>
      <c r="KJ120" s="11"/>
      <c r="KK120" s="11"/>
      <c r="KL120" s="11"/>
      <c r="KM120" s="11"/>
      <c r="KN120" s="11"/>
      <c r="KO120" s="11"/>
      <c r="KP120" s="11"/>
      <c r="KQ120" s="11"/>
      <c r="KR120" s="11"/>
      <c r="KS120" s="11"/>
      <c r="KT120" s="11"/>
      <c r="KU120" s="11"/>
      <c r="KV120" s="11"/>
      <c r="KW120" s="11"/>
      <c r="KX120" s="11"/>
      <c r="KY120" s="11"/>
      <c r="KZ120" s="11"/>
      <c r="LA120" s="11"/>
      <c r="LB120" s="11"/>
      <c r="LC120" s="11"/>
      <c r="LD120" s="11"/>
      <c r="LE120" s="11"/>
      <c r="LF120" s="11"/>
      <c r="LG120" s="11"/>
      <c r="LH120" s="11"/>
      <c r="LI120" s="11"/>
      <c r="LJ120" s="11"/>
      <c r="LK120" s="11"/>
      <c r="LL120" s="11"/>
      <c r="LM120" s="11"/>
      <c r="LN120" s="11"/>
      <c r="LO120" s="11"/>
      <c r="LP120" s="11"/>
      <c r="LQ120" s="11"/>
      <c r="LR120" s="11"/>
      <c r="LS120" s="11"/>
      <c r="LT120" s="11"/>
      <c r="LU120" s="11"/>
      <c r="LV120" s="11"/>
      <c r="LW120" s="11"/>
      <c r="LX120" s="11"/>
      <c r="LY120" s="11"/>
      <c r="LZ120" s="11"/>
      <c r="MA120" s="11"/>
      <c r="MB120" s="11"/>
      <c r="MC120" s="11"/>
      <c r="MD120" s="11"/>
      <c r="ME120" s="11"/>
      <c r="MF120" s="11"/>
      <c r="MG120" s="11"/>
      <c r="MH120" s="11"/>
      <c r="MI120" s="11"/>
      <c r="MJ120" s="11"/>
      <c r="MK120" s="11"/>
      <c r="ML120" s="11"/>
      <c r="MM120" s="11"/>
      <c r="MN120" s="11"/>
      <c r="MO120" s="11"/>
      <c r="MP120" s="11"/>
      <c r="MQ120" s="11"/>
      <c r="MR120" s="11"/>
      <c r="MS120" s="11"/>
      <c r="MT120" s="11"/>
      <c r="MU120" s="11"/>
      <c r="MV120" s="11"/>
      <c r="MW120" s="11"/>
      <c r="MX120" s="11"/>
      <c r="MY120" s="11"/>
      <c r="MZ120" s="11"/>
      <c r="NA120" s="11"/>
      <c r="NB120" s="11"/>
      <c r="NC120" s="11"/>
      <c r="ND120" s="11"/>
      <c r="NE120" s="11"/>
      <c r="NF120" s="11"/>
      <c r="NG120" s="11"/>
      <c r="NH120" s="11"/>
      <c r="NI120" s="11"/>
      <c r="NJ120" s="11"/>
      <c r="NK120" s="11"/>
      <c r="NL120" s="11"/>
      <c r="NM120" s="11"/>
      <c r="NN120" s="11"/>
      <c r="NO120" s="11"/>
      <c r="NP120" s="11"/>
      <c r="NQ120" s="11"/>
      <c r="NR120" s="11"/>
      <c r="NS120" s="11"/>
      <c r="NT120" s="11"/>
      <c r="NU120" s="11"/>
      <c r="NV120" s="11"/>
      <c r="NW120" s="11"/>
      <c r="NX120" s="11"/>
      <c r="NY120" s="11"/>
      <c r="NZ120" s="11"/>
      <c r="OA120" s="11"/>
      <c r="OB120" s="11"/>
      <c r="OC120" s="11"/>
      <c r="OD120" s="11"/>
      <c r="OE120" s="11"/>
      <c r="OF120" s="11"/>
      <c r="OG120" s="11"/>
      <c r="OH120" s="11"/>
      <c r="OI120" s="11"/>
      <c r="OJ120" s="11"/>
      <c r="OK120" s="11"/>
      <c r="OL120" s="11"/>
      <c r="OM120" s="11"/>
      <c r="ON120" s="11"/>
      <c r="OO120" s="11"/>
      <c r="OP120" s="11"/>
      <c r="OQ120" s="11"/>
      <c r="OR120" s="11"/>
      <c r="OS120" s="11"/>
      <c r="OT120" s="11"/>
      <c r="OU120" s="11"/>
      <c r="OV120" s="11"/>
      <c r="OW120" s="11"/>
      <c r="OX120" s="11"/>
      <c r="OY120" s="11"/>
      <c r="OZ120" s="11"/>
      <c r="PA120" s="11"/>
      <c r="PB120" s="11"/>
      <c r="PC120" s="11"/>
      <c r="PD120" s="11"/>
      <c r="PE120" s="11"/>
      <c r="PF120" s="11"/>
      <c r="PG120" s="11"/>
      <c r="PH120" s="11"/>
      <c r="PI120" s="11"/>
      <c r="PJ120" s="11"/>
      <c r="PK120" s="11"/>
      <c r="PL120" s="11"/>
      <c r="PM120" s="11"/>
      <c r="PN120" s="11"/>
      <c r="PO120" s="11"/>
      <c r="PP120" s="11"/>
      <c r="PQ120" s="11"/>
      <c r="PR120" s="11"/>
      <c r="PS120" s="11"/>
      <c r="PT120" s="11"/>
      <c r="PU120" s="11"/>
      <c r="PV120" s="11"/>
      <c r="PW120" s="11"/>
      <c r="PX120" s="11"/>
      <c r="PY120" s="11"/>
      <c r="PZ120" s="11"/>
      <c r="QA120" s="11"/>
      <c r="QB120" s="11"/>
      <c r="QC120" s="11"/>
      <c r="QD120" s="11"/>
      <c r="QE120" s="11"/>
      <c r="QF120" s="11"/>
      <c r="QG120" s="11"/>
      <c r="QH120" s="11"/>
      <c r="QI120" s="11"/>
      <c r="QJ120" s="11"/>
      <c r="QK120" s="11"/>
      <c r="QL120" s="11"/>
      <c r="QM120" s="11"/>
      <c r="QN120" s="11"/>
      <c r="QO120" s="11"/>
      <c r="QP120" s="11"/>
      <c r="QQ120" s="11"/>
      <c r="QR120" s="11"/>
      <c r="QS120" s="11"/>
      <c r="QT120" s="11"/>
      <c r="QU120" s="11"/>
      <c r="QV120" s="11"/>
      <c r="QW120" s="11"/>
      <c r="QX120" s="11"/>
      <c r="QY120" s="11"/>
      <c r="QZ120" s="11"/>
      <c r="RA120" s="11"/>
      <c r="RB120" s="11"/>
      <c r="RC120" s="11"/>
      <c r="RD120" s="11"/>
      <c r="RE120" s="11"/>
      <c r="RF120" s="11"/>
      <c r="RG120" s="11"/>
      <c r="RH120" s="11"/>
      <c r="RI120" s="11"/>
      <c r="RJ120" s="11"/>
      <c r="RK120" s="11"/>
      <c r="RL120" s="11"/>
      <c r="RM120" s="11"/>
      <c r="RN120" s="11"/>
      <c r="RO120" s="11"/>
      <c r="RP120" s="11"/>
      <c r="RQ120" s="11"/>
      <c r="RR120" s="11"/>
      <c r="RS120" s="11"/>
      <c r="RT120" s="11"/>
      <c r="RU120" s="11"/>
      <c r="RV120" s="11"/>
      <c r="RW120" s="11"/>
      <c r="RX120" s="11"/>
      <c r="RY120" s="11"/>
      <c r="RZ120" s="11"/>
      <c r="SA120" s="11"/>
      <c r="SB120" s="11"/>
      <c r="SC120" s="11"/>
      <c r="SD120" s="11"/>
      <c r="SE120" s="11"/>
      <c r="SF120" s="11"/>
      <c r="SG120" s="11"/>
      <c r="SH120" s="11"/>
      <c r="SI120" s="11"/>
      <c r="SJ120" s="11"/>
      <c r="SK120" s="11"/>
      <c r="SL120" s="11"/>
      <c r="SM120" s="11"/>
      <c r="SN120" s="11"/>
      <c r="SO120" s="11"/>
      <c r="SP120" s="11"/>
      <c r="SQ120" s="11"/>
      <c r="SR120" s="11"/>
      <c r="SS120" s="11"/>
      <c r="ST120" s="11"/>
      <c r="SU120" s="11"/>
      <c r="SV120" s="11"/>
      <c r="SW120" s="11"/>
      <c r="SX120" s="11"/>
      <c r="SY120" s="11"/>
      <c r="SZ120" s="11"/>
      <c r="TA120" s="11"/>
      <c r="TB120" s="11"/>
      <c r="TC120" s="11"/>
      <c r="TD120" s="11"/>
      <c r="TE120" s="11"/>
      <c r="TF120" s="11"/>
      <c r="TG120" s="11"/>
      <c r="TH120" s="11"/>
      <c r="TI120" s="11"/>
      <c r="TJ120" s="11"/>
      <c r="TK120" s="11"/>
      <c r="TL120" s="11"/>
      <c r="TM120" s="11"/>
      <c r="TN120" s="11"/>
      <c r="TO120" s="11"/>
      <c r="TP120" s="11"/>
      <c r="TQ120" s="11"/>
      <c r="TR120" s="11"/>
      <c r="TS120" s="11"/>
      <c r="TT120" s="11"/>
      <c r="TU120" s="11"/>
      <c r="TV120" s="11"/>
      <c r="TW120" s="11"/>
      <c r="TX120" s="11"/>
      <c r="TY120" s="11"/>
      <c r="TZ120" s="11"/>
      <c r="UA120" s="11"/>
      <c r="UB120" s="11"/>
      <c r="UC120" s="11"/>
      <c r="UD120" s="11"/>
      <c r="UE120" s="11"/>
      <c r="UF120" s="11"/>
      <c r="UG120" s="11"/>
      <c r="UH120" s="11"/>
      <c r="UI120" s="11"/>
      <c r="UJ120" s="11"/>
      <c r="UK120" s="11"/>
      <c r="UL120" s="11"/>
      <c r="UM120" s="11"/>
      <c r="UN120" s="11"/>
      <c r="UO120" s="11"/>
      <c r="UP120" s="11"/>
      <c r="UQ120" s="11"/>
      <c r="UR120" s="11"/>
      <c r="US120" s="11"/>
      <c r="UT120" s="11"/>
      <c r="UU120" s="11"/>
      <c r="UV120" s="11"/>
      <c r="UW120" s="11"/>
      <c r="UX120" s="11"/>
      <c r="UY120" s="11"/>
      <c r="UZ120" s="11"/>
      <c r="VA120" s="11"/>
      <c r="VB120" s="11"/>
      <c r="VC120" s="11"/>
      <c r="VD120" s="11"/>
      <c r="VE120" s="11"/>
      <c r="VF120" s="11"/>
      <c r="VG120" s="11"/>
      <c r="VH120" s="11"/>
      <c r="VI120" s="11"/>
      <c r="VJ120" s="11"/>
      <c r="VK120" s="11"/>
      <c r="VL120" s="11"/>
      <c r="VM120" s="11"/>
      <c r="VN120" s="11"/>
      <c r="VO120" s="11"/>
      <c r="VP120" s="11"/>
      <c r="VQ120" s="11"/>
      <c r="VR120" s="11"/>
      <c r="VS120" s="11"/>
      <c r="VT120" s="11"/>
      <c r="VU120" s="11"/>
      <c r="VV120" s="11"/>
      <c r="VW120" s="11"/>
      <c r="VX120" s="11"/>
      <c r="VY120" s="11"/>
      <c r="VZ120" s="11"/>
      <c r="WA120" s="11"/>
      <c r="WB120" s="11"/>
      <c r="WC120" s="11"/>
      <c r="WD120" s="11"/>
      <c r="WE120" s="11"/>
      <c r="WF120" s="11"/>
      <c r="WG120" s="11"/>
      <c r="WH120" s="11"/>
      <c r="WI120" s="11"/>
      <c r="WJ120" s="11"/>
      <c r="WK120" s="11"/>
      <c r="WL120" s="11"/>
      <c r="WM120" s="11"/>
      <c r="WN120" s="11"/>
      <c r="WO120" s="11"/>
      <c r="WP120" s="11"/>
      <c r="WQ120" s="11"/>
      <c r="WR120" s="11"/>
      <c r="WS120" s="11"/>
      <c r="WT120" s="11"/>
      <c r="WU120" s="11"/>
      <c r="WV120" s="11"/>
      <c r="WW120" s="11"/>
      <c r="WX120" s="11"/>
      <c r="WY120" s="11"/>
      <c r="WZ120" s="11"/>
      <c r="XA120" s="11"/>
      <c r="XB120" s="11"/>
      <c r="XC120" s="11"/>
      <c r="XD120" s="11"/>
      <c r="XE120" s="11"/>
      <c r="XF120" s="11"/>
      <c r="XG120" s="11"/>
      <c r="XH120" s="11"/>
      <c r="XI120" s="11"/>
      <c r="XJ120" s="11"/>
      <c r="XK120" s="11"/>
      <c r="XL120" s="11"/>
      <c r="XM120" s="11"/>
      <c r="XN120" s="11"/>
      <c r="XO120" s="11"/>
      <c r="XP120" s="11"/>
      <c r="XQ120" s="11"/>
      <c r="XR120" s="11"/>
      <c r="XS120" s="11"/>
      <c r="XT120" s="11"/>
      <c r="XU120" s="11"/>
      <c r="XV120" s="11"/>
      <c r="XW120" s="11"/>
      <c r="XX120" s="11"/>
      <c r="XY120" s="11"/>
      <c r="XZ120" s="11"/>
      <c r="YA120" s="11"/>
      <c r="YB120" s="11"/>
      <c r="YC120" s="11"/>
      <c r="YD120" s="11"/>
      <c r="YE120" s="11"/>
      <c r="YF120" s="11"/>
      <c r="YG120" s="11"/>
      <c r="YH120" s="11"/>
      <c r="YI120" s="11"/>
      <c r="YJ120" s="11"/>
      <c r="YK120" s="11"/>
      <c r="YL120" s="11"/>
      <c r="YM120" s="11"/>
      <c r="YN120" s="11"/>
      <c r="YO120" s="11"/>
      <c r="YP120" s="11"/>
      <c r="YQ120" s="11"/>
      <c r="YR120" s="11"/>
      <c r="YS120" s="11"/>
      <c r="YT120" s="11"/>
      <c r="YU120" s="11"/>
      <c r="YV120" s="11"/>
      <c r="YW120" s="11"/>
      <c r="YX120" s="11"/>
      <c r="YY120" s="11"/>
      <c r="YZ120" s="11"/>
      <c r="ZA120" s="11"/>
      <c r="ZB120" s="11"/>
      <c r="ZC120" s="11"/>
      <c r="ZD120" s="11"/>
      <c r="ZE120" s="11"/>
      <c r="ZF120" s="11"/>
      <c r="ZG120" s="11"/>
      <c r="ZH120" s="11"/>
      <c r="ZI120" s="11"/>
      <c r="ZJ120" s="11"/>
      <c r="ZK120" s="11"/>
      <c r="ZL120" s="11"/>
      <c r="ZM120" s="11"/>
      <c r="ZN120" s="11"/>
      <c r="ZO120" s="11"/>
      <c r="ZP120" s="11"/>
      <c r="ZQ120" s="11"/>
      <c r="ZR120" s="11"/>
      <c r="ZS120" s="11"/>
      <c r="ZT120" s="11"/>
      <c r="ZU120" s="11"/>
      <c r="ZV120" s="11"/>
      <c r="ZW120" s="11"/>
      <c r="ZX120" s="11"/>
      <c r="ZY120" s="11"/>
      <c r="ZZ120" s="11"/>
      <c r="AAA120" s="11"/>
      <c r="AAB120" s="11"/>
      <c r="AAC120" s="11"/>
      <c r="AAD120" s="11"/>
      <c r="AAE120" s="11"/>
      <c r="AAF120" s="11"/>
      <c r="AAG120" s="11"/>
      <c r="AAH120" s="11"/>
      <c r="AAI120" s="11"/>
      <c r="AAJ120" s="11"/>
      <c r="AAK120" s="11"/>
      <c r="AAL120" s="11"/>
      <c r="AAM120" s="11"/>
      <c r="AAN120" s="11"/>
      <c r="AAO120" s="11"/>
      <c r="AAP120" s="11"/>
      <c r="AAQ120" s="11"/>
      <c r="AAR120" s="11"/>
      <c r="AAS120" s="11"/>
      <c r="AAT120" s="11"/>
      <c r="AAU120" s="11"/>
      <c r="AAV120" s="11"/>
      <c r="AAW120" s="11"/>
      <c r="AAX120" s="11"/>
      <c r="AAY120" s="11"/>
      <c r="AAZ120" s="11"/>
      <c r="ABA120" s="11"/>
      <c r="ABB120" s="11"/>
      <c r="ABC120" s="11"/>
      <c r="ABD120" s="11"/>
      <c r="ABE120" s="11"/>
      <c r="ABF120" s="11"/>
      <c r="ABG120" s="11"/>
      <c r="ABH120" s="11"/>
      <c r="ABI120" s="11"/>
      <c r="ABJ120" s="11"/>
      <c r="ABK120" s="11"/>
      <c r="ABL120" s="11"/>
      <c r="ABM120" s="11"/>
      <c r="ABN120" s="11"/>
      <c r="ABO120" s="11"/>
      <c r="ABP120" s="11"/>
      <c r="ABQ120" s="11"/>
      <c r="ABR120" s="11"/>
      <c r="ABS120" s="11"/>
      <c r="ABT120" s="11"/>
      <c r="ABU120" s="11"/>
      <c r="ABV120" s="11"/>
      <c r="ABW120" s="11"/>
      <c r="ABX120" s="11"/>
      <c r="ABY120" s="11"/>
      <c r="ABZ120" s="11"/>
      <c r="ACA120" s="11"/>
      <c r="ACB120" s="11"/>
      <c r="ACC120" s="11"/>
      <c r="ACD120" s="11"/>
      <c r="ACE120" s="11"/>
      <c r="ACF120" s="11"/>
      <c r="ACG120" s="11"/>
      <c r="ACH120" s="11"/>
      <c r="ACI120" s="11"/>
      <c r="ACJ120" s="11"/>
      <c r="ACK120" s="11"/>
      <c r="ACL120" s="11"/>
      <c r="ACM120" s="11"/>
      <c r="ACN120" s="11"/>
      <c r="ACO120" s="11"/>
      <c r="ACP120" s="11"/>
      <c r="ACQ120" s="11"/>
      <c r="ACR120" s="11"/>
      <c r="ACS120" s="11"/>
      <c r="ACT120" s="11"/>
      <c r="ACU120" s="11"/>
      <c r="ACV120" s="11"/>
      <c r="ACW120" s="11"/>
      <c r="ACX120" s="11"/>
      <c r="ACY120" s="11"/>
      <c r="ACZ120" s="11"/>
      <c r="ADA120" s="11"/>
      <c r="ADB120" s="11"/>
      <c r="ADC120" s="11"/>
      <c r="ADD120" s="11"/>
      <c r="ADE120" s="11"/>
      <c r="ADF120" s="11"/>
      <c r="ADG120" s="11"/>
      <c r="ADH120" s="11"/>
      <c r="ADI120" s="11"/>
      <c r="ADJ120" s="11"/>
      <c r="ADK120" s="11"/>
      <c r="ADL120" s="11"/>
      <c r="ADM120" s="11"/>
      <c r="ADN120" s="11"/>
      <c r="ADO120" s="11"/>
      <c r="ADP120" s="11"/>
      <c r="ADQ120" s="11"/>
      <c r="ADR120" s="11"/>
      <c r="ADS120" s="11"/>
      <c r="ADT120" s="11"/>
      <c r="ADU120" s="11"/>
      <c r="ADV120" s="11"/>
      <c r="ADW120" s="11"/>
      <c r="ADX120" s="11"/>
      <c r="ADY120" s="11"/>
      <c r="ADZ120" s="11"/>
      <c r="AEA120" s="11"/>
      <c r="AEB120" s="11"/>
      <c r="AEC120" s="11"/>
      <c r="AED120" s="11"/>
      <c r="AEE120" s="11"/>
      <c r="AEF120" s="11"/>
      <c r="AEG120" s="11"/>
      <c r="AEH120" s="11"/>
      <c r="AEI120" s="11"/>
      <c r="AEJ120" s="11"/>
      <c r="AEK120" s="11"/>
      <c r="AEL120" s="11"/>
      <c r="AEM120" s="11"/>
      <c r="AEN120" s="11"/>
      <c r="AEO120" s="11"/>
      <c r="AEP120" s="11"/>
      <c r="AEQ120" s="11"/>
      <c r="AER120" s="11"/>
      <c r="AES120" s="11"/>
      <c r="AET120" s="11"/>
      <c r="AEU120" s="11"/>
      <c r="AEV120" s="11"/>
      <c r="AEW120" s="11"/>
      <c r="AEX120" s="11"/>
      <c r="AEY120" s="11"/>
      <c r="AEZ120" s="11"/>
      <c r="AFA120" s="11"/>
      <c r="AFB120" s="11"/>
      <c r="AFC120" s="11"/>
      <c r="AFD120" s="11"/>
      <c r="AFE120" s="11"/>
      <c r="AFF120" s="11"/>
      <c r="AFG120" s="11"/>
      <c r="AFH120" s="11"/>
      <c r="AFI120" s="11"/>
    </row>
    <row r="121" spans="2:841">
      <c r="B121" s="11"/>
      <c r="C121" s="658" t="str">
        <f>M_A0!C32</f>
        <v>Logística</v>
      </c>
      <c r="D121" s="658"/>
      <c r="E121" s="551">
        <f>SUM(M_Datos!N87:N89)</f>
        <v>0</v>
      </c>
      <c r="F121" s="312">
        <f>IF(M_FactoresComplement!G788= "Sí", E121*M_FactoresComplement!D792/(10^3), M_Cálculos!E121*M_Factores!D212/(10^3))</f>
        <v>0</v>
      </c>
      <c r="G121" s="313">
        <f>IF(M_FactoresComplement!G788="Sí", M_Cálculos!E121*M_FactoresComplement!E792/(10^3),M_Cálculos!E121*M_Factores!E212/(10^3))</f>
        <v>0</v>
      </c>
      <c r="H121" s="551">
        <f>SUM(M_Datos!O87:O89)</f>
        <v>0</v>
      </c>
      <c r="I121" s="312">
        <f>IF(M_FactoresComplement!G788= "Sí", H121*M_FactoresComplement!D792/(10^3), M_Cálculos!H121*M_Factores!D212/(10^3))</f>
        <v>0</v>
      </c>
      <c r="J121" s="313">
        <f>IF(M_FactoresComplement!G788="Sí", M_Cálculos!H121*M_FactoresComplement!E792/(10^3),M_Cálculos!H121*M_Factores!E212/(10^3))</f>
        <v>0</v>
      </c>
      <c r="K121" s="551">
        <f>SUM(M_Datos!P87:P89)</f>
        <v>0</v>
      </c>
      <c r="L121" s="312">
        <f>IF(M_FactoresComplement!G788= "Sí", K121*M_FactoresComplement!D792/(10^3), M_Cálculos!K121*M_Factores!D212/(10^3))</f>
        <v>0</v>
      </c>
      <c r="M121" s="313">
        <f>IF(M_FactoresComplement!G788= "Sí", K121*M_FactoresComplement!D792/(10^3), M_Cálculos!K121*M_Factores!E212/(10^3))</f>
        <v>0</v>
      </c>
      <c r="N121" s="551">
        <f>SUM(M_Datos!Q87:Q89)</f>
        <v>0</v>
      </c>
      <c r="O121" s="312">
        <f>IF(M_FactoresComplement!G788= "Sí", N121*M_FactoresComplement!D792/(10^3), M_Cálculos!N121*M_Factores!D212/(10^3))</f>
        <v>0</v>
      </c>
      <c r="P121" s="313">
        <f>IF(M_FactoresComplement!G788= "Sí", N121*M_FactoresComplement!D792/(10^3), M_Cálculos!N121*M_Factores!D212/(10^3))</f>
        <v>0</v>
      </c>
      <c r="Q121" s="551">
        <f>SUM(M_Datos!R87:R89)</f>
        <v>0</v>
      </c>
      <c r="R121" s="312">
        <f>IF(M_FactoresComplement!G788= "Sí", Q121*M_FactoresComplement!D792/(10^3), M_Cálculos!Q121*M_Factores!D212/(10^3))</f>
        <v>0</v>
      </c>
      <c r="S121" s="313">
        <f>IF(M_FactoresComplement!G788= "Sí", Q121*M_FactoresComplement!D792/(10^3), M_Cálculos!Q121*M_Factores!D212/(10^3))</f>
        <v>0</v>
      </c>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c r="IW121" s="11"/>
      <c r="IX121" s="11"/>
      <c r="IY121" s="11"/>
      <c r="IZ121" s="11"/>
      <c r="JA121" s="11"/>
      <c r="JB121" s="11"/>
      <c r="JC121" s="11"/>
      <c r="JD121" s="11"/>
      <c r="JE121" s="11"/>
      <c r="JF121" s="11"/>
      <c r="JG121" s="11"/>
      <c r="JH121" s="11"/>
      <c r="JI121" s="11"/>
      <c r="JJ121" s="11"/>
      <c r="JK121" s="11"/>
      <c r="JL121" s="11"/>
      <c r="JM121" s="11"/>
      <c r="JN121" s="11"/>
      <c r="JO121" s="11"/>
      <c r="JP121" s="11"/>
      <c r="JQ121" s="11"/>
      <c r="JR121" s="11"/>
      <c r="JS121" s="11"/>
      <c r="JT121" s="11"/>
      <c r="JU121" s="11"/>
      <c r="JV121" s="11"/>
      <c r="JW121" s="11"/>
      <c r="JX121" s="11"/>
      <c r="JY121" s="11"/>
      <c r="JZ121" s="11"/>
      <c r="KA121" s="11"/>
      <c r="KB121" s="11"/>
      <c r="KC121" s="11"/>
      <c r="KD121" s="11"/>
      <c r="KE121" s="11"/>
      <c r="KF121" s="11"/>
      <c r="KG121" s="11"/>
      <c r="KH121" s="11"/>
      <c r="KI121" s="11"/>
      <c r="KJ121" s="11"/>
      <c r="KK121" s="11"/>
      <c r="KL121" s="11"/>
      <c r="KM121" s="11"/>
      <c r="KN121" s="11"/>
      <c r="KO121" s="11"/>
      <c r="KP121" s="11"/>
      <c r="KQ121" s="11"/>
      <c r="KR121" s="11"/>
      <c r="KS121" s="11"/>
      <c r="KT121" s="11"/>
      <c r="KU121" s="11"/>
      <c r="KV121" s="11"/>
      <c r="KW121" s="11"/>
      <c r="KX121" s="11"/>
      <c r="KY121" s="11"/>
      <c r="KZ121" s="11"/>
      <c r="LA121" s="11"/>
      <c r="LB121" s="11"/>
      <c r="LC121" s="11"/>
      <c r="LD121" s="11"/>
      <c r="LE121" s="11"/>
      <c r="LF121" s="11"/>
      <c r="LG121" s="11"/>
      <c r="LH121" s="11"/>
      <c r="LI121" s="11"/>
      <c r="LJ121" s="11"/>
      <c r="LK121" s="11"/>
      <c r="LL121" s="11"/>
      <c r="LM121" s="11"/>
      <c r="LN121" s="11"/>
      <c r="LO121" s="11"/>
      <c r="LP121" s="11"/>
      <c r="LQ121" s="11"/>
      <c r="LR121" s="11"/>
      <c r="LS121" s="11"/>
      <c r="LT121" s="11"/>
      <c r="LU121" s="11"/>
      <c r="LV121" s="11"/>
      <c r="LW121" s="11"/>
      <c r="LX121" s="11"/>
      <c r="LY121" s="11"/>
      <c r="LZ121" s="11"/>
      <c r="MA121" s="11"/>
      <c r="MB121" s="11"/>
      <c r="MC121" s="11"/>
      <c r="MD121" s="11"/>
      <c r="ME121" s="11"/>
      <c r="MF121" s="11"/>
      <c r="MG121" s="11"/>
      <c r="MH121" s="11"/>
      <c r="MI121" s="11"/>
      <c r="MJ121" s="11"/>
      <c r="MK121" s="11"/>
      <c r="ML121" s="11"/>
      <c r="MM121" s="11"/>
      <c r="MN121" s="11"/>
      <c r="MO121" s="11"/>
      <c r="MP121" s="11"/>
      <c r="MQ121" s="11"/>
      <c r="MR121" s="11"/>
      <c r="MS121" s="11"/>
      <c r="MT121" s="11"/>
      <c r="MU121" s="11"/>
      <c r="MV121" s="11"/>
      <c r="MW121" s="11"/>
      <c r="MX121" s="11"/>
      <c r="MY121" s="11"/>
      <c r="MZ121" s="11"/>
      <c r="NA121" s="11"/>
      <c r="NB121" s="11"/>
      <c r="NC121" s="11"/>
      <c r="ND121" s="11"/>
      <c r="NE121" s="11"/>
      <c r="NF121" s="11"/>
      <c r="NG121" s="11"/>
      <c r="NH121" s="11"/>
      <c r="NI121" s="11"/>
      <c r="NJ121" s="11"/>
      <c r="NK121" s="11"/>
      <c r="NL121" s="11"/>
      <c r="NM121" s="11"/>
      <c r="NN121" s="11"/>
      <c r="NO121" s="11"/>
      <c r="NP121" s="11"/>
      <c r="NQ121" s="11"/>
      <c r="NR121" s="11"/>
      <c r="NS121" s="11"/>
      <c r="NT121" s="11"/>
      <c r="NU121" s="11"/>
      <c r="NV121" s="11"/>
      <c r="NW121" s="11"/>
      <c r="NX121" s="11"/>
      <c r="NY121" s="11"/>
      <c r="NZ121" s="11"/>
      <c r="OA121" s="11"/>
      <c r="OB121" s="11"/>
      <c r="OC121" s="11"/>
      <c r="OD121" s="11"/>
      <c r="OE121" s="11"/>
      <c r="OF121" s="11"/>
      <c r="OG121" s="11"/>
      <c r="OH121" s="11"/>
      <c r="OI121" s="11"/>
      <c r="OJ121" s="11"/>
      <c r="OK121" s="11"/>
      <c r="OL121" s="11"/>
      <c r="OM121" s="11"/>
      <c r="ON121" s="11"/>
      <c r="OO121" s="11"/>
      <c r="OP121" s="11"/>
      <c r="OQ121" s="11"/>
      <c r="OR121" s="11"/>
      <c r="OS121" s="11"/>
      <c r="OT121" s="11"/>
      <c r="OU121" s="11"/>
      <c r="OV121" s="11"/>
      <c r="OW121" s="11"/>
      <c r="OX121" s="11"/>
      <c r="OY121" s="11"/>
      <c r="OZ121" s="11"/>
      <c r="PA121" s="11"/>
      <c r="PB121" s="11"/>
      <c r="PC121" s="11"/>
      <c r="PD121" s="11"/>
      <c r="PE121" s="11"/>
      <c r="PF121" s="11"/>
      <c r="PG121" s="11"/>
      <c r="PH121" s="11"/>
      <c r="PI121" s="11"/>
      <c r="PJ121" s="11"/>
      <c r="PK121" s="11"/>
      <c r="PL121" s="11"/>
      <c r="PM121" s="11"/>
      <c r="PN121" s="11"/>
      <c r="PO121" s="11"/>
      <c r="PP121" s="11"/>
      <c r="PQ121" s="11"/>
      <c r="PR121" s="11"/>
      <c r="PS121" s="11"/>
      <c r="PT121" s="11"/>
      <c r="PU121" s="11"/>
      <c r="PV121" s="11"/>
      <c r="PW121" s="11"/>
      <c r="PX121" s="11"/>
      <c r="PY121" s="11"/>
      <c r="PZ121" s="11"/>
      <c r="QA121" s="11"/>
      <c r="QB121" s="11"/>
      <c r="QC121" s="11"/>
      <c r="QD121" s="11"/>
      <c r="QE121" s="11"/>
      <c r="QF121" s="11"/>
      <c r="QG121" s="11"/>
      <c r="QH121" s="11"/>
      <c r="QI121" s="11"/>
      <c r="QJ121" s="11"/>
      <c r="QK121" s="11"/>
      <c r="QL121" s="11"/>
      <c r="QM121" s="11"/>
      <c r="QN121" s="11"/>
      <c r="QO121" s="11"/>
      <c r="QP121" s="11"/>
      <c r="QQ121" s="11"/>
      <c r="QR121" s="11"/>
      <c r="QS121" s="11"/>
      <c r="QT121" s="11"/>
      <c r="QU121" s="11"/>
      <c r="QV121" s="11"/>
      <c r="QW121" s="11"/>
      <c r="QX121" s="11"/>
      <c r="QY121" s="11"/>
      <c r="QZ121" s="11"/>
      <c r="RA121" s="11"/>
      <c r="RB121" s="11"/>
      <c r="RC121" s="11"/>
      <c r="RD121" s="11"/>
      <c r="RE121" s="11"/>
      <c r="RF121" s="11"/>
      <c r="RG121" s="11"/>
      <c r="RH121" s="11"/>
      <c r="RI121" s="11"/>
      <c r="RJ121" s="11"/>
      <c r="RK121" s="11"/>
      <c r="RL121" s="11"/>
      <c r="RM121" s="11"/>
      <c r="RN121" s="11"/>
      <c r="RO121" s="11"/>
      <c r="RP121" s="11"/>
      <c r="RQ121" s="11"/>
      <c r="RR121" s="11"/>
      <c r="RS121" s="11"/>
      <c r="RT121" s="11"/>
      <c r="RU121" s="11"/>
      <c r="RV121" s="11"/>
      <c r="RW121" s="11"/>
      <c r="RX121" s="11"/>
      <c r="RY121" s="11"/>
      <c r="RZ121" s="11"/>
      <c r="SA121" s="11"/>
      <c r="SB121" s="11"/>
      <c r="SC121" s="11"/>
      <c r="SD121" s="11"/>
      <c r="SE121" s="11"/>
      <c r="SF121" s="11"/>
      <c r="SG121" s="11"/>
      <c r="SH121" s="11"/>
      <c r="SI121" s="11"/>
      <c r="SJ121" s="11"/>
      <c r="SK121" s="11"/>
      <c r="SL121" s="11"/>
      <c r="SM121" s="11"/>
      <c r="SN121" s="11"/>
      <c r="SO121" s="11"/>
      <c r="SP121" s="11"/>
      <c r="SQ121" s="11"/>
      <c r="SR121" s="11"/>
      <c r="SS121" s="11"/>
      <c r="ST121" s="11"/>
      <c r="SU121" s="11"/>
      <c r="SV121" s="11"/>
      <c r="SW121" s="11"/>
      <c r="SX121" s="11"/>
      <c r="SY121" s="11"/>
      <c r="SZ121" s="11"/>
      <c r="TA121" s="11"/>
      <c r="TB121" s="11"/>
      <c r="TC121" s="11"/>
      <c r="TD121" s="11"/>
      <c r="TE121" s="11"/>
      <c r="TF121" s="11"/>
      <c r="TG121" s="11"/>
      <c r="TH121" s="11"/>
      <c r="TI121" s="11"/>
      <c r="TJ121" s="11"/>
      <c r="TK121" s="11"/>
      <c r="TL121" s="11"/>
      <c r="TM121" s="11"/>
      <c r="TN121" s="11"/>
      <c r="TO121" s="11"/>
      <c r="TP121" s="11"/>
      <c r="TQ121" s="11"/>
      <c r="TR121" s="11"/>
      <c r="TS121" s="11"/>
      <c r="TT121" s="11"/>
      <c r="TU121" s="11"/>
      <c r="TV121" s="11"/>
      <c r="TW121" s="11"/>
      <c r="TX121" s="11"/>
      <c r="TY121" s="11"/>
      <c r="TZ121" s="11"/>
      <c r="UA121" s="11"/>
      <c r="UB121" s="11"/>
      <c r="UC121" s="11"/>
      <c r="UD121" s="11"/>
      <c r="UE121" s="11"/>
      <c r="UF121" s="11"/>
      <c r="UG121" s="11"/>
      <c r="UH121" s="11"/>
      <c r="UI121" s="11"/>
      <c r="UJ121" s="11"/>
      <c r="UK121" s="11"/>
      <c r="UL121" s="11"/>
      <c r="UM121" s="11"/>
      <c r="UN121" s="11"/>
      <c r="UO121" s="11"/>
      <c r="UP121" s="11"/>
      <c r="UQ121" s="11"/>
      <c r="UR121" s="11"/>
      <c r="US121" s="11"/>
      <c r="UT121" s="11"/>
      <c r="UU121" s="11"/>
      <c r="UV121" s="11"/>
      <c r="UW121" s="11"/>
      <c r="UX121" s="11"/>
      <c r="UY121" s="11"/>
      <c r="UZ121" s="11"/>
      <c r="VA121" s="11"/>
      <c r="VB121" s="11"/>
      <c r="VC121" s="11"/>
      <c r="VD121" s="11"/>
      <c r="VE121" s="11"/>
      <c r="VF121" s="11"/>
      <c r="VG121" s="11"/>
      <c r="VH121" s="11"/>
      <c r="VI121" s="11"/>
      <c r="VJ121" s="11"/>
      <c r="VK121" s="11"/>
      <c r="VL121" s="11"/>
      <c r="VM121" s="11"/>
      <c r="VN121" s="11"/>
      <c r="VO121" s="11"/>
      <c r="VP121" s="11"/>
      <c r="VQ121" s="11"/>
      <c r="VR121" s="11"/>
      <c r="VS121" s="11"/>
      <c r="VT121" s="11"/>
      <c r="VU121" s="11"/>
      <c r="VV121" s="11"/>
      <c r="VW121" s="11"/>
      <c r="VX121" s="11"/>
      <c r="VY121" s="11"/>
      <c r="VZ121" s="11"/>
      <c r="WA121" s="11"/>
      <c r="WB121" s="11"/>
      <c r="WC121" s="11"/>
      <c r="WD121" s="11"/>
      <c r="WE121" s="11"/>
      <c r="WF121" s="11"/>
      <c r="WG121" s="11"/>
      <c r="WH121" s="11"/>
      <c r="WI121" s="11"/>
      <c r="WJ121" s="11"/>
      <c r="WK121" s="11"/>
      <c r="WL121" s="11"/>
      <c r="WM121" s="11"/>
      <c r="WN121" s="11"/>
      <c r="WO121" s="11"/>
      <c r="WP121" s="11"/>
      <c r="WQ121" s="11"/>
      <c r="WR121" s="11"/>
      <c r="WS121" s="11"/>
      <c r="WT121" s="11"/>
      <c r="WU121" s="11"/>
      <c r="WV121" s="11"/>
      <c r="WW121" s="11"/>
      <c r="WX121" s="11"/>
      <c r="WY121" s="11"/>
      <c r="WZ121" s="11"/>
      <c r="XA121" s="11"/>
      <c r="XB121" s="11"/>
      <c r="XC121" s="11"/>
      <c r="XD121" s="11"/>
      <c r="XE121" s="11"/>
      <c r="XF121" s="11"/>
      <c r="XG121" s="11"/>
      <c r="XH121" s="11"/>
      <c r="XI121" s="11"/>
      <c r="XJ121" s="11"/>
      <c r="XK121" s="11"/>
      <c r="XL121" s="11"/>
      <c r="XM121" s="11"/>
      <c r="XN121" s="11"/>
      <c r="XO121" s="11"/>
      <c r="XP121" s="11"/>
      <c r="XQ121" s="11"/>
      <c r="XR121" s="11"/>
      <c r="XS121" s="11"/>
      <c r="XT121" s="11"/>
      <c r="XU121" s="11"/>
      <c r="XV121" s="11"/>
      <c r="XW121" s="11"/>
      <c r="XX121" s="11"/>
      <c r="XY121" s="11"/>
      <c r="XZ121" s="11"/>
      <c r="YA121" s="11"/>
      <c r="YB121" s="11"/>
      <c r="YC121" s="11"/>
      <c r="YD121" s="11"/>
      <c r="YE121" s="11"/>
      <c r="YF121" s="11"/>
      <c r="YG121" s="11"/>
      <c r="YH121" s="11"/>
      <c r="YI121" s="11"/>
      <c r="YJ121" s="11"/>
      <c r="YK121" s="11"/>
      <c r="YL121" s="11"/>
      <c r="YM121" s="11"/>
      <c r="YN121" s="11"/>
      <c r="YO121" s="11"/>
      <c r="YP121" s="11"/>
      <c r="YQ121" s="11"/>
      <c r="YR121" s="11"/>
      <c r="YS121" s="11"/>
      <c r="YT121" s="11"/>
      <c r="YU121" s="11"/>
      <c r="YV121" s="11"/>
      <c r="YW121" s="11"/>
      <c r="YX121" s="11"/>
      <c r="YY121" s="11"/>
      <c r="YZ121" s="11"/>
      <c r="ZA121" s="11"/>
      <c r="ZB121" s="11"/>
      <c r="ZC121" s="11"/>
      <c r="ZD121" s="11"/>
      <c r="ZE121" s="11"/>
      <c r="ZF121" s="11"/>
      <c r="ZG121" s="11"/>
      <c r="ZH121" s="11"/>
      <c r="ZI121" s="11"/>
      <c r="ZJ121" s="11"/>
      <c r="ZK121" s="11"/>
      <c r="ZL121" s="11"/>
      <c r="ZM121" s="11"/>
      <c r="ZN121" s="11"/>
      <c r="ZO121" s="11"/>
      <c r="ZP121" s="11"/>
      <c r="ZQ121" s="11"/>
      <c r="ZR121" s="11"/>
      <c r="ZS121" s="11"/>
      <c r="ZT121" s="11"/>
      <c r="ZU121" s="11"/>
      <c r="ZV121" s="11"/>
      <c r="ZW121" s="11"/>
      <c r="ZX121" s="11"/>
      <c r="ZY121" s="11"/>
      <c r="ZZ121" s="11"/>
      <c r="AAA121" s="11"/>
      <c r="AAB121" s="11"/>
      <c r="AAC121" s="11"/>
      <c r="AAD121" s="11"/>
      <c r="AAE121" s="11"/>
      <c r="AAF121" s="11"/>
      <c r="AAG121" s="11"/>
      <c r="AAH121" s="11"/>
      <c r="AAI121" s="11"/>
      <c r="AAJ121" s="11"/>
      <c r="AAK121" s="11"/>
      <c r="AAL121" s="11"/>
      <c r="AAM121" s="11"/>
      <c r="AAN121" s="11"/>
      <c r="AAO121" s="11"/>
      <c r="AAP121" s="11"/>
      <c r="AAQ121" s="11"/>
      <c r="AAR121" s="11"/>
      <c r="AAS121" s="11"/>
      <c r="AAT121" s="11"/>
      <c r="AAU121" s="11"/>
      <c r="AAV121" s="11"/>
      <c r="AAW121" s="11"/>
      <c r="AAX121" s="11"/>
      <c r="AAY121" s="11"/>
      <c r="AAZ121" s="11"/>
      <c r="ABA121" s="11"/>
      <c r="ABB121" s="11"/>
      <c r="ABC121" s="11"/>
      <c r="ABD121" s="11"/>
      <c r="ABE121" s="11"/>
      <c r="ABF121" s="11"/>
      <c r="ABG121" s="11"/>
      <c r="ABH121" s="11"/>
      <c r="ABI121" s="11"/>
      <c r="ABJ121" s="11"/>
      <c r="ABK121" s="11"/>
      <c r="ABL121" s="11"/>
      <c r="ABM121" s="11"/>
      <c r="ABN121" s="11"/>
      <c r="ABO121" s="11"/>
      <c r="ABP121" s="11"/>
      <c r="ABQ121" s="11"/>
      <c r="ABR121" s="11"/>
      <c r="ABS121" s="11"/>
      <c r="ABT121" s="11"/>
      <c r="ABU121" s="11"/>
      <c r="ABV121" s="11"/>
      <c r="ABW121" s="11"/>
      <c r="ABX121" s="11"/>
      <c r="ABY121" s="11"/>
      <c r="ABZ121" s="11"/>
      <c r="ACA121" s="11"/>
      <c r="ACB121" s="11"/>
      <c r="ACC121" s="11"/>
      <c r="ACD121" s="11"/>
      <c r="ACE121" s="11"/>
      <c r="ACF121" s="11"/>
      <c r="ACG121" s="11"/>
      <c r="ACH121" s="11"/>
      <c r="ACI121" s="11"/>
      <c r="ACJ121" s="11"/>
      <c r="ACK121" s="11"/>
      <c r="ACL121" s="11"/>
      <c r="ACM121" s="11"/>
      <c r="ACN121" s="11"/>
      <c r="ACO121" s="11"/>
      <c r="ACP121" s="11"/>
      <c r="ACQ121" s="11"/>
      <c r="ACR121" s="11"/>
      <c r="ACS121" s="11"/>
      <c r="ACT121" s="11"/>
      <c r="ACU121" s="11"/>
      <c r="ACV121" s="11"/>
      <c r="ACW121" s="11"/>
      <c r="ACX121" s="11"/>
      <c r="ACY121" s="11"/>
      <c r="ACZ121" s="11"/>
      <c r="ADA121" s="11"/>
      <c r="ADB121" s="11"/>
      <c r="ADC121" s="11"/>
      <c r="ADD121" s="11"/>
      <c r="ADE121" s="11"/>
      <c r="ADF121" s="11"/>
      <c r="ADG121" s="11"/>
      <c r="ADH121" s="11"/>
      <c r="ADI121" s="11"/>
      <c r="ADJ121" s="11"/>
      <c r="ADK121" s="11"/>
      <c r="ADL121" s="11"/>
      <c r="ADM121" s="11"/>
      <c r="ADN121" s="11"/>
      <c r="ADO121" s="11"/>
      <c r="ADP121" s="11"/>
      <c r="ADQ121" s="11"/>
      <c r="ADR121" s="11"/>
      <c r="ADS121" s="11"/>
      <c r="ADT121" s="11"/>
      <c r="ADU121" s="11"/>
      <c r="ADV121" s="11"/>
      <c r="ADW121" s="11"/>
      <c r="ADX121" s="11"/>
      <c r="ADY121" s="11"/>
      <c r="ADZ121" s="11"/>
      <c r="AEA121" s="11"/>
      <c r="AEB121" s="11"/>
      <c r="AEC121" s="11"/>
      <c r="AED121" s="11"/>
      <c r="AEE121" s="11"/>
      <c r="AEF121" s="11"/>
      <c r="AEG121" s="11"/>
      <c r="AEH121" s="11"/>
      <c r="AEI121" s="11"/>
      <c r="AEJ121" s="11"/>
      <c r="AEK121" s="11"/>
      <c r="AEL121" s="11"/>
      <c r="AEM121" s="11"/>
      <c r="AEN121" s="11"/>
      <c r="AEO121" s="11"/>
      <c r="AEP121" s="11"/>
      <c r="AEQ121" s="11"/>
      <c r="AER121" s="11"/>
      <c r="AES121" s="11"/>
      <c r="AET121" s="11"/>
      <c r="AEU121" s="11"/>
      <c r="AEV121" s="11"/>
      <c r="AEW121" s="11"/>
      <c r="AEX121" s="11"/>
      <c r="AEY121" s="11"/>
      <c r="AEZ121" s="11"/>
      <c r="AFA121" s="11"/>
      <c r="AFB121" s="11"/>
      <c r="AFC121" s="11"/>
      <c r="AFD121" s="11"/>
      <c r="AFE121" s="11"/>
      <c r="AFF121" s="11"/>
      <c r="AFG121" s="11"/>
      <c r="AFH121" s="11"/>
      <c r="AFI121" s="11"/>
    </row>
    <row r="122" spans="2:841">
      <c r="B122" s="11"/>
      <c r="C122" s="658" t="str">
        <f>M_A0!C33</f>
        <v>Textil</v>
      </c>
      <c r="D122" s="658"/>
      <c r="E122" s="551">
        <f>SUM(M_Datos!N90:N92)</f>
        <v>0</v>
      </c>
      <c r="F122" s="312">
        <f>IF(M_FactoresComplement!G789= "Sí", E122*M_FactoresComplement!D793/(10^3), M_Cálculos!E122*M_Factores!D212/(10^3))</f>
        <v>0</v>
      </c>
      <c r="G122" s="313">
        <f>IF(M_FactoresComplement!G789="Sí", M_Cálculos!E122*M_FactoresComplement!E793/(10^3),M_Cálculos!E122*M_Factores!E212/(10^3))</f>
        <v>0</v>
      </c>
      <c r="H122" s="551">
        <f>SUM(M_Datos!O90:O92)</f>
        <v>0</v>
      </c>
      <c r="I122" s="312">
        <f>IF(M_FactoresComplement!G789= "Sí", H122*M_FactoresComplement!D793/(10^3), M_Cálculos!H122*M_Factores!D212/(10^3))</f>
        <v>0</v>
      </c>
      <c r="J122" s="313">
        <f>IF(M_FactoresComplement!G789="Sí", M_Cálculos!H122*M_FactoresComplement!E793/(10^3),M_Cálculos!H122*M_Factores!E212/(10^3))</f>
        <v>0</v>
      </c>
      <c r="K122" s="551">
        <f>SUM(M_Datos!P90:P92)</f>
        <v>0</v>
      </c>
      <c r="L122" s="312">
        <f>IF(M_FactoresComplement!G789= "Sí", K122*M_FactoresComplement!D793/(10^3), M_Cálculos!K122*M_Factores!D212/(10^3))</f>
        <v>0</v>
      </c>
      <c r="M122" s="313">
        <f>IF(M_FactoresComplement!G789= "Sí", K122*M_FactoresComplement!D793/(10^3), M_Cálculos!K122*M_Factores!E212/(10^3))</f>
        <v>0</v>
      </c>
      <c r="N122" s="551">
        <f>SUM(M_Datos!Q90:Q92)</f>
        <v>0</v>
      </c>
      <c r="O122" s="312">
        <f>IF(M_FactoresComplement!G789= "Sí", N122*M_FactoresComplement!D793/(10^3), M_Cálculos!N122*M_Factores!D212/(10^3))</f>
        <v>0</v>
      </c>
      <c r="P122" s="313">
        <f>IF(M_FactoresComplement!G789= "Sí", N122*M_FactoresComplement!D793/(10^3), M_Cálculos!N122*M_Factores!D212/(10^3))</f>
        <v>0</v>
      </c>
      <c r="Q122" s="551">
        <f>SUM(M_Datos!R90:R92)</f>
        <v>0</v>
      </c>
      <c r="R122" s="312">
        <f>IF(M_FactoresComplement!G789= "Sí", Q122*M_FactoresComplement!D793/(10^3), M_Cálculos!Q122*M_Factores!D212/(10^3))</f>
        <v>0</v>
      </c>
      <c r="S122" s="313">
        <f>IF(M_FactoresComplement!G789= "Sí", Q122*M_FactoresComplement!D793/(10^3), M_Cálculos!Q122*M_Factores!D212/(10^3))</f>
        <v>0</v>
      </c>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c r="IW122" s="11"/>
      <c r="IX122" s="11"/>
      <c r="IY122" s="11"/>
      <c r="IZ122" s="11"/>
      <c r="JA122" s="11"/>
      <c r="JB122" s="11"/>
      <c r="JC122" s="11"/>
      <c r="JD122" s="11"/>
      <c r="JE122" s="11"/>
      <c r="JF122" s="11"/>
      <c r="JG122" s="11"/>
      <c r="JH122" s="11"/>
      <c r="JI122" s="11"/>
      <c r="JJ122" s="11"/>
      <c r="JK122" s="11"/>
      <c r="JL122" s="11"/>
      <c r="JM122" s="11"/>
      <c r="JN122" s="11"/>
      <c r="JO122" s="11"/>
      <c r="JP122" s="11"/>
      <c r="JQ122" s="11"/>
      <c r="JR122" s="11"/>
      <c r="JS122" s="11"/>
      <c r="JT122" s="11"/>
      <c r="JU122" s="11"/>
      <c r="JV122" s="11"/>
      <c r="JW122" s="11"/>
      <c r="JX122" s="11"/>
      <c r="JY122" s="11"/>
      <c r="JZ122" s="11"/>
      <c r="KA122" s="11"/>
      <c r="KB122" s="11"/>
      <c r="KC122" s="11"/>
      <c r="KD122" s="11"/>
      <c r="KE122" s="11"/>
      <c r="KF122" s="11"/>
      <c r="KG122" s="11"/>
      <c r="KH122" s="11"/>
      <c r="KI122" s="11"/>
      <c r="KJ122" s="11"/>
      <c r="KK122" s="11"/>
      <c r="KL122" s="11"/>
      <c r="KM122" s="11"/>
      <c r="KN122" s="11"/>
      <c r="KO122" s="11"/>
      <c r="KP122" s="11"/>
      <c r="KQ122" s="11"/>
      <c r="KR122" s="11"/>
      <c r="KS122" s="11"/>
      <c r="KT122" s="11"/>
      <c r="KU122" s="11"/>
      <c r="KV122" s="11"/>
      <c r="KW122" s="11"/>
      <c r="KX122" s="11"/>
      <c r="KY122" s="11"/>
      <c r="KZ122" s="11"/>
      <c r="LA122" s="11"/>
      <c r="LB122" s="11"/>
      <c r="LC122" s="11"/>
      <c r="LD122" s="11"/>
      <c r="LE122" s="11"/>
      <c r="LF122" s="11"/>
      <c r="LG122" s="11"/>
      <c r="LH122" s="11"/>
      <c r="LI122" s="11"/>
      <c r="LJ122" s="11"/>
      <c r="LK122" s="11"/>
      <c r="LL122" s="11"/>
      <c r="LM122" s="11"/>
      <c r="LN122" s="11"/>
      <c r="LO122" s="11"/>
      <c r="LP122" s="11"/>
      <c r="LQ122" s="11"/>
      <c r="LR122" s="11"/>
      <c r="LS122" s="11"/>
      <c r="LT122" s="11"/>
      <c r="LU122" s="11"/>
      <c r="LV122" s="11"/>
      <c r="LW122" s="11"/>
      <c r="LX122" s="11"/>
      <c r="LY122" s="11"/>
      <c r="LZ122" s="11"/>
      <c r="MA122" s="11"/>
      <c r="MB122" s="11"/>
      <c r="MC122" s="11"/>
      <c r="MD122" s="11"/>
      <c r="ME122" s="11"/>
      <c r="MF122" s="11"/>
      <c r="MG122" s="11"/>
      <c r="MH122" s="11"/>
      <c r="MI122" s="11"/>
      <c r="MJ122" s="11"/>
      <c r="MK122" s="11"/>
      <c r="ML122" s="11"/>
      <c r="MM122" s="11"/>
      <c r="MN122" s="11"/>
      <c r="MO122" s="11"/>
      <c r="MP122" s="11"/>
      <c r="MQ122" s="11"/>
      <c r="MR122" s="11"/>
      <c r="MS122" s="11"/>
      <c r="MT122" s="11"/>
      <c r="MU122" s="11"/>
      <c r="MV122" s="11"/>
      <c r="MW122" s="11"/>
      <c r="MX122" s="11"/>
      <c r="MY122" s="11"/>
      <c r="MZ122" s="11"/>
      <c r="NA122" s="11"/>
      <c r="NB122" s="11"/>
      <c r="NC122" s="11"/>
      <c r="ND122" s="11"/>
      <c r="NE122" s="11"/>
      <c r="NF122" s="11"/>
      <c r="NG122" s="11"/>
      <c r="NH122" s="11"/>
      <c r="NI122" s="11"/>
      <c r="NJ122" s="11"/>
      <c r="NK122" s="11"/>
      <c r="NL122" s="11"/>
      <c r="NM122" s="11"/>
      <c r="NN122" s="11"/>
      <c r="NO122" s="11"/>
      <c r="NP122" s="11"/>
      <c r="NQ122" s="11"/>
      <c r="NR122" s="11"/>
      <c r="NS122" s="11"/>
      <c r="NT122" s="11"/>
      <c r="NU122" s="11"/>
      <c r="NV122" s="11"/>
      <c r="NW122" s="11"/>
      <c r="NX122" s="11"/>
      <c r="NY122" s="11"/>
      <c r="NZ122" s="11"/>
      <c r="OA122" s="11"/>
      <c r="OB122" s="11"/>
      <c r="OC122" s="11"/>
      <c r="OD122" s="11"/>
      <c r="OE122" s="11"/>
      <c r="OF122" s="11"/>
      <c r="OG122" s="11"/>
      <c r="OH122" s="11"/>
      <c r="OI122" s="11"/>
      <c r="OJ122" s="11"/>
      <c r="OK122" s="11"/>
      <c r="OL122" s="11"/>
      <c r="OM122" s="11"/>
      <c r="ON122" s="11"/>
      <c r="OO122" s="11"/>
      <c r="OP122" s="11"/>
      <c r="OQ122" s="11"/>
      <c r="OR122" s="11"/>
      <c r="OS122" s="11"/>
      <c r="OT122" s="11"/>
      <c r="OU122" s="11"/>
      <c r="OV122" s="11"/>
      <c r="OW122" s="11"/>
      <c r="OX122" s="11"/>
      <c r="OY122" s="11"/>
      <c r="OZ122" s="11"/>
      <c r="PA122" s="11"/>
      <c r="PB122" s="11"/>
      <c r="PC122" s="11"/>
      <c r="PD122" s="11"/>
      <c r="PE122" s="11"/>
      <c r="PF122" s="11"/>
      <c r="PG122" s="11"/>
      <c r="PH122" s="11"/>
      <c r="PI122" s="11"/>
      <c r="PJ122" s="11"/>
      <c r="PK122" s="11"/>
      <c r="PL122" s="11"/>
      <c r="PM122" s="11"/>
      <c r="PN122" s="11"/>
      <c r="PO122" s="11"/>
      <c r="PP122" s="11"/>
      <c r="PQ122" s="11"/>
      <c r="PR122" s="11"/>
      <c r="PS122" s="11"/>
      <c r="PT122" s="11"/>
      <c r="PU122" s="11"/>
      <c r="PV122" s="11"/>
      <c r="PW122" s="11"/>
      <c r="PX122" s="11"/>
      <c r="PY122" s="11"/>
      <c r="PZ122" s="11"/>
      <c r="QA122" s="11"/>
      <c r="QB122" s="11"/>
      <c r="QC122" s="11"/>
      <c r="QD122" s="11"/>
      <c r="QE122" s="11"/>
      <c r="QF122" s="11"/>
      <c r="QG122" s="11"/>
      <c r="QH122" s="11"/>
      <c r="QI122" s="11"/>
      <c r="QJ122" s="11"/>
      <c r="QK122" s="11"/>
      <c r="QL122" s="11"/>
      <c r="QM122" s="11"/>
      <c r="QN122" s="11"/>
      <c r="QO122" s="11"/>
      <c r="QP122" s="11"/>
      <c r="QQ122" s="11"/>
      <c r="QR122" s="11"/>
      <c r="QS122" s="11"/>
      <c r="QT122" s="11"/>
      <c r="QU122" s="11"/>
      <c r="QV122" s="11"/>
      <c r="QW122" s="11"/>
      <c r="QX122" s="11"/>
      <c r="QY122" s="11"/>
      <c r="QZ122" s="11"/>
      <c r="RA122" s="11"/>
      <c r="RB122" s="11"/>
      <c r="RC122" s="11"/>
      <c r="RD122" s="11"/>
      <c r="RE122" s="11"/>
      <c r="RF122" s="11"/>
      <c r="RG122" s="11"/>
      <c r="RH122" s="11"/>
      <c r="RI122" s="11"/>
      <c r="RJ122" s="11"/>
      <c r="RK122" s="11"/>
      <c r="RL122" s="11"/>
      <c r="RM122" s="11"/>
      <c r="RN122" s="11"/>
      <c r="RO122" s="11"/>
      <c r="RP122" s="11"/>
      <c r="RQ122" s="11"/>
      <c r="RR122" s="11"/>
      <c r="RS122" s="11"/>
      <c r="RT122" s="11"/>
      <c r="RU122" s="11"/>
      <c r="RV122" s="11"/>
      <c r="RW122" s="11"/>
      <c r="RX122" s="11"/>
      <c r="RY122" s="11"/>
      <c r="RZ122" s="11"/>
      <c r="SA122" s="11"/>
      <c r="SB122" s="11"/>
      <c r="SC122" s="11"/>
      <c r="SD122" s="11"/>
      <c r="SE122" s="11"/>
      <c r="SF122" s="11"/>
      <c r="SG122" s="11"/>
      <c r="SH122" s="11"/>
      <c r="SI122" s="11"/>
      <c r="SJ122" s="11"/>
      <c r="SK122" s="11"/>
      <c r="SL122" s="11"/>
      <c r="SM122" s="11"/>
      <c r="SN122" s="11"/>
      <c r="SO122" s="11"/>
      <c r="SP122" s="11"/>
      <c r="SQ122" s="11"/>
      <c r="SR122" s="11"/>
      <c r="SS122" s="11"/>
      <c r="ST122" s="11"/>
      <c r="SU122" s="11"/>
      <c r="SV122" s="11"/>
      <c r="SW122" s="11"/>
      <c r="SX122" s="11"/>
      <c r="SY122" s="11"/>
      <c r="SZ122" s="11"/>
      <c r="TA122" s="11"/>
      <c r="TB122" s="11"/>
      <c r="TC122" s="11"/>
      <c r="TD122" s="11"/>
      <c r="TE122" s="11"/>
      <c r="TF122" s="11"/>
      <c r="TG122" s="11"/>
      <c r="TH122" s="11"/>
      <c r="TI122" s="11"/>
      <c r="TJ122" s="11"/>
      <c r="TK122" s="11"/>
      <c r="TL122" s="11"/>
      <c r="TM122" s="11"/>
      <c r="TN122" s="11"/>
      <c r="TO122" s="11"/>
      <c r="TP122" s="11"/>
      <c r="TQ122" s="11"/>
      <c r="TR122" s="11"/>
      <c r="TS122" s="11"/>
      <c r="TT122" s="11"/>
      <c r="TU122" s="11"/>
      <c r="TV122" s="11"/>
      <c r="TW122" s="11"/>
      <c r="TX122" s="11"/>
      <c r="TY122" s="11"/>
      <c r="TZ122" s="11"/>
      <c r="UA122" s="11"/>
      <c r="UB122" s="11"/>
      <c r="UC122" s="11"/>
      <c r="UD122" s="11"/>
      <c r="UE122" s="11"/>
      <c r="UF122" s="11"/>
      <c r="UG122" s="11"/>
      <c r="UH122" s="11"/>
      <c r="UI122" s="11"/>
      <c r="UJ122" s="11"/>
      <c r="UK122" s="11"/>
      <c r="UL122" s="11"/>
      <c r="UM122" s="11"/>
      <c r="UN122" s="11"/>
      <c r="UO122" s="11"/>
      <c r="UP122" s="11"/>
      <c r="UQ122" s="11"/>
      <c r="UR122" s="11"/>
      <c r="US122" s="11"/>
      <c r="UT122" s="11"/>
      <c r="UU122" s="11"/>
      <c r="UV122" s="11"/>
      <c r="UW122" s="11"/>
      <c r="UX122" s="11"/>
      <c r="UY122" s="11"/>
      <c r="UZ122" s="11"/>
      <c r="VA122" s="11"/>
      <c r="VB122" s="11"/>
      <c r="VC122" s="11"/>
      <c r="VD122" s="11"/>
      <c r="VE122" s="11"/>
      <c r="VF122" s="11"/>
      <c r="VG122" s="11"/>
      <c r="VH122" s="11"/>
      <c r="VI122" s="11"/>
      <c r="VJ122" s="11"/>
      <c r="VK122" s="11"/>
      <c r="VL122" s="11"/>
      <c r="VM122" s="11"/>
      <c r="VN122" s="11"/>
      <c r="VO122" s="11"/>
      <c r="VP122" s="11"/>
      <c r="VQ122" s="11"/>
      <c r="VR122" s="11"/>
      <c r="VS122" s="11"/>
      <c r="VT122" s="11"/>
      <c r="VU122" s="11"/>
      <c r="VV122" s="11"/>
      <c r="VW122" s="11"/>
      <c r="VX122" s="11"/>
      <c r="VY122" s="11"/>
      <c r="VZ122" s="11"/>
      <c r="WA122" s="11"/>
      <c r="WB122" s="11"/>
      <c r="WC122" s="11"/>
      <c r="WD122" s="11"/>
      <c r="WE122" s="11"/>
      <c r="WF122" s="11"/>
      <c r="WG122" s="11"/>
      <c r="WH122" s="11"/>
      <c r="WI122" s="11"/>
      <c r="WJ122" s="11"/>
      <c r="WK122" s="11"/>
      <c r="WL122" s="11"/>
      <c r="WM122" s="11"/>
      <c r="WN122" s="11"/>
      <c r="WO122" s="11"/>
      <c r="WP122" s="11"/>
      <c r="WQ122" s="11"/>
      <c r="WR122" s="11"/>
      <c r="WS122" s="11"/>
      <c r="WT122" s="11"/>
      <c r="WU122" s="11"/>
      <c r="WV122" s="11"/>
      <c r="WW122" s="11"/>
      <c r="WX122" s="11"/>
      <c r="WY122" s="11"/>
      <c r="WZ122" s="11"/>
      <c r="XA122" s="11"/>
      <c r="XB122" s="11"/>
      <c r="XC122" s="11"/>
      <c r="XD122" s="11"/>
      <c r="XE122" s="11"/>
      <c r="XF122" s="11"/>
      <c r="XG122" s="11"/>
      <c r="XH122" s="11"/>
      <c r="XI122" s="11"/>
      <c r="XJ122" s="11"/>
      <c r="XK122" s="11"/>
      <c r="XL122" s="11"/>
      <c r="XM122" s="11"/>
      <c r="XN122" s="11"/>
      <c r="XO122" s="11"/>
      <c r="XP122" s="11"/>
      <c r="XQ122" s="11"/>
      <c r="XR122" s="11"/>
      <c r="XS122" s="11"/>
      <c r="XT122" s="11"/>
      <c r="XU122" s="11"/>
      <c r="XV122" s="11"/>
      <c r="XW122" s="11"/>
      <c r="XX122" s="11"/>
      <c r="XY122" s="11"/>
      <c r="XZ122" s="11"/>
      <c r="YA122" s="11"/>
      <c r="YB122" s="11"/>
      <c r="YC122" s="11"/>
      <c r="YD122" s="11"/>
      <c r="YE122" s="11"/>
      <c r="YF122" s="11"/>
      <c r="YG122" s="11"/>
      <c r="YH122" s="11"/>
      <c r="YI122" s="11"/>
      <c r="YJ122" s="11"/>
      <c r="YK122" s="11"/>
      <c r="YL122" s="11"/>
      <c r="YM122" s="11"/>
      <c r="YN122" s="11"/>
      <c r="YO122" s="11"/>
      <c r="YP122" s="11"/>
      <c r="YQ122" s="11"/>
      <c r="YR122" s="11"/>
      <c r="YS122" s="11"/>
      <c r="YT122" s="11"/>
      <c r="YU122" s="11"/>
      <c r="YV122" s="11"/>
      <c r="YW122" s="11"/>
      <c r="YX122" s="11"/>
      <c r="YY122" s="11"/>
      <c r="YZ122" s="11"/>
      <c r="ZA122" s="11"/>
      <c r="ZB122" s="11"/>
      <c r="ZC122" s="11"/>
      <c r="ZD122" s="11"/>
      <c r="ZE122" s="11"/>
      <c r="ZF122" s="11"/>
      <c r="ZG122" s="11"/>
      <c r="ZH122" s="11"/>
      <c r="ZI122" s="11"/>
      <c r="ZJ122" s="11"/>
      <c r="ZK122" s="11"/>
      <c r="ZL122" s="11"/>
      <c r="ZM122" s="11"/>
      <c r="ZN122" s="11"/>
      <c r="ZO122" s="11"/>
      <c r="ZP122" s="11"/>
      <c r="ZQ122" s="11"/>
      <c r="ZR122" s="11"/>
      <c r="ZS122" s="11"/>
      <c r="ZT122" s="11"/>
      <c r="ZU122" s="11"/>
      <c r="ZV122" s="11"/>
      <c r="ZW122" s="11"/>
      <c r="ZX122" s="11"/>
      <c r="ZY122" s="11"/>
      <c r="ZZ122" s="11"/>
      <c r="AAA122" s="11"/>
      <c r="AAB122" s="11"/>
      <c r="AAC122" s="11"/>
      <c r="AAD122" s="11"/>
      <c r="AAE122" s="11"/>
      <c r="AAF122" s="11"/>
      <c r="AAG122" s="11"/>
      <c r="AAH122" s="11"/>
      <c r="AAI122" s="11"/>
      <c r="AAJ122" s="11"/>
      <c r="AAK122" s="11"/>
      <c r="AAL122" s="11"/>
      <c r="AAM122" s="11"/>
      <c r="AAN122" s="11"/>
      <c r="AAO122" s="11"/>
      <c r="AAP122" s="11"/>
      <c r="AAQ122" s="11"/>
      <c r="AAR122" s="11"/>
      <c r="AAS122" s="11"/>
      <c r="AAT122" s="11"/>
      <c r="AAU122" s="11"/>
      <c r="AAV122" s="11"/>
      <c r="AAW122" s="11"/>
      <c r="AAX122" s="11"/>
      <c r="AAY122" s="11"/>
      <c r="AAZ122" s="11"/>
      <c r="ABA122" s="11"/>
      <c r="ABB122" s="11"/>
      <c r="ABC122" s="11"/>
      <c r="ABD122" s="11"/>
      <c r="ABE122" s="11"/>
      <c r="ABF122" s="11"/>
      <c r="ABG122" s="11"/>
      <c r="ABH122" s="11"/>
      <c r="ABI122" s="11"/>
      <c r="ABJ122" s="11"/>
      <c r="ABK122" s="11"/>
      <c r="ABL122" s="11"/>
      <c r="ABM122" s="11"/>
      <c r="ABN122" s="11"/>
      <c r="ABO122" s="11"/>
      <c r="ABP122" s="11"/>
      <c r="ABQ122" s="11"/>
      <c r="ABR122" s="11"/>
      <c r="ABS122" s="11"/>
      <c r="ABT122" s="11"/>
      <c r="ABU122" s="11"/>
      <c r="ABV122" s="11"/>
      <c r="ABW122" s="11"/>
      <c r="ABX122" s="11"/>
      <c r="ABY122" s="11"/>
      <c r="ABZ122" s="11"/>
      <c r="ACA122" s="11"/>
      <c r="ACB122" s="11"/>
      <c r="ACC122" s="11"/>
      <c r="ACD122" s="11"/>
      <c r="ACE122" s="11"/>
      <c r="ACF122" s="11"/>
      <c r="ACG122" s="11"/>
      <c r="ACH122" s="11"/>
      <c r="ACI122" s="11"/>
      <c r="ACJ122" s="11"/>
      <c r="ACK122" s="11"/>
      <c r="ACL122" s="11"/>
      <c r="ACM122" s="11"/>
      <c r="ACN122" s="11"/>
      <c r="ACO122" s="11"/>
      <c r="ACP122" s="11"/>
      <c r="ACQ122" s="11"/>
      <c r="ACR122" s="11"/>
      <c r="ACS122" s="11"/>
      <c r="ACT122" s="11"/>
      <c r="ACU122" s="11"/>
      <c r="ACV122" s="11"/>
      <c r="ACW122" s="11"/>
      <c r="ACX122" s="11"/>
      <c r="ACY122" s="11"/>
      <c r="ACZ122" s="11"/>
      <c r="ADA122" s="11"/>
      <c r="ADB122" s="11"/>
      <c r="ADC122" s="11"/>
      <c r="ADD122" s="11"/>
      <c r="ADE122" s="11"/>
      <c r="ADF122" s="11"/>
      <c r="ADG122" s="11"/>
      <c r="ADH122" s="11"/>
      <c r="ADI122" s="11"/>
      <c r="ADJ122" s="11"/>
      <c r="ADK122" s="11"/>
      <c r="ADL122" s="11"/>
      <c r="ADM122" s="11"/>
      <c r="ADN122" s="11"/>
      <c r="ADO122" s="11"/>
      <c r="ADP122" s="11"/>
      <c r="ADQ122" s="11"/>
      <c r="ADR122" s="11"/>
      <c r="ADS122" s="11"/>
      <c r="ADT122" s="11"/>
      <c r="ADU122" s="11"/>
      <c r="ADV122" s="11"/>
      <c r="ADW122" s="11"/>
      <c r="ADX122" s="11"/>
      <c r="ADY122" s="11"/>
      <c r="ADZ122" s="11"/>
      <c r="AEA122" s="11"/>
      <c r="AEB122" s="11"/>
      <c r="AEC122" s="11"/>
      <c r="AED122" s="11"/>
      <c r="AEE122" s="11"/>
      <c r="AEF122" s="11"/>
      <c r="AEG122" s="11"/>
      <c r="AEH122" s="11"/>
      <c r="AEI122" s="11"/>
      <c r="AEJ122" s="11"/>
      <c r="AEK122" s="11"/>
      <c r="AEL122" s="11"/>
      <c r="AEM122" s="11"/>
      <c r="AEN122" s="11"/>
      <c r="AEO122" s="11"/>
      <c r="AEP122" s="11"/>
      <c r="AEQ122" s="11"/>
      <c r="AER122" s="11"/>
      <c r="AES122" s="11"/>
      <c r="AET122" s="11"/>
      <c r="AEU122" s="11"/>
      <c r="AEV122" s="11"/>
      <c r="AEW122" s="11"/>
      <c r="AEX122" s="11"/>
      <c r="AEY122" s="11"/>
      <c r="AEZ122" s="11"/>
      <c r="AFA122" s="11"/>
      <c r="AFB122" s="11"/>
      <c r="AFC122" s="11"/>
      <c r="AFD122" s="11"/>
      <c r="AFE122" s="11"/>
      <c r="AFF122" s="11"/>
      <c r="AFG122" s="11"/>
      <c r="AFH122" s="11"/>
      <c r="AFI122" s="11"/>
    </row>
    <row r="123" spans="2:841">
      <c r="B123" s="11"/>
      <c r="C123" s="659" t="str">
        <f>M_A0!C34</f>
        <v>Total</v>
      </c>
      <c r="D123" s="659"/>
      <c r="E123" s="552">
        <f>SUM(E118:E122)</f>
        <v>0</v>
      </c>
      <c r="F123" s="314">
        <f t="shared" ref="F123:S123" si="11">SUM(F118:F122)</f>
        <v>0</v>
      </c>
      <c r="G123" s="317">
        <f t="shared" si="11"/>
        <v>0</v>
      </c>
      <c r="H123" s="552">
        <f t="shared" si="11"/>
        <v>0</v>
      </c>
      <c r="I123" s="314">
        <f t="shared" si="11"/>
        <v>0</v>
      </c>
      <c r="J123" s="317">
        <f t="shared" si="11"/>
        <v>0</v>
      </c>
      <c r="K123" s="552">
        <f t="shared" si="11"/>
        <v>0</v>
      </c>
      <c r="L123" s="314">
        <f t="shared" si="11"/>
        <v>0</v>
      </c>
      <c r="M123" s="317">
        <f t="shared" si="11"/>
        <v>0</v>
      </c>
      <c r="N123" s="552">
        <f t="shared" si="11"/>
        <v>0</v>
      </c>
      <c r="O123" s="314">
        <f t="shared" si="11"/>
        <v>0</v>
      </c>
      <c r="P123" s="317">
        <f t="shared" si="11"/>
        <v>0</v>
      </c>
      <c r="Q123" s="552">
        <f t="shared" si="11"/>
        <v>0</v>
      </c>
      <c r="R123" s="314">
        <f t="shared" si="11"/>
        <v>0</v>
      </c>
      <c r="S123" s="317">
        <f t="shared" si="11"/>
        <v>0</v>
      </c>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c r="IW123" s="11"/>
      <c r="IX123" s="11"/>
      <c r="IY123" s="11"/>
      <c r="IZ123" s="11"/>
      <c r="JA123" s="11"/>
      <c r="JB123" s="11"/>
      <c r="JC123" s="11"/>
      <c r="JD123" s="11"/>
      <c r="JE123" s="11"/>
      <c r="JF123" s="11"/>
      <c r="JG123" s="11"/>
      <c r="JH123" s="11"/>
      <c r="JI123" s="11"/>
      <c r="JJ123" s="11"/>
      <c r="JK123" s="11"/>
      <c r="JL123" s="11"/>
      <c r="JM123" s="11"/>
      <c r="JN123" s="11"/>
      <c r="JO123" s="11"/>
      <c r="JP123" s="11"/>
      <c r="JQ123" s="11"/>
      <c r="JR123" s="11"/>
      <c r="JS123" s="11"/>
      <c r="JT123" s="11"/>
      <c r="JU123" s="11"/>
      <c r="JV123" s="11"/>
      <c r="JW123" s="11"/>
      <c r="JX123" s="11"/>
      <c r="JY123" s="11"/>
      <c r="JZ123" s="11"/>
      <c r="KA123" s="11"/>
      <c r="KB123" s="11"/>
      <c r="KC123" s="11"/>
      <c r="KD123" s="11"/>
      <c r="KE123" s="11"/>
      <c r="KF123" s="11"/>
      <c r="KG123" s="11"/>
      <c r="KH123" s="11"/>
      <c r="KI123" s="11"/>
      <c r="KJ123" s="11"/>
      <c r="KK123" s="11"/>
      <c r="KL123" s="11"/>
      <c r="KM123" s="11"/>
      <c r="KN123" s="11"/>
      <c r="KO123" s="11"/>
      <c r="KP123" s="11"/>
      <c r="KQ123" s="11"/>
      <c r="KR123" s="11"/>
      <c r="KS123" s="11"/>
      <c r="KT123" s="11"/>
      <c r="KU123" s="11"/>
      <c r="KV123" s="11"/>
      <c r="KW123" s="11"/>
      <c r="KX123" s="11"/>
      <c r="KY123" s="11"/>
      <c r="KZ123" s="11"/>
      <c r="LA123" s="11"/>
      <c r="LB123" s="11"/>
      <c r="LC123" s="11"/>
      <c r="LD123" s="11"/>
      <c r="LE123" s="11"/>
      <c r="LF123" s="11"/>
      <c r="LG123" s="11"/>
      <c r="LH123" s="11"/>
      <c r="LI123" s="11"/>
      <c r="LJ123" s="11"/>
      <c r="LK123" s="11"/>
      <c r="LL123" s="11"/>
      <c r="LM123" s="11"/>
      <c r="LN123" s="11"/>
      <c r="LO123" s="11"/>
      <c r="LP123" s="11"/>
      <c r="LQ123" s="11"/>
      <c r="LR123" s="11"/>
      <c r="LS123" s="11"/>
      <c r="LT123" s="11"/>
      <c r="LU123" s="11"/>
      <c r="LV123" s="11"/>
      <c r="LW123" s="11"/>
      <c r="LX123" s="11"/>
      <c r="LY123" s="11"/>
      <c r="LZ123" s="11"/>
      <c r="MA123" s="11"/>
      <c r="MB123" s="11"/>
      <c r="MC123" s="11"/>
      <c r="MD123" s="11"/>
      <c r="ME123" s="11"/>
      <c r="MF123" s="11"/>
      <c r="MG123" s="11"/>
      <c r="MH123" s="11"/>
      <c r="MI123" s="11"/>
      <c r="MJ123" s="11"/>
      <c r="MK123" s="11"/>
      <c r="ML123" s="11"/>
      <c r="MM123" s="11"/>
      <c r="MN123" s="11"/>
      <c r="MO123" s="11"/>
      <c r="MP123" s="11"/>
      <c r="MQ123" s="11"/>
      <c r="MR123" s="11"/>
      <c r="MS123" s="11"/>
      <c r="MT123" s="11"/>
      <c r="MU123" s="11"/>
      <c r="MV123" s="11"/>
      <c r="MW123" s="11"/>
      <c r="MX123" s="11"/>
      <c r="MY123" s="11"/>
      <c r="MZ123" s="11"/>
      <c r="NA123" s="11"/>
      <c r="NB123" s="11"/>
      <c r="NC123" s="11"/>
      <c r="ND123" s="11"/>
      <c r="NE123" s="11"/>
      <c r="NF123" s="11"/>
      <c r="NG123" s="11"/>
      <c r="NH123" s="11"/>
      <c r="NI123" s="11"/>
      <c r="NJ123" s="11"/>
      <c r="NK123" s="11"/>
      <c r="NL123" s="11"/>
      <c r="NM123" s="11"/>
      <c r="NN123" s="11"/>
      <c r="NO123" s="11"/>
      <c r="NP123" s="11"/>
      <c r="NQ123" s="11"/>
      <c r="NR123" s="11"/>
      <c r="NS123" s="11"/>
      <c r="NT123" s="11"/>
      <c r="NU123" s="11"/>
      <c r="NV123" s="11"/>
      <c r="NW123" s="11"/>
      <c r="NX123" s="11"/>
      <c r="NY123" s="11"/>
      <c r="NZ123" s="11"/>
      <c r="OA123" s="11"/>
      <c r="OB123" s="11"/>
      <c r="OC123" s="11"/>
      <c r="OD123" s="11"/>
      <c r="OE123" s="11"/>
      <c r="OF123" s="11"/>
      <c r="OG123" s="11"/>
      <c r="OH123" s="11"/>
      <c r="OI123" s="11"/>
      <c r="OJ123" s="11"/>
      <c r="OK123" s="11"/>
      <c r="OL123" s="11"/>
      <c r="OM123" s="11"/>
      <c r="ON123" s="11"/>
      <c r="OO123" s="11"/>
      <c r="OP123" s="11"/>
      <c r="OQ123" s="11"/>
      <c r="OR123" s="11"/>
      <c r="OS123" s="11"/>
      <c r="OT123" s="11"/>
      <c r="OU123" s="11"/>
      <c r="OV123" s="11"/>
      <c r="OW123" s="11"/>
      <c r="OX123" s="11"/>
      <c r="OY123" s="11"/>
      <c r="OZ123" s="11"/>
      <c r="PA123" s="11"/>
      <c r="PB123" s="11"/>
      <c r="PC123" s="11"/>
      <c r="PD123" s="11"/>
      <c r="PE123" s="11"/>
      <c r="PF123" s="11"/>
      <c r="PG123" s="11"/>
      <c r="PH123" s="11"/>
      <c r="PI123" s="11"/>
      <c r="PJ123" s="11"/>
      <c r="PK123" s="11"/>
      <c r="PL123" s="11"/>
      <c r="PM123" s="11"/>
      <c r="PN123" s="11"/>
      <c r="PO123" s="11"/>
      <c r="PP123" s="11"/>
      <c r="PQ123" s="11"/>
      <c r="PR123" s="11"/>
      <c r="PS123" s="11"/>
      <c r="PT123" s="11"/>
      <c r="PU123" s="11"/>
      <c r="PV123" s="11"/>
      <c r="PW123" s="11"/>
      <c r="PX123" s="11"/>
      <c r="PY123" s="11"/>
      <c r="PZ123" s="11"/>
      <c r="QA123" s="11"/>
      <c r="QB123" s="11"/>
      <c r="QC123" s="11"/>
      <c r="QD123" s="11"/>
      <c r="QE123" s="11"/>
      <c r="QF123" s="11"/>
      <c r="QG123" s="11"/>
      <c r="QH123" s="11"/>
      <c r="QI123" s="11"/>
      <c r="QJ123" s="11"/>
      <c r="QK123" s="11"/>
      <c r="QL123" s="11"/>
      <c r="QM123" s="11"/>
      <c r="QN123" s="11"/>
      <c r="QO123" s="11"/>
      <c r="QP123" s="11"/>
      <c r="QQ123" s="11"/>
      <c r="QR123" s="11"/>
      <c r="QS123" s="11"/>
      <c r="QT123" s="11"/>
      <c r="QU123" s="11"/>
      <c r="QV123" s="11"/>
      <c r="QW123" s="11"/>
      <c r="QX123" s="11"/>
      <c r="QY123" s="11"/>
      <c r="QZ123" s="11"/>
      <c r="RA123" s="11"/>
      <c r="RB123" s="11"/>
      <c r="RC123" s="11"/>
      <c r="RD123" s="11"/>
      <c r="RE123" s="11"/>
      <c r="RF123" s="11"/>
      <c r="RG123" s="11"/>
      <c r="RH123" s="11"/>
      <c r="RI123" s="11"/>
      <c r="RJ123" s="11"/>
      <c r="RK123" s="11"/>
      <c r="RL123" s="11"/>
      <c r="RM123" s="11"/>
      <c r="RN123" s="11"/>
      <c r="RO123" s="11"/>
      <c r="RP123" s="11"/>
      <c r="RQ123" s="11"/>
      <c r="RR123" s="11"/>
      <c r="RS123" s="11"/>
      <c r="RT123" s="11"/>
      <c r="RU123" s="11"/>
      <c r="RV123" s="11"/>
      <c r="RW123" s="11"/>
      <c r="RX123" s="11"/>
      <c r="RY123" s="11"/>
      <c r="RZ123" s="11"/>
      <c r="SA123" s="11"/>
      <c r="SB123" s="11"/>
      <c r="SC123" s="11"/>
      <c r="SD123" s="11"/>
      <c r="SE123" s="11"/>
      <c r="SF123" s="11"/>
      <c r="SG123" s="11"/>
      <c r="SH123" s="11"/>
      <c r="SI123" s="11"/>
      <c r="SJ123" s="11"/>
      <c r="SK123" s="11"/>
      <c r="SL123" s="11"/>
      <c r="SM123" s="11"/>
      <c r="SN123" s="11"/>
      <c r="SO123" s="11"/>
      <c r="SP123" s="11"/>
      <c r="SQ123" s="11"/>
      <c r="SR123" s="11"/>
      <c r="SS123" s="11"/>
      <c r="ST123" s="11"/>
      <c r="SU123" s="11"/>
      <c r="SV123" s="11"/>
      <c r="SW123" s="11"/>
      <c r="SX123" s="11"/>
      <c r="SY123" s="11"/>
      <c r="SZ123" s="11"/>
      <c r="TA123" s="11"/>
      <c r="TB123" s="11"/>
      <c r="TC123" s="11"/>
      <c r="TD123" s="11"/>
      <c r="TE123" s="11"/>
      <c r="TF123" s="11"/>
      <c r="TG123" s="11"/>
      <c r="TH123" s="11"/>
      <c r="TI123" s="11"/>
      <c r="TJ123" s="11"/>
      <c r="TK123" s="11"/>
      <c r="TL123" s="11"/>
      <c r="TM123" s="11"/>
      <c r="TN123" s="11"/>
      <c r="TO123" s="11"/>
      <c r="TP123" s="11"/>
      <c r="TQ123" s="11"/>
      <c r="TR123" s="11"/>
      <c r="TS123" s="11"/>
      <c r="TT123" s="11"/>
      <c r="TU123" s="11"/>
      <c r="TV123" s="11"/>
      <c r="TW123" s="11"/>
      <c r="TX123" s="11"/>
      <c r="TY123" s="11"/>
      <c r="TZ123" s="11"/>
      <c r="UA123" s="11"/>
      <c r="UB123" s="11"/>
      <c r="UC123" s="11"/>
      <c r="UD123" s="11"/>
      <c r="UE123" s="11"/>
      <c r="UF123" s="11"/>
      <c r="UG123" s="11"/>
      <c r="UH123" s="11"/>
      <c r="UI123" s="11"/>
      <c r="UJ123" s="11"/>
      <c r="UK123" s="11"/>
      <c r="UL123" s="11"/>
      <c r="UM123" s="11"/>
      <c r="UN123" s="11"/>
      <c r="UO123" s="11"/>
      <c r="UP123" s="11"/>
      <c r="UQ123" s="11"/>
      <c r="UR123" s="11"/>
      <c r="US123" s="11"/>
      <c r="UT123" s="11"/>
      <c r="UU123" s="11"/>
      <c r="UV123" s="11"/>
      <c r="UW123" s="11"/>
      <c r="UX123" s="11"/>
      <c r="UY123" s="11"/>
      <c r="UZ123" s="11"/>
      <c r="VA123" s="11"/>
      <c r="VB123" s="11"/>
      <c r="VC123" s="11"/>
      <c r="VD123" s="11"/>
      <c r="VE123" s="11"/>
      <c r="VF123" s="11"/>
      <c r="VG123" s="11"/>
      <c r="VH123" s="11"/>
      <c r="VI123" s="11"/>
      <c r="VJ123" s="11"/>
      <c r="VK123" s="11"/>
      <c r="VL123" s="11"/>
      <c r="VM123" s="11"/>
      <c r="VN123" s="11"/>
      <c r="VO123" s="11"/>
      <c r="VP123" s="11"/>
      <c r="VQ123" s="11"/>
      <c r="VR123" s="11"/>
      <c r="VS123" s="11"/>
      <c r="VT123" s="11"/>
      <c r="VU123" s="11"/>
      <c r="VV123" s="11"/>
      <c r="VW123" s="11"/>
      <c r="VX123" s="11"/>
      <c r="VY123" s="11"/>
      <c r="VZ123" s="11"/>
      <c r="WA123" s="11"/>
      <c r="WB123" s="11"/>
      <c r="WC123" s="11"/>
      <c r="WD123" s="11"/>
      <c r="WE123" s="11"/>
      <c r="WF123" s="11"/>
      <c r="WG123" s="11"/>
      <c r="WH123" s="11"/>
      <c r="WI123" s="11"/>
      <c r="WJ123" s="11"/>
      <c r="WK123" s="11"/>
      <c r="WL123" s="11"/>
      <c r="WM123" s="11"/>
      <c r="WN123" s="11"/>
      <c r="WO123" s="11"/>
      <c r="WP123" s="11"/>
      <c r="WQ123" s="11"/>
      <c r="WR123" s="11"/>
      <c r="WS123" s="11"/>
      <c r="WT123" s="11"/>
      <c r="WU123" s="11"/>
      <c r="WV123" s="11"/>
      <c r="WW123" s="11"/>
      <c r="WX123" s="11"/>
      <c r="WY123" s="11"/>
      <c r="WZ123" s="11"/>
      <c r="XA123" s="11"/>
      <c r="XB123" s="11"/>
      <c r="XC123" s="11"/>
      <c r="XD123" s="11"/>
      <c r="XE123" s="11"/>
      <c r="XF123" s="11"/>
      <c r="XG123" s="11"/>
      <c r="XH123" s="11"/>
      <c r="XI123" s="11"/>
      <c r="XJ123" s="11"/>
      <c r="XK123" s="11"/>
      <c r="XL123" s="11"/>
      <c r="XM123" s="11"/>
      <c r="XN123" s="11"/>
      <c r="XO123" s="11"/>
      <c r="XP123" s="11"/>
      <c r="XQ123" s="11"/>
      <c r="XR123" s="11"/>
      <c r="XS123" s="11"/>
      <c r="XT123" s="11"/>
      <c r="XU123" s="11"/>
      <c r="XV123" s="11"/>
      <c r="XW123" s="11"/>
      <c r="XX123" s="11"/>
      <c r="XY123" s="11"/>
      <c r="XZ123" s="11"/>
      <c r="YA123" s="11"/>
      <c r="YB123" s="11"/>
      <c r="YC123" s="11"/>
      <c r="YD123" s="11"/>
      <c r="YE123" s="11"/>
      <c r="YF123" s="11"/>
      <c r="YG123" s="11"/>
      <c r="YH123" s="11"/>
      <c r="YI123" s="11"/>
      <c r="YJ123" s="11"/>
      <c r="YK123" s="11"/>
      <c r="YL123" s="11"/>
      <c r="YM123" s="11"/>
      <c r="YN123" s="11"/>
      <c r="YO123" s="11"/>
      <c r="YP123" s="11"/>
      <c r="YQ123" s="11"/>
      <c r="YR123" s="11"/>
      <c r="YS123" s="11"/>
      <c r="YT123" s="11"/>
      <c r="YU123" s="11"/>
      <c r="YV123" s="11"/>
      <c r="YW123" s="11"/>
      <c r="YX123" s="11"/>
      <c r="YY123" s="11"/>
      <c r="YZ123" s="11"/>
      <c r="ZA123" s="11"/>
      <c r="ZB123" s="11"/>
      <c r="ZC123" s="11"/>
      <c r="ZD123" s="11"/>
      <c r="ZE123" s="11"/>
      <c r="ZF123" s="11"/>
      <c r="ZG123" s="11"/>
      <c r="ZH123" s="11"/>
      <c r="ZI123" s="11"/>
      <c r="ZJ123" s="11"/>
      <c r="ZK123" s="11"/>
      <c r="ZL123" s="11"/>
      <c r="ZM123" s="11"/>
      <c r="ZN123" s="11"/>
      <c r="ZO123" s="11"/>
      <c r="ZP123" s="11"/>
      <c r="ZQ123" s="11"/>
      <c r="ZR123" s="11"/>
      <c r="ZS123" s="11"/>
      <c r="ZT123" s="11"/>
      <c r="ZU123" s="11"/>
      <c r="ZV123" s="11"/>
      <c r="ZW123" s="11"/>
      <c r="ZX123" s="11"/>
      <c r="ZY123" s="11"/>
      <c r="ZZ123" s="11"/>
      <c r="AAA123" s="11"/>
      <c r="AAB123" s="11"/>
      <c r="AAC123" s="11"/>
      <c r="AAD123" s="11"/>
      <c r="AAE123" s="11"/>
      <c r="AAF123" s="11"/>
      <c r="AAG123" s="11"/>
      <c r="AAH123" s="11"/>
      <c r="AAI123" s="11"/>
      <c r="AAJ123" s="11"/>
      <c r="AAK123" s="11"/>
      <c r="AAL123" s="11"/>
      <c r="AAM123" s="11"/>
      <c r="AAN123" s="11"/>
      <c r="AAO123" s="11"/>
      <c r="AAP123" s="11"/>
      <c r="AAQ123" s="11"/>
      <c r="AAR123" s="11"/>
      <c r="AAS123" s="11"/>
      <c r="AAT123" s="11"/>
      <c r="AAU123" s="11"/>
      <c r="AAV123" s="11"/>
      <c r="AAW123" s="11"/>
      <c r="AAX123" s="11"/>
      <c r="AAY123" s="11"/>
      <c r="AAZ123" s="11"/>
      <c r="ABA123" s="11"/>
      <c r="ABB123" s="11"/>
      <c r="ABC123" s="11"/>
      <c r="ABD123" s="11"/>
      <c r="ABE123" s="11"/>
      <c r="ABF123" s="11"/>
      <c r="ABG123" s="11"/>
      <c r="ABH123" s="11"/>
      <c r="ABI123" s="11"/>
      <c r="ABJ123" s="11"/>
      <c r="ABK123" s="11"/>
      <c r="ABL123" s="11"/>
      <c r="ABM123" s="11"/>
      <c r="ABN123" s="11"/>
      <c r="ABO123" s="11"/>
      <c r="ABP123" s="11"/>
      <c r="ABQ123" s="11"/>
      <c r="ABR123" s="11"/>
      <c r="ABS123" s="11"/>
      <c r="ABT123" s="11"/>
      <c r="ABU123" s="11"/>
      <c r="ABV123" s="11"/>
      <c r="ABW123" s="11"/>
      <c r="ABX123" s="11"/>
      <c r="ABY123" s="11"/>
      <c r="ABZ123" s="11"/>
      <c r="ACA123" s="11"/>
      <c r="ACB123" s="11"/>
      <c r="ACC123" s="11"/>
      <c r="ACD123" s="11"/>
      <c r="ACE123" s="11"/>
      <c r="ACF123" s="11"/>
      <c r="ACG123" s="11"/>
      <c r="ACH123" s="11"/>
      <c r="ACI123" s="11"/>
      <c r="ACJ123" s="11"/>
      <c r="ACK123" s="11"/>
      <c r="ACL123" s="11"/>
      <c r="ACM123" s="11"/>
      <c r="ACN123" s="11"/>
      <c r="ACO123" s="11"/>
      <c r="ACP123" s="11"/>
      <c r="ACQ123" s="11"/>
      <c r="ACR123" s="11"/>
      <c r="ACS123" s="11"/>
      <c r="ACT123" s="11"/>
      <c r="ACU123" s="11"/>
      <c r="ACV123" s="11"/>
      <c r="ACW123" s="11"/>
      <c r="ACX123" s="11"/>
      <c r="ACY123" s="11"/>
      <c r="ACZ123" s="11"/>
      <c r="ADA123" s="11"/>
      <c r="ADB123" s="11"/>
      <c r="ADC123" s="11"/>
      <c r="ADD123" s="11"/>
      <c r="ADE123" s="11"/>
      <c r="ADF123" s="11"/>
      <c r="ADG123" s="11"/>
      <c r="ADH123" s="11"/>
      <c r="ADI123" s="11"/>
      <c r="ADJ123" s="11"/>
      <c r="ADK123" s="11"/>
      <c r="ADL123" s="11"/>
      <c r="ADM123" s="11"/>
      <c r="ADN123" s="11"/>
      <c r="ADO123" s="11"/>
      <c r="ADP123" s="11"/>
      <c r="ADQ123" s="11"/>
      <c r="ADR123" s="11"/>
      <c r="ADS123" s="11"/>
      <c r="ADT123" s="11"/>
      <c r="ADU123" s="11"/>
      <c r="ADV123" s="11"/>
      <c r="ADW123" s="11"/>
      <c r="ADX123" s="11"/>
      <c r="ADY123" s="11"/>
      <c r="ADZ123" s="11"/>
      <c r="AEA123" s="11"/>
      <c r="AEB123" s="11"/>
      <c r="AEC123" s="11"/>
      <c r="AED123" s="11"/>
      <c r="AEE123" s="11"/>
      <c r="AEF123" s="11"/>
      <c r="AEG123" s="11"/>
      <c r="AEH123" s="11"/>
      <c r="AEI123" s="11"/>
      <c r="AEJ123" s="11"/>
      <c r="AEK123" s="11"/>
      <c r="AEL123" s="11"/>
      <c r="AEM123" s="11"/>
      <c r="AEN123" s="11"/>
      <c r="AEO123" s="11"/>
      <c r="AEP123" s="11"/>
      <c r="AEQ123" s="11"/>
      <c r="AER123" s="11"/>
      <c r="AES123" s="11"/>
      <c r="AET123" s="11"/>
      <c r="AEU123" s="11"/>
      <c r="AEV123" s="11"/>
      <c r="AEW123" s="11"/>
      <c r="AEX123" s="11"/>
      <c r="AEY123" s="11"/>
      <c r="AEZ123" s="11"/>
      <c r="AFA123" s="11"/>
      <c r="AFB123" s="11"/>
      <c r="AFC123" s="11"/>
      <c r="AFD123" s="11"/>
      <c r="AFE123" s="11"/>
      <c r="AFF123" s="11"/>
      <c r="AFG123" s="11"/>
      <c r="AFH123" s="11"/>
      <c r="AFI123" s="11"/>
    </row>
    <row r="124" spans="2:84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1"/>
      <c r="JA124" s="11"/>
      <c r="JB124" s="11"/>
      <c r="JC124" s="11"/>
      <c r="JD124" s="11"/>
      <c r="JE124" s="11"/>
      <c r="JF124" s="11"/>
      <c r="JG124" s="11"/>
      <c r="JH124" s="11"/>
      <c r="JI124" s="11"/>
      <c r="JJ124" s="11"/>
      <c r="JK124" s="11"/>
      <c r="JL124" s="11"/>
      <c r="JM124" s="11"/>
      <c r="JN124" s="11"/>
      <c r="JO124" s="11"/>
      <c r="JP124" s="11"/>
      <c r="JQ124" s="11"/>
      <c r="JR124" s="11"/>
      <c r="JS124" s="11"/>
      <c r="JT124" s="11"/>
      <c r="JU124" s="11"/>
      <c r="JV124" s="11"/>
      <c r="JW124" s="11"/>
      <c r="JX124" s="11"/>
      <c r="JY124" s="11"/>
      <c r="JZ124" s="11"/>
      <c r="KA124" s="11"/>
      <c r="KB124" s="11"/>
      <c r="KC124" s="11"/>
      <c r="KD124" s="11"/>
      <c r="KE124" s="11"/>
      <c r="KF124" s="11"/>
      <c r="KG124" s="11"/>
      <c r="KH124" s="11"/>
      <c r="KI124" s="11"/>
      <c r="KJ124" s="11"/>
      <c r="KK124" s="11"/>
      <c r="KL124" s="11"/>
      <c r="KM124" s="11"/>
      <c r="KN124" s="11"/>
      <c r="KO124" s="11"/>
      <c r="KP124" s="11"/>
      <c r="KQ124" s="11"/>
      <c r="KR124" s="11"/>
      <c r="KS124" s="11"/>
      <c r="KT124" s="11"/>
      <c r="KU124" s="11"/>
      <c r="KV124" s="11"/>
      <c r="KW124" s="11"/>
      <c r="KX124" s="11"/>
      <c r="KY124" s="11"/>
      <c r="KZ124" s="11"/>
      <c r="LA124" s="11"/>
      <c r="LB124" s="11"/>
      <c r="LC124" s="11"/>
      <c r="LD124" s="11"/>
      <c r="LE124" s="11"/>
      <c r="LF124" s="11"/>
      <c r="LG124" s="11"/>
      <c r="LH124" s="11"/>
      <c r="LI124" s="11"/>
      <c r="LJ124" s="11"/>
      <c r="LK124" s="11"/>
      <c r="LL124" s="11"/>
      <c r="LM124" s="11"/>
      <c r="LN124" s="11"/>
      <c r="LO124" s="11"/>
      <c r="LP124" s="11"/>
      <c r="LQ124" s="11"/>
      <c r="LR124" s="11"/>
      <c r="LS124" s="11"/>
      <c r="LT124" s="11"/>
      <c r="LU124" s="11"/>
      <c r="LV124" s="11"/>
      <c r="LW124" s="11"/>
      <c r="LX124" s="11"/>
      <c r="LY124" s="11"/>
      <c r="LZ124" s="11"/>
      <c r="MA124" s="11"/>
      <c r="MB124" s="11"/>
      <c r="MC124" s="11"/>
      <c r="MD124" s="11"/>
      <c r="ME124" s="11"/>
      <c r="MF124" s="11"/>
      <c r="MG124" s="11"/>
      <c r="MH124" s="11"/>
      <c r="MI124" s="11"/>
      <c r="MJ124" s="11"/>
      <c r="MK124" s="11"/>
      <c r="ML124" s="11"/>
      <c r="MM124" s="11"/>
      <c r="MN124" s="11"/>
      <c r="MO124" s="11"/>
      <c r="MP124" s="11"/>
      <c r="MQ124" s="11"/>
      <c r="MR124" s="11"/>
      <c r="MS124" s="11"/>
      <c r="MT124" s="11"/>
      <c r="MU124" s="11"/>
      <c r="MV124" s="11"/>
      <c r="MW124" s="11"/>
      <c r="MX124" s="11"/>
      <c r="MY124" s="11"/>
      <c r="MZ124" s="11"/>
      <c r="NA124" s="11"/>
      <c r="NB124" s="11"/>
      <c r="NC124" s="11"/>
      <c r="ND124" s="11"/>
      <c r="NE124" s="11"/>
      <c r="NF124" s="11"/>
      <c r="NG124" s="11"/>
      <c r="NH124" s="11"/>
      <c r="NI124" s="11"/>
      <c r="NJ124" s="11"/>
      <c r="NK124" s="11"/>
      <c r="NL124" s="11"/>
      <c r="NM124" s="11"/>
      <c r="NN124" s="11"/>
      <c r="NO124" s="11"/>
      <c r="NP124" s="11"/>
      <c r="NQ124" s="11"/>
      <c r="NR124" s="11"/>
      <c r="NS124" s="11"/>
      <c r="NT124" s="11"/>
      <c r="NU124" s="11"/>
      <c r="NV124" s="11"/>
      <c r="NW124" s="11"/>
      <c r="NX124" s="11"/>
      <c r="NY124" s="11"/>
      <c r="NZ124" s="11"/>
      <c r="OA124" s="11"/>
      <c r="OB124" s="11"/>
      <c r="OC124" s="11"/>
      <c r="OD124" s="11"/>
      <c r="OE124" s="11"/>
      <c r="OF124" s="11"/>
      <c r="OG124" s="11"/>
      <c r="OH124" s="11"/>
      <c r="OI124" s="11"/>
      <c r="OJ124" s="11"/>
      <c r="OK124" s="11"/>
      <c r="OL124" s="11"/>
      <c r="OM124" s="11"/>
      <c r="ON124" s="11"/>
      <c r="OO124" s="11"/>
      <c r="OP124" s="11"/>
      <c r="OQ124" s="11"/>
      <c r="OR124" s="11"/>
      <c r="OS124" s="11"/>
      <c r="OT124" s="11"/>
      <c r="OU124" s="11"/>
      <c r="OV124" s="11"/>
      <c r="OW124" s="11"/>
      <c r="OX124" s="11"/>
      <c r="OY124" s="11"/>
      <c r="OZ124" s="11"/>
      <c r="PA124" s="11"/>
      <c r="PB124" s="11"/>
      <c r="PC124" s="11"/>
      <c r="PD124" s="11"/>
      <c r="PE124" s="11"/>
      <c r="PF124" s="11"/>
      <c r="PG124" s="11"/>
      <c r="PH124" s="11"/>
      <c r="PI124" s="11"/>
      <c r="PJ124" s="11"/>
      <c r="PK124" s="11"/>
      <c r="PL124" s="11"/>
      <c r="PM124" s="11"/>
      <c r="PN124" s="11"/>
      <c r="PO124" s="11"/>
      <c r="PP124" s="11"/>
      <c r="PQ124" s="11"/>
      <c r="PR124" s="11"/>
      <c r="PS124" s="11"/>
      <c r="PT124" s="11"/>
      <c r="PU124" s="11"/>
      <c r="PV124" s="11"/>
      <c r="PW124" s="11"/>
      <c r="PX124" s="11"/>
      <c r="PY124" s="11"/>
      <c r="PZ124" s="11"/>
      <c r="QA124" s="11"/>
      <c r="QB124" s="11"/>
      <c r="QC124" s="11"/>
      <c r="QD124" s="11"/>
      <c r="QE124" s="11"/>
      <c r="QF124" s="11"/>
      <c r="QG124" s="11"/>
      <c r="QH124" s="11"/>
      <c r="QI124" s="11"/>
      <c r="QJ124" s="11"/>
      <c r="QK124" s="11"/>
      <c r="QL124" s="11"/>
      <c r="QM124" s="11"/>
      <c r="QN124" s="11"/>
      <c r="QO124" s="11"/>
      <c r="QP124" s="11"/>
      <c r="QQ124" s="11"/>
      <c r="QR124" s="11"/>
      <c r="QS124" s="11"/>
      <c r="QT124" s="11"/>
      <c r="QU124" s="11"/>
      <c r="QV124" s="11"/>
      <c r="QW124" s="11"/>
      <c r="QX124" s="11"/>
      <c r="QY124" s="11"/>
      <c r="QZ124" s="11"/>
      <c r="RA124" s="11"/>
      <c r="RB124" s="11"/>
      <c r="RC124" s="11"/>
      <c r="RD124" s="11"/>
      <c r="RE124" s="11"/>
      <c r="RF124" s="11"/>
      <c r="RG124" s="11"/>
      <c r="RH124" s="11"/>
      <c r="RI124" s="11"/>
      <c r="RJ124" s="11"/>
      <c r="RK124" s="11"/>
      <c r="RL124" s="11"/>
      <c r="RM124" s="11"/>
      <c r="RN124" s="11"/>
      <c r="RO124" s="11"/>
      <c r="RP124" s="11"/>
      <c r="RQ124" s="11"/>
      <c r="RR124" s="11"/>
      <c r="RS124" s="11"/>
      <c r="RT124" s="11"/>
      <c r="RU124" s="11"/>
      <c r="RV124" s="11"/>
      <c r="RW124" s="11"/>
      <c r="RX124" s="11"/>
      <c r="RY124" s="11"/>
      <c r="RZ124" s="11"/>
      <c r="SA124" s="11"/>
      <c r="SB124" s="11"/>
      <c r="SC124" s="11"/>
      <c r="SD124" s="11"/>
      <c r="SE124" s="11"/>
      <c r="SF124" s="11"/>
      <c r="SG124" s="11"/>
      <c r="SH124" s="11"/>
      <c r="SI124" s="11"/>
      <c r="SJ124" s="11"/>
      <c r="SK124" s="11"/>
      <c r="SL124" s="11"/>
      <c r="SM124" s="11"/>
      <c r="SN124" s="11"/>
      <c r="SO124" s="11"/>
      <c r="SP124" s="11"/>
      <c r="SQ124" s="11"/>
      <c r="SR124" s="11"/>
      <c r="SS124" s="11"/>
      <c r="ST124" s="11"/>
      <c r="SU124" s="11"/>
      <c r="SV124" s="11"/>
      <c r="SW124" s="11"/>
      <c r="SX124" s="11"/>
      <c r="SY124" s="11"/>
      <c r="SZ124" s="11"/>
      <c r="TA124" s="11"/>
      <c r="TB124" s="11"/>
      <c r="TC124" s="11"/>
      <c r="TD124" s="11"/>
      <c r="TE124" s="11"/>
      <c r="TF124" s="11"/>
      <c r="TG124" s="11"/>
      <c r="TH124" s="11"/>
      <c r="TI124" s="11"/>
      <c r="TJ124" s="11"/>
      <c r="TK124" s="11"/>
      <c r="TL124" s="11"/>
      <c r="TM124" s="11"/>
      <c r="TN124" s="11"/>
      <c r="TO124" s="11"/>
      <c r="TP124" s="11"/>
      <c r="TQ124" s="11"/>
      <c r="TR124" s="11"/>
      <c r="TS124" s="11"/>
      <c r="TT124" s="11"/>
      <c r="TU124" s="11"/>
      <c r="TV124" s="11"/>
      <c r="TW124" s="11"/>
      <c r="TX124" s="11"/>
      <c r="TY124" s="11"/>
      <c r="TZ124" s="11"/>
      <c r="UA124" s="11"/>
      <c r="UB124" s="11"/>
      <c r="UC124" s="11"/>
      <c r="UD124" s="11"/>
      <c r="UE124" s="11"/>
      <c r="UF124" s="11"/>
      <c r="UG124" s="11"/>
      <c r="UH124" s="11"/>
      <c r="UI124" s="11"/>
      <c r="UJ124" s="11"/>
      <c r="UK124" s="11"/>
      <c r="UL124" s="11"/>
      <c r="UM124" s="11"/>
      <c r="UN124" s="11"/>
      <c r="UO124" s="11"/>
      <c r="UP124" s="11"/>
      <c r="UQ124" s="11"/>
      <c r="UR124" s="11"/>
      <c r="US124" s="11"/>
      <c r="UT124" s="11"/>
      <c r="UU124" s="11"/>
      <c r="UV124" s="11"/>
      <c r="UW124" s="11"/>
      <c r="UX124" s="11"/>
      <c r="UY124" s="11"/>
      <c r="UZ124" s="11"/>
      <c r="VA124" s="11"/>
      <c r="VB124" s="11"/>
      <c r="VC124" s="11"/>
      <c r="VD124" s="11"/>
      <c r="VE124" s="11"/>
      <c r="VF124" s="11"/>
      <c r="VG124" s="11"/>
      <c r="VH124" s="11"/>
      <c r="VI124" s="11"/>
      <c r="VJ124" s="11"/>
      <c r="VK124" s="11"/>
      <c r="VL124" s="11"/>
      <c r="VM124" s="11"/>
      <c r="VN124" s="11"/>
      <c r="VO124" s="11"/>
      <c r="VP124" s="11"/>
      <c r="VQ124" s="11"/>
      <c r="VR124" s="11"/>
      <c r="VS124" s="11"/>
      <c r="VT124" s="11"/>
      <c r="VU124" s="11"/>
      <c r="VV124" s="11"/>
      <c r="VW124" s="11"/>
      <c r="VX124" s="11"/>
      <c r="VY124" s="11"/>
      <c r="VZ124" s="11"/>
      <c r="WA124" s="11"/>
      <c r="WB124" s="11"/>
      <c r="WC124" s="11"/>
      <c r="WD124" s="11"/>
      <c r="WE124" s="11"/>
      <c r="WF124" s="11"/>
      <c r="WG124" s="11"/>
      <c r="WH124" s="11"/>
      <c r="WI124" s="11"/>
      <c r="WJ124" s="11"/>
      <c r="WK124" s="11"/>
      <c r="WL124" s="11"/>
      <c r="WM124" s="11"/>
      <c r="WN124" s="11"/>
      <c r="WO124" s="11"/>
      <c r="WP124" s="11"/>
      <c r="WQ124" s="11"/>
      <c r="WR124" s="11"/>
      <c r="WS124" s="11"/>
      <c r="WT124" s="11"/>
      <c r="WU124" s="11"/>
      <c r="WV124" s="11"/>
      <c r="WW124" s="11"/>
      <c r="WX124" s="11"/>
      <c r="WY124" s="11"/>
      <c r="WZ124" s="11"/>
      <c r="XA124" s="11"/>
      <c r="XB124" s="11"/>
      <c r="XC124" s="11"/>
      <c r="XD124" s="11"/>
      <c r="XE124" s="11"/>
      <c r="XF124" s="11"/>
      <c r="XG124" s="11"/>
      <c r="XH124" s="11"/>
      <c r="XI124" s="11"/>
      <c r="XJ124" s="11"/>
      <c r="XK124" s="11"/>
      <c r="XL124" s="11"/>
      <c r="XM124" s="11"/>
      <c r="XN124" s="11"/>
      <c r="XO124" s="11"/>
      <c r="XP124" s="11"/>
      <c r="XQ124" s="11"/>
      <c r="XR124" s="11"/>
      <c r="XS124" s="11"/>
      <c r="XT124" s="11"/>
      <c r="XU124" s="11"/>
      <c r="XV124" s="11"/>
      <c r="XW124" s="11"/>
      <c r="XX124" s="11"/>
      <c r="XY124" s="11"/>
      <c r="XZ124" s="11"/>
      <c r="YA124" s="11"/>
      <c r="YB124" s="11"/>
      <c r="YC124" s="11"/>
      <c r="YD124" s="11"/>
      <c r="YE124" s="11"/>
      <c r="YF124" s="11"/>
      <c r="YG124" s="11"/>
      <c r="YH124" s="11"/>
      <c r="YI124" s="11"/>
      <c r="YJ124" s="11"/>
      <c r="YK124" s="11"/>
      <c r="YL124" s="11"/>
      <c r="YM124" s="11"/>
      <c r="YN124" s="11"/>
      <c r="YO124" s="11"/>
      <c r="YP124" s="11"/>
      <c r="YQ124" s="11"/>
      <c r="YR124" s="11"/>
      <c r="YS124" s="11"/>
      <c r="YT124" s="11"/>
      <c r="YU124" s="11"/>
      <c r="YV124" s="11"/>
      <c r="YW124" s="11"/>
      <c r="YX124" s="11"/>
      <c r="YY124" s="11"/>
      <c r="YZ124" s="11"/>
      <c r="ZA124" s="11"/>
      <c r="ZB124" s="11"/>
      <c r="ZC124" s="11"/>
      <c r="ZD124" s="11"/>
      <c r="ZE124" s="11"/>
      <c r="ZF124" s="11"/>
      <c r="ZG124" s="11"/>
      <c r="ZH124" s="11"/>
      <c r="ZI124" s="11"/>
      <c r="ZJ124" s="11"/>
      <c r="ZK124" s="11"/>
      <c r="ZL124" s="11"/>
      <c r="ZM124" s="11"/>
      <c r="ZN124" s="11"/>
      <c r="ZO124" s="11"/>
      <c r="ZP124" s="11"/>
      <c r="ZQ124" s="11"/>
      <c r="ZR124" s="11"/>
      <c r="ZS124" s="11"/>
      <c r="ZT124" s="11"/>
      <c r="ZU124" s="11"/>
      <c r="ZV124" s="11"/>
      <c r="ZW124" s="11"/>
      <c r="ZX124" s="11"/>
      <c r="ZY124" s="11"/>
      <c r="ZZ124" s="11"/>
      <c r="AAA124" s="11"/>
      <c r="AAB124" s="11"/>
      <c r="AAC124" s="11"/>
      <c r="AAD124" s="11"/>
      <c r="AAE124" s="11"/>
      <c r="AAF124" s="11"/>
      <c r="AAG124" s="11"/>
      <c r="AAH124" s="11"/>
      <c r="AAI124" s="11"/>
      <c r="AAJ124" s="11"/>
      <c r="AAK124" s="11"/>
      <c r="AAL124" s="11"/>
      <c r="AAM124" s="11"/>
      <c r="AAN124" s="11"/>
      <c r="AAO124" s="11"/>
      <c r="AAP124" s="11"/>
      <c r="AAQ124" s="11"/>
      <c r="AAR124" s="11"/>
      <c r="AAS124" s="11"/>
      <c r="AAT124" s="11"/>
      <c r="AAU124" s="11"/>
      <c r="AAV124" s="11"/>
      <c r="AAW124" s="11"/>
      <c r="AAX124" s="11"/>
      <c r="AAY124" s="11"/>
      <c r="AAZ124" s="11"/>
      <c r="ABA124" s="11"/>
      <c r="ABB124" s="11"/>
      <c r="ABC124" s="11"/>
      <c r="ABD124" s="11"/>
      <c r="ABE124" s="11"/>
      <c r="ABF124" s="11"/>
      <c r="ABG124" s="11"/>
      <c r="ABH124" s="11"/>
      <c r="ABI124" s="11"/>
      <c r="ABJ124" s="11"/>
      <c r="ABK124" s="11"/>
      <c r="ABL124" s="11"/>
      <c r="ABM124" s="11"/>
      <c r="ABN124" s="11"/>
      <c r="ABO124" s="11"/>
      <c r="ABP124" s="11"/>
      <c r="ABQ124" s="11"/>
      <c r="ABR124" s="11"/>
      <c r="ABS124" s="11"/>
      <c r="ABT124" s="11"/>
      <c r="ABU124" s="11"/>
      <c r="ABV124" s="11"/>
      <c r="ABW124" s="11"/>
      <c r="ABX124" s="11"/>
      <c r="ABY124" s="11"/>
      <c r="ABZ124" s="11"/>
      <c r="ACA124" s="11"/>
      <c r="ACB124" s="11"/>
      <c r="ACC124" s="11"/>
      <c r="ACD124" s="11"/>
      <c r="ACE124" s="11"/>
      <c r="ACF124" s="11"/>
      <c r="ACG124" s="11"/>
      <c r="ACH124" s="11"/>
      <c r="ACI124" s="11"/>
      <c r="ACJ124" s="11"/>
      <c r="ACK124" s="11"/>
      <c r="ACL124" s="11"/>
      <c r="ACM124" s="11"/>
      <c r="ACN124" s="11"/>
      <c r="ACO124" s="11"/>
      <c r="ACP124" s="11"/>
      <c r="ACQ124" s="11"/>
      <c r="ACR124" s="11"/>
      <c r="ACS124" s="11"/>
      <c r="ACT124" s="11"/>
      <c r="ACU124" s="11"/>
      <c r="ACV124" s="11"/>
      <c r="ACW124" s="11"/>
      <c r="ACX124" s="11"/>
      <c r="ACY124" s="11"/>
      <c r="ACZ124" s="11"/>
      <c r="ADA124" s="11"/>
      <c r="ADB124" s="11"/>
      <c r="ADC124" s="11"/>
      <c r="ADD124" s="11"/>
      <c r="ADE124" s="11"/>
      <c r="ADF124" s="11"/>
      <c r="ADG124" s="11"/>
      <c r="ADH124" s="11"/>
      <c r="ADI124" s="11"/>
      <c r="ADJ124" s="11"/>
      <c r="ADK124" s="11"/>
      <c r="ADL124" s="11"/>
      <c r="ADM124" s="11"/>
      <c r="ADN124" s="11"/>
      <c r="ADO124" s="11"/>
      <c r="ADP124" s="11"/>
      <c r="ADQ124" s="11"/>
      <c r="ADR124" s="11"/>
      <c r="ADS124" s="11"/>
      <c r="ADT124" s="11"/>
      <c r="ADU124" s="11"/>
      <c r="ADV124" s="11"/>
      <c r="ADW124" s="11"/>
      <c r="ADX124" s="11"/>
      <c r="ADY124" s="11"/>
      <c r="ADZ124" s="11"/>
      <c r="AEA124" s="11"/>
      <c r="AEB124" s="11"/>
      <c r="AEC124" s="11"/>
      <c r="AED124" s="11"/>
      <c r="AEE124" s="11"/>
      <c r="AEF124" s="11"/>
      <c r="AEG124" s="11"/>
      <c r="AEH124" s="11"/>
      <c r="AEI124" s="11"/>
      <c r="AEJ124" s="11"/>
      <c r="AEK124" s="11"/>
      <c r="AEL124" s="11"/>
      <c r="AEM124" s="11"/>
      <c r="AEN124" s="11"/>
      <c r="AEO124" s="11"/>
      <c r="AEP124" s="11"/>
      <c r="AEQ124" s="11"/>
      <c r="AER124" s="11"/>
      <c r="AES124" s="11"/>
      <c r="AET124" s="11"/>
      <c r="AEU124" s="11"/>
      <c r="AEV124" s="11"/>
      <c r="AEW124" s="11"/>
      <c r="AEX124" s="11"/>
      <c r="AEY124" s="11"/>
      <c r="AEZ124" s="11"/>
      <c r="AFA124" s="11"/>
      <c r="AFB124" s="11"/>
      <c r="AFC124" s="11"/>
      <c r="AFD124" s="11"/>
      <c r="AFE124" s="11"/>
      <c r="AFF124" s="11"/>
      <c r="AFG124" s="11"/>
      <c r="AFH124" s="11"/>
      <c r="AFI124" s="11"/>
    </row>
    <row r="125" spans="2:84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c r="IW125" s="11"/>
      <c r="IX125" s="11"/>
      <c r="IY125" s="11"/>
      <c r="IZ125" s="11"/>
      <c r="JA125" s="11"/>
      <c r="JB125" s="11"/>
      <c r="JC125" s="11"/>
      <c r="JD125" s="11"/>
      <c r="JE125" s="11"/>
      <c r="JF125" s="11"/>
      <c r="JG125" s="11"/>
      <c r="JH125" s="11"/>
      <c r="JI125" s="11"/>
      <c r="JJ125" s="11"/>
      <c r="JK125" s="11"/>
      <c r="JL125" s="11"/>
      <c r="JM125" s="11"/>
      <c r="JN125" s="11"/>
      <c r="JO125" s="11"/>
      <c r="JP125" s="11"/>
      <c r="JQ125" s="11"/>
      <c r="JR125" s="11"/>
      <c r="JS125" s="11"/>
      <c r="JT125" s="11"/>
      <c r="JU125" s="11"/>
      <c r="JV125" s="11"/>
      <c r="JW125" s="11"/>
      <c r="JX125" s="11"/>
      <c r="JY125" s="11"/>
      <c r="JZ125" s="11"/>
      <c r="KA125" s="11"/>
      <c r="KB125" s="11"/>
      <c r="KC125" s="11"/>
      <c r="KD125" s="11"/>
      <c r="KE125" s="11"/>
      <c r="KF125" s="11"/>
      <c r="KG125" s="11"/>
      <c r="KH125" s="11"/>
      <c r="KI125" s="11"/>
      <c r="KJ125" s="11"/>
      <c r="KK125" s="11"/>
      <c r="KL125" s="11"/>
      <c r="KM125" s="11"/>
      <c r="KN125" s="11"/>
      <c r="KO125" s="11"/>
      <c r="KP125" s="11"/>
      <c r="KQ125" s="11"/>
      <c r="KR125" s="11"/>
      <c r="KS125" s="11"/>
      <c r="KT125" s="11"/>
      <c r="KU125" s="11"/>
      <c r="KV125" s="11"/>
      <c r="KW125" s="11"/>
      <c r="KX125" s="11"/>
      <c r="KY125" s="11"/>
      <c r="KZ125" s="11"/>
      <c r="LA125" s="11"/>
      <c r="LB125" s="11"/>
      <c r="LC125" s="11"/>
      <c r="LD125" s="11"/>
      <c r="LE125" s="11"/>
      <c r="LF125" s="11"/>
      <c r="LG125" s="11"/>
      <c r="LH125" s="11"/>
      <c r="LI125" s="11"/>
      <c r="LJ125" s="11"/>
      <c r="LK125" s="11"/>
      <c r="LL125" s="11"/>
      <c r="LM125" s="11"/>
      <c r="LN125" s="11"/>
      <c r="LO125" s="11"/>
      <c r="LP125" s="11"/>
      <c r="LQ125" s="11"/>
      <c r="LR125" s="11"/>
      <c r="LS125" s="11"/>
      <c r="LT125" s="11"/>
      <c r="LU125" s="11"/>
      <c r="LV125" s="11"/>
      <c r="LW125" s="11"/>
      <c r="LX125" s="11"/>
      <c r="LY125" s="11"/>
      <c r="LZ125" s="11"/>
      <c r="MA125" s="11"/>
      <c r="MB125" s="11"/>
      <c r="MC125" s="11"/>
      <c r="MD125" s="11"/>
      <c r="ME125" s="11"/>
      <c r="MF125" s="11"/>
      <c r="MG125" s="11"/>
      <c r="MH125" s="11"/>
      <c r="MI125" s="11"/>
      <c r="MJ125" s="11"/>
      <c r="MK125" s="11"/>
      <c r="ML125" s="11"/>
      <c r="MM125" s="11"/>
      <c r="MN125" s="11"/>
      <c r="MO125" s="11"/>
      <c r="MP125" s="11"/>
      <c r="MQ125" s="11"/>
      <c r="MR125" s="11"/>
      <c r="MS125" s="11"/>
      <c r="MT125" s="11"/>
      <c r="MU125" s="11"/>
      <c r="MV125" s="11"/>
      <c r="MW125" s="11"/>
      <c r="MX125" s="11"/>
      <c r="MY125" s="11"/>
      <c r="MZ125" s="11"/>
      <c r="NA125" s="11"/>
      <c r="NB125" s="11"/>
      <c r="NC125" s="11"/>
      <c r="ND125" s="11"/>
      <c r="NE125" s="11"/>
      <c r="NF125" s="11"/>
      <c r="NG125" s="11"/>
      <c r="NH125" s="11"/>
      <c r="NI125" s="11"/>
      <c r="NJ125" s="11"/>
      <c r="NK125" s="11"/>
      <c r="NL125" s="11"/>
      <c r="NM125" s="11"/>
      <c r="NN125" s="11"/>
      <c r="NO125" s="11"/>
      <c r="NP125" s="11"/>
      <c r="NQ125" s="11"/>
      <c r="NR125" s="11"/>
      <c r="NS125" s="11"/>
      <c r="NT125" s="11"/>
      <c r="NU125" s="11"/>
      <c r="NV125" s="11"/>
      <c r="NW125" s="11"/>
      <c r="NX125" s="11"/>
      <c r="NY125" s="11"/>
      <c r="NZ125" s="11"/>
      <c r="OA125" s="11"/>
      <c r="OB125" s="11"/>
      <c r="OC125" s="11"/>
      <c r="OD125" s="11"/>
      <c r="OE125" s="11"/>
      <c r="OF125" s="11"/>
      <c r="OG125" s="11"/>
      <c r="OH125" s="11"/>
      <c r="OI125" s="11"/>
      <c r="OJ125" s="11"/>
      <c r="OK125" s="11"/>
      <c r="OL125" s="11"/>
      <c r="OM125" s="11"/>
      <c r="ON125" s="11"/>
      <c r="OO125" s="11"/>
      <c r="OP125" s="11"/>
      <c r="OQ125" s="11"/>
      <c r="OR125" s="11"/>
      <c r="OS125" s="11"/>
      <c r="OT125" s="11"/>
      <c r="OU125" s="11"/>
      <c r="OV125" s="11"/>
      <c r="OW125" s="11"/>
      <c r="OX125" s="11"/>
      <c r="OY125" s="11"/>
      <c r="OZ125" s="11"/>
      <c r="PA125" s="11"/>
      <c r="PB125" s="11"/>
      <c r="PC125" s="11"/>
      <c r="PD125" s="11"/>
      <c r="PE125" s="11"/>
      <c r="PF125" s="11"/>
      <c r="PG125" s="11"/>
      <c r="PH125" s="11"/>
      <c r="PI125" s="11"/>
      <c r="PJ125" s="11"/>
      <c r="PK125" s="11"/>
      <c r="PL125" s="11"/>
      <c r="PM125" s="11"/>
      <c r="PN125" s="11"/>
      <c r="PO125" s="11"/>
      <c r="PP125" s="11"/>
      <c r="PQ125" s="11"/>
      <c r="PR125" s="11"/>
      <c r="PS125" s="11"/>
      <c r="PT125" s="11"/>
      <c r="PU125" s="11"/>
      <c r="PV125" s="11"/>
      <c r="PW125" s="11"/>
      <c r="PX125" s="11"/>
      <c r="PY125" s="11"/>
      <c r="PZ125" s="11"/>
      <c r="QA125" s="11"/>
      <c r="QB125" s="11"/>
      <c r="QC125" s="11"/>
      <c r="QD125" s="11"/>
      <c r="QE125" s="11"/>
      <c r="QF125" s="11"/>
      <c r="QG125" s="11"/>
      <c r="QH125" s="11"/>
      <c r="QI125" s="11"/>
      <c r="QJ125" s="11"/>
      <c r="QK125" s="11"/>
      <c r="QL125" s="11"/>
      <c r="QM125" s="11"/>
      <c r="QN125" s="11"/>
      <c r="QO125" s="11"/>
      <c r="QP125" s="11"/>
      <c r="QQ125" s="11"/>
      <c r="QR125" s="11"/>
      <c r="QS125" s="11"/>
      <c r="QT125" s="11"/>
      <c r="QU125" s="11"/>
      <c r="QV125" s="11"/>
      <c r="QW125" s="11"/>
      <c r="QX125" s="11"/>
      <c r="QY125" s="11"/>
      <c r="QZ125" s="11"/>
      <c r="RA125" s="11"/>
      <c r="RB125" s="11"/>
      <c r="RC125" s="11"/>
      <c r="RD125" s="11"/>
      <c r="RE125" s="11"/>
      <c r="RF125" s="11"/>
      <c r="RG125" s="11"/>
      <c r="RH125" s="11"/>
      <c r="RI125" s="11"/>
      <c r="RJ125" s="11"/>
      <c r="RK125" s="11"/>
      <c r="RL125" s="11"/>
      <c r="RM125" s="11"/>
      <c r="RN125" s="11"/>
      <c r="RO125" s="11"/>
      <c r="RP125" s="11"/>
      <c r="RQ125" s="11"/>
      <c r="RR125" s="11"/>
      <c r="RS125" s="11"/>
      <c r="RT125" s="11"/>
      <c r="RU125" s="11"/>
      <c r="RV125" s="11"/>
      <c r="RW125" s="11"/>
      <c r="RX125" s="11"/>
      <c r="RY125" s="11"/>
      <c r="RZ125" s="11"/>
      <c r="SA125" s="11"/>
      <c r="SB125" s="11"/>
      <c r="SC125" s="11"/>
      <c r="SD125" s="11"/>
      <c r="SE125" s="11"/>
      <c r="SF125" s="11"/>
      <c r="SG125" s="11"/>
      <c r="SH125" s="11"/>
      <c r="SI125" s="11"/>
      <c r="SJ125" s="11"/>
      <c r="SK125" s="11"/>
      <c r="SL125" s="11"/>
      <c r="SM125" s="11"/>
      <c r="SN125" s="11"/>
      <c r="SO125" s="11"/>
      <c r="SP125" s="11"/>
      <c r="SQ125" s="11"/>
      <c r="SR125" s="11"/>
      <c r="SS125" s="11"/>
      <c r="ST125" s="11"/>
      <c r="SU125" s="11"/>
      <c r="SV125" s="11"/>
      <c r="SW125" s="11"/>
      <c r="SX125" s="11"/>
      <c r="SY125" s="11"/>
      <c r="SZ125" s="11"/>
      <c r="TA125" s="11"/>
      <c r="TB125" s="11"/>
      <c r="TC125" s="11"/>
      <c r="TD125" s="11"/>
      <c r="TE125" s="11"/>
      <c r="TF125" s="11"/>
      <c r="TG125" s="11"/>
      <c r="TH125" s="11"/>
      <c r="TI125" s="11"/>
      <c r="TJ125" s="11"/>
      <c r="TK125" s="11"/>
      <c r="TL125" s="11"/>
      <c r="TM125" s="11"/>
      <c r="TN125" s="11"/>
      <c r="TO125" s="11"/>
      <c r="TP125" s="11"/>
      <c r="TQ125" s="11"/>
      <c r="TR125" s="11"/>
      <c r="TS125" s="11"/>
      <c r="TT125" s="11"/>
      <c r="TU125" s="11"/>
      <c r="TV125" s="11"/>
      <c r="TW125" s="11"/>
      <c r="TX125" s="11"/>
      <c r="TY125" s="11"/>
      <c r="TZ125" s="11"/>
      <c r="UA125" s="11"/>
      <c r="UB125" s="11"/>
      <c r="UC125" s="11"/>
      <c r="UD125" s="11"/>
      <c r="UE125" s="11"/>
      <c r="UF125" s="11"/>
      <c r="UG125" s="11"/>
      <c r="UH125" s="11"/>
      <c r="UI125" s="11"/>
      <c r="UJ125" s="11"/>
      <c r="UK125" s="11"/>
      <c r="UL125" s="11"/>
      <c r="UM125" s="11"/>
      <c r="UN125" s="11"/>
      <c r="UO125" s="11"/>
      <c r="UP125" s="11"/>
      <c r="UQ125" s="11"/>
      <c r="UR125" s="11"/>
      <c r="US125" s="11"/>
      <c r="UT125" s="11"/>
      <c r="UU125" s="11"/>
      <c r="UV125" s="11"/>
      <c r="UW125" s="11"/>
      <c r="UX125" s="11"/>
      <c r="UY125" s="11"/>
      <c r="UZ125" s="11"/>
      <c r="VA125" s="11"/>
      <c r="VB125" s="11"/>
      <c r="VC125" s="11"/>
      <c r="VD125" s="11"/>
      <c r="VE125" s="11"/>
      <c r="VF125" s="11"/>
      <c r="VG125" s="11"/>
      <c r="VH125" s="11"/>
      <c r="VI125" s="11"/>
      <c r="VJ125" s="11"/>
      <c r="VK125" s="11"/>
      <c r="VL125" s="11"/>
      <c r="VM125" s="11"/>
      <c r="VN125" s="11"/>
      <c r="VO125" s="11"/>
      <c r="VP125" s="11"/>
      <c r="VQ125" s="11"/>
      <c r="VR125" s="11"/>
      <c r="VS125" s="11"/>
      <c r="VT125" s="11"/>
      <c r="VU125" s="11"/>
      <c r="VV125" s="11"/>
      <c r="VW125" s="11"/>
      <c r="VX125" s="11"/>
      <c r="VY125" s="11"/>
      <c r="VZ125" s="11"/>
      <c r="WA125" s="11"/>
      <c r="WB125" s="11"/>
      <c r="WC125" s="11"/>
      <c r="WD125" s="11"/>
      <c r="WE125" s="11"/>
      <c r="WF125" s="11"/>
      <c r="WG125" s="11"/>
      <c r="WH125" s="11"/>
      <c r="WI125" s="11"/>
      <c r="WJ125" s="11"/>
      <c r="WK125" s="11"/>
      <c r="WL125" s="11"/>
      <c r="WM125" s="11"/>
      <c r="WN125" s="11"/>
      <c r="WO125" s="11"/>
      <c r="WP125" s="11"/>
      <c r="WQ125" s="11"/>
      <c r="WR125" s="11"/>
      <c r="WS125" s="11"/>
      <c r="WT125" s="11"/>
      <c r="WU125" s="11"/>
      <c r="WV125" s="11"/>
      <c r="WW125" s="11"/>
      <c r="WX125" s="11"/>
      <c r="WY125" s="11"/>
      <c r="WZ125" s="11"/>
      <c r="XA125" s="11"/>
      <c r="XB125" s="11"/>
      <c r="XC125" s="11"/>
      <c r="XD125" s="11"/>
      <c r="XE125" s="11"/>
      <c r="XF125" s="11"/>
      <c r="XG125" s="11"/>
      <c r="XH125" s="11"/>
      <c r="XI125" s="11"/>
      <c r="XJ125" s="11"/>
      <c r="XK125" s="11"/>
      <c r="XL125" s="11"/>
      <c r="XM125" s="11"/>
      <c r="XN125" s="11"/>
      <c r="XO125" s="11"/>
      <c r="XP125" s="11"/>
      <c r="XQ125" s="11"/>
      <c r="XR125" s="11"/>
      <c r="XS125" s="11"/>
      <c r="XT125" s="11"/>
      <c r="XU125" s="11"/>
      <c r="XV125" s="11"/>
      <c r="XW125" s="11"/>
      <c r="XX125" s="11"/>
      <c r="XY125" s="11"/>
      <c r="XZ125" s="11"/>
      <c r="YA125" s="11"/>
      <c r="YB125" s="11"/>
      <c r="YC125" s="11"/>
      <c r="YD125" s="11"/>
      <c r="YE125" s="11"/>
      <c r="YF125" s="11"/>
      <c r="YG125" s="11"/>
      <c r="YH125" s="11"/>
      <c r="YI125" s="11"/>
      <c r="YJ125" s="11"/>
      <c r="YK125" s="11"/>
      <c r="YL125" s="11"/>
      <c r="YM125" s="11"/>
      <c r="YN125" s="11"/>
      <c r="YO125" s="11"/>
      <c r="YP125" s="11"/>
      <c r="YQ125" s="11"/>
      <c r="YR125" s="11"/>
      <c r="YS125" s="11"/>
      <c r="YT125" s="11"/>
      <c r="YU125" s="11"/>
      <c r="YV125" s="11"/>
      <c r="YW125" s="11"/>
      <c r="YX125" s="11"/>
      <c r="YY125" s="11"/>
      <c r="YZ125" s="11"/>
      <c r="ZA125" s="11"/>
      <c r="ZB125" s="11"/>
      <c r="ZC125" s="11"/>
      <c r="ZD125" s="11"/>
      <c r="ZE125" s="11"/>
      <c r="ZF125" s="11"/>
      <c r="ZG125" s="11"/>
      <c r="ZH125" s="11"/>
      <c r="ZI125" s="11"/>
      <c r="ZJ125" s="11"/>
      <c r="ZK125" s="11"/>
      <c r="ZL125" s="11"/>
      <c r="ZM125" s="11"/>
      <c r="ZN125" s="11"/>
      <c r="ZO125" s="11"/>
      <c r="ZP125" s="11"/>
      <c r="ZQ125" s="11"/>
      <c r="ZR125" s="11"/>
      <c r="ZS125" s="11"/>
      <c r="ZT125" s="11"/>
      <c r="ZU125" s="11"/>
      <c r="ZV125" s="11"/>
      <c r="ZW125" s="11"/>
      <c r="ZX125" s="11"/>
      <c r="ZY125" s="11"/>
      <c r="ZZ125" s="11"/>
      <c r="AAA125" s="11"/>
      <c r="AAB125" s="11"/>
      <c r="AAC125" s="11"/>
      <c r="AAD125" s="11"/>
      <c r="AAE125" s="11"/>
      <c r="AAF125" s="11"/>
      <c r="AAG125" s="11"/>
      <c r="AAH125" s="11"/>
      <c r="AAI125" s="11"/>
      <c r="AAJ125" s="11"/>
      <c r="AAK125" s="11"/>
      <c r="AAL125" s="11"/>
      <c r="AAM125" s="11"/>
      <c r="AAN125" s="11"/>
      <c r="AAO125" s="11"/>
      <c r="AAP125" s="11"/>
      <c r="AAQ125" s="11"/>
      <c r="AAR125" s="11"/>
      <c r="AAS125" s="11"/>
      <c r="AAT125" s="11"/>
      <c r="AAU125" s="11"/>
      <c r="AAV125" s="11"/>
      <c r="AAW125" s="11"/>
      <c r="AAX125" s="11"/>
      <c r="AAY125" s="11"/>
      <c r="AAZ125" s="11"/>
      <c r="ABA125" s="11"/>
      <c r="ABB125" s="11"/>
      <c r="ABC125" s="11"/>
      <c r="ABD125" s="11"/>
      <c r="ABE125" s="11"/>
      <c r="ABF125" s="11"/>
      <c r="ABG125" s="11"/>
      <c r="ABH125" s="11"/>
      <c r="ABI125" s="11"/>
      <c r="ABJ125" s="11"/>
      <c r="ABK125" s="11"/>
      <c r="ABL125" s="11"/>
      <c r="ABM125" s="11"/>
      <c r="ABN125" s="11"/>
      <c r="ABO125" s="11"/>
      <c r="ABP125" s="11"/>
      <c r="ABQ125" s="11"/>
      <c r="ABR125" s="11"/>
      <c r="ABS125" s="11"/>
      <c r="ABT125" s="11"/>
      <c r="ABU125" s="11"/>
      <c r="ABV125" s="11"/>
      <c r="ABW125" s="11"/>
      <c r="ABX125" s="11"/>
      <c r="ABY125" s="11"/>
      <c r="ABZ125" s="11"/>
      <c r="ACA125" s="11"/>
      <c r="ACB125" s="11"/>
      <c r="ACC125" s="11"/>
      <c r="ACD125" s="11"/>
      <c r="ACE125" s="11"/>
      <c r="ACF125" s="11"/>
      <c r="ACG125" s="11"/>
      <c r="ACH125" s="11"/>
      <c r="ACI125" s="11"/>
      <c r="ACJ125" s="11"/>
      <c r="ACK125" s="11"/>
      <c r="ACL125" s="11"/>
      <c r="ACM125" s="11"/>
      <c r="ACN125" s="11"/>
      <c r="ACO125" s="11"/>
      <c r="ACP125" s="11"/>
      <c r="ACQ125" s="11"/>
      <c r="ACR125" s="11"/>
      <c r="ACS125" s="11"/>
      <c r="ACT125" s="11"/>
      <c r="ACU125" s="11"/>
      <c r="ACV125" s="11"/>
      <c r="ACW125" s="11"/>
      <c r="ACX125" s="11"/>
      <c r="ACY125" s="11"/>
      <c r="ACZ125" s="11"/>
      <c r="ADA125" s="11"/>
      <c r="ADB125" s="11"/>
      <c r="ADC125" s="11"/>
      <c r="ADD125" s="11"/>
      <c r="ADE125" s="11"/>
      <c r="ADF125" s="11"/>
      <c r="ADG125" s="11"/>
      <c r="ADH125" s="11"/>
      <c r="ADI125" s="11"/>
      <c r="ADJ125" s="11"/>
      <c r="ADK125" s="11"/>
      <c r="ADL125" s="11"/>
      <c r="ADM125" s="11"/>
      <c r="ADN125" s="11"/>
      <c r="ADO125" s="11"/>
      <c r="ADP125" s="11"/>
      <c r="ADQ125" s="11"/>
      <c r="ADR125" s="11"/>
      <c r="ADS125" s="11"/>
      <c r="ADT125" s="11"/>
      <c r="ADU125" s="11"/>
      <c r="ADV125" s="11"/>
      <c r="ADW125" s="11"/>
      <c r="ADX125" s="11"/>
      <c r="ADY125" s="11"/>
      <c r="ADZ125" s="11"/>
      <c r="AEA125" s="11"/>
      <c r="AEB125" s="11"/>
      <c r="AEC125" s="11"/>
      <c r="AED125" s="11"/>
      <c r="AEE125" s="11"/>
      <c r="AEF125" s="11"/>
      <c r="AEG125" s="11"/>
      <c r="AEH125" s="11"/>
      <c r="AEI125" s="11"/>
      <c r="AEJ125" s="11"/>
      <c r="AEK125" s="11"/>
      <c r="AEL125" s="11"/>
      <c r="AEM125" s="11"/>
      <c r="AEN125" s="11"/>
      <c r="AEO125" s="11"/>
      <c r="AEP125" s="11"/>
      <c r="AEQ125" s="11"/>
      <c r="AER125" s="11"/>
      <c r="AES125" s="11"/>
      <c r="AET125" s="11"/>
      <c r="AEU125" s="11"/>
      <c r="AEV125" s="11"/>
      <c r="AEW125" s="11"/>
      <c r="AEX125" s="11"/>
      <c r="AEY125" s="11"/>
      <c r="AEZ125" s="11"/>
      <c r="AFA125" s="11"/>
      <c r="AFB125" s="11"/>
      <c r="AFC125" s="11"/>
      <c r="AFD125" s="11"/>
      <c r="AFE125" s="11"/>
      <c r="AFF125" s="11"/>
      <c r="AFG125" s="11"/>
      <c r="AFH125" s="11"/>
      <c r="AFI125" s="11"/>
    </row>
    <row r="126" spans="2:84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c r="IW126" s="11"/>
      <c r="IX126" s="11"/>
      <c r="IY126" s="11"/>
      <c r="IZ126" s="11"/>
      <c r="JA126" s="11"/>
      <c r="JB126" s="11"/>
      <c r="JC126" s="11"/>
      <c r="JD126" s="11"/>
      <c r="JE126" s="11"/>
      <c r="JF126" s="11"/>
      <c r="JG126" s="11"/>
      <c r="JH126" s="11"/>
      <c r="JI126" s="11"/>
      <c r="JJ126" s="11"/>
      <c r="JK126" s="11"/>
      <c r="JL126" s="11"/>
      <c r="JM126" s="11"/>
      <c r="JN126" s="11"/>
      <c r="JO126" s="11"/>
      <c r="JP126" s="11"/>
      <c r="JQ126" s="11"/>
      <c r="JR126" s="11"/>
      <c r="JS126" s="11"/>
      <c r="JT126" s="11"/>
      <c r="JU126" s="11"/>
      <c r="JV126" s="11"/>
      <c r="JW126" s="11"/>
      <c r="JX126" s="11"/>
      <c r="JY126" s="11"/>
      <c r="JZ126" s="11"/>
      <c r="KA126" s="11"/>
      <c r="KB126" s="11"/>
      <c r="KC126" s="11"/>
      <c r="KD126" s="11"/>
      <c r="KE126" s="11"/>
      <c r="KF126" s="11"/>
      <c r="KG126" s="11"/>
      <c r="KH126" s="11"/>
      <c r="KI126" s="11"/>
      <c r="KJ126" s="11"/>
      <c r="KK126" s="11"/>
      <c r="KL126" s="11"/>
      <c r="KM126" s="11"/>
      <c r="KN126" s="11"/>
      <c r="KO126" s="11"/>
      <c r="KP126" s="11"/>
      <c r="KQ126" s="11"/>
      <c r="KR126" s="11"/>
      <c r="KS126" s="11"/>
      <c r="KT126" s="11"/>
      <c r="KU126" s="11"/>
      <c r="KV126" s="11"/>
      <c r="KW126" s="11"/>
      <c r="KX126" s="11"/>
      <c r="KY126" s="11"/>
      <c r="KZ126" s="11"/>
      <c r="LA126" s="11"/>
      <c r="LB126" s="11"/>
      <c r="LC126" s="11"/>
      <c r="LD126" s="11"/>
      <c r="LE126" s="11"/>
      <c r="LF126" s="11"/>
      <c r="LG126" s="11"/>
      <c r="LH126" s="11"/>
      <c r="LI126" s="11"/>
      <c r="LJ126" s="11"/>
      <c r="LK126" s="11"/>
      <c r="LL126" s="11"/>
      <c r="LM126" s="11"/>
      <c r="LN126" s="11"/>
      <c r="LO126" s="11"/>
      <c r="LP126" s="11"/>
      <c r="LQ126" s="11"/>
      <c r="LR126" s="11"/>
      <c r="LS126" s="11"/>
      <c r="LT126" s="11"/>
      <c r="LU126" s="11"/>
      <c r="LV126" s="11"/>
      <c r="LW126" s="11"/>
      <c r="LX126" s="11"/>
      <c r="LY126" s="11"/>
      <c r="LZ126" s="11"/>
      <c r="MA126" s="11"/>
      <c r="MB126" s="11"/>
      <c r="MC126" s="11"/>
      <c r="MD126" s="11"/>
      <c r="ME126" s="11"/>
      <c r="MF126" s="11"/>
      <c r="MG126" s="11"/>
      <c r="MH126" s="11"/>
      <c r="MI126" s="11"/>
      <c r="MJ126" s="11"/>
      <c r="MK126" s="11"/>
      <c r="ML126" s="11"/>
      <c r="MM126" s="11"/>
      <c r="MN126" s="11"/>
      <c r="MO126" s="11"/>
      <c r="MP126" s="11"/>
      <c r="MQ126" s="11"/>
      <c r="MR126" s="11"/>
      <c r="MS126" s="11"/>
      <c r="MT126" s="11"/>
      <c r="MU126" s="11"/>
      <c r="MV126" s="11"/>
      <c r="MW126" s="11"/>
      <c r="MX126" s="11"/>
      <c r="MY126" s="11"/>
      <c r="MZ126" s="11"/>
      <c r="NA126" s="11"/>
      <c r="NB126" s="11"/>
      <c r="NC126" s="11"/>
      <c r="ND126" s="11"/>
      <c r="NE126" s="11"/>
      <c r="NF126" s="11"/>
      <c r="NG126" s="11"/>
      <c r="NH126" s="11"/>
      <c r="NI126" s="11"/>
      <c r="NJ126" s="11"/>
      <c r="NK126" s="11"/>
      <c r="NL126" s="11"/>
      <c r="NM126" s="11"/>
      <c r="NN126" s="11"/>
      <c r="NO126" s="11"/>
      <c r="NP126" s="11"/>
      <c r="NQ126" s="11"/>
      <c r="NR126" s="11"/>
      <c r="NS126" s="11"/>
      <c r="NT126" s="11"/>
      <c r="NU126" s="11"/>
      <c r="NV126" s="11"/>
      <c r="NW126" s="11"/>
      <c r="NX126" s="11"/>
      <c r="NY126" s="11"/>
      <c r="NZ126" s="11"/>
      <c r="OA126" s="11"/>
      <c r="OB126" s="11"/>
      <c r="OC126" s="11"/>
      <c r="OD126" s="11"/>
      <c r="OE126" s="11"/>
      <c r="OF126" s="11"/>
      <c r="OG126" s="11"/>
      <c r="OH126" s="11"/>
      <c r="OI126" s="11"/>
      <c r="OJ126" s="11"/>
      <c r="OK126" s="11"/>
      <c r="OL126" s="11"/>
      <c r="OM126" s="11"/>
      <c r="ON126" s="11"/>
      <c r="OO126" s="11"/>
      <c r="OP126" s="11"/>
      <c r="OQ126" s="11"/>
      <c r="OR126" s="11"/>
      <c r="OS126" s="11"/>
      <c r="OT126" s="11"/>
      <c r="OU126" s="11"/>
      <c r="OV126" s="11"/>
      <c r="OW126" s="11"/>
      <c r="OX126" s="11"/>
      <c r="OY126" s="11"/>
      <c r="OZ126" s="11"/>
      <c r="PA126" s="11"/>
      <c r="PB126" s="11"/>
      <c r="PC126" s="11"/>
      <c r="PD126" s="11"/>
      <c r="PE126" s="11"/>
      <c r="PF126" s="11"/>
      <c r="PG126" s="11"/>
      <c r="PH126" s="11"/>
      <c r="PI126" s="11"/>
      <c r="PJ126" s="11"/>
      <c r="PK126" s="11"/>
      <c r="PL126" s="11"/>
      <c r="PM126" s="11"/>
      <c r="PN126" s="11"/>
      <c r="PO126" s="11"/>
      <c r="PP126" s="11"/>
      <c r="PQ126" s="11"/>
      <c r="PR126" s="11"/>
      <c r="PS126" s="11"/>
      <c r="PT126" s="11"/>
      <c r="PU126" s="11"/>
      <c r="PV126" s="11"/>
      <c r="PW126" s="11"/>
      <c r="PX126" s="11"/>
      <c r="PY126" s="11"/>
      <c r="PZ126" s="11"/>
      <c r="QA126" s="11"/>
      <c r="QB126" s="11"/>
      <c r="QC126" s="11"/>
      <c r="QD126" s="11"/>
      <c r="QE126" s="11"/>
      <c r="QF126" s="11"/>
      <c r="QG126" s="11"/>
      <c r="QH126" s="11"/>
      <c r="QI126" s="11"/>
      <c r="QJ126" s="11"/>
      <c r="QK126" s="11"/>
      <c r="QL126" s="11"/>
      <c r="QM126" s="11"/>
      <c r="QN126" s="11"/>
      <c r="QO126" s="11"/>
      <c r="QP126" s="11"/>
      <c r="QQ126" s="11"/>
      <c r="QR126" s="11"/>
      <c r="QS126" s="11"/>
      <c r="QT126" s="11"/>
      <c r="QU126" s="11"/>
      <c r="QV126" s="11"/>
      <c r="QW126" s="11"/>
      <c r="QX126" s="11"/>
      <c r="QY126" s="11"/>
      <c r="QZ126" s="11"/>
      <c r="RA126" s="11"/>
      <c r="RB126" s="11"/>
      <c r="RC126" s="11"/>
      <c r="RD126" s="11"/>
      <c r="RE126" s="11"/>
      <c r="RF126" s="11"/>
      <c r="RG126" s="11"/>
      <c r="RH126" s="11"/>
      <c r="RI126" s="11"/>
      <c r="RJ126" s="11"/>
      <c r="RK126" s="11"/>
      <c r="RL126" s="11"/>
      <c r="RM126" s="11"/>
      <c r="RN126" s="11"/>
      <c r="RO126" s="11"/>
      <c r="RP126" s="11"/>
      <c r="RQ126" s="11"/>
      <c r="RR126" s="11"/>
      <c r="RS126" s="11"/>
      <c r="RT126" s="11"/>
      <c r="RU126" s="11"/>
      <c r="RV126" s="11"/>
      <c r="RW126" s="11"/>
      <c r="RX126" s="11"/>
      <c r="RY126" s="11"/>
      <c r="RZ126" s="11"/>
      <c r="SA126" s="11"/>
      <c r="SB126" s="11"/>
      <c r="SC126" s="11"/>
      <c r="SD126" s="11"/>
      <c r="SE126" s="11"/>
      <c r="SF126" s="11"/>
      <c r="SG126" s="11"/>
      <c r="SH126" s="11"/>
      <c r="SI126" s="11"/>
      <c r="SJ126" s="11"/>
      <c r="SK126" s="11"/>
      <c r="SL126" s="11"/>
      <c r="SM126" s="11"/>
      <c r="SN126" s="11"/>
      <c r="SO126" s="11"/>
      <c r="SP126" s="11"/>
      <c r="SQ126" s="11"/>
      <c r="SR126" s="11"/>
      <c r="SS126" s="11"/>
      <c r="ST126" s="11"/>
      <c r="SU126" s="11"/>
      <c r="SV126" s="11"/>
      <c r="SW126" s="11"/>
      <c r="SX126" s="11"/>
      <c r="SY126" s="11"/>
      <c r="SZ126" s="11"/>
      <c r="TA126" s="11"/>
      <c r="TB126" s="11"/>
      <c r="TC126" s="11"/>
      <c r="TD126" s="11"/>
      <c r="TE126" s="11"/>
      <c r="TF126" s="11"/>
      <c r="TG126" s="11"/>
      <c r="TH126" s="11"/>
      <c r="TI126" s="11"/>
      <c r="TJ126" s="11"/>
      <c r="TK126" s="11"/>
      <c r="TL126" s="11"/>
      <c r="TM126" s="11"/>
      <c r="TN126" s="11"/>
      <c r="TO126" s="11"/>
      <c r="TP126" s="11"/>
      <c r="TQ126" s="11"/>
      <c r="TR126" s="11"/>
      <c r="TS126" s="11"/>
      <c r="TT126" s="11"/>
      <c r="TU126" s="11"/>
      <c r="TV126" s="11"/>
      <c r="TW126" s="11"/>
      <c r="TX126" s="11"/>
      <c r="TY126" s="11"/>
      <c r="TZ126" s="11"/>
      <c r="UA126" s="11"/>
      <c r="UB126" s="11"/>
      <c r="UC126" s="11"/>
      <c r="UD126" s="11"/>
      <c r="UE126" s="11"/>
      <c r="UF126" s="11"/>
      <c r="UG126" s="11"/>
      <c r="UH126" s="11"/>
      <c r="UI126" s="11"/>
      <c r="UJ126" s="11"/>
      <c r="UK126" s="11"/>
      <c r="UL126" s="11"/>
      <c r="UM126" s="11"/>
      <c r="UN126" s="11"/>
      <c r="UO126" s="11"/>
      <c r="UP126" s="11"/>
      <c r="UQ126" s="11"/>
      <c r="UR126" s="11"/>
      <c r="US126" s="11"/>
      <c r="UT126" s="11"/>
      <c r="UU126" s="11"/>
      <c r="UV126" s="11"/>
      <c r="UW126" s="11"/>
      <c r="UX126" s="11"/>
      <c r="UY126" s="11"/>
      <c r="UZ126" s="11"/>
      <c r="VA126" s="11"/>
      <c r="VB126" s="11"/>
      <c r="VC126" s="11"/>
      <c r="VD126" s="11"/>
      <c r="VE126" s="11"/>
      <c r="VF126" s="11"/>
      <c r="VG126" s="11"/>
      <c r="VH126" s="11"/>
      <c r="VI126" s="11"/>
      <c r="VJ126" s="11"/>
      <c r="VK126" s="11"/>
      <c r="VL126" s="11"/>
      <c r="VM126" s="11"/>
      <c r="VN126" s="11"/>
      <c r="VO126" s="11"/>
      <c r="VP126" s="11"/>
      <c r="VQ126" s="11"/>
      <c r="VR126" s="11"/>
      <c r="VS126" s="11"/>
      <c r="VT126" s="11"/>
      <c r="VU126" s="11"/>
      <c r="VV126" s="11"/>
      <c r="VW126" s="11"/>
      <c r="VX126" s="11"/>
      <c r="VY126" s="11"/>
      <c r="VZ126" s="11"/>
      <c r="WA126" s="11"/>
      <c r="WB126" s="11"/>
      <c r="WC126" s="11"/>
      <c r="WD126" s="11"/>
      <c r="WE126" s="11"/>
      <c r="WF126" s="11"/>
      <c r="WG126" s="11"/>
      <c r="WH126" s="11"/>
      <c r="WI126" s="11"/>
      <c r="WJ126" s="11"/>
      <c r="WK126" s="11"/>
      <c r="WL126" s="11"/>
      <c r="WM126" s="11"/>
      <c r="WN126" s="11"/>
      <c r="WO126" s="11"/>
      <c r="WP126" s="11"/>
      <c r="WQ126" s="11"/>
      <c r="WR126" s="11"/>
      <c r="WS126" s="11"/>
      <c r="WT126" s="11"/>
      <c r="WU126" s="11"/>
      <c r="WV126" s="11"/>
      <c r="WW126" s="11"/>
      <c r="WX126" s="11"/>
      <c r="WY126" s="11"/>
      <c r="WZ126" s="11"/>
      <c r="XA126" s="11"/>
      <c r="XB126" s="11"/>
      <c r="XC126" s="11"/>
      <c r="XD126" s="11"/>
      <c r="XE126" s="11"/>
      <c r="XF126" s="11"/>
      <c r="XG126" s="11"/>
      <c r="XH126" s="11"/>
      <c r="XI126" s="11"/>
      <c r="XJ126" s="11"/>
      <c r="XK126" s="11"/>
      <c r="XL126" s="11"/>
      <c r="XM126" s="11"/>
      <c r="XN126" s="11"/>
      <c r="XO126" s="11"/>
      <c r="XP126" s="11"/>
      <c r="XQ126" s="11"/>
      <c r="XR126" s="11"/>
      <c r="XS126" s="11"/>
      <c r="XT126" s="11"/>
      <c r="XU126" s="11"/>
      <c r="XV126" s="11"/>
      <c r="XW126" s="11"/>
      <c r="XX126" s="11"/>
      <c r="XY126" s="11"/>
      <c r="XZ126" s="11"/>
      <c r="YA126" s="11"/>
      <c r="YB126" s="11"/>
      <c r="YC126" s="11"/>
      <c r="YD126" s="11"/>
      <c r="YE126" s="11"/>
      <c r="YF126" s="11"/>
      <c r="YG126" s="11"/>
      <c r="YH126" s="11"/>
      <c r="YI126" s="11"/>
      <c r="YJ126" s="11"/>
      <c r="YK126" s="11"/>
      <c r="YL126" s="11"/>
      <c r="YM126" s="11"/>
      <c r="YN126" s="11"/>
      <c r="YO126" s="11"/>
      <c r="YP126" s="11"/>
      <c r="YQ126" s="11"/>
      <c r="YR126" s="11"/>
      <c r="YS126" s="11"/>
      <c r="YT126" s="11"/>
      <c r="YU126" s="11"/>
      <c r="YV126" s="11"/>
      <c r="YW126" s="11"/>
      <c r="YX126" s="11"/>
      <c r="YY126" s="11"/>
      <c r="YZ126" s="11"/>
      <c r="ZA126" s="11"/>
      <c r="ZB126" s="11"/>
      <c r="ZC126" s="11"/>
      <c r="ZD126" s="11"/>
      <c r="ZE126" s="11"/>
      <c r="ZF126" s="11"/>
      <c r="ZG126" s="11"/>
      <c r="ZH126" s="11"/>
      <c r="ZI126" s="11"/>
      <c r="ZJ126" s="11"/>
      <c r="ZK126" s="11"/>
      <c r="ZL126" s="11"/>
      <c r="ZM126" s="11"/>
      <c r="ZN126" s="11"/>
      <c r="ZO126" s="11"/>
      <c r="ZP126" s="11"/>
      <c r="ZQ126" s="11"/>
      <c r="ZR126" s="11"/>
      <c r="ZS126" s="11"/>
      <c r="ZT126" s="11"/>
      <c r="ZU126" s="11"/>
      <c r="ZV126" s="11"/>
      <c r="ZW126" s="11"/>
      <c r="ZX126" s="11"/>
      <c r="ZY126" s="11"/>
      <c r="ZZ126" s="11"/>
      <c r="AAA126" s="11"/>
      <c r="AAB126" s="11"/>
      <c r="AAC126" s="11"/>
      <c r="AAD126" s="11"/>
      <c r="AAE126" s="11"/>
      <c r="AAF126" s="11"/>
      <c r="AAG126" s="11"/>
      <c r="AAH126" s="11"/>
      <c r="AAI126" s="11"/>
      <c r="AAJ126" s="11"/>
      <c r="AAK126" s="11"/>
      <c r="AAL126" s="11"/>
      <c r="AAM126" s="11"/>
      <c r="AAN126" s="11"/>
      <c r="AAO126" s="11"/>
      <c r="AAP126" s="11"/>
      <c r="AAQ126" s="11"/>
      <c r="AAR126" s="11"/>
      <c r="AAS126" s="11"/>
      <c r="AAT126" s="11"/>
      <c r="AAU126" s="11"/>
      <c r="AAV126" s="11"/>
      <c r="AAW126" s="11"/>
      <c r="AAX126" s="11"/>
      <c r="AAY126" s="11"/>
      <c r="AAZ126" s="11"/>
      <c r="ABA126" s="11"/>
      <c r="ABB126" s="11"/>
      <c r="ABC126" s="11"/>
      <c r="ABD126" s="11"/>
      <c r="ABE126" s="11"/>
      <c r="ABF126" s="11"/>
      <c r="ABG126" s="11"/>
      <c r="ABH126" s="11"/>
      <c r="ABI126" s="11"/>
      <c r="ABJ126" s="11"/>
      <c r="ABK126" s="11"/>
      <c r="ABL126" s="11"/>
      <c r="ABM126" s="11"/>
      <c r="ABN126" s="11"/>
      <c r="ABO126" s="11"/>
      <c r="ABP126" s="11"/>
      <c r="ABQ126" s="11"/>
      <c r="ABR126" s="11"/>
      <c r="ABS126" s="11"/>
      <c r="ABT126" s="11"/>
      <c r="ABU126" s="11"/>
      <c r="ABV126" s="11"/>
      <c r="ABW126" s="11"/>
      <c r="ABX126" s="11"/>
      <c r="ABY126" s="11"/>
      <c r="ABZ126" s="11"/>
      <c r="ACA126" s="11"/>
      <c r="ACB126" s="11"/>
      <c r="ACC126" s="11"/>
      <c r="ACD126" s="11"/>
      <c r="ACE126" s="11"/>
      <c r="ACF126" s="11"/>
      <c r="ACG126" s="11"/>
      <c r="ACH126" s="11"/>
      <c r="ACI126" s="11"/>
      <c r="ACJ126" s="11"/>
      <c r="ACK126" s="11"/>
      <c r="ACL126" s="11"/>
      <c r="ACM126" s="11"/>
      <c r="ACN126" s="11"/>
      <c r="ACO126" s="11"/>
      <c r="ACP126" s="11"/>
      <c r="ACQ126" s="11"/>
      <c r="ACR126" s="11"/>
      <c r="ACS126" s="11"/>
      <c r="ACT126" s="11"/>
      <c r="ACU126" s="11"/>
      <c r="ACV126" s="11"/>
      <c r="ACW126" s="11"/>
      <c r="ACX126" s="11"/>
      <c r="ACY126" s="11"/>
      <c r="ACZ126" s="11"/>
      <c r="ADA126" s="11"/>
      <c r="ADB126" s="11"/>
      <c r="ADC126" s="11"/>
      <c r="ADD126" s="11"/>
      <c r="ADE126" s="11"/>
      <c r="ADF126" s="11"/>
      <c r="ADG126" s="11"/>
      <c r="ADH126" s="11"/>
      <c r="ADI126" s="11"/>
      <c r="ADJ126" s="11"/>
      <c r="ADK126" s="11"/>
      <c r="ADL126" s="11"/>
      <c r="ADM126" s="11"/>
      <c r="ADN126" s="11"/>
      <c r="ADO126" s="11"/>
      <c r="ADP126" s="11"/>
      <c r="ADQ126" s="11"/>
      <c r="ADR126" s="11"/>
      <c r="ADS126" s="11"/>
      <c r="ADT126" s="11"/>
      <c r="ADU126" s="11"/>
      <c r="ADV126" s="11"/>
      <c r="ADW126" s="11"/>
      <c r="ADX126" s="11"/>
      <c r="ADY126" s="11"/>
      <c r="ADZ126" s="11"/>
      <c r="AEA126" s="11"/>
      <c r="AEB126" s="11"/>
      <c r="AEC126" s="11"/>
      <c r="AED126" s="11"/>
      <c r="AEE126" s="11"/>
      <c r="AEF126" s="11"/>
      <c r="AEG126" s="11"/>
      <c r="AEH126" s="11"/>
      <c r="AEI126" s="11"/>
      <c r="AEJ126" s="11"/>
      <c r="AEK126" s="11"/>
      <c r="AEL126" s="11"/>
      <c r="AEM126" s="11"/>
      <c r="AEN126" s="11"/>
      <c r="AEO126" s="11"/>
      <c r="AEP126" s="11"/>
      <c r="AEQ126" s="11"/>
      <c r="AER126" s="11"/>
      <c r="AES126" s="11"/>
      <c r="AET126" s="11"/>
      <c r="AEU126" s="11"/>
      <c r="AEV126" s="11"/>
      <c r="AEW126" s="11"/>
      <c r="AEX126" s="11"/>
      <c r="AEY126" s="11"/>
      <c r="AEZ126" s="11"/>
      <c r="AFA126" s="11"/>
      <c r="AFB126" s="11"/>
      <c r="AFC126" s="11"/>
      <c r="AFD126" s="11"/>
      <c r="AFE126" s="11"/>
      <c r="AFF126" s="11"/>
      <c r="AFG126" s="11"/>
      <c r="AFH126" s="11"/>
      <c r="AFI126" s="11"/>
    </row>
    <row r="127" spans="2:84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c r="IW127" s="11"/>
      <c r="IX127" s="11"/>
      <c r="IY127" s="11"/>
      <c r="IZ127" s="11"/>
      <c r="JA127" s="11"/>
      <c r="JB127" s="11"/>
      <c r="JC127" s="11"/>
      <c r="JD127" s="11"/>
      <c r="JE127" s="11"/>
      <c r="JF127" s="11"/>
      <c r="JG127" s="11"/>
      <c r="JH127" s="11"/>
      <c r="JI127" s="11"/>
      <c r="JJ127" s="11"/>
      <c r="JK127" s="11"/>
      <c r="JL127" s="11"/>
      <c r="JM127" s="11"/>
      <c r="JN127" s="11"/>
      <c r="JO127" s="11"/>
      <c r="JP127" s="11"/>
      <c r="JQ127" s="11"/>
      <c r="JR127" s="11"/>
      <c r="JS127" s="11"/>
      <c r="JT127" s="11"/>
      <c r="JU127" s="11"/>
      <c r="JV127" s="11"/>
      <c r="JW127" s="11"/>
      <c r="JX127" s="11"/>
      <c r="JY127" s="11"/>
      <c r="JZ127" s="11"/>
      <c r="KA127" s="11"/>
      <c r="KB127" s="11"/>
      <c r="KC127" s="11"/>
      <c r="KD127" s="11"/>
      <c r="KE127" s="11"/>
      <c r="KF127" s="11"/>
      <c r="KG127" s="11"/>
      <c r="KH127" s="11"/>
      <c r="KI127" s="11"/>
      <c r="KJ127" s="11"/>
      <c r="KK127" s="11"/>
      <c r="KL127" s="11"/>
      <c r="KM127" s="11"/>
      <c r="KN127" s="11"/>
      <c r="KO127" s="11"/>
      <c r="KP127" s="11"/>
      <c r="KQ127" s="11"/>
      <c r="KR127" s="11"/>
      <c r="KS127" s="11"/>
      <c r="KT127" s="11"/>
      <c r="KU127" s="11"/>
      <c r="KV127" s="11"/>
      <c r="KW127" s="11"/>
      <c r="KX127" s="11"/>
      <c r="KY127" s="11"/>
      <c r="KZ127" s="11"/>
      <c r="LA127" s="11"/>
      <c r="LB127" s="11"/>
      <c r="LC127" s="11"/>
      <c r="LD127" s="11"/>
      <c r="LE127" s="11"/>
      <c r="LF127" s="11"/>
      <c r="LG127" s="11"/>
      <c r="LH127" s="11"/>
      <c r="LI127" s="11"/>
      <c r="LJ127" s="11"/>
      <c r="LK127" s="11"/>
      <c r="LL127" s="11"/>
      <c r="LM127" s="11"/>
      <c r="LN127" s="11"/>
      <c r="LO127" s="11"/>
      <c r="LP127" s="11"/>
      <c r="LQ127" s="11"/>
      <c r="LR127" s="11"/>
      <c r="LS127" s="11"/>
      <c r="LT127" s="11"/>
      <c r="LU127" s="11"/>
      <c r="LV127" s="11"/>
      <c r="LW127" s="11"/>
      <c r="LX127" s="11"/>
      <c r="LY127" s="11"/>
      <c r="LZ127" s="11"/>
      <c r="MA127" s="11"/>
      <c r="MB127" s="11"/>
      <c r="MC127" s="11"/>
      <c r="MD127" s="11"/>
      <c r="ME127" s="11"/>
      <c r="MF127" s="11"/>
      <c r="MG127" s="11"/>
      <c r="MH127" s="11"/>
      <c r="MI127" s="11"/>
      <c r="MJ127" s="11"/>
      <c r="MK127" s="11"/>
      <c r="ML127" s="11"/>
      <c r="MM127" s="11"/>
      <c r="MN127" s="11"/>
      <c r="MO127" s="11"/>
      <c r="MP127" s="11"/>
      <c r="MQ127" s="11"/>
      <c r="MR127" s="11"/>
      <c r="MS127" s="11"/>
      <c r="MT127" s="11"/>
      <c r="MU127" s="11"/>
      <c r="MV127" s="11"/>
      <c r="MW127" s="11"/>
      <c r="MX127" s="11"/>
      <c r="MY127" s="11"/>
      <c r="MZ127" s="11"/>
      <c r="NA127" s="11"/>
      <c r="NB127" s="11"/>
      <c r="NC127" s="11"/>
      <c r="ND127" s="11"/>
      <c r="NE127" s="11"/>
      <c r="NF127" s="11"/>
      <c r="NG127" s="11"/>
      <c r="NH127" s="11"/>
      <c r="NI127" s="11"/>
      <c r="NJ127" s="11"/>
      <c r="NK127" s="11"/>
      <c r="NL127" s="11"/>
      <c r="NM127" s="11"/>
      <c r="NN127" s="11"/>
      <c r="NO127" s="11"/>
      <c r="NP127" s="11"/>
      <c r="NQ127" s="11"/>
      <c r="NR127" s="11"/>
      <c r="NS127" s="11"/>
      <c r="NT127" s="11"/>
      <c r="NU127" s="11"/>
      <c r="NV127" s="11"/>
      <c r="NW127" s="11"/>
      <c r="NX127" s="11"/>
      <c r="NY127" s="11"/>
      <c r="NZ127" s="11"/>
      <c r="OA127" s="11"/>
      <c r="OB127" s="11"/>
      <c r="OC127" s="11"/>
      <c r="OD127" s="11"/>
      <c r="OE127" s="11"/>
      <c r="OF127" s="11"/>
      <c r="OG127" s="11"/>
      <c r="OH127" s="11"/>
      <c r="OI127" s="11"/>
      <c r="OJ127" s="11"/>
      <c r="OK127" s="11"/>
      <c r="OL127" s="11"/>
      <c r="OM127" s="11"/>
      <c r="ON127" s="11"/>
      <c r="OO127" s="11"/>
      <c r="OP127" s="11"/>
      <c r="OQ127" s="11"/>
      <c r="OR127" s="11"/>
      <c r="OS127" s="11"/>
      <c r="OT127" s="11"/>
      <c r="OU127" s="11"/>
      <c r="OV127" s="11"/>
      <c r="OW127" s="11"/>
      <c r="OX127" s="11"/>
      <c r="OY127" s="11"/>
      <c r="OZ127" s="11"/>
      <c r="PA127" s="11"/>
      <c r="PB127" s="11"/>
      <c r="PC127" s="11"/>
      <c r="PD127" s="11"/>
      <c r="PE127" s="11"/>
      <c r="PF127" s="11"/>
      <c r="PG127" s="11"/>
      <c r="PH127" s="11"/>
      <c r="PI127" s="11"/>
      <c r="PJ127" s="11"/>
      <c r="PK127" s="11"/>
      <c r="PL127" s="11"/>
      <c r="PM127" s="11"/>
      <c r="PN127" s="11"/>
      <c r="PO127" s="11"/>
      <c r="PP127" s="11"/>
      <c r="PQ127" s="11"/>
      <c r="PR127" s="11"/>
      <c r="PS127" s="11"/>
      <c r="PT127" s="11"/>
      <c r="PU127" s="11"/>
      <c r="PV127" s="11"/>
      <c r="PW127" s="11"/>
      <c r="PX127" s="11"/>
      <c r="PY127" s="11"/>
      <c r="PZ127" s="11"/>
      <c r="QA127" s="11"/>
      <c r="QB127" s="11"/>
      <c r="QC127" s="11"/>
      <c r="QD127" s="11"/>
      <c r="QE127" s="11"/>
      <c r="QF127" s="11"/>
      <c r="QG127" s="11"/>
      <c r="QH127" s="11"/>
      <c r="QI127" s="11"/>
      <c r="QJ127" s="11"/>
      <c r="QK127" s="11"/>
      <c r="QL127" s="11"/>
      <c r="QM127" s="11"/>
      <c r="QN127" s="11"/>
      <c r="QO127" s="11"/>
      <c r="QP127" s="11"/>
      <c r="QQ127" s="11"/>
      <c r="QR127" s="11"/>
      <c r="QS127" s="11"/>
      <c r="QT127" s="11"/>
      <c r="QU127" s="11"/>
      <c r="QV127" s="11"/>
      <c r="QW127" s="11"/>
      <c r="QX127" s="11"/>
      <c r="QY127" s="11"/>
      <c r="QZ127" s="11"/>
      <c r="RA127" s="11"/>
      <c r="RB127" s="11"/>
      <c r="RC127" s="11"/>
      <c r="RD127" s="11"/>
      <c r="RE127" s="11"/>
      <c r="RF127" s="11"/>
      <c r="RG127" s="11"/>
      <c r="RH127" s="11"/>
      <c r="RI127" s="11"/>
      <c r="RJ127" s="11"/>
      <c r="RK127" s="11"/>
      <c r="RL127" s="11"/>
      <c r="RM127" s="11"/>
      <c r="RN127" s="11"/>
      <c r="RO127" s="11"/>
      <c r="RP127" s="11"/>
      <c r="RQ127" s="11"/>
      <c r="RR127" s="11"/>
      <c r="RS127" s="11"/>
      <c r="RT127" s="11"/>
      <c r="RU127" s="11"/>
      <c r="RV127" s="11"/>
      <c r="RW127" s="11"/>
      <c r="RX127" s="11"/>
      <c r="RY127" s="11"/>
      <c r="RZ127" s="11"/>
      <c r="SA127" s="11"/>
      <c r="SB127" s="11"/>
      <c r="SC127" s="11"/>
      <c r="SD127" s="11"/>
      <c r="SE127" s="11"/>
      <c r="SF127" s="11"/>
      <c r="SG127" s="11"/>
      <c r="SH127" s="11"/>
      <c r="SI127" s="11"/>
      <c r="SJ127" s="11"/>
      <c r="SK127" s="11"/>
      <c r="SL127" s="11"/>
      <c r="SM127" s="11"/>
      <c r="SN127" s="11"/>
      <c r="SO127" s="11"/>
      <c r="SP127" s="11"/>
      <c r="SQ127" s="11"/>
      <c r="SR127" s="11"/>
      <c r="SS127" s="11"/>
      <c r="ST127" s="11"/>
      <c r="SU127" s="11"/>
      <c r="SV127" s="11"/>
      <c r="SW127" s="11"/>
      <c r="SX127" s="11"/>
      <c r="SY127" s="11"/>
      <c r="SZ127" s="11"/>
      <c r="TA127" s="11"/>
      <c r="TB127" s="11"/>
      <c r="TC127" s="11"/>
      <c r="TD127" s="11"/>
      <c r="TE127" s="11"/>
      <c r="TF127" s="11"/>
      <c r="TG127" s="11"/>
      <c r="TH127" s="11"/>
      <c r="TI127" s="11"/>
      <c r="TJ127" s="11"/>
      <c r="TK127" s="11"/>
      <c r="TL127" s="11"/>
      <c r="TM127" s="11"/>
      <c r="TN127" s="11"/>
      <c r="TO127" s="11"/>
      <c r="TP127" s="11"/>
      <c r="TQ127" s="11"/>
      <c r="TR127" s="11"/>
      <c r="TS127" s="11"/>
      <c r="TT127" s="11"/>
      <c r="TU127" s="11"/>
      <c r="TV127" s="11"/>
      <c r="TW127" s="11"/>
      <c r="TX127" s="11"/>
      <c r="TY127" s="11"/>
      <c r="TZ127" s="11"/>
      <c r="UA127" s="11"/>
      <c r="UB127" s="11"/>
      <c r="UC127" s="11"/>
      <c r="UD127" s="11"/>
      <c r="UE127" s="11"/>
      <c r="UF127" s="11"/>
      <c r="UG127" s="11"/>
      <c r="UH127" s="11"/>
      <c r="UI127" s="11"/>
      <c r="UJ127" s="11"/>
      <c r="UK127" s="11"/>
      <c r="UL127" s="11"/>
      <c r="UM127" s="11"/>
      <c r="UN127" s="11"/>
      <c r="UO127" s="11"/>
      <c r="UP127" s="11"/>
      <c r="UQ127" s="11"/>
      <c r="UR127" s="11"/>
      <c r="US127" s="11"/>
      <c r="UT127" s="11"/>
      <c r="UU127" s="11"/>
      <c r="UV127" s="11"/>
      <c r="UW127" s="11"/>
      <c r="UX127" s="11"/>
      <c r="UY127" s="11"/>
      <c r="UZ127" s="11"/>
      <c r="VA127" s="11"/>
      <c r="VB127" s="11"/>
      <c r="VC127" s="11"/>
      <c r="VD127" s="11"/>
      <c r="VE127" s="11"/>
      <c r="VF127" s="11"/>
      <c r="VG127" s="11"/>
      <c r="VH127" s="11"/>
      <c r="VI127" s="11"/>
      <c r="VJ127" s="11"/>
      <c r="VK127" s="11"/>
      <c r="VL127" s="11"/>
      <c r="VM127" s="11"/>
      <c r="VN127" s="11"/>
      <c r="VO127" s="11"/>
      <c r="VP127" s="11"/>
      <c r="VQ127" s="11"/>
      <c r="VR127" s="11"/>
      <c r="VS127" s="11"/>
      <c r="VT127" s="11"/>
      <c r="VU127" s="11"/>
      <c r="VV127" s="11"/>
      <c r="VW127" s="11"/>
      <c r="VX127" s="11"/>
      <c r="VY127" s="11"/>
      <c r="VZ127" s="11"/>
      <c r="WA127" s="11"/>
      <c r="WB127" s="11"/>
      <c r="WC127" s="11"/>
      <c r="WD127" s="11"/>
      <c r="WE127" s="11"/>
      <c r="WF127" s="11"/>
      <c r="WG127" s="11"/>
      <c r="WH127" s="11"/>
      <c r="WI127" s="11"/>
      <c r="WJ127" s="11"/>
      <c r="WK127" s="11"/>
      <c r="WL127" s="11"/>
      <c r="WM127" s="11"/>
      <c r="WN127" s="11"/>
      <c r="WO127" s="11"/>
      <c r="WP127" s="11"/>
      <c r="WQ127" s="11"/>
      <c r="WR127" s="11"/>
      <c r="WS127" s="11"/>
      <c r="WT127" s="11"/>
      <c r="WU127" s="11"/>
      <c r="WV127" s="11"/>
      <c r="WW127" s="11"/>
      <c r="WX127" s="11"/>
      <c r="WY127" s="11"/>
      <c r="WZ127" s="11"/>
      <c r="XA127" s="11"/>
      <c r="XB127" s="11"/>
      <c r="XC127" s="11"/>
      <c r="XD127" s="11"/>
      <c r="XE127" s="11"/>
      <c r="XF127" s="11"/>
      <c r="XG127" s="11"/>
      <c r="XH127" s="11"/>
      <c r="XI127" s="11"/>
      <c r="XJ127" s="11"/>
      <c r="XK127" s="11"/>
      <c r="XL127" s="11"/>
      <c r="XM127" s="11"/>
      <c r="XN127" s="11"/>
      <c r="XO127" s="11"/>
      <c r="XP127" s="11"/>
      <c r="XQ127" s="11"/>
      <c r="XR127" s="11"/>
      <c r="XS127" s="11"/>
      <c r="XT127" s="11"/>
      <c r="XU127" s="11"/>
      <c r="XV127" s="11"/>
      <c r="XW127" s="11"/>
      <c r="XX127" s="11"/>
      <c r="XY127" s="11"/>
      <c r="XZ127" s="11"/>
      <c r="YA127" s="11"/>
      <c r="YB127" s="11"/>
      <c r="YC127" s="11"/>
      <c r="YD127" s="11"/>
      <c r="YE127" s="11"/>
      <c r="YF127" s="11"/>
      <c r="YG127" s="11"/>
      <c r="YH127" s="11"/>
      <c r="YI127" s="11"/>
      <c r="YJ127" s="11"/>
      <c r="YK127" s="11"/>
      <c r="YL127" s="11"/>
      <c r="YM127" s="11"/>
      <c r="YN127" s="11"/>
      <c r="YO127" s="11"/>
      <c r="YP127" s="11"/>
      <c r="YQ127" s="11"/>
      <c r="YR127" s="11"/>
      <c r="YS127" s="11"/>
      <c r="YT127" s="11"/>
      <c r="YU127" s="11"/>
      <c r="YV127" s="11"/>
      <c r="YW127" s="11"/>
      <c r="YX127" s="11"/>
      <c r="YY127" s="11"/>
      <c r="YZ127" s="11"/>
      <c r="ZA127" s="11"/>
      <c r="ZB127" s="11"/>
      <c r="ZC127" s="11"/>
      <c r="ZD127" s="11"/>
      <c r="ZE127" s="11"/>
      <c r="ZF127" s="11"/>
      <c r="ZG127" s="11"/>
      <c r="ZH127" s="11"/>
      <c r="ZI127" s="11"/>
      <c r="ZJ127" s="11"/>
      <c r="ZK127" s="11"/>
      <c r="ZL127" s="11"/>
      <c r="ZM127" s="11"/>
      <c r="ZN127" s="11"/>
      <c r="ZO127" s="11"/>
      <c r="ZP127" s="11"/>
      <c r="ZQ127" s="11"/>
      <c r="ZR127" s="11"/>
      <c r="ZS127" s="11"/>
      <c r="ZT127" s="11"/>
      <c r="ZU127" s="11"/>
      <c r="ZV127" s="11"/>
      <c r="ZW127" s="11"/>
      <c r="ZX127" s="11"/>
      <c r="ZY127" s="11"/>
      <c r="ZZ127" s="11"/>
      <c r="AAA127" s="11"/>
      <c r="AAB127" s="11"/>
      <c r="AAC127" s="11"/>
      <c r="AAD127" s="11"/>
      <c r="AAE127" s="11"/>
      <c r="AAF127" s="11"/>
      <c r="AAG127" s="11"/>
      <c r="AAH127" s="11"/>
      <c r="AAI127" s="11"/>
      <c r="AAJ127" s="11"/>
      <c r="AAK127" s="11"/>
      <c r="AAL127" s="11"/>
      <c r="AAM127" s="11"/>
      <c r="AAN127" s="11"/>
      <c r="AAO127" s="11"/>
      <c r="AAP127" s="11"/>
      <c r="AAQ127" s="11"/>
      <c r="AAR127" s="11"/>
      <c r="AAS127" s="11"/>
      <c r="AAT127" s="11"/>
      <c r="AAU127" s="11"/>
      <c r="AAV127" s="11"/>
      <c r="AAW127" s="11"/>
      <c r="AAX127" s="11"/>
      <c r="AAY127" s="11"/>
      <c r="AAZ127" s="11"/>
      <c r="ABA127" s="11"/>
      <c r="ABB127" s="11"/>
      <c r="ABC127" s="11"/>
      <c r="ABD127" s="11"/>
      <c r="ABE127" s="11"/>
      <c r="ABF127" s="11"/>
      <c r="ABG127" s="11"/>
      <c r="ABH127" s="11"/>
      <c r="ABI127" s="11"/>
      <c r="ABJ127" s="11"/>
      <c r="ABK127" s="11"/>
      <c r="ABL127" s="11"/>
      <c r="ABM127" s="11"/>
      <c r="ABN127" s="11"/>
      <c r="ABO127" s="11"/>
      <c r="ABP127" s="11"/>
      <c r="ABQ127" s="11"/>
      <c r="ABR127" s="11"/>
      <c r="ABS127" s="11"/>
      <c r="ABT127" s="11"/>
      <c r="ABU127" s="11"/>
      <c r="ABV127" s="11"/>
      <c r="ABW127" s="11"/>
      <c r="ABX127" s="11"/>
      <c r="ABY127" s="11"/>
      <c r="ABZ127" s="11"/>
      <c r="ACA127" s="11"/>
      <c r="ACB127" s="11"/>
      <c r="ACC127" s="11"/>
      <c r="ACD127" s="11"/>
      <c r="ACE127" s="11"/>
      <c r="ACF127" s="11"/>
      <c r="ACG127" s="11"/>
      <c r="ACH127" s="11"/>
      <c r="ACI127" s="11"/>
      <c r="ACJ127" s="11"/>
      <c r="ACK127" s="11"/>
      <c r="ACL127" s="11"/>
      <c r="ACM127" s="11"/>
      <c r="ACN127" s="11"/>
      <c r="ACO127" s="11"/>
      <c r="ACP127" s="11"/>
      <c r="ACQ127" s="11"/>
      <c r="ACR127" s="11"/>
      <c r="ACS127" s="11"/>
      <c r="ACT127" s="11"/>
      <c r="ACU127" s="11"/>
      <c r="ACV127" s="11"/>
      <c r="ACW127" s="11"/>
      <c r="ACX127" s="11"/>
      <c r="ACY127" s="11"/>
      <c r="ACZ127" s="11"/>
      <c r="ADA127" s="11"/>
      <c r="ADB127" s="11"/>
      <c r="ADC127" s="11"/>
      <c r="ADD127" s="11"/>
      <c r="ADE127" s="11"/>
      <c r="ADF127" s="11"/>
      <c r="ADG127" s="11"/>
      <c r="ADH127" s="11"/>
      <c r="ADI127" s="11"/>
      <c r="ADJ127" s="11"/>
      <c r="ADK127" s="11"/>
      <c r="ADL127" s="11"/>
      <c r="ADM127" s="11"/>
      <c r="ADN127" s="11"/>
      <c r="ADO127" s="11"/>
      <c r="ADP127" s="11"/>
      <c r="ADQ127" s="11"/>
      <c r="ADR127" s="11"/>
      <c r="ADS127" s="11"/>
      <c r="ADT127" s="11"/>
      <c r="ADU127" s="11"/>
      <c r="ADV127" s="11"/>
      <c r="ADW127" s="11"/>
      <c r="ADX127" s="11"/>
      <c r="ADY127" s="11"/>
      <c r="ADZ127" s="11"/>
      <c r="AEA127" s="11"/>
      <c r="AEB127" s="11"/>
      <c r="AEC127" s="11"/>
      <c r="AED127" s="11"/>
      <c r="AEE127" s="11"/>
      <c r="AEF127" s="11"/>
      <c r="AEG127" s="11"/>
      <c r="AEH127" s="11"/>
      <c r="AEI127" s="11"/>
      <c r="AEJ127" s="11"/>
      <c r="AEK127" s="11"/>
      <c r="AEL127" s="11"/>
      <c r="AEM127" s="11"/>
      <c r="AEN127" s="11"/>
      <c r="AEO127" s="11"/>
      <c r="AEP127" s="11"/>
      <c r="AEQ127" s="11"/>
      <c r="AER127" s="11"/>
      <c r="AES127" s="11"/>
      <c r="AET127" s="11"/>
      <c r="AEU127" s="11"/>
      <c r="AEV127" s="11"/>
      <c r="AEW127" s="11"/>
      <c r="AEX127" s="11"/>
      <c r="AEY127" s="11"/>
      <c r="AEZ127" s="11"/>
      <c r="AFA127" s="11"/>
      <c r="AFB127" s="11"/>
      <c r="AFC127" s="11"/>
      <c r="AFD127" s="11"/>
      <c r="AFE127" s="11"/>
      <c r="AFF127" s="11"/>
      <c r="AFG127" s="11"/>
      <c r="AFH127" s="11"/>
      <c r="AFI127" s="11"/>
    </row>
    <row r="128" spans="2:84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1"/>
      <c r="JA128" s="11"/>
      <c r="JB128" s="11"/>
      <c r="JC128" s="11"/>
      <c r="JD128" s="11"/>
      <c r="JE128" s="11"/>
      <c r="JF128" s="11"/>
      <c r="JG128" s="11"/>
      <c r="JH128" s="11"/>
      <c r="JI128" s="11"/>
      <c r="JJ128" s="11"/>
      <c r="JK128" s="11"/>
      <c r="JL128" s="11"/>
      <c r="JM128" s="11"/>
      <c r="JN128" s="11"/>
      <c r="JO128" s="11"/>
      <c r="JP128" s="11"/>
      <c r="JQ128" s="11"/>
      <c r="JR128" s="11"/>
      <c r="JS128" s="11"/>
      <c r="JT128" s="11"/>
      <c r="JU128" s="11"/>
      <c r="JV128" s="11"/>
      <c r="JW128" s="11"/>
      <c r="JX128" s="11"/>
      <c r="JY128" s="11"/>
      <c r="JZ128" s="11"/>
      <c r="KA128" s="11"/>
      <c r="KB128" s="11"/>
      <c r="KC128" s="11"/>
      <c r="KD128" s="11"/>
      <c r="KE128" s="11"/>
      <c r="KF128" s="11"/>
      <c r="KG128" s="11"/>
      <c r="KH128" s="11"/>
      <c r="KI128" s="11"/>
      <c r="KJ128" s="11"/>
      <c r="KK128" s="11"/>
      <c r="KL128" s="11"/>
      <c r="KM128" s="11"/>
      <c r="KN128" s="11"/>
      <c r="KO128" s="11"/>
      <c r="KP128" s="11"/>
      <c r="KQ128" s="11"/>
      <c r="KR128" s="11"/>
      <c r="KS128" s="11"/>
      <c r="KT128" s="11"/>
      <c r="KU128" s="11"/>
      <c r="KV128" s="11"/>
      <c r="KW128" s="11"/>
      <c r="KX128" s="11"/>
      <c r="KY128" s="11"/>
      <c r="KZ128" s="11"/>
      <c r="LA128" s="11"/>
      <c r="LB128" s="11"/>
      <c r="LC128" s="11"/>
      <c r="LD128" s="11"/>
      <c r="LE128" s="11"/>
      <c r="LF128" s="11"/>
      <c r="LG128" s="11"/>
      <c r="LH128" s="11"/>
      <c r="LI128" s="11"/>
      <c r="LJ128" s="11"/>
      <c r="LK128" s="11"/>
      <c r="LL128" s="11"/>
      <c r="LM128" s="11"/>
      <c r="LN128" s="11"/>
      <c r="LO128" s="11"/>
      <c r="LP128" s="11"/>
      <c r="LQ128" s="11"/>
      <c r="LR128" s="11"/>
      <c r="LS128" s="11"/>
      <c r="LT128" s="11"/>
      <c r="LU128" s="11"/>
      <c r="LV128" s="11"/>
      <c r="LW128" s="11"/>
      <c r="LX128" s="11"/>
      <c r="LY128" s="11"/>
      <c r="LZ128" s="11"/>
      <c r="MA128" s="11"/>
      <c r="MB128" s="11"/>
      <c r="MC128" s="11"/>
      <c r="MD128" s="11"/>
      <c r="ME128" s="11"/>
      <c r="MF128" s="11"/>
      <c r="MG128" s="11"/>
      <c r="MH128" s="11"/>
      <c r="MI128" s="11"/>
      <c r="MJ128" s="11"/>
      <c r="MK128" s="11"/>
      <c r="ML128" s="11"/>
      <c r="MM128" s="11"/>
      <c r="MN128" s="11"/>
      <c r="MO128" s="11"/>
      <c r="MP128" s="11"/>
      <c r="MQ128" s="11"/>
      <c r="MR128" s="11"/>
      <c r="MS128" s="11"/>
      <c r="MT128" s="11"/>
      <c r="MU128" s="11"/>
      <c r="MV128" s="11"/>
      <c r="MW128" s="11"/>
      <c r="MX128" s="11"/>
      <c r="MY128" s="11"/>
      <c r="MZ128" s="11"/>
      <c r="NA128" s="11"/>
      <c r="NB128" s="11"/>
      <c r="NC128" s="11"/>
      <c r="ND128" s="11"/>
      <c r="NE128" s="11"/>
      <c r="NF128" s="11"/>
      <c r="NG128" s="11"/>
      <c r="NH128" s="11"/>
      <c r="NI128" s="11"/>
      <c r="NJ128" s="11"/>
      <c r="NK128" s="11"/>
      <c r="NL128" s="11"/>
      <c r="NM128" s="11"/>
      <c r="NN128" s="11"/>
      <c r="NO128" s="11"/>
      <c r="NP128" s="11"/>
      <c r="NQ128" s="11"/>
      <c r="NR128" s="11"/>
      <c r="NS128" s="11"/>
      <c r="NT128" s="11"/>
      <c r="NU128" s="11"/>
      <c r="NV128" s="11"/>
      <c r="NW128" s="11"/>
      <c r="NX128" s="11"/>
      <c r="NY128" s="11"/>
      <c r="NZ128" s="11"/>
      <c r="OA128" s="11"/>
      <c r="OB128" s="11"/>
      <c r="OC128" s="11"/>
      <c r="OD128" s="11"/>
      <c r="OE128" s="11"/>
      <c r="OF128" s="11"/>
      <c r="OG128" s="11"/>
      <c r="OH128" s="11"/>
      <c r="OI128" s="11"/>
      <c r="OJ128" s="11"/>
      <c r="OK128" s="11"/>
      <c r="OL128" s="11"/>
      <c r="OM128" s="11"/>
      <c r="ON128" s="11"/>
      <c r="OO128" s="11"/>
      <c r="OP128" s="11"/>
      <c r="OQ128" s="11"/>
      <c r="OR128" s="11"/>
      <c r="OS128" s="11"/>
      <c r="OT128" s="11"/>
      <c r="OU128" s="11"/>
      <c r="OV128" s="11"/>
      <c r="OW128" s="11"/>
      <c r="OX128" s="11"/>
      <c r="OY128" s="11"/>
      <c r="OZ128" s="11"/>
      <c r="PA128" s="11"/>
      <c r="PB128" s="11"/>
      <c r="PC128" s="11"/>
      <c r="PD128" s="11"/>
      <c r="PE128" s="11"/>
      <c r="PF128" s="11"/>
      <c r="PG128" s="11"/>
      <c r="PH128" s="11"/>
      <c r="PI128" s="11"/>
      <c r="PJ128" s="11"/>
      <c r="PK128" s="11"/>
      <c r="PL128" s="11"/>
      <c r="PM128" s="11"/>
      <c r="PN128" s="11"/>
      <c r="PO128" s="11"/>
      <c r="PP128" s="11"/>
      <c r="PQ128" s="11"/>
      <c r="PR128" s="11"/>
      <c r="PS128" s="11"/>
      <c r="PT128" s="11"/>
      <c r="PU128" s="11"/>
      <c r="PV128" s="11"/>
      <c r="PW128" s="11"/>
      <c r="PX128" s="11"/>
      <c r="PY128" s="11"/>
      <c r="PZ128" s="11"/>
      <c r="QA128" s="11"/>
      <c r="QB128" s="11"/>
      <c r="QC128" s="11"/>
      <c r="QD128" s="11"/>
      <c r="QE128" s="11"/>
      <c r="QF128" s="11"/>
      <c r="QG128" s="11"/>
      <c r="QH128" s="11"/>
      <c r="QI128" s="11"/>
      <c r="QJ128" s="11"/>
      <c r="QK128" s="11"/>
      <c r="QL128" s="11"/>
      <c r="QM128" s="11"/>
      <c r="QN128" s="11"/>
      <c r="QO128" s="11"/>
      <c r="QP128" s="11"/>
      <c r="QQ128" s="11"/>
      <c r="QR128" s="11"/>
      <c r="QS128" s="11"/>
      <c r="QT128" s="11"/>
      <c r="QU128" s="11"/>
      <c r="QV128" s="11"/>
      <c r="QW128" s="11"/>
      <c r="QX128" s="11"/>
      <c r="QY128" s="11"/>
      <c r="QZ128" s="11"/>
      <c r="RA128" s="11"/>
      <c r="RB128" s="11"/>
      <c r="RC128" s="11"/>
      <c r="RD128" s="11"/>
      <c r="RE128" s="11"/>
      <c r="RF128" s="11"/>
      <c r="RG128" s="11"/>
      <c r="RH128" s="11"/>
      <c r="RI128" s="11"/>
      <c r="RJ128" s="11"/>
      <c r="RK128" s="11"/>
      <c r="RL128" s="11"/>
      <c r="RM128" s="11"/>
      <c r="RN128" s="11"/>
      <c r="RO128" s="11"/>
      <c r="RP128" s="11"/>
      <c r="RQ128" s="11"/>
      <c r="RR128" s="11"/>
      <c r="RS128" s="11"/>
      <c r="RT128" s="11"/>
      <c r="RU128" s="11"/>
      <c r="RV128" s="11"/>
      <c r="RW128" s="11"/>
      <c r="RX128" s="11"/>
      <c r="RY128" s="11"/>
      <c r="RZ128" s="11"/>
      <c r="SA128" s="11"/>
      <c r="SB128" s="11"/>
      <c r="SC128" s="11"/>
      <c r="SD128" s="11"/>
      <c r="SE128" s="11"/>
      <c r="SF128" s="11"/>
      <c r="SG128" s="11"/>
      <c r="SH128" s="11"/>
      <c r="SI128" s="11"/>
      <c r="SJ128" s="11"/>
      <c r="SK128" s="11"/>
      <c r="SL128" s="11"/>
      <c r="SM128" s="11"/>
      <c r="SN128" s="11"/>
      <c r="SO128" s="11"/>
      <c r="SP128" s="11"/>
      <c r="SQ128" s="11"/>
      <c r="SR128" s="11"/>
      <c r="SS128" s="11"/>
      <c r="ST128" s="11"/>
      <c r="SU128" s="11"/>
      <c r="SV128" s="11"/>
      <c r="SW128" s="11"/>
      <c r="SX128" s="11"/>
      <c r="SY128" s="11"/>
      <c r="SZ128" s="11"/>
      <c r="TA128" s="11"/>
      <c r="TB128" s="11"/>
      <c r="TC128" s="11"/>
      <c r="TD128" s="11"/>
      <c r="TE128" s="11"/>
      <c r="TF128" s="11"/>
      <c r="TG128" s="11"/>
      <c r="TH128" s="11"/>
      <c r="TI128" s="11"/>
      <c r="TJ128" s="11"/>
      <c r="TK128" s="11"/>
      <c r="TL128" s="11"/>
      <c r="TM128" s="11"/>
      <c r="TN128" s="11"/>
      <c r="TO128" s="11"/>
      <c r="TP128" s="11"/>
      <c r="TQ128" s="11"/>
      <c r="TR128" s="11"/>
      <c r="TS128" s="11"/>
      <c r="TT128" s="11"/>
      <c r="TU128" s="11"/>
      <c r="TV128" s="11"/>
      <c r="TW128" s="11"/>
      <c r="TX128" s="11"/>
      <c r="TY128" s="11"/>
      <c r="TZ128" s="11"/>
      <c r="UA128" s="11"/>
      <c r="UB128" s="11"/>
      <c r="UC128" s="11"/>
      <c r="UD128" s="11"/>
      <c r="UE128" s="11"/>
      <c r="UF128" s="11"/>
      <c r="UG128" s="11"/>
      <c r="UH128" s="11"/>
      <c r="UI128" s="11"/>
      <c r="UJ128" s="11"/>
      <c r="UK128" s="11"/>
      <c r="UL128" s="11"/>
      <c r="UM128" s="11"/>
      <c r="UN128" s="11"/>
      <c r="UO128" s="11"/>
      <c r="UP128" s="11"/>
      <c r="UQ128" s="11"/>
      <c r="UR128" s="11"/>
      <c r="US128" s="11"/>
      <c r="UT128" s="11"/>
      <c r="UU128" s="11"/>
      <c r="UV128" s="11"/>
      <c r="UW128" s="11"/>
      <c r="UX128" s="11"/>
      <c r="UY128" s="11"/>
      <c r="UZ128" s="11"/>
      <c r="VA128" s="11"/>
      <c r="VB128" s="11"/>
      <c r="VC128" s="11"/>
      <c r="VD128" s="11"/>
      <c r="VE128" s="11"/>
      <c r="VF128" s="11"/>
      <c r="VG128" s="11"/>
      <c r="VH128" s="11"/>
      <c r="VI128" s="11"/>
      <c r="VJ128" s="11"/>
      <c r="VK128" s="11"/>
      <c r="VL128" s="11"/>
      <c r="VM128" s="11"/>
      <c r="VN128" s="11"/>
      <c r="VO128" s="11"/>
      <c r="VP128" s="11"/>
      <c r="VQ128" s="11"/>
      <c r="VR128" s="11"/>
      <c r="VS128" s="11"/>
      <c r="VT128" s="11"/>
      <c r="VU128" s="11"/>
      <c r="VV128" s="11"/>
      <c r="VW128" s="11"/>
      <c r="VX128" s="11"/>
      <c r="VY128" s="11"/>
      <c r="VZ128" s="11"/>
      <c r="WA128" s="11"/>
      <c r="WB128" s="11"/>
      <c r="WC128" s="11"/>
      <c r="WD128" s="11"/>
      <c r="WE128" s="11"/>
      <c r="WF128" s="11"/>
      <c r="WG128" s="11"/>
      <c r="WH128" s="11"/>
      <c r="WI128" s="11"/>
      <c r="WJ128" s="11"/>
      <c r="WK128" s="11"/>
      <c r="WL128" s="11"/>
      <c r="WM128" s="11"/>
      <c r="WN128" s="11"/>
      <c r="WO128" s="11"/>
      <c r="WP128" s="11"/>
      <c r="WQ128" s="11"/>
      <c r="WR128" s="11"/>
      <c r="WS128" s="11"/>
      <c r="WT128" s="11"/>
      <c r="WU128" s="11"/>
      <c r="WV128" s="11"/>
      <c r="WW128" s="11"/>
      <c r="WX128" s="11"/>
      <c r="WY128" s="11"/>
      <c r="WZ128" s="11"/>
      <c r="XA128" s="11"/>
      <c r="XB128" s="11"/>
      <c r="XC128" s="11"/>
      <c r="XD128" s="11"/>
      <c r="XE128" s="11"/>
      <c r="XF128" s="11"/>
      <c r="XG128" s="11"/>
      <c r="XH128" s="11"/>
      <c r="XI128" s="11"/>
      <c r="XJ128" s="11"/>
      <c r="XK128" s="11"/>
      <c r="XL128" s="11"/>
      <c r="XM128" s="11"/>
      <c r="XN128" s="11"/>
      <c r="XO128" s="11"/>
      <c r="XP128" s="11"/>
      <c r="XQ128" s="11"/>
      <c r="XR128" s="11"/>
      <c r="XS128" s="11"/>
      <c r="XT128" s="11"/>
      <c r="XU128" s="11"/>
      <c r="XV128" s="11"/>
      <c r="XW128" s="11"/>
      <c r="XX128" s="11"/>
      <c r="XY128" s="11"/>
      <c r="XZ128" s="11"/>
      <c r="YA128" s="11"/>
      <c r="YB128" s="11"/>
      <c r="YC128" s="11"/>
      <c r="YD128" s="11"/>
      <c r="YE128" s="11"/>
      <c r="YF128" s="11"/>
      <c r="YG128" s="11"/>
      <c r="YH128" s="11"/>
      <c r="YI128" s="11"/>
      <c r="YJ128" s="11"/>
      <c r="YK128" s="11"/>
      <c r="YL128" s="11"/>
      <c r="YM128" s="11"/>
      <c r="YN128" s="11"/>
      <c r="YO128" s="11"/>
      <c r="YP128" s="11"/>
      <c r="YQ128" s="11"/>
      <c r="YR128" s="11"/>
      <c r="YS128" s="11"/>
      <c r="YT128" s="11"/>
      <c r="YU128" s="11"/>
      <c r="YV128" s="11"/>
      <c r="YW128" s="11"/>
      <c r="YX128" s="11"/>
      <c r="YY128" s="11"/>
      <c r="YZ128" s="11"/>
      <c r="ZA128" s="11"/>
      <c r="ZB128" s="11"/>
      <c r="ZC128" s="11"/>
      <c r="ZD128" s="11"/>
      <c r="ZE128" s="11"/>
      <c r="ZF128" s="11"/>
      <c r="ZG128" s="11"/>
      <c r="ZH128" s="11"/>
      <c r="ZI128" s="11"/>
      <c r="ZJ128" s="11"/>
      <c r="ZK128" s="11"/>
      <c r="ZL128" s="11"/>
      <c r="ZM128" s="11"/>
      <c r="ZN128" s="11"/>
      <c r="ZO128" s="11"/>
      <c r="ZP128" s="11"/>
      <c r="ZQ128" s="11"/>
      <c r="ZR128" s="11"/>
      <c r="ZS128" s="11"/>
      <c r="ZT128" s="11"/>
      <c r="ZU128" s="11"/>
      <c r="ZV128" s="11"/>
      <c r="ZW128" s="11"/>
      <c r="ZX128" s="11"/>
      <c r="ZY128" s="11"/>
      <c r="ZZ128" s="11"/>
      <c r="AAA128" s="11"/>
      <c r="AAB128" s="11"/>
      <c r="AAC128" s="11"/>
      <c r="AAD128" s="11"/>
      <c r="AAE128" s="11"/>
      <c r="AAF128" s="11"/>
      <c r="AAG128" s="11"/>
      <c r="AAH128" s="11"/>
      <c r="AAI128" s="11"/>
      <c r="AAJ128" s="11"/>
      <c r="AAK128" s="11"/>
      <c r="AAL128" s="11"/>
      <c r="AAM128" s="11"/>
      <c r="AAN128" s="11"/>
      <c r="AAO128" s="11"/>
      <c r="AAP128" s="11"/>
      <c r="AAQ128" s="11"/>
      <c r="AAR128" s="11"/>
      <c r="AAS128" s="11"/>
      <c r="AAT128" s="11"/>
      <c r="AAU128" s="11"/>
      <c r="AAV128" s="11"/>
      <c r="AAW128" s="11"/>
      <c r="AAX128" s="11"/>
      <c r="AAY128" s="11"/>
      <c r="AAZ128" s="11"/>
      <c r="ABA128" s="11"/>
      <c r="ABB128" s="11"/>
      <c r="ABC128" s="11"/>
      <c r="ABD128" s="11"/>
      <c r="ABE128" s="11"/>
      <c r="ABF128" s="11"/>
      <c r="ABG128" s="11"/>
      <c r="ABH128" s="11"/>
      <c r="ABI128" s="11"/>
      <c r="ABJ128" s="11"/>
      <c r="ABK128" s="11"/>
      <c r="ABL128" s="11"/>
      <c r="ABM128" s="11"/>
      <c r="ABN128" s="11"/>
      <c r="ABO128" s="11"/>
      <c r="ABP128" s="11"/>
      <c r="ABQ128" s="11"/>
      <c r="ABR128" s="11"/>
      <c r="ABS128" s="11"/>
      <c r="ABT128" s="11"/>
      <c r="ABU128" s="11"/>
      <c r="ABV128" s="11"/>
      <c r="ABW128" s="11"/>
      <c r="ABX128" s="11"/>
      <c r="ABY128" s="11"/>
      <c r="ABZ128" s="11"/>
      <c r="ACA128" s="11"/>
      <c r="ACB128" s="11"/>
      <c r="ACC128" s="11"/>
      <c r="ACD128" s="11"/>
      <c r="ACE128" s="11"/>
      <c r="ACF128" s="11"/>
      <c r="ACG128" s="11"/>
      <c r="ACH128" s="11"/>
      <c r="ACI128" s="11"/>
      <c r="ACJ128" s="11"/>
      <c r="ACK128" s="11"/>
      <c r="ACL128" s="11"/>
      <c r="ACM128" s="11"/>
      <c r="ACN128" s="11"/>
      <c r="ACO128" s="11"/>
      <c r="ACP128" s="11"/>
      <c r="ACQ128" s="11"/>
      <c r="ACR128" s="11"/>
      <c r="ACS128" s="11"/>
      <c r="ACT128" s="11"/>
      <c r="ACU128" s="11"/>
      <c r="ACV128" s="11"/>
      <c r="ACW128" s="11"/>
      <c r="ACX128" s="11"/>
      <c r="ACY128" s="11"/>
      <c r="ACZ128" s="11"/>
      <c r="ADA128" s="11"/>
      <c r="ADB128" s="11"/>
      <c r="ADC128" s="11"/>
      <c r="ADD128" s="11"/>
      <c r="ADE128" s="11"/>
      <c r="ADF128" s="11"/>
      <c r="ADG128" s="11"/>
      <c r="ADH128" s="11"/>
      <c r="ADI128" s="11"/>
      <c r="ADJ128" s="11"/>
      <c r="ADK128" s="11"/>
      <c r="ADL128" s="11"/>
      <c r="ADM128" s="11"/>
      <c r="ADN128" s="11"/>
      <c r="ADO128" s="11"/>
      <c r="ADP128" s="11"/>
      <c r="ADQ128" s="11"/>
      <c r="ADR128" s="11"/>
      <c r="ADS128" s="11"/>
      <c r="ADT128" s="11"/>
      <c r="ADU128" s="11"/>
      <c r="ADV128" s="11"/>
      <c r="ADW128" s="11"/>
      <c r="ADX128" s="11"/>
      <c r="ADY128" s="11"/>
      <c r="ADZ128" s="11"/>
      <c r="AEA128" s="11"/>
      <c r="AEB128" s="11"/>
      <c r="AEC128" s="11"/>
      <c r="AED128" s="11"/>
      <c r="AEE128" s="11"/>
      <c r="AEF128" s="11"/>
      <c r="AEG128" s="11"/>
      <c r="AEH128" s="11"/>
      <c r="AEI128" s="11"/>
      <c r="AEJ128" s="11"/>
      <c r="AEK128" s="11"/>
      <c r="AEL128" s="11"/>
      <c r="AEM128" s="11"/>
      <c r="AEN128" s="11"/>
      <c r="AEO128" s="11"/>
      <c r="AEP128" s="11"/>
      <c r="AEQ128" s="11"/>
      <c r="AER128" s="11"/>
      <c r="AES128" s="11"/>
      <c r="AET128" s="11"/>
      <c r="AEU128" s="11"/>
      <c r="AEV128" s="11"/>
      <c r="AEW128" s="11"/>
      <c r="AEX128" s="11"/>
      <c r="AEY128" s="11"/>
      <c r="AEZ128" s="11"/>
      <c r="AFA128" s="11"/>
      <c r="AFB128" s="11"/>
      <c r="AFC128" s="11"/>
      <c r="AFD128" s="11"/>
      <c r="AFE128" s="11"/>
      <c r="AFF128" s="11"/>
      <c r="AFG128" s="11"/>
      <c r="AFH128" s="11"/>
      <c r="AFI128" s="11"/>
    </row>
    <row r="129" spans="2:84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c r="IW129" s="11"/>
      <c r="IX129" s="11"/>
      <c r="IY129" s="11"/>
      <c r="IZ129" s="11"/>
      <c r="JA129" s="11"/>
      <c r="JB129" s="11"/>
      <c r="JC129" s="11"/>
      <c r="JD129" s="11"/>
      <c r="JE129" s="11"/>
      <c r="JF129" s="11"/>
      <c r="JG129" s="11"/>
      <c r="JH129" s="11"/>
      <c r="JI129" s="11"/>
      <c r="JJ129" s="11"/>
      <c r="JK129" s="11"/>
      <c r="JL129" s="11"/>
      <c r="JM129" s="11"/>
      <c r="JN129" s="11"/>
      <c r="JO129" s="11"/>
      <c r="JP129" s="11"/>
      <c r="JQ129" s="11"/>
      <c r="JR129" s="11"/>
      <c r="JS129" s="11"/>
      <c r="JT129" s="11"/>
      <c r="JU129" s="11"/>
      <c r="JV129" s="11"/>
      <c r="JW129" s="11"/>
      <c r="JX129" s="11"/>
      <c r="JY129" s="11"/>
      <c r="JZ129" s="11"/>
      <c r="KA129" s="11"/>
      <c r="KB129" s="11"/>
      <c r="KC129" s="11"/>
      <c r="KD129" s="11"/>
      <c r="KE129" s="11"/>
      <c r="KF129" s="11"/>
      <c r="KG129" s="11"/>
      <c r="KH129" s="11"/>
      <c r="KI129" s="11"/>
      <c r="KJ129" s="11"/>
      <c r="KK129" s="11"/>
      <c r="KL129" s="11"/>
      <c r="KM129" s="11"/>
      <c r="KN129" s="11"/>
      <c r="KO129" s="11"/>
      <c r="KP129" s="11"/>
      <c r="KQ129" s="11"/>
      <c r="KR129" s="11"/>
      <c r="KS129" s="11"/>
      <c r="KT129" s="11"/>
      <c r="KU129" s="11"/>
      <c r="KV129" s="11"/>
      <c r="KW129" s="11"/>
      <c r="KX129" s="11"/>
      <c r="KY129" s="11"/>
      <c r="KZ129" s="11"/>
      <c r="LA129" s="11"/>
      <c r="LB129" s="11"/>
      <c r="LC129" s="11"/>
      <c r="LD129" s="11"/>
      <c r="LE129" s="11"/>
      <c r="LF129" s="11"/>
      <c r="LG129" s="11"/>
      <c r="LH129" s="11"/>
      <c r="LI129" s="11"/>
      <c r="LJ129" s="11"/>
      <c r="LK129" s="11"/>
      <c r="LL129" s="11"/>
      <c r="LM129" s="11"/>
      <c r="LN129" s="11"/>
      <c r="LO129" s="11"/>
      <c r="LP129" s="11"/>
      <c r="LQ129" s="11"/>
      <c r="LR129" s="11"/>
      <c r="LS129" s="11"/>
      <c r="LT129" s="11"/>
      <c r="LU129" s="11"/>
      <c r="LV129" s="11"/>
      <c r="LW129" s="11"/>
      <c r="LX129" s="11"/>
      <c r="LY129" s="11"/>
      <c r="LZ129" s="11"/>
      <c r="MA129" s="11"/>
      <c r="MB129" s="11"/>
      <c r="MC129" s="11"/>
      <c r="MD129" s="11"/>
      <c r="ME129" s="11"/>
      <c r="MF129" s="11"/>
      <c r="MG129" s="11"/>
      <c r="MH129" s="11"/>
      <c r="MI129" s="11"/>
      <c r="MJ129" s="11"/>
      <c r="MK129" s="11"/>
      <c r="ML129" s="11"/>
      <c r="MM129" s="11"/>
      <c r="MN129" s="11"/>
      <c r="MO129" s="11"/>
      <c r="MP129" s="11"/>
      <c r="MQ129" s="11"/>
      <c r="MR129" s="11"/>
      <c r="MS129" s="11"/>
      <c r="MT129" s="11"/>
      <c r="MU129" s="11"/>
      <c r="MV129" s="11"/>
      <c r="MW129" s="11"/>
      <c r="MX129" s="11"/>
      <c r="MY129" s="11"/>
      <c r="MZ129" s="11"/>
      <c r="NA129" s="11"/>
      <c r="NB129" s="11"/>
      <c r="NC129" s="11"/>
      <c r="ND129" s="11"/>
      <c r="NE129" s="11"/>
      <c r="NF129" s="11"/>
      <c r="NG129" s="11"/>
      <c r="NH129" s="11"/>
      <c r="NI129" s="11"/>
      <c r="NJ129" s="11"/>
      <c r="NK129" s="11"/>
      <c r="NL129" s="11"/>
      <c r="NM129" s="11"/>
      <c r="NN129" s="11"/>
      <c r="NO129" s="11"/>
      <c r="NP129" s="11"/>
      <c r="NQ129" s="11"/>
      <c r="NR129" s="11"/>
      <c r="NS129" s="11"/>
      <c r="NT129" s="11"/>
      <c r="NU129" s="11"/>
      <c r="NV129" s="11"/>
      <c r="NW129" s="11"/>
      <c r="NX129" s="11"/>
      <c r="NY129" s="11"/>
      <c r="NZ129" s="11"/>
      <c r="OA129" s="11"/>
      <c r="OB129" s="11"/>
      <c r="OC129" s="11"/>
      <c r="OD129" s="11"/>
      <c r="OE129" s="11"/>
      <c r="OF129" s="11"/>
      <c r="OG129" s="11"/>
      <c r="OH129" s="11"/>
      <c r="OI129" s="11"/>
      <c r="OJ129" s="11"/>
      <c r="OK129" s="11"/>
      <c r="OL129" s="11"/>
      <c r="OM129" s="11"/>
      <c r="ON129" s="11"/>
      <c r="OO129" s="11"/>
      <c r="OP129" s="11"/>
      <c r="OQ129" s="11"/>
      <c r="OR129" s="11"/>
      <c r="OS129" s="11"/>
      <c r="OT129" s="11"/>
      <c r="OU129" s="11"/>
      <c r="OV129" s="11"/>
      <c r="OW129" s="11"/>
      <c r="OX129" s="11"/>
      <c r="OY129" s="11"/>
      <c r="OZ129" s="11"/>
      <c r="PA129" s="11"/>
      <c r="PB129" s="11"/>
      <c r="PC129" s="11"/>
      <c r="PD129" s="11"/>
      <c r="PE129" s="11"/>
      <c r="PF129" s="11"/>
      <c r="PG129" s="11"/>
      <c r="PH129" s="11"/>
      <c r="PI129" s="11"/>
      <c r="PJ129" s="11"/>
      <c r="PK129" s="11"/>
      <c r="PL129" s="11"/>
      <c r="PM129" s="11"/>
      <c r="PN129" s="11"/>
      <c r="PO129" s="11"/>
      <c r="PP129" s="11"/>
      <c r="PQ129" s="11"/>
      <c r="PR129" s="11"/>
      <c r="PS129" s="11"/>
      <c r="PT129" s="11"/>
      <c r="PU129" s="11"/>
      <c r="PV129" s="11"/>
      <c r="PW129" s="11"/>
      <c r="PX129" s="11"/>
      <c r="PY129" s="11"/>
      <c r="PZ129" s="11"/>
      <c r="QA129" s="11"/>
      <c r="QB129" s="11"/>
      <c r="QC129" s="11"/>
      <c r="QD129" s="11"/>
      <c r="QE129" s="11"/>
      <c r="QF129" s="11"/>
      <c r="QG129" s="11"/>
      <c r="QH129" s="11"/>
      <c r="QI129" s="11"/>
      <c r="QJ129" s="11"/>
      <c r="QK129" s="11"/>
      <c r="QL129" s="11"/>
      <c r="QM129" s="11"/>
      <c r="QN129" s="11"/>
      <c r="QO129" s="11"/>
      <c r="QP129" s="11"/>
      <c r="QQ129" s="11"/>
      <c r="QR129" s="11"/>
      <c r="QS129" s="11"/>
      <c r="QT129" s="11"/>
      <c r="QU129" s="11"/>
      <c r="QV129" s="11"/>
      <c r="QW129" s="11"/>
      <c r="QX129" s="11"/>
      <c r="QY129" s="11"/>
      <c r="QZ129" s="11"/>
      <c r="RA129" s="11"/>
      <c r="RB129" s="11"/>
      <c r="RC129" s="11"/>
      <c r="RD129" s="11"/>
      <c r="RE129" s="11"/>
      <c r="RF129" s="11"/>
      <c r="RG129" s="11"/>
      <c r="RH129" s="11"/>
      <c r="RI129" s="11"/>
      <c r="RJ129" s="11"/>
      <c r="RK129" s="11"/>
      <c r="RL129" s="11"/>
      <c r="RM129" s="11"/>
      <c r="RN129" s="11"/>
      <c r="RO129" s="11"/>
      <c r="RP129" s="11"/>
      <c r="RQ129" s="11"/>
      <c r="RR129" s="11"/>
      <c r="RS129" s="11"/>
      <c r="RT129" s="11"/>
      <c r="RU129" s="11"/>
      <c r="RV129" s="11"/>
      <c r="RW129" s="11"/>
      <c r="RX129" s="11"/>
      <c r="RY129" s="11"/>
      <c r="RZ129" s="11"/>
      <c r="SA129" s="11"/>
      <c r="SB129" s="11"/>
      <c r="SC129" s="11"/>
      <c r="SD129" s="11"/>
      <c r="SE129" s="11"/>
      <c r="SF129" s="11"/>
      <c r="SG129" s="11"/>
      <c r="SH129" s="11"/>
      <c r="SI129" s="11"/>
      <c r="SJ129" s="11"/>
      <c r="SK129" s="11"/>
      <c r="SL129" s="11"/>
      <c r="SM129" s="11"/>
      <c r="SN129" s="11"/>
      <c r="SO129" s="11"/>
      <c r="SP129" s="11"/>
      <c r="SQ129" s="11"/>
      <c r="SR129" s="11"/>
      <c r="SS129" s="11"/>
      <c r="ST129" s="11"/>
      <c r="SU129" s="11"/>
      <c r="SV129" s="11"/>
      <c r="SW129" s="11"/>
      <c r="SX129" s="11"/>
      <c r="SY129" s="11"/>
      <c r="SZ129" s="11"/>
      <c r="TA129" s="11"/>
      <c r="TB129" s="11"/>
      <c r="TC129" s="11"/>
      <c r="TD129" s="11"/>
      <c r="TE129" s="11"/>
      <c r="TF129" s="11"/>
      <c r="TG129" s="11"/>
      <c r="TH129" s="11"/>
      <c r="TI129" s="11"/>
      <c r="TJ129" s="11"/>
      <c r="TK129" s="11"/>
      <c r="TL129" s="11"/>
      <c r="TM129" s="11"/>
      <c r="TN129" s="11"/>
      <c r="TO129" s="11"/>
      <c r="TP129" s="11"/>
      <c r="TQ129" s="11"/>
      <c r="TR129" s="11"/>
      <c r="TS129" s="11"/>
      <c r="TT129" s="11"/>
      <c r="TU129" s="11"/>
      <c r="TV129" s="11"/>
      <c r="TW129" s="11"/>
      <c r="TX129" s="11"/>
      <c r="TY129" s="11"/>
      <c r="TZ129" s="11"/>
      <c r="UA129" s="11"/>
      <c r="UB129" s="11"/>
      <c r="UC129" s="11"/>
      <c r="UD129" s="11"/>
      <c r="UE129" s="11"/>
      <c r="UF129" s="11"/>
      <c r="UG129" s="11"/>
      <c r="UH129" s="11"/>
      <c r="UI129" s="11"/>
      <c r="UJ129" s="11"/>
      <c r="UK129" s="11"/>
      <c r="UL129" s="11"/>
      <c r="UM129" s="11"/>
      <c r="UN129" s="11"/>
      <c r="UO129" s="11"/>
      <c r="UP129" s="11"/>
      <c r="UQ129" s="11"/>
      <c r="UR129" s="11"/>
      <c r="US129" s="11"/>
      <c r="UT129" s="11"/>
      <c r="UU129" s="11"/>
      <c r="UV129" s="11"/>
      <c r="UW129" s="11"/>
      <c r="UX129" s="11"/>
      <c r="UY129" s="11"/>
      <c r="UZ129" s="11"/>
      <c r="VA129" s="11"/>
      <c r="VB129" s="11"/>
      <c r="VC129" s="11"/>
      <c r="VD129" s="11"/>
      <c r="VE129" s="11"/>
      <c r="VF129" s="11"/>
      <c r="VG129" s="11"/>
      <c r="VH129" s="11"/>
      <c r="VI129" s="11"/>
      <c r="VJ129" s="11"/>
      <c r="VK129" s="11"/>
      <c r="VL129" s="11"/>
      <c r="VM129" s="11"/>
      <c r="VN129" s="11"/>
      <c r="VO129" s="11"/>
      <c r="VP129" s="11"/>
      <c r="VQ129" s="11"/>
      <c r="VR129" s="11"/>
      <c r="VS129" s="11"/>
      <c r="VT129" s="11"/>
      <c r="VU129" s="11"/>
      <c r="VV129" s="11"/>
      <c r="VW129" s="11"/>
      <c r="VX129" s="11"/>
      <c r="VY129" s="11"/>
      <c r="VZ129" s="11"/>
      <c r="WA129" s="11"/>
      <c r="WB129" s="11"/>
      <c r="WC129" s="11"/>
      <c r="WD129" s="11"/>
      <c r="WE129" s="11"/>
      <c r="WF129" s="11"/>
      <c r="WG129" s="11"/>
      <c r="WH129" s="11"/>
      <c r="WI129" s="11"/>
      <c r="WJ129" s="11"/>
      <c r="WK129" s="11"/>
      <c r="WL129" s="11"/>
      <c r="WM129" s="11"/>
      <c r="WN129" s="11"/>
      <c r="WO129" s="11"/>
      <c r="WP129" s="11"/>
      <c r="WQ129" s="11"/>
      <c r="WR129" s="11"/>
      <c r="WS129" s="11"/>
      <c r="WT129" s="11"/>
      <c r="WU129" s="11"/>
      <c r="WV129" s="11"/>
      <c r="WW129" s="11"/>
      <c r="WX129" s="11"/>
      <c r="WY129" s="11"/>
      <c r="WZ129" s="11"/>
      <c r="XA129" s="11"/>
      <c r="XB129" s="11"/>
      <c r="XC129" s="11"/>
      <c r="XD129" s="11"/>
      <c r="XE129" s="11"/>
      <c r="XF129" s="11"/>
      <c r="XG129" s="11"/>
      <c r="XH129" s="11"/>
      <c r="XI129" s="11"/>
      <c r="XJ129" s="11"/>
      <c r="XK129" s="11"/>
      <c r="XL129" s="11"/>
      <c r="XM129" s="11"/>
      <c r="XN129" s="11"/>
      <c r="XO129" s="11"/>
      <c r="XP129" s="11"/>
      <c r="XQ129" s="11"/>
      <c r="XR129" s="11"/>
      <c r="XS129" s="11"/>
      <c r="XT129" s="11"/>
      <c r="XU129" s="11"/>
      <c r="XV129" s="11"/>
      <c r="XW129" s="11"/>
      <c r="XX129" s="11"/>
      <c r="XY129" s="11"/>
      <c r="XZ129" s="11"/>
      <c r="YA129" s="11"/>
      <c r="YB129" s="11"/>
      <c r="YC129" s="11"/>
      <c r="YD129" s="11"/>
      <c r="YE129" s="11"/>
      <c r="YF129" s="11"/>
      <c r="YG129" s="11"/>
      <c r="YH129" s="11"/>
      <c r="YI129" s="11"/>
      <c r="YJ129" s="11"/>
      <c r="YK129" s="11"/>
      <c r="YL129" s="11"/>
      <c r="YM129" s="11"/>
      <c r="YN129" s="11"/>
      <c r="YO129" s="11"/>
      <c r="YP129" s="11"/>
      <c r="YQ129" s="11"/>
      <c r="YR129" s="11"/>
      <c r="YS129" s="11"/>
      <c r="YT129" s="11"/>
      <c r="YU129" s="11"/>
      <c r="YV129" s="11"/>
      <c r="YW129" s="11"/>
      <c r="YX129" s="11"/>
      <c r="YY129" s="11"/>
      <c r="YZ129" s="11"/>
      <c r="ZA129" s="11"/>
      <c r="ZB129" s="11"/>
      <c r="ZC129" s="11"/>
      <c r="ZD129" s="11"/>
      <c r="ZE129" s="11"/>
      <c r="ZF129" s="11"/>
      <c r="ZG129" s="11"/>
      <c r="ZH129" s="11"/>
      <c r="ZI129" s="11"/>
      <c r="ZJ129" s="11"/>
      <c r="ZK129" s="11"/>
      <c r="ZL129" s="11"/>
      <c r="ZM129" s="11"/>
      <c r="ZN129" s="11"/>
      <c r="ZO129" s="11"/>
      <c r="ZP129" s="11"/>
      <c r="ZQ129" s="11"/>
      <c r="ZR129" s="11"/>
      <c r="ZS129" s="11"/>
      <c r="ZT129" s="11"/>
      <c r="ZU129" s="11"/>
      <c r="ZV129" s="11"/>
      <c r="ZW129" s="11"/>
      <c r="ZX129" s="11"/>
      <c r="ZY129" s="11"/>
      <c r="ZZ129" s="11"/>
      <c r="AAA129" s="11"/>
      <c r="AAB129" s="11"/>
      <c r="AAC129" s="11"/>
      <c r="AAD129" s="11"/>
      <c r="AAE129" s="11"/>
      <c r="AAF129" s="11"/>
      <c r="AAG129" s="11"/>
      <c r="AAH129" s="11"/>
      <c r="AAI129" s="11"/>
      <c r="AAJ129" s="11"/>
      <c r="AAK129" s="11"/>
      <c r="AAL129" s="11"/>
      <c r="AAM129" s="11"/>
      <c r="AAN129" s="11"/>
      <c r="AAO129" s="11"/>
      <c r="AAP129" s="11"/>
      <c r="AAQ129" s="11"/>
      <c r="AAR129" s="11"/>
      <c r="AAS129" s="11"/>
      <c r="AAT129" s="11"/>
      <c r="AAU129" s="11"/>
      <c r="AAV129" s="11"/>
      <c r="AAW129" s="11"/>
      <c r="AAX129" s="11"/>
      <c r="AAY129" s="11"/>
      <c r="AAZ129" s="11"/>
      <c r="ABA129" s="11"/>
      <c r="ABB129" s="11"/>
      <c r="ABC129" s="11"/>
      <c r="ABD129" s="11"/>
      <c r="ABE129" s="11"/>
      <c r="ABF129" s="11"/>
      <c r="ABG129" s="11"/>
      <c r="ABH129" s="11"/>
      <c r="ABI129" s="11"/>
      <c r="ABJ129" s="11"/>
      <c r="ABK129" s="11"/>
      <c r="ABL129" s="11"/>
      <c r="ABM129" s="11"/>
      <c r="ABN129" s="11"/>
      <c r="ABO129" s="11"/>
      <c r="ABP129" s="11"/>
      <c r="ABQ129" s="11"/>
      <c r="ABR129" s="11"/>
      <c r="ABS129" s="11"/>
      <c r="ABT129" s="11"/>
      <c r="ABU129" s="11"/>
      <c r="ABV129" s="11"/>
      <c r="ABW129" s="11"/>
      <c r="ABX129" s="11"/>
      <c r="ABY129" s="11"/>
      <c r="ABZ129" s="11"/>
      <c r="ACA129" s="11"/>
      <c r="ACB129" s="11"/>
      <c r="ACC129" s="11"/>
      <c r="ACD129" s="11"/>
      <c r="ACE129" s="11"/>
      <c r="ACF129" s="11"/>
      <c r="ACG129" s="11"/>
      <c r="ACH129" s="11"/>
      <c r="ACI129" s="11"/>
      <c r="ACJ129" s="11"/>
      <c r="ACK129" s="11"/>
      <c r="ACL129" s="11"/>
      <c r="ACM129" s="11"/>
      <c r="ACN129" s="11"/>
      <c r="ACO129" s="11"/>
      <c r="ACP129" s="11"/>
      <c r="ACQ129" s="11"/>
      <c r="ACR129" s="11"/>
      <c r="ACS129" s="11"/>
      <c r="ACT129" s="11"/>
      <c r="ACU129" s="11"/>
      <c r="ACV129" s="11"/>
      <c r="ACW129" s="11"/>
      <c r="ACX129" s="11"/>
      <c r="ACY129" s="11"/>
      <c r="ACZ129" s="11"/>
      <c r="ADA129" s="11"/>
      <c r="ADB129" s="11"/>
      <c r="ADC129" s="11"/>
      <c r="ADD129" s="11"/>
      <c r="ADE129" s="11"/>
      <c r="ADF129" s="11"/>
      <c r="ADG129" s="11"/>
      <c r="ADH129" s="11"/>
      <c r="ADI129" s="11"/>
      <c r="ADJ129" s="11"/>
      <c r="ADK129" s="11"/>
      <c r="ADL129" s="11"/>
      <c r="ADM129" s="11"/>
      <c r="ADN129" s="11"/>
      <c r="ADO129" s="11"/>
      <c r="ADP129" s="11"/>
      <c r="ADQ129" s="11"/>
      <c r="ADR129" s="11"/>
      <c r="ADS129" s="11"/>
      <c r="ADT129" s="11"/>
      <c r="ADU129" s="11"/>
      <c r="ADV129" s="11"/>
      <c r="ADW129" s="11"/>
      <c r="ADX129" s="11"/>
      <c r="ADY129" s="11"/>
      <c r="ADZ129" s="11"/>
      <c r="AEA129" s="11"/>
      <c r="AEB129" s="11"/>
      <c r="AEC129" s="11"/>
      <c r="AED129" s="11"/>
      <c r="AEE129" s="11"/>
      <c r="AEF129" s="11"/>
      <c r="AEG129" s="11"/>
      <c r="AEH129" s="11"/>
      <c r="AEI129" s="11"/>
      <c r="AEJ129" s="11"/>
      <c r="AEK129" s="11"/>
      <c r="AEL129" s="11"/>
      <c r="AEM129" s="11"/>
      <c r="AEN129" s="11"/>
      <c r="AEO129" s="11"/>
      <c r="AEP129" s="11"/>
      <c r="AEQ129" s="11"/>
      <c r="AER129" s="11"/>
      <c r="AES129" s="11"/>
      <c r="AET129" s="11"/>
      <c r="AEU129" s="11"/>
      <c r="AEV129" s="11"/>
      <c r="AEW129" s="11"/>
      <c r="AEX129" s="11"/>
      <c r="AEY129" s="11"/>
      <c r="AEZ129" s="11"/>
      <c r="AFA129" s="11"/>
      <c r="AFB129" s="11"/>
      <c r="AFC129" s="11"/>
      <c r="AFD129" s="11"/>
      <c r="AFE129" s="11"/>
      <c r="AFF129" s="11"/>
      <c r="AFG129" s="11"/>
      <c r="AFH129" s="11"/>
      <c r="AFI129" s="11"/>
    </row>
    <row r="130" spans="2:84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c r="IW130" s="11"/>
      <c r="IX130" s="11"/>
      <c r="IY130" s="11"/>
      <c r="IZ130" s="11"/>
      <c r="JA130" s="11"/>
      <c r="JB130" s="11"/>
      <c r="JC130" s="11"/>
      <c r="JD130" s="11"/>
      <c r="JE130" s="11"/>
      <c r="JF130" s="11"/>
      <c r="JG130" s="11"/>
      <c r="JH130" s="11"/>
      <c r="JI130" s="11"/>
      <c r="JJ130" s="11"/>
      <c r="JK130" s="11"/>
      <c r="JL130" s="11"/>
      <c r="JM130" s="11"/>
      <c r="JN130" s="11"/>
      <c r="JO130" s="11"/>
      <c r="JP130" s="11"/>
      <c r="JQ130" s="11"/>
      <c r="JR130" s="11"/>
      <c r="JS130" s="11"/>
      <c r="JT130" s="11"/>
      <c r="JU130" s="11"/>
      <c r="JV130" s="11"/>
      <c r="JW130" s="11"/>
      <c r="JX130" s="11"/>
      <c r="JY130" s="11"/>
      <c r="JZ130" s="11"/>
      <c r="KA130" s="11"/>
      <c r="KB130" s="11"/>
      <c r="KC130" s="11"/>
      <c r="KD130" s="11"/>
      <c r="KE130" s="11"/>
      <c r="KF130" s="11"/>
      <c r="KG130" s="11"/>
      <c r="KH130" s="11"/>
      <c r="KI130" s="11"/>
      <c r="KJ130" s="11"/>
      <c r="KK130" s="11"/>
      <c r="KL130" s="11"/>
      <c r="KM130" s="11"/>
      <c r="KN130" s="11"/>
      <c r="KO130" s="11"/>
      <c r="KP130" s="11"/>
      <c r="KQ130" s="11"/>
      <c r="KR130" s="11"/>
      <c r="KS130" s="11"/>
      <c r="KT130" s="11"/>
      <c r="KU130" s="11"/>
      <c r="KV130" s="11"/>
      <c r="KW130" s="11"/>
      <c r="KX130" s="11"/>
      <c r="KY130" s="11"/>
      <c r="KZ130" s="11"/>
      <c r="LA130" s="11"/>
      <c r="LB130" s="11"/>
      <c r="LC130" s="11"/>
      <c r="LD130" s="11"/>
      <c r="LE130" s="11"/>
      <c r="LF130" s="11"/>
      <c r="LG130" s="11"/>
      <c r="LH130" s="11"/>
      <c r="LI130" s="11"/>
      <c r="LJ130" s="11"/>
      <c r="LK130" s="11"/>
      <c r="LL130" s="11"/>
      <c r="LM130" s="11"/>
      <c r="LN130" s="11"/>
      <c r="LO130" s="11"/>
      <c r="LP130" s="11"/>
      <c r="LQ130" s="11"/>
      <c r="LR130" s="11"/>
      <c r="LS130" s="11"/>
      <c r="LT130" s="11"/>
      <c r="LU130" s="11"/>
      <c r="LV130" s="11"/>
      <c r="LW130" s="11"/>
      <c r="LX130" s="11"/>
      <c r="LY130" s="11"/>
      <c r="LZ130" s="11"/>
      <c r="MA130" s="11"/>
      <c r="MB130" s="11"/>
      <c r="MC130" s="11"/>
      <c r="MD130" s="11"/>
      <c r="ME130" s="11"/>
      <c r="MF130" s="11"/>
      <c r="MG130" s="11"/>
      <c r="MH130" s="11"/>
      <c r="MI130" s="11"/>
      <c r="MJ130" s="11"/>
      <c r="MK130" s="11"/>
      <c r="ML130" s="11"/>
      <c r="MM130" s="11"/>
      <c r="MN130" s="11"/>
      <c r="MO130" s="11"/>
      <c r="MP130" s="11"/>
      <c r="MQ130" s="11"/>
      <c r="MR130" s="11"/>
      <c r="MS130" s="11"/>
      <c r="MT130" s="11"/>
      <c r="MU130" s="11"/>
      <c r="MV130" s="11"/>
      <c r="MW130" s="11"/>
      <c r="MX130" s="11"/>
      <c r="MY130" s="11"/>
      <c r="MZ130" s="11"/>
      <c r="NA130" s="11"/>
      <c r="NB130" s="11"/>
      <c r="NC130" s="11"/>
      <c r="ND130" s="11"/>
      <c r="NE130" s="11"/>
      <c r="NF130" s="11"/>
      <c r="NG130" s="11"/>
      <c r="NH130" s="11"/>
      <c r="NI130" s="11"/>
      <c r="NJ130" s="11"/>
      <c r="NK130" s="11"/>
      <c r="NL130" s="11"/>
      <c r="NM130" s="11"/>
      <c r="NN130" s="11"/>
      <c r="NO130" s="11"/>
      <c r="NP130" s="11"/>
      <c r="NQ130" s="11"/>
      <c r="NR130" s="11"/>
      <c r="NS130" s="11"/>
      <c r="NT130" s="11"/>
      <c r="NU130" s="11"/>
      <c r="NV130" s="11"/>
      <c r="NW130" s="11"/>
      <c r="NX130" s="11"/>
      <c r="NY130" s="11"/>
      <c r="NZ130" s="11"/>
      <c r="OA130" s="11"/>
      <c r="OB130" s="11"/>
      <c r="OC130" s="11"/>
      <c r="OD130" s="11"/>
      <c r="OE130" s="11"/>
      <c r="OF130" s="11"/>
      <c r="OG130" s="11"/>
      <c r="OH130" s="11"/>
      <c r="OI130" s="11"/>
      <c r="OJ130" s="11"/>
      <c r="OK130" s="11"/>
      <c r="OL130" s="11"/>
      <c r="OM130" s="11"/>
      <c r="ON130" s="11"/>
      <c r="OO130" s="11"/>
      <c r="OP130" s="11"/>
      <c r="OQ130" s="11"/>
      <c r="OR130" s="11"/>
      <c r="OS130" s="11"/>
      <c r="OT130" s="11"/>
      <c r="OU130" s="11"/>
      <c r="OV130" s="11"/>
      <c r="OW130" s="11"/>
      <c r="OX130" s="11"/>
      <c r="OY130" s="11"/>
      <c r="OZ130" s="11"/>
      <c r="PA130" s="11"/>
      <c r="PB130" s="11"/>
      <c r="PC130" s="11"/>
      <c r="PD130" s="11"/>
      <c r="PE130" s="11"/>
      <c r="PF130" s="11"/>
      <c r="PG130" s="11"/>
      <c r="PH130" s="11"/>
      <c r="PI130" s="11"/>
      <c r="PJ130" s="11"/>
      <c r="PK130" s="11"/>
      <c r="PL130" s="11"/>
      <c r="PM130" s="11"/>
      <c r="PN130" s="11"/>
      <c r="PO130" s="11"/>
      <c r="PP130" s="11"/>
      <c r="PQ130" s="11"/>
      <c r="PR130" s="11"/>
      <c r="PS130" s="11"/>
      <c r="PT130" s="11"/>
      <c r="PU130" s="11"/>
      <c r="PV130" s="11"/>
      <c r="PW130" s="11"/>
      <c r="PX130" s="11"/>
      <c r="PY130" s="11"/>
      <c r="PZ130" s="11"/>
      <c r="QA130" s="11"/>
      <c r="QB130" s="11"/>
      <c r="QC130" s="11"/>
      <c r="QD130" s="11"/>
      <c r="QE130" s="11"/>
      <c r="QF130" s="11"/>
      <c r="QG130" s="11"/>
      <c r="QH130" s="11"/>
      <c r="QI130" s="11"/>
      <c r="QJ130" s="11"/>
      <c r="QK130" s="11"/>
      <c r="QL130" s="11"/>
      <c r="QM130" s="11"/>
      <c r="QN130" s="11"/>
      <c r="QO130" s="11"/>
      <c r="QP130" s="11"/>
      <c r="QQ130" s="11"/>
      <c r="QR130" s="11"/>
      <c r="QS130" s="11"/>
      <c r="QT130" s="11"/>
      <c r="QU130" s="11"/>
      <c r="QV130" s="11"/>
      <c r="QW130" s="11"/>
      <c r="QX130" s="11"/>
      <c r="QY130" s="11"/>
      <c r="QZ130" s="11"/>
      <c r="RA130" s="11"/>
      <c r="RB130" s="11"/>
      <c r="RC130" s="11"/>
      <c r="RD130" s="11"/>
      <c r="RE130" s="11"/>
      <c r="RF130" s="11"/>
      <c r="RG130" s="11"/>
      <c r="RH130" s="11"/>
      <c r="RI130" s="11"/>
      <c r="RJ130" s="11"/>
      <c r="RK130" s="11"/>
      <c r="RL130" s="11"/>
      <c r="RM130" s="11"/>
      <c r="RN130" s="11"/>
      <c r="RO130" s="11"/>
      <c r="RP130" s="11"/>
      <c r="RQ130" s="11"/>
      <c r="RR130" s="11"/>
      <c r="RS130" s="11"/>
      <c r="RT130" s="11"/>
      <c r="RU130" s="11"/>
      <c r="RV130" s="11"/>
      <c r="RW130" s="11"/>
      <c r="RX130" s="11"/>
      <c r="RY130" s="11"/>
      <c r="RZ130" s="11"/>
      <c r="SA130" s="11"/>
      <c r="SB130" s="11"/>
      <c r="SC130" s="11"/>
      <c r="SD130" s="11"/>
      <c r="SE130" s="11"/>
      <c r="SF130" s="11"/>
      <c r="SG130" s="11"/>
      <c r="SH130" s="11"/>
      <c r="SI130" s="11"/>
      <c r="SJ130" s="11"/>
      <c r="SK130" s="11"/>
      <c r="SL130" s="11"/>
      <c r="SM130" s="11"/>
      <c r="SN130" s="11"/>
      <c r="SO130" s="11"/>
      <c r="SP130" s="11"/>
      <c r="SQ130" s="11"/>
      <c r="SR130" s="11"/>
      <c r="SS130" s="11"/>
      <c r="ST130" s="11"/>
      <c r="SU130" s="11"/>
      <c r="SV130" s="11"/>
      <c r="SW130" s="11"/>
      <c r="SX130" s="11"/>
      <c r="SY130" s="11"/>
      <c r="SZ130" s="11"/>
      <c r="TA130" s="11"/>
      <c r="TB130" s="11"/>
      <c r="TC130" s="11"/>
      <c r="TD130" s="11"/>
      <c r="TE130" s="11"/>
      <c r="TF130" s="11"/>
      <c r="TG130" s="11"/>
      <c r="TH130" s="11"/>
      <c r="TI130" s="11"/>
      <c r="TJ130" s="11"/>
      <c r="TK130" s="11"/>
      <c r="TL130" s="11"/>
      <c r="TM130" s="11"/>
      <c r="TN130" s="11"/>
      <c r="TO130" s="11"/>
      <c r="TP130" s="11"/>
      <c r="TQ130" s="11"/>
      <c r="TR130" s="11"/>
      <c r="TS130" s="11"/>
      <c r="TT130" s="11"/>
      <c r="TU130" s="11"/>
      <c r="TV130" s="11"/>
      <c r="TW130" s="11"/>
      <c r="TX130" s="11"/>
      <c r="TY130" s="11"/>
      <c r="TZ130" s="11"/>
      <c r="UA130" s="11"/>
      <c r="UB130" s="11"/>
      <c r="UC130" s="11"/>
      <c r="UD130" s="11"/>
      <c r="UE130" s="11"/>
      <c r="UF130" s="11"/>
      <c r="UG130" s="11"/>
      <c r="UH130" s="11"/>
      <c r="UI130" s="11"/>
      <c r="UJ130" s="11"/>
      <c r="UK130" s="11"/>
      <c r="UL130" s="11"/>
      <c r="UM130" s="11"/>
      <c r="UN130" s="11"/>
      <c r="UO130" s="11"/>
      <c r="UP130" s="11"/>
      <c r="UQ130" s="11"/>
      <c r="UR130" s="11"/>
      <c r="US130" s="11"/>
      <c r="UT130" s="11"/>
      <c r="UU130" s="11"/>
      <c r="UV130" s="11"/>
      <c r="UW130" s="11"/>
      <c r="UX130" s="11"/>
      <c r="UY130" s="11"/>
      <c r="UZ130" s="11"/>
      <c r="VA130" s="11"/>
      <c r="VB130" s="11"/>
      <c r="VC130" s="11"/>
      <c r="VD130" s="11"/>
      <c r="VE130" s="11"/>
      <c r="VF130" s="11"/>
      <c r="VG130" s="11"/>
      <c r="VH130" s="11"/>
      <c r="VI130" s="11"/>
      <c r="VJ130" s="11"/>
      <c r="VK130" s="11"/>
      <c r="VL130" s="11"/>
      <c r="VM130" s="11"/>
      <c r="VN130" s="11"/>
      <c r="VO130" s="11"/>
      <c r="VP130" s="11"/>
      <c r="VQ130" s="11"/>
      <c r="VR130" s="11"/>
      <c r="VS130" s="11"/>
      <c r="VT130" s="11"/>
      <c r="VU130" s="11"/>
      <c r="VV130" s="11"/>
      <c r="VW130" s="11"/>
      <c r="VX130" s="11"/>
      <c r="VY130" s="11"/>
      <c r="VZ130" s="11"/>
      <c r="WA130" s="11"/>
      <c r="WB130" s="11"/>
      <c r="WC130" s="11"/>
      <c r="WD130" s="11"/>
      <c r="WE130" s="11"/>
      <c r="WF130" s="11"/>
      <c r="WG130" s="11"/>
      <c r="WH130" s="11"/>
      <c r="WI130" s="11"/>
      <c r="WJ130" s="11"/>
      <c r="WK130" s="11"/>
      <c r="WL130" s="11"/>
      <c r="WM130" s="11"/>
      <c r="WN130" s="11"/>
      <c r="WO130" s="11"/>
      <c r="WP130" s="11"/>
      <c r="WQ130" s="11"/>
      <c r="WR130" s="11"/>
      <c r="WS130" s="11"/>
      <c r="WT130" s="11"/>
      <c r="WU130" s="11"/>
      <c r="WV130" s="11"/>
      <c r="WW130" s="11"/>
      <c r="WX130" s="11"/>
      <c r="WY130" s="11"/>
      <c r="WZ130" s="11"/>
      <c r="XA130" s="11"/>
      <c r="XB130" s="11"/>
      <c r="XC130" s="11"/>
      <c r="XD130" s="11"/>
      <c r="XE130" s="11"/>
      <c r="XF130" s="11"/>
      <c r="XG130" s="11"/>
      <c r="XH130" s="11"/>
      <c r="XI130" s="11"/>
      <c r="XJ130" s="11"/>
      <c r="XK130" s="11"/>
      <c r="XL130" s="11"/>
      <c r="XM130" s="11"/>
      <c r="XN130" s="11"/>
      <c r="XO130" s="11"/>
      <c r="XP130" s="11"/>
      <c r="XQ130" s="11"/>
      <c r="XR130" s="11"/>
      <c r="XS130" s="11"/>
      <c r="XT130" s="11"/>
      <c r="XU130" s="11"/>
      <c r="XV130" s="11"/>
      <c r="XW130" s="11"/>
      <c r="XX130" s="11"/>
      <c r="XY130" s="11"/>
      <c r="XZ130" s="11"/>
      <c r="YA130" s="11"/>
      <c r="YB130" s="11"/>
      <c r="YC130" s="11"/>
      <c r="YD130" s="11"/>
      <c r="YE130" s="11"/>
      <c r="YF130" s="11"/>
      <c r="YG130" s="11"/>
      <c r="YH130" s="11"/>
      <c r="YI130" s="11"/>
      <c r="YJ130" s="11"/>
      <c r="YK130" s="11"/>
      <c r="YL130" s="11"/>
      <c r="YM130" s="11"/>
      <c r="YN130" s="11"/>
      <c r="YO130" s="11"/>
      <c r="YP130" s="11"/>
      <c r="YQ130" s="11"/>
      <c r="YR130" s="11"/>
      <c r="YS130" s="11"/>
      <c r="YT130" s="11"/>
      <c r="YU130" s="11"/>
      <c r="YV130" s="11"/>
      <c r="YW130" s="11"/>
      <c r="YX130" s="11"/>
      <c r="YY130" s="11"/>
      <c r="YZ130" s="11"/>
      <c r="ZA130" s="11"/>
      <c r="ZB130" s="11"/>
      <c r="ZC130" s="11"/>
      <c r="ZD130" s="11"/>
      <c r="ZE130" s="11"/>
      <c r="ZF130" s="11"/>
      <c r="ZG130" s="11"/>
      <c r="ZH130" s="11"/>
      <c r="ZI130" s="11"/>
      <c r="ZJ130" s="11"/>
      <c r="ZK130" s="11"/>
      <c r="ZL130" s="11"/>
      <c r="ZM130" s="11"/>
      <c r="ZN130" s="11"/>
      <c r="ZO130" s="11"/>
      <c r="ZP130" s="11"/>
      <c r="ZQ130" s="11"/>
      <c r="ZR130" s="11"/>
      <c r="ZS130" s="11"/>
      <c r="ZT130" s="11"/>
      <c r="ZU130" s="11"/>
      <c r="ZV130" s="11"/>
      <c r="ZW130" s="11"/>
      <c r="ZX130" s="11"/>
      <c r="ZY130" s="11"/>
      <c r="ZZ130" s="11"/>
      <c r="AAA130" s="11"/>
      <c r="AAB130" s="11"/>
      <c r="AAC130" s="11"/>
      <c r="AAD130" s="11"/>
      <c r="AAE130" s="11"/>
      <c r="AAF130" s="11"/>
      <c r="AAG130" s="11"/>
      <c r="AAH130" s="11"/>
      <c r="AAI130" s="11"/>
      <c r="AAJ130" s="11"/>
      <c r="AAK130" s="11"/>
      <c r="AAL130" s="11"/>
      <c r="AAM130" s="11"/>
      <c r="AAN130" s="11"/>
      <c r="AAO130" s="11"/>
      <c r="AAP130" s="11"/>
      <c r="AAQ130" s="11"/>
      <c r="AAR130" s="11"/>
      <c r="AAS130" s="11"/>
      <c r="AAT130" s="11"/>
      <c r="AAU130" s="11"/>
      <c r="AAV130" s="11"/>
      <c r="AAW130" s="11"/>
      <c r="AAX130" s="11"/>
      <c r="AAY130" s="11"/>
      <c r="AAZ130" s="11"/>
      <c r="ABA130" s="11"/>
      <c r="ABB130" s="11"/>
      <c r="ABC130" s="11"/>
      <c r="ABD130" s="11"/>
      <c r="ABE130" s="11"/>
      <c r="ABF130" s="11"/>
      <c r="ABG130" s="11"/>
      <c r="ABH130" s="11"/>
      <c r="ABI130" s="11"/>
      <c r="ABJ130" s="11"/>
      <c r="ABK130" s="11"/>
      <c r="ABL130" s="11"/>
      <c r="ABM130" s="11"/>
      <c r="ABN130" s="11"/>
      <c r="ABO130" s="11"/>
      <c r="ABP130" s="11"/>
      <c r="ABQ130" s="11"/>
      <c r="ABR130" s="11"/>
      <c r="ABS130" s="11"/>
      <c r="ABT130" s="11"/>
      <c r="ABU130" s="11"/>
      <c r="ABV130" s="11"/>
      <c r="ABW130" s="11"/>
      <c r="ABX130" s="11"/>
      <c r="ABY130" s="11"/>
      <c r="ABZ130" s="11"/>
      <c r="ACA130" s="11"/>
      <c r="ACB130" s="11"/>
      <c r="ACC130" s="11"/>
      <c r="ACD130" s="11"/>
      <c r="ACE130" s="11"/>
      <c r="ACF130" s="11"/>
      <c r="ACG130" s="11"/>
      <c r="ACH130" s="11"/>
      <c r="ACI130" s="11"/>
      <c r="ACJ130" s="11"/>
      <c r="ACK130" s="11"/>
      <c r="ACL130" s="11"/>
      <c r="ACM130" s="11"/>
      <c r="ACN130" s="11"/>
      <c r="ACO130" s="11"/>
      <c r="ACP130" s="11"/>
      <c r="ACQ130" s="11"/>
      <c r="ACR130" s="11"/>
      <c r="ACS130" s="11"/>
      <c r="ACT130" s="11"/>
      <c r="ACU130" s="11"/>
      <c r="ACV130" s="11"/>
      <c r="ACW130" s="11"/>
      <c r="ACX130" s="11"/>
      <c r="ACY130" s="11"/>
      <c r="ACZ130" s="11"/>
      <c r="ADA130" s="11"/>
      <c r="ADB130" s="11"/>
      <c r="ADC130" s="11"/>
      <c r="ADD130" s="11"/>
      <c r="ADE130" s="11"/>
      <c r="ADF130" s="11"/>
      <c r="ADG130" s="11"/>
      <c r="ADH130" s="11"/>
      <c r="ADI130" s="11"/>
      <c r="ADJ130" s="11"/>
      <c r="ADK130" s="11"/>
      <c r="ADL130" s="11"/>
      <c r="ADM130" s="11"/>
      <c r="ADN130" s="11"/>
      <c r="ADO130" s="11"/>
      <c r="ADP130" s="11"/>
      <c r="ADQ130" s="11"/>
      <c r="ADR130" s="11"/>
      <c r="ADS130" s="11"/>
      <c r="ADT130" s="11"/>
      <c r="ADU130" s="11"/>
      <c r="ADV130" s="11"/>
      <c r="ADW130" s="11"/>
      <c r="ADX130" s="11"/>
      <c r="ADY130" s="11"/>
      <c r="ADZ130" s="11"/>
      <c r="AEA130" s="11"/>
      <c r="AEB130" s="11"/>
      <c r="AEC130" s="11"/>
      <c r="AED130" s="11"/>
      <c r="AEE130" s="11"/>
      <c r="AEF130" s="11"/>
      <c r="AEG130" s="11"/>
      <c r="AEH130" s="11"/>
      <c r="AEI130" s="11"/>
      <c r="AEJ130" s="11"/>
      <c r="AEK130" s="11"/>
      <c r="AEL130" s="11"/>
      <c r="AEM130" s="11"/>
      <c r="AEN130" s="11"/>
      <c r="AEO130" s="11"/>
      <c r="AEP130" s="11"/>
      <c r="AEQ130" s="11"/>
      <c r="AER130" s="11"/>
      <c r="AES130" s="11"/>
      <c r="AET130" s="11"/>
      <c r="AEU130" s="11"/>
      <c r="AEV130" s="11"/>
      <c r="AEW130" s="11"/>
      <c r="AEX130" s="11"/>
      <c r="AEY130" s="11"/>
      <c r="AEZ130" s="11"/>
      <c r="AFA130" s="11"/>
      <c r="AFB130" s="11"/>
      <c r="AFC130" s="11"/>
      <c r="AFD130" s="11"/>
      <c r="AFE130" s="11"/>
      <c r="AFF130" s="11"/>
      <c r="AFG130" s="11"/>
      <c r="AFH130" s="11"/>
      <c r="AFI130" s="11"/>
    </row>
    <row r="131" spans="2:84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c r="IW131" s="11"/>
      <c r="IX131" s="11"/>
      <c r="IY131" s="11"/>
      <c r="IZ131" s="11"/>
      <c r="JA131" s="11"/>
      <c r="JB131" s="11"/>
      <c r="JC131" s="11"/>
      <c r="JD131" s="11"/>
      <c r="JE131" s="11"/>
      <c r="JF131" s="11"/>
      <c r="JG131" s="11"/>
      <c r="JH131" s="11"/>
      <c r="JI131" s="11"/>
      <c r="JJ131" s="11"/>
      <c r="JK131" s="11"/>
      <c r="JL131" s="11"/>
      <c r="JM131" s="11"/>
      <c r="JN131" s="11"/>
      <c r="JO131" s="11"/>
      <c r="JP131" s="11"/>
      <c r="JQ131" s="11"/>
      <c r="JR131" s="11"/>
      <c r="JS131" s="11"/>
      <c r="JT131" s="11"/>
      <c r="JU131" s="11"/>
      <c r="JV131" s="11"/>
      <c r="JW131" s="11"/>
      <c r="JX131" s="11"/>
      <c r="JY131" s="11"/>
      <c r="JZ131" s="11"/>
      <c r="KA131" s="11"/>
      <c r="KB131" s="11"/>
      <c r="KC131" s="11"/>
      <c r="KD131" s="11"/>
      <c r="KE131" s="11"/>
      <c r="KF131" s="11"/>
      <c r="KG131" s="11"/>
      <c r="KH131" s="11"/>
      <c r="KI131" s="11"/>
      <c r="KJ131" s="11"/>
      <c r="KK131" s="11"/>
      <c r="KL131" s="11"/>
      <c r="KM131" s="11"/>
      <c r="KN131" s="11"/>
      <c r="KO131" s="11"/>
      <c r="KP131" s="11"/>
      <c r="KQ131" s="11"/>
      <c r="KR131" s="11"/>
      <c r="KS131" s="11"/>
      <c r="KT131" s="11"/>
      <c r="KU131" s="11"/>
      <c r="KV131" s="11"/>
      <c r="KW131" s="11"/>
      <c r="KX131" s="11"/>
      <c r="KY131" s="11"/>
      <c r="KZ131" s="11"/>
      <c r="LA131" s="11"/>
      <c r="LB131" s="11"/>
      <c r="LC131" s="11"/>
      <c r="LD131" s="11"/>
      <c r="LE131" s="11"/>
      <c r="LF131" s="11"/>
      <c r="LG131" s="11"/>
      <c r="LH131" s="11"/>
      <c r="LI131" s="11"/>
      <c r="LJ131" s="11"/>
      <c r="LK131" s="11"/>
      <c r="LL131" s="11"/>
      <c r="LM131" s="11"/>
      <c r="LN131" s="11"/>
      <c r="LO131" s="11"/>
      <c r="LP131" s="11"/>
      <c r="LQ131" s="11"/>
      <c r="LR131" s="11"/>
      <c r="LS131" s="11"/>
      <c r="LT131" s="11"/>
      <c r="LU131" s="11"/>
      <c r="LV131" s="11"/>
      <c r="LW131" s="11"/>
      <c r="LX131" s="11"/>
      <c r="LY131" s="11"/>
      <c r="LZ131" s="11"/>
      <c r="MA131" s="11"/>
      <c r="MB131" s="11"/>
      <c r="MC131" s="11"/>
      <c r="MD131" s="11"/>
      <c r="ME131" s="11"/>
      <c r="MF131" s="11"/>
      <c r="MG131" s="11"/>
      <c r="MH131" s="11"/>
      <c r="MI131" s="11"/>
      <c r="MJ131" s="11"/>
      <c r="MK131" s="11"/>
      <c r="ML131" s="11"/>
      <c r="MM131" s="11"/>
      <c r="MN131" s="11"/>
      <c r="MO131" s="11"/>
      <c r="MP131" s="11"/>
      <c r="MQ131" s="11"/>
      <c r="MR131" s="11"/>
      <c r="MS131" s="11"/>
      <c r="MT131" s="11"/>
      <c r="MU131" s="11"/>
      <c r="MV131" s="11"/>
      <c r="MW131" s="11"/>
      <c r="MX131" s="11"/>
      <c r="MY131" s="11"/>
      <c r="MZ131" s="11"/>
      <c r="NA131" s="11"/>
      <c r="NB131" s="11"/>
      <c r="NC131" s="11"/>
      <c r="ND131" s="11"/>
      <c r="NE131" s="11"/>
      <c r="NF131" s="11"/>
      <c r="NG131" s="11"/>
      <c r="NH131" s="11"/>
      <c r="NI131" s="11"/>
      <c r="NJ131" s="11"/>
      <c r="NK131" s="11"/>
      <c r="NL131" s="11"/>
      <c r="NM131" s="11"/>
      <c r="NN131" s="11"/>
      <c r="NO131" s="11"/>
      <c r="NP131" s="11"/>
      <c r="NQ131" s="11"/>
      <c r="NR131" s="11"/>
      <c r="NS131" s="11"/>
      <c r="NT131" s="11"/>
      <c r="NU131" s="11"/>
      <c r="NV131" s="11"/>
      <c r="NW131" s="11"/>
      <c r="NX131" s="11"/>
      <c r="NY131" s="11"/>
      <c r="NZ131" s="11"/>
      <c r="OA131" s="11"/>
      <c r="OB131" s="11"/>
      <c r="OC131" s="11"/>
      <c r="OD131" s="11"/>
      <c r="OE131" s="11"/>
      <c r="OF131" s="11"/>
      <c r="OG131" s="11"/>
      <c r="OH131" s="11"/>
      <c r="OI131" s="11"/>
      <c r="OJ131" s="11"/>
      <c r="OK131" s="11"/>
      <c r="OL131" s="11"/>
      <c r="OM131" s="11"/>
      <c r="ON131" s="11"/>
      <c r="OO131" s="11"/>
      <c r="OP131" s="11"/>
      <c r="OQ131" s="11"/>
      <c r="OR131" s="11"/>
      <c r="OS131" s="11"/>
      <c r="OT131" s="11"/>
      <c r="OU131" s="11"/>
      <c r="OV131" s="11"/>
      <c r="OW131" s="11"/>
      <c r="OX131" s="11"/>
      <c r="OY131" s="11"/>
      <c r="OZ131" s="11"/>
      <c r="PA131" s="11"/>
      <c r="PB131" s="11"/>
      <c r="PC131" s="11"/>
      <c r="PD131" s="11"/>
      <c r="PE131" s="11"/>
      <c r="PF131" s="11"/>
      <c r="PG131" s="11"/>
      <c r="PH131" s="11"/>
      <c r="PI131" s="11"/>
      <c r="PJ131" s="11"/>
      <c r="PK131" s="11"/>
      <c r="PL131" s="11"/>
      <c r="PM131" s="11"/>
      <c r="PN131" s="11"/>
      <c r="PO131" s="11"/>
      <c r="PP131" s="11"/>
      <c r="PQ131" s="11"/>
      <c r="PR131" s="11"/>
      <c r="PS131" s="11"/>
      <c r="PT131" s="11"/>
      <c r="PU131" s="11"/>
      <c r="PV131" s="11"/>
      <c r="PW131" s="11"/>
      <c r="PX131" s="11"/>
      <c r="PY131" s="11"/>
      <c r="PZ131" s="11"/>
      <c r="QA131" s="11"/>
      <c r="QB131" s="11"/>
      <c r="QC131" s="11"/>
      <c r="QD131" s="11"/>
      <c r="QE131" s="11"/>
      <c r="QF131" s="11"/>
      <c r="QG131" s="11"/>
      <c r="QH131" s="11"/>
      <c r="QI131" s="11"/>
      <c r="QJ131" s="11"/>
      <c r="QK131" s="11"/>
      <c r="QL131" s="11"/>
      <c r="QM131" s="11"/>
      <c r="QN131" s="11"/>
      <c r="QO131" s="11"/>
      <c r="QP131" s="11"/>
      <c r="QQ131" s="11"/>
      <c r="QR131" s="11"/>
      <c r="QS131" s="11"/>
      <c r="QT131" s="11"/>
      <c r="QU131" s="11"/>
      <c r="QV131" s="11"/>
      <c r="QW131" s="11"/>
      <c r="QX131" s="11"/>
      <c r="QY131" s="11"/>
      <c r="QZ131" s="11"/>
      <c r="RA131" s="11"/>
      <c r="RB131" s="11"/>
      <c r="RC131" s="11"/>
      <c r="RD131" s="11"/>
      <c r="RE131" s="11"/>
      <c r="RF131" s="11"/>
      <c r="RG131" s="11"/>
      <c r="RH131" s="11"/>
      <c r="RI131" s="11"/>
      <c r="RJ131" s="11"/>
      <c r="RK131" s="11"/>
      <c r="RL131" s="11"/>
      <c r="RM131" s="11"/>
      <c r="RN131" s="11"/>
      <c r="RO131" s="11"/>
      <c r="RP131" s="11"/>
      <c r="RQ131" s="11"/>
      <c r="RR131" s="11"/>
      <c r="RS131" s="11"/>
      <c r="RT131" s="11"/>
      <c r="RU131" s="11"/>
      <c r="RV131" s="11"/>
      <c r="RW131" s="11"/>
      <c r="RX131" s="11"/>
      <c r="RY131" s="11"/>
      <c r="RZ131" s="11"/>
      <c r="SA131" s="11"/>
      <c r="SB131" s="11"/>
      <c r="SC131" s="11"/>
      <c r="SD131" s="11"/>
      <c r="SE131" s="11"/>
      <c r="SF131" s="11"/>
      <c r="SG131" s="11"/>
      <c r="SH131" s="11"/>
      <c r="SI131" s="11"/>
      <c r="SJ131" s="11"/>
      <c r="SK131" s="11"/>
      <c r="SL131" s="11"/>
      <c r="SM131" s="11"/>
      <c r="SN131" s="11"/>
      <c r="SO131" s="11"/>
      <c r="SP131" s="11"/>
      <c r="SQ131" s="11"/>
      <c r="SR131" s="11"/>
      <c r="SS131" s="11"/>
      <c r="ST131" s="11"/>
      <c r="SU131" s="11"/>
      <c r="SV131" s="11"/>
      <c r="SW131" s="11"/>
      <c r="SX131" s="11"/>
      <c r="SY131" s="11"/>
      <c r="SZ131" s="11"/>
      <c r="TA131" s="11"/>
      <c r="TB131" s="11"/>
      <c r="TC131" s="11"/>
      <c r="TD131" s="11"/>
      <c r="TE131" s="11"/>
      <c r="TF131" s="11"/>
      <c r="TG131" s="11"/>
      <c r="TH131" s="11"/>
      <c r="TI131" s="11"/>
      <c r="TJ131" s="11"/>
      <c r="TK131" s="11"/>
      <c r="TL131" s="11"/>
      <c r="TM131" s="11"/>
      <c r="TN131" s="11"/>
      <c r="TO131" s="11"/>
      <c r="TP131" s="11"/>
      <c r="TQ131" s="11"/>
      <c r="TR131" s="11"/>
      <c r="TS131" s="11"/>
      <c r="TT131" s="11"/>
      <c r="TU131" s="11"/>
      <c r="TV131" s="11"/>
      <c r="TW131" s="11"/>
      <c r="TX131" s="11"/>
      <c r="TY131" s="11"/>
      <c r="TZ131" s="11"/>
      <c r="UA131" s="11"/>
      <c r="UB131" s="11"/>
      <c r="UC131" s="11"/>
      <c r="UD131" s="11"/>
      <c r="UE131" s="11"/>
      <c r="UF131" s="11"/>
      <c r="UG131" s="11"/>
      <c r="UH131" s="11"/>
      <c r="UI131" s="11"/>
      <c r="UJ131" s="11"/>
      <c r="UK131" s="11"/>
      <c r="UL131" s="11"/>
      <c r="UM131" s="11"/>
      <c r="UN131" s="11"/>
      <c r="UO131" s="11"/>
      <c r="UP131" s="11"/>
      <c r="UQ131" s="11"/>
      <c r="UR131" s="11"/>
      <c r="US131" s="11"/>
      <c r="UT131" s="11"/>
      <c r="UU131" s="11"/>
      <c r="UV131" s="11"/>
      <c r="UW131" s="11"/>
      <c r="UX131" s="11"/>
      <c r="UY131" s="11"/>
      <c r="UZ131" s="11"/>
      <c r="VA131" s="11"/>
      <c r="VB131" s="11"/>
      <c r="VC131" s="11"/>
      <c r="VD131" s="11"/>
      <c r="VE131" s="11"/>
      <c r="VF131" s="11"/>
      <c r="VG131" s="11"/>
      <c r="VH131" s="11"/>
      <c r="VI131" s="11"/>
      <c r="VJ131" s="11"/>
      <c r="VK131" s="11"/>
      <c r="VL131" s="11"/>
      <c r="VM131" s="11"/>
      <c r="VN131" s="11"/>
      <c r="VO131" s="11"/>
      <c r="VP131" s="11"/>
      <c r="VQ131" s="11"/>
      <c r="VR131" s="11"/>
      <c r="VS131" s="11"/>
      <c r="VT131" s="11"/>
      <c r="VU131" s="11"/>
      <c r="VV131" s="11"/>
      <c r="VW131" s="11"/>
      <c r="VX131" s="11"/>
      <c r="VY131" s="11"/>
      <c r="VZ131" s="11"/>
      <c r="WA131" s="11"/>
      <c r="WB131" s="11"/>
      <c r="WC131" s="11"/>
      <c r="WD131" s="11"/>
      <c r="WE131" s="11"/>
      <c r="WF131" s="11"/>
      <c r="WG131" s="11"/>
      <c r="WH131" s="11"/>
      <c r="WI131" s="11"/>
      <c r="WJ131" s="11"/>
      <c r="WK131" s="11"/>
      <c r="WL131" s="11"/>
      <c r="WM131" s="11"/>
      <c r="WN131" s="11"/>
      <c r="WO131" s="11"/>
      <c r="WP131" s="11"/>
      <c r="WQ131" s="11"/>
      <c r="WR131" s="11"/>
      <c r="WS131" s="11"/>
      <c r="WT131" s="11"/>
      <c r="WU131" s="11"/>
      <c r="WV131" s="11"/>
      <c r="WW131" s="11"/>
      <c r="WX131" s="11"/>
      <c r="WY131" s="11"/>
      <c r="WZ131" s="11"/>
      <c r="XA131" s="11"/>
      <c r="XB131" s="11"/>
      <c r="XC131" s="11"/>
      <c r="XD131" s="11"/>
      <c r="XE131" s="11"/>
      <c r="XF131" s="11"/>
      <c r="XG131" s="11"/>
      <c r="XH131" s="11"/>
      <c r="XI131" s="11"/>
      <c r="XJ131" s="11"/>
      <c r="XK131" s="11"/>
      <c r="XL131" s="11"/>
      <c r="XM131" s="11"/>
      <c r="XN131" s="11"/>
      <c r="XO131" s="11"/>
      <c r="XP131" s="11"/>
      <c r="XQ131" s="11"/>
      <c r="XR131" s="11"/>
      <c r="XS131" s="11"/>
      <c r="XT131" s="11"/>
      <c r="XU131" s="11"/>
      <c r="XV131" s="11"/>
      <c r="XW131" s="11"/>
      <c r="XX131" s="11"/>
      <c r="XY131" s="11"/>
      <c r="XZ131" s="11"/>
      <c r="YA131" s="11"/>
      <c r="YB131" s="11"/>
      <c r="YC131" s="11"/>
      <c r="YD131" s="11"/>
      <c r="YE131" s="11"/>
      <c r="YF131" s="11"/>
      <c r="YG131" s="11"/>
      <c r="YH131" s="11"/>
      <c r="YI131" s="11"/>
      <c r="YJ131" s="11"/>
      <c r="YK131" s="11"/>
      <c r="YL131" s="11"/>
      <c r="YM131" s="11"/>
      <c r="YN131" s="11"/>
      <c r="YO131" s="11"/>
      <c r="YP131" s="11"/>
      <c r="YQ131" s="11"/>
      <c r="YR131" s="11"/>
      <c r="YS131" s="11"/>
      <c r="YT131" s="11"/>
      <c r="YU131" s="11"/>
      <c r="YV131" s="11"/>
      <c r="YW131" s="11"/>
      <c r="YX131" s="11"/>
      <c r="YY131" s="11"/>
      <c r="YZ131" s="11"/>
      <c r="ZA131" s="11"/>
      <c r="ZB131" s="11"/>
      <c r="ZC131" s="11"/>
      <c r="ZD131" s="11"/>
      <c r="ZE131" s="11"/>
      <c r="ZF131" s="11"/>
      <c r="ZG131" s="11"/>
      <c r="ZH131" s="11"/>
      <c r="ZI131" s="11"/>
      <c r="ZJ131" s="11"/>
      <c r="ZK131" s="11"/>
      <c r="ZL131" s="11"/>
      <c r="ZM131" s="11"/>
      <c r="ZN131" s="11"/>
      <c r="ZO131" s="11"/>
      <c r="ZP131" s="11"/>
      <c r="ZQ131" s="11"/>
      <c r="ZR131" s="11"/>
      <c r="ZS131" s="11"/>
      <c r="ZT131" s="11"/>
      <c r="ZU131" s="11"/>
      <c r="ZV131" s="11"/>
      <c r="ZW131" s="11"/>
      <c r="ZX131" s="11"/>
      <c r="ZY131" s="11"/>
      <c r="ZZ131" s="11"/>
      <c r="AAA131" s="11"/>
      <c r="AAB131" s="11"/>
      <c r="AAC131" s="11"/>
      <c r="AAD131" s="11"/>
      <c r="AAE131" s="11"/>
      <c r="AAF131" s="11"/>
      <c r="AAG131" s="11"/>
      <c r="AAH131" s="11"/>
      <c r="AAI131" s="11"/>
      <c r="AAJ131" s="11"/>
      <c r="AAK131" s="11"/>
      <c r="AAL131" s="11"/>
      <c r="AAM131" s="11"/>
      <c r="AAN131" s="11"/>
      <c r="AAO131" s="11"/>
      <c r="AAP131" s="11"/>
      <c r="AAQ131" s="11"/>
      <c r="AAR131" s="11"/>
      <c r="AAS131" s="11"/>
      <c r="AAT131" s="11"/>
      <c r="AAU131" s="11"/>
      <c r="AAV131" s="11"/>
      <c r="AAW131" s="11"/>
      <c r="AAX131" s="11"/>
      <c r="AAY131" s="11"/>
      <c r="AAZ131" s="11"/>
      <c r="ABA131" s="11"/>
      <c r="ABB131" s="11"/>
      <c r="ABC131" s="11"/>
      <c r="ABD131" s="11"/>
      <c r="ABE131" s="11"/>
      <c r="ABF131" s="11"/>
      <c r="ABG131" s="11"/>
      <c r="ABH131" s="11"/>
      <c r="ABI131" s="11"/>
      <c r="ABJ131" s="11"/>
      <c r="ABK131" s="11"/>
      <c r="ABL131" s="11"/>
      <c r="ABM131" s="11"/>
      <c r="ABN131" s="11"/>
      <c r="ABO131" s="11"/>
      <c r="ABP131" s="11"/>
      <c r="ABQ131" s="11"/>
      <c r="ABR131" s="11"/>
      <c r="ABS131" s="11"/>
      <c r="ABT131" s="11"/>
      <c r="ABU131" s="11"/>
      <c r="ABV131" s="11"/>
      <c r="ABW131" s="11"/>
      <c r="ABX131" s="11"/>
      <c r="ABY131" s="11"/>
      <c r="ABZ131" s="11"/>
      <c r="ACA131" s="11"/>
      <c r="ACB131" s="11"/>
      <c r="ACC131" s="11"/>
      <c r="ACD131" s="11"/>
      <c r="ACE131" s="11"/>
      <c r="ACF131" s="11"/>
      <c r="ACG131" s="11"/>
      <c r="ACH131" s="11"/>
      <c r="ACI131" s="11"/>
      <c r="ACJ131" s="11"/>
      <c r="ACK131" s="11"/>
      <c r="ACL131" s="11"/>
      <c r="ACM131" s="11"/>
      <c r="ACN131" s="11"/>
      <c r="ACO131" s="11"/>
      <c r="ACP131" s="11"/>
      <c r="ACQ131" s="11"/>
      <c r="ACR131" s="11"/>
      <c r="ACS131" s="11"/>
      <c r="ACT131" s="11"/>
      <c r="ACU131" s="11"/>
      <c r="ACV131" s="11"/>
      <c r="ACW131" s="11"/>
      <c r="ACX131" s="11"/>
      <c r="ACY131" s="11"/>
      <c r="ACZ131" s="11"/>
      <c r="ADA131" s="11"/>
      <c r="ADB131" s="11"/>
      <c r="ADC131" s="11"/>
      <c r="ADD131" s="11"/>
      <c r="ADE131" s="11"/>
      <c r="ADF131" s="11"/>
      <c r="ADG131" s="11"/>
      <c r="ADH131" s="11"/>
      <c r="ADI131" s="11"/>
      <c r="ADJ131" s="11"/>
      <c r="ADK131" s="11"/>
      <c r="ADL131" s="11"/>
      <c r="ADM131" s="11"/>
      <c r="ADN131" s="11"/>
      <c r="ADO131" s="11"/>
      <c r="ADP131" s="11"/>
      <c r="ADQ131" s="11"/>
      <c r="ADR131" s="11"/>
      <c r="ADS131" s="11"/>
      <c r="ADT131" s="11"/>
      <c r="ADU131" s="11"/>
      <c r="ADV131" s="11"/>
      <c r="ADW131" s="11"/>
      <c r="ADX131" s="11"/>
      <c r="ADY131" s="11"/>
      <c r="ADZ131" s="11"/>
      <c r="AEA131" s="11"/>
      <c r="AEB131" s="11"/>
      <c r="AEC131" s="11"/>
      <c r="AED131" s="11"/>
      <c r="AEE131" s="11"/>
      <c r="AEF131" s="11"/>
      <c r="AEG131" s="11"/>
      <c r="AEH131" s="11"/>
      <c r="AEI131" s="11"/>
      <c r="AEJ131" s="11"/>
      <c r="AEK131" s="11"/>
      <c r="AEL131" s="11"/>
      <c r="AEM131" s="11"/>
      <c r="AEN131" s="11"/>
      <c r="AEO131" s="11"/>
      <c r="AEP131" s="11"/>
      <c r="AEQ131" s="11"/>
      <c r="AER131" s="11"/>
      <c r="AES131" s="11"/>
      <c r="AET131" s="11"/>
      <c r="AEU131" s="11"/>
      <c r="AEV131" s="11"/>
      <c r="AEW131" s="11"/>
      <c r="AEX131" s="11"/>
      <c r="AEY131" s="11"/>
      <c r="AEZ131" s="11"/>
      <c r="AFA131" s="11"/>
      <c r="AFB131" s="11"/>
      <c r="AFC131" s="11"/>
      <c r="AFD131" s="11"/>
      <c r="AFE131" s="11"/>
      <c r="AFF131" s="11"/>
      <c r="AFG131" s="11"/>
      <c r="AFH131" s="11"/>
      <c r="AFI131" s="11"/>
    </row>
    <row r="132" spans="2:84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c r="IW132" s="11"/>
      <c r="IX132" s="11"/>
      <c r="IY132" s="11"/>
      <c r="IZ132" s="11"/>
      <c r="JA132" s="11"/>
      <c r="JB132" s="11"/>
      <c r="JC132" s="11"/>
      <c r="JD132" s="11"/>
      <c r="JE132" s="11"/>
      <c r="JF132" s="11"/>
      <c r="JG132" s="11"/>
      <c r="JH132" s="11"/>
      <c r="JI132" s="11"/>
      <c r="JJ132" s="11"/>
      <c r="JK132" s="11"/>
      <c r="JL132" s="11"/>
      <c r="JM132" s="11"/>
      <c r="JN132" s="11"/>
      <c r="JO132" s="11"/>
      <c r="JP132" s="11"/>
      <c r="JQ132" s="11"/>
      <c r="JR132" s="11"/>
      <c r="JS132" s="11"/>
      <c r="JT132" s="11"/>
      <c r="JU132" s="11"/>
      <c r="JV132" s="11"/>
      <c r="JW132" s="11"/>
      <c r="JX132" s="11"/>
      <c r="JY132" s="11"/>
      <c r="JZ132" s="11"/>
      <c r="KA132" s="11"/>
      <c r="KB132" s="11"/>
      <c r="KC132" s="11"/>
      <c r="KD132" s="11"/>
      <c r="KE132" s="11"/>
      <c r="KF132" s="11"/>
      <c r="KG132" s="11"/>
      <c r="KH132" s="11"/>
      <c r="KI132" s="11"/>
      <c r="KJ132" s="11"/>
      <c r="KK132" s="11"/>
      <c r="KL132" s="11"/>
      <c r="KM132" s="11"/>
      <c r="KN132" s="11"/>
      <c r="KO132" s="11"/>
      <c r="KP132" s="11"/>
      <c r="KQ132" s="11"/>
      <c r="KR132" s="11"/>
      <c r="KS132" s="11"/>
      <c r="KT132" s="11"/>
      <c r="KU132" s="11"/>
      <c r="KV132" s="11"/>
      <c r="KW132" s="11"/>
      <c r="KX132" s="11"/>
      <c r="KY132" s="11"/>
      <c r="KZ132" s="11"/>
      <c r="LA132" s="11"/>
      <c r="LB132" s="11"/>
      <c r="LC132" s="11"/>
      <c r="LD132" s="11"/>
      <c r="LE132" s="11"/>
      <c r="LF132" s="11"/>
      <c r="LG132" s="11"/>
      <c r="LH132" s="11"/>
      <c r="LI132" s="11"/>
      <c r="LJ132" s="11"/>
      <c r="LK132" s="11"/>
      <c r="LL132" s="11"/>
      <c r="LM132" s="11"/>
      <c r="LN132" s="11"/>
      <c r="LO132" s="11"/>
      <c r="LP132" s="11"/>
      <c r="LQ132" s="11"/>
      <c r="LR132" s="11"/>
      <c r="LS132" s="11"/>
      <c r="LT132" s="11"/>
      <c r="LU132" s="11"/>
      <c r="LV132" s="11"/>
      <c r="LW132" s="11"/>
      <c r="LX132" s="11"/>
      <c r="LY132" s="11"/>
      <c r="LZ132" s="11"/>
      <c r="MA132" s="11"/>
      <c r="MB132" s="11"/>
      <c r="MC132" s="11"/>
      <c r="MD132" s="11"/>
      <c r="ME132" s="11"/>
      <c r="MF132" s="11"/>
      <c r="MG132" s="11"/>
      <c r="MH132" s="11"/>
      <c r="MI132" s="11"/>
      <c r="MJ132" s="11"/>
      <c r="MK132" s="11"/>
      <c r="ML132" s="11"/>
      <c r="MM132" s="11"/>
      <c r="MN132" s="11"/>
      <c r="MO132" s="11"/>
      <c r="MP132" s="11"/>
      <c r="MQ132" s="11"/>
      <c r="MR132" s="11"/>
      <c r="MS132" s="11"/>
      <c r="MT132" s="11"/>
      <c r="MU132" s="11"/>
      <c r="MV132" s="11"/>
      <c r="MW132" s="11"/>
      <c r="MX132" s="11"/>
      <c r="MY132" s="11"/>
      <c r="MZ132" s="11"/>
      <c r="NA132" s="11"/>
      <c r="NB132" s="11"/>
      <c r="NC132" s="11"/>
      <c r="ND132" s="11"/>
      <c r="NE132" s="11"/>
      <c r="NF132" s="11"/>
      <c r="NG132" s="11"/>
      <c r="NH132" s="11"/>
      <c r="NI132" s="11"/>
      <c r="NJ132" s="11"/>
      <c r="NK132" s="11"/>
      <c r="NL132" s="11"/>
      <c r="NM132" s="11"/>
      <c r="NN132" s="11"/>
      <c r="NO132" s="11"/>
      <c r="NP132" s="11"/>
      <c r="NQ132" s="11"/>
      <c r="NR132" s="11"/>
      <c r="NS132" s="11"/>
      <c r="NT132" s="11"/>
      <c r="NU132" s="11"/>
      <c r="NV132" s="11"/>
      <c r="NW132" s="11"/>
      <c r="NX132" s="11"/>
      <c r="NY132" s="11"/>
      <c r="NZ132" s="11"/>
      <c r="OA132" s="11"/>
      <c r="OB132" s="11"/>
      <c r="OC132" s="11"/>
      <c r="OD132" s="11"/>
      <c r="OE132" s="11"/>
      <c r="OF132" s="11"/>
      <c r="OG132" s="11"/>
      <c r="OH132" s="11"/>
      <c r="OI132" s="11"/>
      <c r="OJ132" s="11"/>
      <c r="OK132" s="11"/>
      <c r="OL132" s="11"/>
      <c r="OM132" s="11"/>
      <c r="ON132" s="11"/>
      <c r="OO132" s="11"/>
      <c r="OP132" s="11"/>
      <c r="OQ132" s="11"/>
      <c r="OR132" s="11"/>
      <c r="OS132" s="11"/>
      <c r="OT132" s="11"/>
      <c r="OU132" s="11"/>
      <c r="OV132" s="11"/>
      <c r="OW132" s="11"/>
      <c r="OX132" s="11"/>
      <c r="OY132" s="11"/>
      <c r="OZ132" s="11"/>
      <c r="PA132" s="11"/>
      <c r="PB132" s="11"/>
      <c r="PC132" s="11"/>
      <c r="PD132" s="11"/>
      <c r="PE132" s="11"/>
      <c r="PF132" s="11"/>
      <c r="PG132" s="11"/>
      <c r="PH132" s="11"/>
      <c r="PI132" s="11"/>
      <c r="PJ132" s="11"/>
      <c r="PK132" s="11"/>
      <c r="PL132" s="11"/>
      <c r="PM132" s="11"/>
      <c r="PN132" s="11"/>
      <c r="PO132" s="11"/>
      <c r="PP132" s="11"/>
      <c r="PQ132" s="11"/>
      <c r="PR132" s="11"/>
      <c r="PS132" s="11"/>
      <c r="PT132" s="11"/>
      <c r="PU132" s="11"/>
      <c r="PV132" s="11"/>
      <c r="PW132" s="11"/>
      <c r="PX132" s="11"/>
      <c r="PY132" s="11"/>
      <c r="PZ132" s="11"/>
      <c r="QA132" s="11"/>
      <c r="QB132" s="11"/>
      <c r="QC132" s="11"/>
      <c r="QD132" s="11"/>
      <c r="QE132" s="11"/>
      <c r="QF132" s="11"/>
      <c r="QG132" s="11"/>
      <c r="QH132" s="11"/>
      <c r="QI132" s="11"/>
      <c r="QJ132" s="11"/>
      <c r="QK132" s="11"/>
      <c r="QL132" s="11"/>
      <c r="QM132" s="11"/>
      <c r="QN132" s="11"/>
      <c r="QO132" s="11"/>
      <c r="QP132" s="11"/>
      <c r="QQ132" s="11"/>
      <c r="QR132" s="11"/>
      <c r="QS132" s="11"/>
      <c r="QT132" s="11"/>
      <c r="QU132" s="11"/>
      <c r="QV132" s="11"/>
      <c r="QW132" s="11"/>
      <c r="QX132" s="11"/>
      <c r="QY132" s="11"/>
      <c r="QZ132" s="11"/>
      <c r="RA132" s="11"/>
      <c r="RB132" s="11"/>
      <c r="RC132" s="11"/>
      <c r="RD132" s="11"/>
      <c r="RE132" s="11"/>
      <c r="RF132" s="11"/>
      <c r="RG132" s="11"/>
      <c r="RH132" s="11"/>
      <c r="RI132" s="11"/>
      <c r="RJ132" s="11"/>
      <c r="RK132" s="11"/>
      <c r="RL132" s="11"/>
      <c r="RM132" s="11"/>
      <c r="RN132" s="11"/>
      <c r="RO132" s="11"/>
      <c r="RP132" s="11"/>
      <c r="RQ132" s="11"/>
      <c r="RR132" s="11"/>
      <c r="RS132" s="11"/>
      <c r="RT132" s="11"/>
      <c r="RU132" s="11"/>
      <c r="RV132" s="11"/>
      <c r="RW132" s="11"/>
      <c r="RX132" s="11"/>
      <c r="RY132" s="11"/>
      <c r="RZ132" s="11"/>
      <c r="SA132" s="11"/>
      <c r="SB132" s="11"/>
      <c r="SC132" s="11"/>
      <c r="SD132" s="11"/>
      <c r="SE132" s="11"/>
      <c r="SF132" s="11"/>
      <c r="SG132" s="11"/>
      <c r="SH132" s="11"/>
      <c r="SI132" s="11"/>
      <c r="SJ132" s="11"/>
      <c r="SK132" s="11"/>
      <c r="SL132" s="11"/>
      <c r="SM132" s="11"/>
      <c r="SN132" s="11"/>
      <c r="SO132" s="11"/>
      <c r="SP132" s="11"/>
      <c r="SQ132" s="11"/>
      <c r="SR132" s="11"/>
      <c r="SS132" s="11"/>
      <c r="ST132" s="11"/>
      <c r="SU132" s="11"/>
      <c r="SV132" s="11"/>
      <c r="SW132" s="11"/>
      <c r="SX132" s="11"/>
      <c r="SY132" s="11"/>
      <c r="SZ132" s="11"/>
      <c r="TA132" s="11"/>
      <c r="TB132" s="11"/>
      <c r="TC132" s="11"/>
      <c r="TD132" s="11"/>
      <c r="TE132" s="11"/>
      <c r="TF132" s="11"/>
      <c r="TG132" s="11"/>
      <c r="TH132" s="11"/>
      <c r="TI132" s="11"/>
      <c r="TJ132" s="11"/>
      <c r="TK132" s="11"/>
      <c r="TL132" s="11"/>
      <c r="TM132" s="11"/>
      <c r="TN132" s="11"/>
      <c r="TO132" s="11"/>
      <c r="TP132" s="11"/>
      <c r="TQ132" s="11"/>
      <c r="TR132" s="11"/>
      <c r="TS132" s="11"/>
      <c r="TT132" s="11"/>
      <c r="TU132" s="11"/>
      <c r="TV132" s="11"/>
      <c r="TW132" s="11"/>
      <c r="TX132" s="11"/>
      <c r="TY132" s="11"/>
      <c r="TZ132" s="11"/>
      <c r="UA132" s="11"/>
      <c r="UB132" s="11"/>
      <c r="UC132" s="11"/>
      <c r="UD132" s="11"/>
      <c r="UE132" s="11"/>
      <c r="UF132" s="11"/>
      <c r="UG132" s="11"/>
      <c r="UH132" s="11"/>
      <c r="UI132" s="11"/>
      <c r="UJ132" s="11"/>
      <c r="UK132" s="11"/>
      <c r="UL132" s="11"/>
      <c r="UM132" s="11"/>
      <c r="UN132" s="11"/>
      <c r="UO132" s="11"/>
      <c r="UP132" s="11"/>
      <c r="UQ132" s="11"/>
      <c r="UR132" s="11"/>
      <c r="US132" s="11"/>
      <c r="UT132" s="11"/>
      <c r="UU132" s="11"/>
      <c r="UV132" s="11"/>
      <c r="UW132" s="11"/>
      <c r="UX132" s="11"/>
      <c r="UY132" s="11"/>
      <c r="UZ132" s="11"/>
      <c r="VA132" s="11"/>
      <c r="VB132" s="11"/>
      <c r="VC132" s="11"/>
      <c r="VD132" s="11"/>
      <c r="VE132" s="11"/>
      <c r="VF132" s="11"/>
      <c r="VG132" s="11"/>
      <c r="VH132" s="11"/>
      <c r="VI132" s="11"/>
      <c r="VJ132" s="11"/>
      <c r="VK132" s="11"/>
      <c r="VL132" s="11"/>
      <c r="VM132" s="11"/>
      <c r="VN132" s="11"/>
      <c r="VO132" s="11"/>
      <c r="VP132" s="11"/>
      <c r="VQ132" s="11"/>
      <c r="VR132" s="11"/>
      <c r="VS132" s="11"/>
      <c r="VT132" s="11"/>
      <c r="VU132" s="11"/>
      <c r="VV132" s="11"/>
      <c r="VW132" s="11"/>
      <c r="VX132" s="11"/>
      <c r="VY132" s="11"/>
      <c r="VZ132" s="11"/>
      <c r="WA132" s="11"/>
      <c r="WB132" s="11"/>
      <c r="WC132" s="11"/>
      <c r="WD132" s="11"/>
      <c r="WE132" s="11"/>
      <c r="WF132" s="11"/>
      <c r="WG132" s="11"/>
      <c r="WH132" s="11"/>
      <c r="WI132" s="11"/>
      <c r="WJ132" s="11"/>
      <c r="WK132" s="11"/>
      <c r="WL132" s="11"/>
      <c r="WM132" s="11"/>
      <c r="WN132" s="11"/>
      <c r="WO132" s="11"/>
      <c r="WP132" s="11"/>
      <c r="WQ132" s="11"/>
      <c r="WR132" s="11"/>
      <c r="WS132" s="11"/>
      <c r="WT132" s="11"/>
      <c r="WU132" s="11"/>
      <c r="WV132" s="11"/>
      <c r="WW132" s="11"/>
      <c r="WX132" s="11"/>
      <c r="WY132" s="11"/>
      <c r="WZ132" s="11"/>
      <c r="XA132" s="11"/>
      <c r="XB132" s="11"/>
      <c r="XC132" s="11"/>
      <c r="XD132" s="11"/>
      <c r="XE132" s="11"/>
      <c r="XF132" s="11"/>
      <c r="XG132" s="11"/>
      <c r="XH132" s="11"/>
      <c r="XI132" s="11"/>
      <c r="XJ132" s="11"/>
      <c r="XK132" s="11"/>
      <c r="XL132" s="11"/>
      <c r="XM132" s="11"/>
      <c r="XN132" s="11"/>
      <c r="XO132" s="11"/>
      <c r="XP132" s="11"/>
      <c r="XQ132" s="11"/>
      <c r="XR132" s="11"/>
      <c r="XS132" s="11"/>
      <c r="XT132" s="11"/>
      <c r="XU132" s="11"/>
      <c r="XV132" s="11"/>
      <c r="XW132" s="11"/>
      <c r="XX132" s="11"/>
      <c r="XY132" s="11"/>
      <c r="XZ132" s="11"/>
      <c r="YA132" s="11"/>
      <c r="YB132" s="11"/>
      <c r="YC132" s="11"/>
      <c r="YD132" s="11"/>
      <c r="YE132" s="11"/>
      <c r="YF132" s="11"/>
      <c r="YG132" s="11"/>
      <c r="YH132" s="11"/>
      <c r="YI132" s="11"/>
      <c r="YJ132" s="11"/>
      <c r="YK132" s="11"/>
      <c r="YL132" s="11"/>
      <c r="YM132" s="11"/>
      <c r="YN132" s="11"/>
      <c r="YO132" s="11"/>
      <c r="YP132" s="11"/>
      <c r="YQ132" s="11"/>
      <c r="YR132" s="11"/>
      <c r="YS132" s="11"/>
      <c r="YT132" s="11"/>
      <c r="YU132" s="11"/>
      <c r="YV132" s="11"/>
      <c r="YW132" s="11"/>
      <c r="YX132" s="11"/>
      <c r="YY132" s="11"/>
      <c r="YZ132" s="11"/>
      <c r="ZA132" s="11"/>
      <c r="ZB132" s="11"/>
      <c r="ZC132" s="11"/>
      <c r="ZD132" s="11"/>
      <c r="ZE132" s="11"/>
      <c r="ZF132" s="11"/>
      <c r="ZG132" s="11"/>
      <c r="ZH132" s="11"/>
      <c r="ZI132" s="11"/>
      <c r="ZJ132" s="11"/>
      <c r="ZK132" s="11"/>
      <c r="ZL132" s="11"/>
      <c r="ZM132" s="11"/>
      <c r="ZN132" s="11"/>
      <c r="ZO132" s="11"/>
      <c r="ZP132" s="11"/>
      <c r="ZQ132" s="11"/>
      <c r="ZR132" s="11"/>
      <c r="ZS132" s="11"/>
      <c r="ZT132" s="11"/>
      <c r="ZU132" s="11"/>
      <c r="ZV132" s="11"/>
      <c r="ZW132" s="11"/>
      <c r="ZX132" s="11"/>
      <c r="ZY132" s="11"/>
      <c r="ZZ132" s="11"/>
      <c r="AAA132" s="11"/>
      <c r="AAB132" s="11"/>
      <c r="AAC132" s="11"/>
      <c r="AAD132" s="11"/>
      <c r="AAE132" s="11"/>
      <c r="AAF132" s="11"/>
      <c r="AAG132" s="11"/>
      <c r="AAH132" s="11"/>
      <c r="AAI132" s="11"/>
      <c r="AAJ132" s="11"/>
      <c r="AAK132" s="11"/>
      <c r="AAL132" s="11"/>
      <c r="AAM132" s="11"/>
      <c r="AAN132" s="11"/>
      <c r="AAO132" s="11"/>
      <c r="AAP132" s="11"/>
      <c r="AAQ132" s="11"/>
      <c r="AAR132" s="11"/>
      <c r="AAS132" s="11"/>
      <c r="AAT132" s="11"/>
      <c r="AAU132" s="11"/>
      <c r="AAV132" s="11"/>
      <c r="AAW132" s="11"/>
      <c r="AAX132" s="11"/>
      <c r="AAY132" s="11"/>
      <c r="AAZ132" s="11"/>
      <c r="ABA132" s="11"/>
      <c r="ABB132" s="11"/>
      <c r="ABC132" s="11"/>
      <c r="ABD132" s="11"/>
      <c r="ABE132" s="11"/>
      <c r="ABF132" s="11"/>
      <c r="ABG132" s="11"/>
      <c r="ABH132" s="11"/>
      <c r="ABI132" s="11"/>
      <c r="ABJ132" s="11"/>
      <c r="ABK132" s="11"/>
      <c r="ABL132" s="11"/>
      <c r="ABM132" s="11"/>
      <c r="ABN132" s="11"/>
      <c r="ABO132" s="11"/>
      <c r="ABP132" s="11"/>
      <c r="ABQ132" s="11"/>
      <c r="ABR132" s="11"/>
      <c r="ABS132" s="11"/>
      <c r="ABT132" s="11"/>
      <c r="ABU132" s="11"/>
      <c r="ABV132" s="11"/>
      <c r="ABW132" s="11"/>
      <c r="ABX132" s="11"/>
      <c r="ABY132" s="11"/>
      <c r="ABZ132" s="11"/>
      <c r="ACA132" s="11"/>
      <c r="ACB132" s="11"/>
      <c r="ACC132" s="11"/>
      <c r="ACD132" s="11"/>
      <c r="ACE132" s="11"/>
      <c r="ACF132" s="11"/>
      <c r="ACG132" s="11"/>
      <c r="ACH132" s="11"/>
      <c r="ACI132" s="11"/>
      <c r="ACJ132" s="11"/>
      <c r="ACK132" s="11"/>
      <c r="ACL132" s="11"/>
      <c r="ACM132" s="11"/>
      <c r="ACN132" s="11"/>
      <c r="ACO132" s="11"/>
      <c r="ACP132" s="11"/>
      <c r="ACQ132" s="11"/>
      <c r="ACR132" s="11"/>
      <c r="ACS132" s="11"/>
      <c r="ACT132" s="11"/>
      <c r="ACU132" s="11"/>
      <c r="ACV132" s="11"/>
      <c r="ACW132" s="11"/>
      <c r="ACX132" s="11"/>
      <c r="ACY132" s="11"/>
      <c r="ACZ132" s="11"/>
      <c r="ADA132" s="11"/>
      <c r="ADB132" s="11"/>
      <c r="ADC132" s="11"/>
      <c r="ADD132" s="11"/>
      <c r="ADE132" s="11"/>
      <c r="ADF132" s="11"/>
      <c r="ADG132" s="11"/>
      <c r="ADH132" s="11"/>
      <c r="ADI132" s="11"/>
      <c r="ADJ132" s="11"/>
      <c r="ADK132" s="11"/>
      <c r="ADL132" s="11"/>
      <c r="ADM132" s="11"/>
      <c r="ADN132" s="11"/>
      <c r="ADO132" s="11"/>
      <c r="ADP132" s="11"/>
      <c r="ADQ132" s="11"/>
      <c r="ADR132" s="11"/>
      <c r="ADS132" s="11"/>
      <c r="ADT132" s="11"/>
      <c r="ADU132" s="11"/>
      <c r="ADV132" s="11"/>
      <c r="ADW132" s="11"/>
      <c r="ADX132" s="11"/>
      <c r="ADY132" s="11"/>
      <c r="ADZ132" s="11"/>
      <c r="AEA132" s="11"/>
      <c r="AEB132" s="11"/>
      <c r="AEC132" s="11"/>
      <c r="AED132" s="11"/>
      <c r="AEE132" s="11"/>
      <c r="AEF132" s="11"/>
      <c r="AEG132" s="11"/>
      <c r="AEH132" s="11"/>
      <c r="AEI132" s="11"/>
      <c r="AEJ132" s="11"/>
      <c r="AEK132" s="11"/>
      <c r="AEL132" s="11"/>
      <c r="AEM132" s="11"/>
      <c r="AEN132" s="11"/>
      <c r="AEO132" s="11"/>
      <c r="AEP132" s="11"/>
      <c r="AEQ132" s="11"/>
      <c r="AER132" s="11"/>
      <c r="AES132" s="11"/>
      <c r="AET132" s="11"/>
      <c r="AEU132" s="11"/>
      <c r="AEV132" s="11"/>
      <c r="AEW132" s="11"/>
      <c r="AEX132" s="11"/>
      <c r="AEY132" s="11"/>
      <c r="AEZ132" s="11"/>
      <c r="AFA132" s="11"/>
      <c r="AFB132" s="11"/>
      <c r="AFC132" s="11"/>
      <c r="AFD132" s="11"/>
      <c r="AFE132" s="11"/>
      <c r="AFF132" s="11"/>
      <c r="AFG132" s="11"/>
      <c r="AFH132" s="11"/>
      <c r="AFI132" s="11"/>
    </row>
    <row r="133" spans="2:84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c r="IW133" s="11"/>
      <c r="IX133" s="11"/>
      <c r="IY133" s="11"/>
      <c r="IZ133" s="11"/>
      <c r="JA133" s="11"/>
      <c r="JB133" s="11"/>
      <c r="JC133" s="11"/>
      <c r="JD133" s="11"/>
      <c r="JE133" s="11"/>
      <c r="JF133" s="11"/>
      <c r="JG133" s="11"/>
      <c r="JH133" s="11"/>
      <c r="JI133" s="11"/>
      <c r="JJ133" s="11"/>
      <c r="JK133" s="11"/>
      <c r="JL133" s="11"/>
      <c r="JM133" s="11"/>
      <c r="JN133" s="11"/>
      <c r="JO133" s="11"/>
      <c r="JP133" s="11"/>
      <c r="JQ133" s="11"/>
      <c r="JR133" s="11"/>
      <c r="JS133" s="11"/>
      <c r="JT133" s="11"/>
      <c r="JU133" s="11"/>
      <c r="JV133" s="11"/>
      <c r="JW133" s="11"/>
      <c r="JX133" s="11"/>
      <c r="JY133" s="11"/>
      <c r="JZ133" s="11"/>
      <c r="KA133" s="11"/>
      <c r="KB133" s="11"/>
      <c r="KC133" s="11"/>
      <c r="KD133" s="11"/>
      <c r="KE133" s="11"/>
      <c r="KF133" s="11"/>
      <c r="KG133" s="11"/>
      <c r="KH133" s="11"/>
      <c r="KI133" s="11"/>
      <c r="KJ133" s="11"/>
      <c r="KK133" s="11"/>
      <c r="KL133" s="11"/>
      <c r="KM133" s="11"/>
      <c r="KN133" s="11"/>
      <c r="KO133" s="11"/>
      <c r="KP133" s="11"/>
      <c r="KQ133" s="11"/>
      <c r="KR133" s="11"/>
      <c r="KS133" s="11"/>
      <c r="KT133" s="11"/>
      <c r="KU133" s="11"/>
      <c r="KV133" s="11"/>
      <c r="KW133" s="11"/>
      <c r="KX133" s="11"/>
      <c r="KY133" s="11"/>
      <c r="KZ133" s="11"/>
      <c r="LA133" s="11"/>
      <c r="LB133" s="11"/>
      <c r="LC133" s="11"/>
      <c r="LD133" s="11"/>
      <c r="LE133" s="11"/>
      <c r="LF133" s="11"/>
      <c r="LG133" s="11"/>
      <c r="LH133" s="11"/>
      <c r="LI133" s="11"/>
      <c r="LJ133" s="11"/>
      <c r="LK133" s="11"/>
      <c r="LL133" s="11"/>
      <c r="LM133" s="11"/>
      <c r="LN133" s="11"/>
      <c r="LO133" s="11"/>
      <c r="LP133" s="11"/>
      <c r="LQ133" s="11"/>
      <c r="LR133" s="11"/>
      <c r="LS133" s="11"/>
      <c r="LT133" s="11"/>
      <c r="LU133" s="11"/>
      <c r="LV133" s="11"/>
      <c r="LW133" s="11"/>
      <c r="LX133" s="11"/>
      <c r="LY133" s="11"/>
      <c r="LZ133" s="11"/>
      <c r="MA133" s="11"/>
      <c r="MB133" s="11"/>
      <c r="MC133" s="11"/>
      <c r="MD133" s="11"/>
      <c r="ME133" s="11"/>
      <c r="MF133" s="11"/>
      <c r="MG133" s="11"/>
      <c r="MH133" s="11"/>
      <c r="MI133" s="11"/>
      <c r="MJ133" s="11"/>
      <c r="MK133" s="11"/>
      <c r="ML133" s="11"/>
      <c r="MM133" s="11"/>
      <c r="MN133" s="11"/>
      <c r="MO133" s="11"/>
      <c r="MP133" s="11"/>
      <c r="MQ133" s="11"/>
      <c r="MR133" s="11"/>
      <c r="MS133" s="11"/>
      <c r="MT133" s="11"/>
      <c r="MU133" s="11"/>
      <c r="MV133" s="11"/>
      <c r="MW133" s="11"/>
      <c r="MX133" s="11"/>
      <c r="MY133" s="11"/>
      <c r="MZ133" s="11"/>
      <c r="NA133" s="11"/>
      <c r="NB133" s="11"/>
      <c r="NC133" s="11"/>
      <c r="ND133" s="11"/>
      <c r="NE133" s="11"/>
      <c r="NF133" s="11"/>
      <c r="NG133" s="11"/>
      <c r="NH133" s="11"/>
      <c r="NI133" s="11"/>
      <c r="NJ133" s="11"/>
      <c r="NK133" s="11"/>
      <c r="NL133" s="11"/>
      <c r="NM133" s="11"/>
      <c r="NN133" s="11"/>
      <c r="NO133" s="11"/>
      <c r="NP133" s="11"/>
      <c r="NQ133" s="11"/>
      <c r="NR133" s="11"/>
      <c r="NS133" s="11"/>
      <c r="NT133" s="11"/>
      <c r="NU133" s="11"/>
      <c r="NV133" s="11"/>
      <c r="NW133" s="11"/>
      <c r="NX133" s="11"/>
      <c r="NY133" s="11"/>
      <c r="NZ133" s="11"/>
      <c r="OA133" s="11"/>
      <c r="OB133" s="11"/>
      <c r="OC133" s="11"/>
      <c r="OD133" s="11"/>
      <c r="OE133" s="11"/>
      <c r="OF133" s="11"/>
      <c r="OG133" s="11"/>
      <c r="OH133" s="11"/>
      <c r="OI133" s="11"/>
      <c r="OJ133" s="11"/>
      <c r="OK133" s="11"/>
      <c r="OL133" s="11"/>
      <c r="OM133" s="11"/>
      <c r="ON133" s="11"/>
      <c r="OO133" s="11"/>
      <c r="OP133" s="11"/>
      <c r="OQ133" s="11"/>
      <c r="OR133" s="11"/>
      <c r="OS133" s="11"/>
      <c r="OT133" s="11"/>
      <c r="OU133" s="11"/>
      <c r="OV133" s="11"/>
      <c r="OW133" s="11"/>
      <c r="OX133" s="11"/>
      <c r="OY133" s="11"/>
      <c r="OZ133" s="11"/>
      <c r="PA133" s="11"/>
      <c r="PB133" s="11"/>
      <c r="PC133" s="11"/>
      <c r="PD133" s="11"/>
      <c r="PE133" s="11"/>
      <c r="PF133" s="11"/>
      <c r="PG133" s="11"/>
      <c r="PH133" s="11"/>
      <c r="PI133" s="11"/>
      <c r="PJ133" s="11"/>
      <c r="PK133" s="11"/>
      <c r="PL133" s="11"/>
      <c r="PM133" s="11"/>
      <c r="PN133" s="11"/>
      <c r="PO133" s="11"/>
      <c r="PP133" s="11"/>
      <c r="PQ133" s="11"/>
      <c r="PR133" s="11"/>
      <c r="PS133" s="11"/>
      <c r="PT133" s="11"/>
      <c r="PU133" s="11"/>
      <c r="PV133" s="11"/>
      <c r="PW133" s="11"/>
      <c r="PX133" s="11"/>
      <c r="PY133" s="11"/>
      <c r="PZ133" s="11"/>
      <c r="QA133" s="11"/>
      <c r="QB133" s="11"/>
      <c r="QC133" s="11"/>
      <c r="QD133" s="11"/>
      <c r="QE133" s="11"/>
      <c r="QF133" s="11"/>
      <c r="QG133" s="11"/>
      <c r="QH133" s="11"/>
      <c r="QI133" s="11"/>
      <c r="QJ133" s="11"/>
      <c r="QK133" s="11"/>
      <c r="QL133" s="11"/>
      <c r="QM133" s="11"/>
      <c r="QN133" s="11"/>
      <c r="QO133" s="11"/>
      <c r="QP133" s="11"/>
      <c r="QQ133" s="11"/>
      <c r="QR133" s="11"/>
      <c r="QS133" s="11"/>
      <c r="QT133" s="11"/>
      <c r="QU133" s="11"/>
      <c r="QV133" s="11"/>
      <c r="QW133" s="11"/>
      <c r="QX133" s="11"/>
      <c r="QY133" s="11"/>
      <c r="QZ133" s="11"/>
      <c r="RA133" s="11"/>
      <c r="RB133" s="11"/>
      <c r="RC133" s="11"/>
      <c r="RD133" s="11"/>
      <c r="RE133" s="11"/>
      <c r="RF133" s="11"/>
      <c r="RG133" s="11"/>
      <c r="RH133" s="11"/>
      <c r="RI133" s="11"/>
      <c r="RJ133" s="11"/>
      <c r="RK133" s="11"/>
      <c r="RL133" s="11"/>
      <c r="RM133" s="11"/>
      <c r="RN133" s="11"/>
      <c r="RO133" s="11"/>
      <c r="RP133" s="11"/>
      <c r="RQ133" s="11"/>
      <c r="RR133" s="11"/>
      <c r="RS133" s="11"/>
      <c r="RT133" s="11"/>
      <c r="RU133" s="11"/>
      <c r="RV133" s="11"/>
      <c r="RW133" s="11"/>
      <c r="RX133" s="11"/>
      <c r="RY133" s="11"/>
      <c r="RZ133" s="11"/>
      <c r="SA133" s="11"/>
      <c r="SB133" s="11"/>
      <c r="SC133" s="11"/>
      <c r="SD133" s="11"/>
      <c r="SE133" s="11"/>
      <c r="SF133" s="11"/>
      <c r="SG133" s="11"/>
      <c r="SH133" s="11"/>
      <c r="SI133" s="11"/>
      <c r="SJ133" s="11"/>
      <c r="SK133" s="11"/>
      <c r="SL133" s="11"/>
      <c r="SM133" s="11"/>
      <c r="SN133" s="11"/>
      <c r="SO133" s="11"/>
      <c r="SP133" s="11"/>
      <c r="SQ133" s="11"/>
      <c r="SR133" s="11"/>
      <c r="SS133" s="11"/>
      <c r="ST133" s="11"/>
      <c r="SU133" s="11"/>
      <c r="SV133" s="11"/>
      <c r="SW133" s="11"/>
      <c r="SX133" s="11"/>
      <c r="SY133" s="11"/>
      <c r="SZ133" s="11"/>
      <c r="TA133" s="11"/>
      <c r="TB133" s="11"/>
      <c r="TC133" s="11"/>
      <c r="TD133" s="11"/>
      <c r="TE133" s="11"/>
      <c r="TF133" s="11"/>
      <c r="TG133" s="11"/>
      <c r="TH133" s="11"/>
      <c r="TI133" s="11"/>
      <c r="TJ133" s="11"/>
      <c r="TK133" s="11"/>
      <c r="TL133" s="11"/>
      <c r="TM133" s="11"/>
      <c r="TN133" s="11"/>
      <c r="TO133" s="11"/>
      <c r="TP133" s="11"/>
      <c r="TQ133" s="11"/>
      <c r="TR133" s="11"/>
      <c r="TS133" s="11"/>
      <c r="TT133" s="11"/>
      <c r="TU133" s="11"/>
      <c r="TV133" s="11"/>
      <c r="TW133" s="11"/>
      <c r="TX133" s="11"/>
      <c r="TY133" s="11"/>
      <c r="TZ133" s="11"/>
      <c r="UA133" s="11"/>
      <c r="UB133" s="11"/>
      <c r="UC133" s="11"/>
      <c r="UD133" s="11"/>
      <c r="UE133" s="11"/>
      <c r="UF133" s="11"/>
      <c r="UG133" s="11"/>
      <c r="UH133" s="11"/>
      <c r="UI133" s="11"/>
      <c r="UJ133" s="11"/>
      <c r="UK133" s="11"/>
      <c r="UL133" s="11"/>
      <c r="UM133" s="11"/>
      <c r="UN133" s="11"/>
      <c r="UO133" s="11"/>
      <c r="UP133" s="11"/>
      <c r="UQ133" s="11"/>
      <c r="UR133" s="11"/>
      <c r="US133" s="11"/>
      <c r="UT133" s="11"/>
      <c r="UU133" s="11"/>
      <c r="UV133" s="11"/>
      <c r="UW133" s="11"/>
      <c r="UX133" s="11"/>
      <c r="UY133" s="11"/>
      <c r="UZ133" s="11"/>
      <c r="VA133" s="11"/>
      <c r="VB133" s="11"/>
      <c r="VC133" s="11"/>
      <c r="VD133" s="11"/>
      <c r="VE133" s="11"/>
      <c r="VF133" s="11"/>
      <c r="VG133" s="11"/>
      <c r="VH133" s="11"/>
      <c r="VI133" s="11"/>
      <c r="VJ133" s="11"/>
      <c r="VK133" s="11"/>
      <c r="VL133" s="11"/>
      <c r="VM133" s="11"/>
      <c r="VN133" s="11"/>
      <c r="VO133" s="11"/>
      <c r="VP133" s="11"/>
      <c r="VQ133" s="11"/>
      <c r="VR133" s="11"/>
      <c r="VS133" s="11"/>
      <c r="VT133" s="11"/>
      <c r="VU133" s="11"/>
      <c r="VV133" s="11"/>
      <c r="VW133" s="11"/>
      <c r="VX133" s="11"/>
      <c r="VY133" s="11"/>
      <c r="VZ133" s="11"/>
      <c r="WA133" s="11"/>
      <c r="WB133" s="11"/>
      <c r="WC133" s="11"/>
      <c r="WD133" s="11"/>
      <c r="WE133" s="11"/>
      <c r="WF133" s="11"/>
      <c r="WG133" s="11"/>
      <c r="WH133" s="11"/>
      <c r="WI133" s="11"/>
      <c r="WJ133" s="11"/>
      <c r="WK133" s="11"/>
      <c r="WL133" s="11"/>
      <c r="WM133" s="11"/>
      <c r="WN133" s="11"/>
      <c r="WO133" s="11"/>
      <c r="WP133" s="11"/>
      <c r="WQ133" s="11"/>
      <c r="WR133" s="11"/>
      <c r="WS133" s="11"/>
      <c r="WT133" s="11"/>
      <c r="WU133" s="11"/>
      <c r="WV133" s="11"/>
      <c r="WW133" s="11"/>
      <c r="WX133" s="11"/>
      <c r="WY133" s="11"/>
      <c r="WZ133" s="11"/>
      <c r="XA133" s="11"/>
      <c r="XB133" s="11"/>
      <c r="XC133" s="11"/>
      <c r="XD133" s="11"/>
      <c r="XE133" s="11"/>
      <c r="XF133" s="11"/>
      <c r="XG133" s="11"/>
      <c r="XH133" s="11"/>
      <c r="XI133" s="11"/>
      <c r="XJ133" s="11"/>
      <c r="XK133" s="11"/>
      <c r="XL133" s="11"/>
      <c r="XM133" s="11"/>
      <c r="XN133" s="11"/>
      <c r="XO133" s="11"/>
      <c r="XP133" s="11"/>
      <c r="XQ133" s="11"/>
      <c r="XR133" s="11"/>
      <c r="XS133" s="11"/>
      <c r="XT133" s="11"/>
      <c r="XU133" s="11"/>
      <c r="XV133" s="11"/>
      <c r="XW133" s="11"/>
      <c r="XX133" s="11"/>
      <c r="XY133" s="11"/>
      <c r="XZ133" s="11"/>
      <c r="YA133" s="11"/>
      <c r="YB133" s="11"/>
      <c r="YC133" s="11"/>
      <c r="YD133" s="11"/>
      <c r="YE133" s="11"/>
      <c r="YF133" s="11"/>
      <c r="YG133" s="11"/>
      <c r="YH133" s="11"/>
      <c r="YI133" s="11"/>
      <c r="YJ133" s="11"/>
      <c r="YK133" s="11"/>
      <c r="YL133" s="11"/>
      <c r="YM133" s="11"/>
      <c r="YN133" s="11"/>
      <c r="YO133" s="11"/>
      <c r="YP133" s="11"/>
      <c r="YQ133" s="11"/>
      <c r="YR133" s="11"/>
      <c r="YS133" s="11"/>
      <c r="YT133" s="11"/>
      <c r="YU133" s="11"/>
      <c r="YV133" s="11"/>
      <c r="YW133" s="11"/>
      <c r="YX133" s="11"/>
      <c r="YY133" s="11"/>
      <c r="YZ133" s="11"/>
      <c r="ZA133" s="11"/>
      <c r="ZB133" s="11"/>
      <c r="ZC133" s="11"/>
      <c r="ZD133" s="11"/>
      <c r="ZE133" s="11"/>
      <c r="ZF133" s="11"/>
      <c r="ZG133" s="11"/>
      <c r="ZH133" s="11"/>
      <c r="ZI133" s="11"/>
      <c r="ZJ133" s="11"/>
      <c r="ZK133" s="11"/>
      <c r="ZL133" s="11"/>
      <c r="ZM133" s="11"/>
      <c r="ZN133" s="11"/>
      <c r="ZO133" s="11"/>
      <c r="ZP133" s="11"/>
      <c r="ZQ133" s="11"/>
      <c r="ZR133" s="11"/>
      <c r="ZS133" s="11"/>
      <c r="ZT133" s="11"/>
      <c r="ZU133" s="11"/>
      <c r="ZV133" s="11"/>
      <c r="ZW133" s="11"/>
      <c r="ZX133" s="11"/>
      <c r="ZY133" s="11"/>
      <c r="ZZ133" s="11"/>
      <c r="AAA133" s="11"/>
      <c r="AAB133" s="11"/>
      <c r="AAC133" s="11"/>
      <c r="AAD133" s="11"/>
      <c r="AAE133" s="11"/>
      <c r="AAF133" s="11"/>
      <c r="AAG133" s="11"/>
      <c r="AAH133" s="11"/>
      <c r="AAI133" s="11"/>
      <c r="AAJ133" s="11"/>
      <c r="AAK133" s="11"/>
      <c r="AAL133" s="11"/>
      <c r="AAM133" s="11"/>
      <c r="AAN133" s="11"/>
      <c r="AAO133" s="11"/>
      <c r="AAP133" s="11"/>
      <c r="AAQ133" s="11"/>
      <c r="AAR133" s="11"/>
      <c r="AAS133" s="11"/>
      <c r="AAT133" s="11"/>
      <c r="AAU133" s="11"/>
      <c r="AAV133" s="11"/>
      <c r="AAW133" s="11"/>
      <c r="AAX133" s="11"/>
      <c r="AAY133" s="11"/>
      <c r="AAZ133" s="11"/>
      <c r="ABA133" s="11"/>
      <c r="ABB133" s="11"/>
      <c r="ABC133" s="11"/>
      <c r="ABD133" s="11"/>
      <c r="ABE133" s="11"/>
      <c r="ABF133" s="11"/>
      <c r="ABG133" s="11"/>
      <c r="ABH133" s="11"/>
      <c r="ABI133" s="11"/>
      <c r="ABJ133" s="11"/>
      <c r="ABK133" s="11"/>
      <c r="ABL133" s="11"/>
      <c r="ABM133" s="11"/>
      <c r="ABN133" s="11"/>
      <c r="ABO133" s="11"/>
      <c r="ABP133" s="11"/>
      <c r="ABQ133" s="11"/>
      <c r="ABR133" s="11"/>
      <c r="ABS133" s="11"/>
      <c r="ABT133" s="11"/>
      <c r="ABU133" s="11"/>
      <c r="ABV133" s="11"/>
      <c r="ABW133" s="11"/>
      <c r="ABX133" s="11"/>
      <c r="ABY133" s="11"/>
      <c r="ABZ133" s="11"/>
      <c r="ACA133" s="11"/>
      <c r="ACB133" s="11"/>
      <c r="ACC133" s="11"/>
      <c r="ACD133" s="11"/>
      <c r="ACE133" s="11"/>
      <c r="ACF133" s="11"/>
      <c r="ACG133" s="11"/>
      <c r="ACH133" s="11"/>
      <c r="ACI133" s="11"/>
      <c r="ACJ133" s="11"/>
      <c r="ACK133" s="11"/>
      <c r="ACL133" s="11"/>
      <c r="ACM133" s="11"/>
      <c r="ACN133" s="11"/>
      <c r="ACO133" s="11"/>
      <c r="ACP133" s="11"/>
      <c r="ACQ133" s="11"/>
      <c r="ACR133" s="11"/>
      <c r="ACS133" s="11"/>
      <c r="ACT133" s="11"/>
      <c r="ACU133" s="11"/>
      <c r="ACV133" s="11"/>
      <c r="ACW133" s="11"/>
      <c r="ACX133" s="11"/>
      <c r="ACY133" s="11"/>
      <c r="ACZ133" s="11"/>
      <c r="ADA133" s="11"/>
      <c r="ADB133" s="11"/>
      <c r="ADC133" s="11"/>
      <c r="ADD133" s="11"/>
      <c r="ADE133" s="11"/>
      <c r="ADF133" s="11"/>
      <c r="ADG133" s="11"/>
      <c r="ADH133" s="11"/>
      <c r="ADI133" s="11"/>
      <c r="ADJ133" s="11"/>
      <c r="ADK133" s="11"/>
      <c r="ADL133" s="11"/>
      <c r="ADM133" s="11"/>
      <c r="ADN133" s="11"/>
      <c r="ADO133" s="11"/>
      <c r="ADP133" s="11"/>
      <c r="ADQ133" s="11"/>
      <c r="ADR133" s="11"/>
      <c r="ADS133" s="11"/>
      <c r="ADT133" s="11"/>
      <c r="ADU133" s="11"/>
      <c r="ADV133" s="11"/>
      <c r="ADW133" s="11"/>
      <c r="ADX133" s="11"/>
      <c r="ADY133" s="11"/>
      <c r="ADZ133" s="11"/>
      <c r="AEA133" s="11"/>
      <c r="AEB133" s="11"/>
      <c r="AEC133" s="11"/>
      <c r="AED133" s="11"/>
      <c r="AEE133" s="11"/>
      <c r="AEF133" s="11"/>
      <c r="AEG133" s="11"/>
      <c r="AEH133" s="11"/>
      <c r="AEI133" s="11"/>
      <c r="AEJ133" s="11"/>
      <c r="AEK133" s="11"/>
      <c r="AEL133" s="11"/>
      <c r="AEM133" s="11"/>
      <c r="AEN133" s="11"/>
      <c r="AEO133" s="11"/>
      <c r="AEP133" s="11"/>
      <c r="AEQ133" s="11"/>
      <c r="AER133" s="11"/>
      <c r="AES133" s="11"/>
      <c r="AET133" s="11"/>
      <c r="AEU133" s="11"/>
      <c r="AEV133" s="11"/>
      <c r="AEW133" s="11"/>
      <c r="AEX133" s="11"/>
      <c r="AEY133" s="11"/>
      <c r="AEZ133" s="11"/>
      <c r="AFA133" s="11"/>
      <c r="AFB133" s="11"/>
      <c r="AFC133" s="11"/>
      <c r="AFD133" s="11"/>
      <c r="AFE133" s="11"/>
      <c r="AFF133" s="11"/>
      <c r="AFG133" s="11"/>
      <c r="AFH133" s="11"/>
      <c r="AFI133" s="11"/>
    </row>
    <row r="134" spans="2:84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c r="IW134" s="11"/>
      <c r="IX134" s="11"/>
      <c r="IY134" s="11"/>
      <c r="IZ134" s="11"/>
      <c r="JA134" s="11"/>
      <c r="JB134" s="11"/>
      <c r="JC134" s="11"/>
      <c r="JD134" s="11"/>
      <c r="JE134" s="11"/>
      <c r="JF134" s="11"/>
      <c r="JG134" s="11"/>
      <c r="JH134" s="11"/>
      <c r="JI134" s="11"/>
      <c r="JJ134" s="11"/>
      <c r="JK134" s="11"/>
      <c r="JL134" s="11"/>
      <c r="JM134" s="11"/>
      <c r="JN134" s="11"/>
      <c r="JO134" s="11"/>
      <c r="JP134" s="11"/>
      <c r="JQ134" s="11"/>
      <c r="JR134" s="11"/>
      <c r="JS134" s="11"/>
      <c r="JT134" s="11"/>
      <c r="JU134" s="11"/>
      <c r="JV134" s="11"/>
      <c r="JW134" s="11"/>
      <c r="JX134" s="11"/>
      <c r="JY134" s="11"/>
      <c r="JZ134" s="11"/>
      <c r="KA134" s="11"/>
      <c r="KB134" s="11"/>
      <c r="KC134" s="11"/>
      <c r="KD134" s="11"/>
      <c r="KE134" s="11"/>
      <c r="KF134" s="11"/>
      <c r="KG134" s="11"/>
      <c r="KH134" s="11"/>
      <c r="KI134" s="11"/>
      <c r="KJ134" s="11"/>
      <c r="KK134" s="11"/>
      <c r="KL134" s="11"/>
      <c r="KM134" s="11"/>
      <c r="KN134" s="11"/>
      <c r="KO134" s="11"/>
      <c r="KP134" s="11"/>
      <c r="KQ134" s="11"/>
      <c r="KR134" s="11"/>
      <c r="KS134" s="11"/>
      <c r="KT134" s="11"/>
      <c r="KU134" s="11"/>
      <c r="KV134" s="11"/>
      <c r="KW134" s="11"/>
      <c r="KX134" s="11"/>
      <c r="KY134" s="11"/>
      <c r="KZ134" s="11"/>
      <c r="LA134" s="11"/>
      <c r="LB134" s="11"/>
      <c r="LC134" s="11"/>
      <c r="LD134" s="11"/>
      <c r="LE134" s="11"/>
      <c r="LF134" s="11"/>
      <c r="LG134" s="11"/>
      <c r="LH134" s="11"/>
      <c r="LI134" s="11"/>
      <c r="LJ134" s="11"/>
      <c r="LK134" s="11"/>
      <c r="LL134" s="11"/>
      <c r="LM134" s="11"/>
      <c r="LN134" s="11"/>
      <c r="LO134" s="11"/>
      <c r="LP134" s="11"/>
      <c r="LQ134" s="11"/>
      <c r="LR134" s="11"/>
      <c r="LS134" s="11"/>
      <c r="LT134" s="11"/>
      <c r="LU134" s="11"/>
      <c r="LV134" s="11"/>
      <c r="LW134" s="11"/>
      <c r="LX134" s="11"/>
      <c r="LY134" s="11"/>
      <c r="LZ134" s="11"/>
      <c r="MA134" s="11"/>
      <c r="MB134" s="11"/>
      <c r="MC134" s="11"/>
      <c r="MD134" s="11"/>
      <c r="ME134" s="11"/>
      <c r="MF134" s="11"/>
      <c r="MG134" s="11"/>
      <c r="MH134" s="11"/>
      <c r="MI134" s="11"/>
      <c r="MJ134" s="11"/>
      <c r="MK134" s="11"/>
      <c r="ML134" s="11"/>
      <c r="MM134" s="11"/>
      <c r="MN134" s="11"/>
      <c r="MO134" s="11"/>
      <c r="MP134" s="11"/>
      <c r="MQ134" s="11"/>
      <c r="MR134" s="11"/>
      <c r="MS134" s="11"/>
      <c r="MT134" s="11"/>
      <c r="MU134" s="11"/>
      <c r="MV134" s="11"/>
      <c r="MW134" s="11"/>
      <c r="MX134" s="11"/>
      <c r="MY134" s="11"/>
      <c r="MZ134" s="11"/>
      <c r="NA134" s="11"/>
      <c r="NB134" s="11"/>
      <c r="NC134" s="11"/>
      <c r="ND134" s="11"/>
      <c r="NE134" s="11"/>
      <c r="NF134" s="11"/>
      <c r="NG134" s="11"/>
      <c r="NH134" s="11"/>
      <c r="NI134" s="11"/>
      <c r="NJ134" s="11"/>
      <c r="NK134" s="11"/>
      <c r="NL134" s="11"/>
      <c r="NM134" s="11"/>
      <c r="NN134" s="11"/>
      <c r="NO134" s="11"/>
      <c r="NP134" s="11"/>
      <c r="NQ134" s="11"/>
      <c r="NR134" s="11"/>
      <c r="NS134" s="11"/>
      <c r="NT134" s="11"/>
      <c r="NU134" s="11"/>
      <c r="NV134" s="11"/>
      <c r="NW134" s="11"/>
      <c r="NX134" s="11"/>
      <c r="NY134" s="11"/>
      <c r="NZ134" s="11"/>
      <c r="OA134" s="11"/>
      <c r="OB134" s="11"/>
      <c r="OC134" s="11"/>
      <c r="OD134" s="11"/>
      <c r="OE134" s="11"/>
      <c r="OF134" s="11"/>
      <c r="OG134" s="11"/>
      <c r="OH134" s="11"/>
      <c r="OI134" s="11"/>
      <c r="OJ134" s="11"/>
      <c r="OK134" s="11"/>
      <c r="OL134" s="11"/>
      <c r="OM134" s="11"/>
      <c r="ON134" s="11"/>
      <c r="OO134" s="11"/>
      <c r="OP134" s="11"/>
      <c r="OQ134" s="11"/>
      <c r="OR134" s="11"/>
      <c r="OS134" s="11"/>
      <c r="OT134" s="11"/>
      <c r="OU134" s="11"/>
      <c r="OV134" s="11"/>
      <c r="OW134" s="11"/>
      <c r="OX134" s="11"/>
      <c r="OY134" s="11"/>
      <c r="OZ134" s="11"/>
      <c r="PA134" s="11"/>
      <c r="PB134" s="11"/>
      <c r="PC134" s="11"/>
      <c r="PD134" s="11"/>
      <c r="PE134" s="11"/>
      <c r="PF134" s="11"/>
      <c r="PG134" s="11"/>
      <c r="PH134" s="11"/>
      <c r="PI134" s="11"/>
      <c r="PJ134" s="11"/>
      <c r="PK134" s="11"/>
      <c r="PL134" s="11"/>
      <c r="PM134" s="11"/>
      <c r="PN134" s="11"/>
      <c r="PO134" s="11"/>
      <c r="PP134" s="11"/>
      <c r="PQ134" s="11"/>
      <c r="PR134" s="11"/>
      <c r="PS134" s="11"/>
      <c r="PT134" s="11"/>
      <c r="PU134" s="11"/>
      <c r="PV134" s="11"/>
      <c r="PW134" s="11"/>
      <c r="PX134" s="11"/>
      <c r="PY134" s="11"/>
      <c r="PZ134" s="11"/>
      <c r="QA134" s="11"/>
      <c r="QB134" s="11"/>
      <c r="QC134" s="11"/>
      <c r="QD134" s="11"/>
      <c r="QE134" s="11"/>
      <c r="QF134" s="11"/>
      <c r="QG134" s="11"/>
      <c r="QH134" s="11"/>
      <c r="QI134" s="11"/>
      <c r="QJ134" s="11"/>
      <c r="QK134" s="11"/>
      <c r="QL134" s="11"/>
      <c r="QM134" s="11"/>
      <c r="QN134" s="11"/>
      <c r="QO134" s="11"/>
      <c r="QP134" s="11"/>
      <c r="QQ134" s="11"/>
      <c r="QR134" s="11"/>
      <c r="QS134" s="11"/>
      <c r="QT134" s="11"/>
      <c r="QU134" s="11"/>
      <c r="QV134" s="11"/>
      <c r="QW134" s="11"/>
      <c r="QX134" s="11"/>
      <c r="QY134" s="11"/>
      <c r="QZ134" s="11"/>
      <c r="RA134" s="11"/>
      <c r="RB134" s="11"/>
      <c r="RC134" s="11"/>
      <c r="RD134" s="11"/>
      <c r="RE134" s="11"/>
      <c r="RF134" s="11"/>
      <c r="RG134" s="11"/>
      <c r="RH134" s="11"/>
      <c r="RI134" s="11"/>
      <c r="RJ134" s="11"/>
      <c r="RK134" s="11"/>
      <c r="RL134" s="11"/>
      <c r="RM134" s="11"/>
      <c r="RN134" s="11"/>
      <c r="RO134" s="11"/>
      <c r="RP134" s="11"/>
      <c r="RQ134" s="11"/>
      <c r="RR134" s="11"/>
      <c r="RS134" s="11"/>
      <c r="RT134" s="11"/>
      <c r="RU134" s="11"/>
      <c r="RV134" s="11"/>
      <c r="RW134" s="11"/>
      <c r="RX134" s="11"/>
      <c r="RY134" s="11"/>
      <c r="RZ134" s="11"/>
      <c r="SA134" s="11"/>
      <c r="SB134" s="11"/>
      <c r="SC134" s="11"/>
      <c r="SD134" s="11"/>
      <c r="SE134" s="11"/>
      <c r="SF134" s="11"/>
      <c r="SG134" s="11"/>
      <c r="SH134" s="11"/>
      <c r="SI134" s="11"/>
      <c r="SJ134" s="11"/>
      <c r="SK134" s="11"/>
      <c r="SL134" s="11"/>
      <c r="SM134" s="11"/>
      <c r="SN134" s="11"/>
      <c r="SO134" s="11"/>
      <c r="SP134" s="11"/>
      <c r="SQ134" s="11"/>
      <c r="SR134" s="11"/>
      <c r="SS134" s="11"/>
      <c r="ST134" s="11"/>
      <c r="SU134" s="11"/>
      <c r="SV134" s="11"/>
      <c r="SW134" s="11"/>
      <c r="SX134" s="11"/>
      <c r="SY134" s="11"/>
      <c r="SZ134" s="11"/>
      <c r="TA134" s="11"/>
      <c r="TB134" s="11"/>
      <c r="TC134" s="11"/>
      <c r="TD134" s="11"/>
      <c r="TE134" s="11"/>
      <c r="TF134" s="11"/>
      <c r="TG134" s="11"/>
      <c r="TH134" s="11"/>
      <c r="TI134" s="11"/>
      <c r="TJ134" s="11"/>
      <c r="TK134" s="11"/>
      <c r="TL134" s="11"/>
      <c r="TM134" s="11"/>
      <c r="TN134" s="11"/>
      <c r="TO134" s="11"/>
      <c r="TP134" s="11"/>
      <c r="TQ134" s="11"/>
      <c r="TR134" s="11"/>
      <c r="TS134" s="11"/>
      <c r="TT134" s="11"/>
      <c r="TU134" s="11"/>
      <c r="TV134" s="11"/>
      <c r="TW134" s="11"/>
      <c r="TX134" s="11"/>
      <c r="TY134" s="11"/>
      <c r="TZ134" s="11"/>
      <c r="UA134" s="11"/>
      <c r="UB134" s="11"/>
      <c r="UC134" s="11"/>
      <c r="UD134" s="11"/>
      <c r="UE134" s="11"/>
      <c r="UF134" s="11"/>
      <c r="UG134" s="11"/>
      <c r="UH134" s="11"/>
      <c r="UI134" s="11"/>
      <c r="UJ134" s="11"/>
      <c r="UK134" s="11"/>
      <c r="UL134" s="11"/>
      <c r="UM134" s="11"/>
      <c r="UN134" s="11"/>
      <c r="UO134" s="11"/>
      <c r="UP134" s="11"/>
      <c r="UQ134" s="11"/>
      <c r="UR134" s="11"/>
      <c r="US134" s="11"/>
      <c r="UT134" s="11"/>
      <c r="UU134" s="11"/>
      <c r="UV134" s="11"/>
      <c r="UW134" s="11"/>
      <c r="UX134" s="11"/>
      <c r="UY134" s="11"/>
      <c r="UZ134" s="11"/>
      <c r="VA134" s="11"/>
      <c r="VB134" s="11"/>
      <c r="VC134" s="11"/>
      <c r="VD134" s="11"/>
      <c r="VE134" s="11"/>
      <c r="VF134" s="11"/>
      <c r="VG134" s="11"/>
      <c r="VH134" s="11"/>
      <c r="VI134" s="11"/>
      <c r="VJ134" s="11"/>
      <c r="VK134" s="11"/>
      <c r="VL134" s="11"/>
      <c r="VM134" s="11"/>
      <c r="VN134" s="11"/>
      <c r="VO134" s="11"/>
      <c r="VP134" s="11"/>
      <c r="VQ134" s="11"/>
      <c r="VR134" s="11"/>
      <c r="VS134" s="11"/>
      <c r="VT134" s="11"/>
      <c r="VU134" s="11"/>
      <c r="VV134" s="11"/>
      <c r="VW134" s="11"/>
      <c r="VX134" s="11"/>
      <c r="VY134" s="11"/>
      <c r="VZ134" s="11"/>
      <c r="WA134" s="11"/>
      <c r="WB134" s="11"/>
      <c r="WC134" s="11"/>
      <c r="WD134" s="11"/>
      <c r="WE134" s="11"/>
      <c r="WF134" s="11"/>
      <c r="WG134" s="11"/>
      <c r="WH134" s="11"/>
      <c r="WI134" s="11"/>
      <c r="WJ134" s="11"/>
      <c r="WK134" s="11"/>
      <c r="WL134" s="11"/>
      <c r="WM134" s="11"/>
      <c r="WN134" s="11"/>
      <c r="WO134" s="11"/>
      <c r="WP134" s="11"/>
      <c r="WQ134" s="11"/>
      <c r="WR134" s="11"/>
      <c r="WS134" s="11"/>
      <c r="WT134" s="11"/>
      <c r="WU134" s="11"/>
      <c r="WV134" s="11"/>
      <c r="WW134" s="11"/>
      <c r="WX134" s="11"/>
      <c r="WY134" s="11"/>
      <c r="WZ134" s="11"/>
      <c r="XA134" s="11"/>
      <c r="XB134" s="11"/>
      <c r="XC134" s="11"/>
      <c r="XD134" s="11"/>
      <c r="XE134" s="11"/>
      <c r="XF134" s="11"/>
      <c r="XG134" s="11"/>
      <c r="XH134" s="11"/>
      <c r="XI134" s="11"/>
      <c r="XJ134" s="11"/>
      <c r="XK134" s="11"/>
      <c r="XL134" s="11"/>
      <c r="XM134" s="11"/>
      <c r="XN134" s="11"/>
      <c r="XO134" s="11"/>
      <c r="XP134" s="11"/>
      <c r="XQ134" s="11"/>
      <c r="XR134" s="11"/>
      <c r="XS134" s="11"/>
      <c r="XT134" s="11"/>
      <c r="XU134" s="11"/>
      <c r="XV134" s="11"/>
      <c r="XW134" s="11"/>
      <c r="XX134" s="11"/>
      <c r="XY134" s="11"/>
      <c r="XZ134" s="11"/>
      <c r="YA134" s="11"/>
      <c r="YB134" s="11"/>
      <c r="YC134" s="11"/>
      <c r="YD134" s="11"/>
      <c r="YE134" s="11"/>
      <c r="YF134" s="11"/>
      <c r="YG134" s="11"/>
      <c r="YH134" s="11"/>
      <c r="YI134" s="11"/>
      <c r="YJ134" s="11"/>
      <c r="YK134" s="11"/>
      <c r="YL134" s="11"/>
      <c r="YM134" s="11"/>
      <c r="YN134" s="11"/>
      <c r="YO134" s="11"/>
      <c r="YP134" s="11"/>
      <c r="YQ134" s="11"/>
      <c r="YR134" s="11"/>
      <c r="YS134" s="11"/>
      <c r="YT134" s="11"/>
      <c r="YU134" s="11"/>
      <c r="YV134" s="11"/>
      <c r="YW134" s="11"/>
      <c r="YX134" s="11"/>
      <c r="YY134" s="11"/>
      <c r="YZ134" s="11"/>
      <c r="ZA134" s="11"/>
      <c r="ZB134" s="11"/>
      <c r="ZC134" s="11"/>
      <c r="ZD134" s="11"/>
      <c r="ZE134" s="11"/>
      <c r="ZF134" s="11"/>
      <c r="ZG134" s="11"/>
      <c r="ZH134" s="11"/>
      <c r="ZI134" s="11"/>
      <c r="ZJ134" s="11"/>
      <c r="ZK134" s="11"/>
      <c r="ZL134" s="11"/>
      <c r="ZM134" s="11"/>
      <c r="ZN134" s="11"/>
      <c r="ZO134" s="11"/>
      <c r="ZP134" s="11"/>
      <c r="ZQ134" s="11"/>
      <c r="ZR134" s="11"/>
      <c r="ZS134" s="11"/>
      <c r="ZT134" s="11"/>
      <c r="ZU134" s="11"/>
      <c r="ZV134" s="11"/>
      <c r="ZW134" s="11"/>
      <c r="ZX134" s="11"/>
      <c r="ZY134" s="11"/>
      <c r="ZZ134" s="11"/>
      <c r="AAA134" s="11"/>
      <c r="AAB134" s="11"/>
      <c r="AAC134" s="11"/>
      <c r="AAD134" s="11"/>
      <c r="AAE134" s="11"/>
      <c r="AAF134" s="11"/>
      <c r="AAG134" s="11"/>
      <c r="AAH134" s="11"/>
      <c r="AAI134" s="11"/>
      <c r="AAJ134" s="11"/>
      <c r="AAK134" s="11"/>
      <c r="AAL134" s="11"/>
      <c r="AAM134" s="11"/>
      <c r="AAN134" s="11"/>
      <c r="AAO134" s="11"/>
      <c r="AAP134" s="11"/>
      <c r="AAQ134" s="11"/>
      <c r="AAR134" s="11"/>
      <c r="AAS134" s="11"/>
      <c r="AAT134" s="11"/>
      <c r="AAU134" s="11"/>
      <c r="AAV134" s="11"/>
      <c r="AAW134" s="11"/>
      <c r="AAX134" s="11"/>
      <c r="AAY134" s="11"/>
      <c r="AAZ134" s="11"/>
      <c r="ABA134" s="11"/>
      <c r="ABB134" s="11"/>
      <c r="ABC134" s="11"/>
      <c r="ABD134" s="11"/>
      <c r="ABE134" s="11"/>
      <c r="ABF134" s="11"/>
      <c r="ABG134" s="11"/>
      <c r="ABH134" s="11"/>
      <c r="ABI134" s="11"/>
      <c r="ABJ134" s="11"/>
      <c r="ABK134" s="11"/>
      <c r="ABL134" s="11"/>
      <c r="ABM134" s="11"/>
      <c r="ABN134" s="11"/>
      <c r="ABO134" s="11"/>
      <c r="ABP134" s="11"/>
      <c r="ABQ134" s="11"/>
      <c r="ABR134" s="11"/>
      <c r="ABS134" s="11"/>
      <c r="ABT134" s="11"/>
      <c r="ABU134" s="11"/>
      <c r="ABV134" s="11"/>
      <c r="ABW134" s="11"/>
      <c r="ABX134" s="11"/>
      <c r="ABY134" s="11"/>
      <c r="ABZ134" s="11"/>
      <c r="ACA134" s="11"/>
      <c r="ACB134" s="11"/>
      <c r="ACC134" s="11"/>
      <c r="ACD134" s="11"/>
      <c r="ACE134" s="11"/>
      <c r="ACF134" s="11"/>
      <c r="ACG134" s="11"/>
      <c r="ACH134" s="11"/>
      <c r="ACI134" s="11"/>
      <c r="ACJ134" s="11"/>
      <c r="ACK134" s="11"/>
      <c r="ACL134" s="11"/>
      <c r="ACM134" s="11"/>
      <c r="ACN134" s="11"/>
      <c r="ACO134" s="11"/>
      <c r="ACP134" s="11"/>
      <c r="ACQ134" s="11"/>
      <c r="ACR134" s="11"/>
      <c r="ACS134" s="11"/>
      <c r="ACT134" s="11"/>
      <c r="ACU134" s="11"/>
      <c r="ACV134" s="11"/>
      <c r="ACW134" s="11"/>
      <c r="ACX134" s="11"/>
      <c r="ACY134" s="11"/>
      <c r="ACZ134" s="11"/>
      <c r="ADA134" s="11"/>
      <c r="ADB134" s="11"/>
      <c r="ADC134" s="11"/>
      <c r="ADD134" s="11"/>
      <c r="ADE134" s="11"/>
      <c r="ADF134" s="11"/>
      <c r="ADG134" s="11"/>
      <c r="ADH134" s="11"/>
      <c r="ADI134" s="11"/>
      <c r="ADJ134" s="11"/>
      <c r="ADK134" s="11"/>
      <c r="ADL134" s="11"/>
      <c r="ADM134" s="11"/>
      <c r="ADN134" s="11"/>
      <c r="ADO134" s="11"/>
      <c r="ADP134" s="11"/>
      <c r="ADQ134" s="11"/>
      <c r="ADR134" s="11"/>
      <c r="ADS134" s="11"/>
      <c r="ADT134" s="11"/>
      <c r="ADU134" s="11"/>
      <c r="ADV134" s="11"/>
      <c r="ADW134" s="11"/>
      <c r="ADX134" s="11"/>
      <c r="ADY134" s="11"/>
      <c r="ADZ134" s="11"/>
      <c r="AEA134" s="11"/>
      <c r="AEB134" s="11"/>
      <c r="AEC134" s="11"/>
      <c r="AED134" s="11"/>
      <c r="AEE134" s="11"/>
      <c r="AEF134" s="11"/>
      <c r="AEG134" s="11"/>
      <c r="AEH134" s="11"/>
      <c r="AEI134" s="11"/>
      <c r="AEJ134" s="11"/>
      <c r="AEK134" s="11"/>
      <c r="AEL134" s="11"/>
      <c r="AEM134" s="11"/>
      <c r="AEN134" s="11"/>
      <c r="AEO134" s="11"/>
      <c r="AEP134" s="11"/>
      <c r="AEQ134" s="11"/>
      <c r="AER134" s="11"/>
      <c r="AES134" s="11"/>
      <c r="AET134" s="11"/>
      <c r="AEU134" s="11"/>
      <c r="AEV134" s="11"/>
      <c r="AEW134" s="11"/>
      <c r="AEX134" s="11"/>
      <c r="AEY134" s="11"/>
      <c r="AEZ134" s="11"/>
      <c r="AFA134" s="11"/>
      <c r="AFB134" s="11"/>
      <c r="AFC134" s="11"/>
      <c r="AFD134" s="11"/>
      <c r="AFE134" s="11"/>
      <c r="AFF134" s="11"/>
      <c r="AFG134" s="11"/>
      <c r="AFH134" s="11"/>
      <c r="AFI134" s="11"/>
    </row>
    <row r="135" spans="2:84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c r="IW135" s="11"/>
      <c r="IX135" s="11"/>
      <c r="IY135" s="11"/>
      <c r="IZ135" s="11"/>
      <c r="JA135" s="11"/>
      <c r="JB135" s="11"/>
      <c r="JC135" s="11"/>
      <c r="JD135" s="11"/>
      <c r="JE135" s="11"/>
      <c r="JF135" s="11"/>
      <c r="JG135" s="11"/>
      <c r="JH135" s="11"/>
      <c r="JI135" s="11"/>
      <c r="JJ135" s="11"/>
      <c r="JK135" s="11"/>
      <c r="JL135" s="11"/>
      <c r="JM135" s="11"/>
      <c r="JN135" s="11"/>
      <c r="JO135" s="11"/>
      <c r="JP135" s="11"/>
      <c r="JQ135" s="11"/>
      <c r="JR135" s="11"/>
      <c r="JS135" s="11"/>
      <c r="JT135" s="11"/>
      <c r="JU135" s="11"/>
      <c r="JV135" s="11"/>
      <c r="JW135" s="11"/>
      <c r="JX135" s="11"/>
      <c r="JY135" s="11"/>
      <c r="JZ135" s="11"/>
      <c r="KA135" s="11"/>
      <c r="KB135" s="11"/>
      <c r="KC135" s="11"/>
      <c r="KD135" s="11"/>
      <c r="KE135" s="11"/>
      <c r="KF135" s="11"/>
      <c r="KG135" s="11"/>
      <c r="KH135" s="11"/>
      <c r="KI135" s="11"/>
      <c r="KJ135" s="11"/>
      <c r="KK135" s="11"/>
      <c r="KL135" s="11"/>
      <c r="KM135" s="11"/>
      <c r="KN135" s="11"/>
      <c r="KO135" s="11"/>
      <c r="KP135" s="11"/>
      <c r="KQ135" s="11"/>
      <c r="KR135" s="11"/>
      <c r="KS135" s="11"/>
      <c r="KT135" s="11"/>
      <c r="KU135" s="11"/>
      <c r="KV135" s="11"/>
      <c r="KW135" s="11"/>
      <c r="KX135" s="11"/>
      <c r="KY135" s="11"/>
      <c r="KZ135" s="11"/>
      <c r="LA135" s="11"/>
      <c r="LB135" s="11"/>
      <c r="LC135" s="11"/>
      <c r="LD135" s="11"/>
      <c r="LE135" s="11"/>
      <c r="LF135" s="11"/>
      <c r="LG135" s="11"/>
      <c r="LH135" s="11"/>
      <c r="LI135" s="11"/>
      <c r="LJ135" s="11"/>
      <c r="LK135" s="11"/>
      <c r="LL135" s="11"/>
      <c r="LM135" s="11"/>
      <c r="LN135" s="11"/>
      <c r="LO135" s="11"/>
      <c r="LP135" s="11"/>
      <c r="LQ135" s="11"/>
      <c r="LR135" s="11"/>
      <c r="LS135" s="11"/>
      <c r="LT135" s="11"/>
      <c r="LU135" s="11"/>
      <c r="LV135" s="11"/>
      <c r="LW135" s="11"/>
      <c r="LX135" s="11"/>
      <c r="LY135" s="11"/>
      <c r="LZ135" s="11"/>
      <c r="MA135" s="11"/>
      <c r="MB135" s="11"/>
      <c r="MC135" s="11"/>
      <c r="MD135" s="11"/>
      <c r="ME135" s="11"/>
      <c r="MF135" s="11"/>
      <c r="MG135" s="11"/>
      <c r="MH135" s="11"/>
      <c r="MI135" s="11"/>
      <c r="MJ135" s="11"/>
      <c r="MK135" s="11"/>
      <c r="ML135" s="11"/>
      <c r="MM135" s="11"/>
      <c r="MN135" s="11"/>
      <c r="MO135" s="11"/>
      <c r="MP135" s="11"/>
      <c r="MQ135" s="11"/>
      <c r="MR135" s="11"/>
      <c r="MS135" s="11"/>
      <c r="MT135" s="11"/>
      <c r="MU135" s="11"/>
      <c r="MV135" s="11"/>
      <c r="MW135" s="11"/>
      <c r="MX135" s="11"/>
      <c r="MY135" s="11"/>
      <c r="MZ135" s="11"/>
      <c r="NA135" s="11"/>
      <c r="NB135" s="11"/>
      <c r="NC135" s="11"/>
      <c r="ND135" s="11"/>
      <c r="NE135" s="11"/>
      <c r="NF135" s="11"/>
      <c r="NG135" s="11"/>
      <c r="NH135" s="11"/>
      <c r="NI135" s="11"/>
      <c r="NJ135" s="11"/>
      <c r="NK135" s="11"/>
      <c r="NL135" s="11"/>
      <c r="NM135" s="11"/>
      <c r="NN135" s="11"/>
      <c r="NO135" s="11"/>
      <c r="NP135" s="11"/>
      <c r="NQ135" s="11"/>
      <c r="NR135" s="11"/>
      <c r="NS135" s="11"/>
      <c r="NT135" s="11"/>
      <c r="NU135" s="11"/>
      <c r="NV135" s="11"/>
      <c r="NW135" s="11"/>
      <c r="NX135" s="11"/>
      <c r="NY135" s="11"/>
      <c r="NZ135" s="11"/>
      <c r="OA135" s="11"/>
      <c r="OB135" s="11"/>
      <c r="OC135" s="11"/>
      <c r="OD135" s="11"/>
      <c r="OE135" s="11"/>
      <c r="OF135" s="11"/>
      <c r="OG135" s="11"/>
      <c r="OH135" s="11"/>
      <c r="OI135" s="11"/>
      <c r="OJ135" s="11"/>
      <c r="OK135" s="11"/>
      <c r="OL135" s="11"/>
      <c r="OM135" s="11"/>
      <c r="ON135" s="11"/>
      <c r="OO135" s="11"/>
      <c r="OP135" s="11"/>
      <c r="OQ135" s="11"/>
      <c r="OR135" s="11"/>
      <c r="OS135" s="11"/>
      <c r="OT135" s="11"/>
      <c r="OU135" s="11"/>
      <c r="OV135" s="11"/>
      <c r="OW135" s="11"/>
      <c r="OX135" s="11"/>
      <c r="OY135" s="11"/>
      <c r="OZ135" s="11"/>
      <c r="PA135" s="11"/>
      <c r="PB135" s="11"/>
      <c r="PC135" s="11"/>
      <c r="PD135" s="11"/>
      <c r="PE135" s="11"/>
      <c r="PF135" s="11"/>
      <c r="PG135" s="11"/>
      <c r="PH135" s="11"/>
      <c r="PI135" s="11"/>
      <c r="PJ135" s="11"/>
      <c r="PK135" s="11"/>
      <c r="PL135" s="11"/>
      <c r="PM135" s="11"/>
      <c r="PN135" s="11"/>
      <c r="PO135" s="11"/>
      <c r="PP135" s="11"/>
      <c r="PQ135" s="11"/>
      <c r="PR135" s="11"/>
      <c r="PS135" s="11"/>
      <c r="PT135" s="11"/>
      <c r="PU135" s="11"/>
      <c r="PV135" s="11"/>
      <c r="PW135" s="11"/>
      <c r="PX135" s="11"/>
      <c r="PY135" s="11"/>
      <c r="PZ135" s="11"/>
      <c r="QA135" s="11"/>
      <c r="QB135" s="11"/>
      <c r="QC135" s="11"/>
      <c r="QD135" s="11"/>
      <c r="QE135" s="11"/>
      <c r="QF135" s="11"/>
      <c r="QG135" s="11"/>
      <c r="QH135" s="11"/>
      <c r="QI135" s="11"/>
      <c r="QJ135" s="11"/>
      <c r="QK135" s="11"/>
      <c r="QL135" s="11"/>
      <c r="QM135" s="11"/>
      <c r="QN135" s="11"/>
      <c r="QO135" s="11"/>
      <c r="QP135" s="11"/>
      <c r="QQ135" s="11"/>
      <c r="QR135" s="11"/>
      <c r="QS135" s="11"/>
      <c r="QT135" s="11"/>
      <c r="QU135" s="11"/>
      <c r="QV135" s="11"/>
      <c r="QW135" s="11"/>
      <c r="QX135" s="11"/>
      <c r="QY135" s="11"/>
      <c r="QZ135" s="11"/>
      <c r="RA135" s="11"/>
      <c r="RB135" s="11"/>
      <c r="RC135" s="11"/>
      <c r="RD135" s="11"/>
      <c r="RE135" s="11"/>
      <c r="RF135" s="11"/>
      <c r="RG135" s="11"/>
      <c r="RH135" s="11"/>
      <c r="RI135" s="11"/>
      <c r="RJ135" s="11"/>
      <c r="RK135" s="11"/>
      <c r="RL135" s="11"/>
      <c r="RM135" s="11"/>
      <c r="RN135" s="11"/>
      <c r="RO135" s="11"/>
      <c r="RP135" s="11"/>
      <c r="RQ135" s="11"/>
      <c r="RR135" s="11"/>
      <c r="RS135" s="11"/>
      <c r="RT135" s="11"/>
      <c r="RU135" s="11"/>
      <c r="RV135" s="11"/>
      <c r="RW135" s="11"/>
      <c r="RX135" s="11"/>
      <c r="RY135" s="11"/>
      <c r="RZ135" s="11"/>
      <c r="SA135" s="11"/>
      <c r="SB135" s="11"/>
      <c r="SC135" s="11"/>
      <c r="SD135" s="11"/>
      <c r="SE135" s="11"/>
      <c r="SF135" s="11"/>
      <c r="SG135" s="11"/>
      <c r="SH135" s="11"/>
      <c r="SI135" s="11"/>
      <c r="SJ135" s="11"/>
      <c r="SK135" s="11"/>
      <c r="SL135" s="11"/>
      <c r="SM135" s="11"/>
      <c r="SN135" s="11"/>
      <c r="SO135" s="11"/>
      <c r="SP135" s="11"/>
      <c r="SQ135" s="11"/>
      <c r="SR135" s="11"/>
      <c r="SS135" s="11"/>
      <c r="ST135" s="11"/>
      <c r="SU135" s="11"/>
      <c r="SV135" s="11"/>
      <c r="SW135" s="11"/>
      <c r="SX135" s="11"/>
      <c r="SY135" s="11"/>
      <c r="SZ135" s="11"/>
      <c r="TA135" s="11"/>
      <c r="TB135" s="11"/>
      <c r="TC135" s="11"/>
      <c r="TD135" s="11"/>
      <c r="TE135" s="11"/>
      <c r="TF135" s="11"/>
      <c r="TG135" s="11"/>
      <c r="TH135" s="11"/>
      <c r="TI135" s="11"/>
      <c r="TJ135" s="11"/>
      <c r="TK135" s="11"/>
      <c r="TL135" s="11"/>
      <c r="TM135" s="11"/>
      <c r="TN135" s="11"/>
      <c r="TO135" s="11"/>
      <c r="TP135" s="11"/>
      <c r="TQ135" s="11"/>
      <c r="TR135" s="11"/>
      <c r="TS135" s="11"/>
      <c r="TT135" s="11"/>
      <c r="TU135" s="11"/>
      <c r="TV135" s="11"/>
      <c r="TW135" s="11"/>
      <c r="TX135" s="11"/>
      <c r="TY135" s="11"/>
      <c r="TZ135" s="11"/>
      <c r="UA135" s="11"/>
      <c r="UB135" s="11"/>
      <c r="UC135" s="11"/>
      <c r="UD135" s="11"/>
      <c r="UE135" s="11"/>
      <c r="UF135" s="11"/>
      <c r="UG135" s="11"/>
      <c r="UH135" s="11"/>
      <c r="UI135" s="11"/>
      <c r="UJ135" s="11"/>
      <c r="UK135" s="11"/>
      <c r="UL135" s="11"/>
      <c r="UM135" s="11"/>
      <c r="UN135" s="11"/>
      <c r="UO135" s="11"/>
      <c r="UP135" s="11"/>
      <c r="UQ135" s="11"/>
      <c r="UR135" s="11"/>
      <c r="US135" s="11"/>
      <c r="UT135" s="11"/>
      <c r="UU135" s="11"/>
      <c r="UV135" s="11"/>
      <c r="UW135" s="11"/>
      <c r="UX135" s="11"/>
      <c r="UY135" s="11"/>
      <c r="UZ135" s="11"/>
      <c r="VA135" s="11"/>
      <c r="VB135" s="11"/>
      <c r="VC135" s="11"/>
      <c r="VD135" s="11"/>
      <c r="VE135" s="11"/>
      <c r="VF135" s="11"/>
      <c r="VG135" s="11"/>
      <c r="VH135" s="11"/>
      <c r="VI135" s="11"/>
      <c r="VJ135" s="11"/>
      <c r="VK135" s="11"/>
      <c r="VL135" s="11"/>
      <c r="VM135" s="11"/>
      <c r="VN135" s="11"/>
      <c r="VO135" s="11"/>
      <c r="VP135" s="11"/>
      <c r="VQ135" s="11"/>
      <c r="VR135" s="11"/>
      <c r="VS135" s="11"/>
      <c r="VT135" s="11"/>
      <c r="VU135" s="11"/>
      <c r="VV135" s="11"/>
      <c r="VW135" s="11"/>
      <c r="VX135" s="11"/>
      <c r="VY135" s="11"/>
      <c r="VZ135" s="11"/>
      <c r="WA135" s="11"/>
      <c r="WB135" s="11"/>
      <c r="WC135" s="11"/>
      <c r="WD135" s="11"/>
      <c r="WE135" s="11"/>
      <c r="WF135" s="11"/>
      <c r="WG135" s="11"/>
      <c r="WH135" s="11"/>
      <c r="WI135" s="11"/>
      <c r="WJ135" s="11"/>
      <c r="WK135" s="11"/>
      <c r="WL135" s="11"/>
      <c r="WM135" s="11"/>
      <c r="WN135" s="11"/>
      <c r="WO135" s="11"/>
      <c r="WP135" s="11"/>
      <c r="WQ135" s="11"/>
      <c r="WR135" s="11"/>
      <c r="WS135" s="11"/>
      <c r="WT135" s="11"/>
      <c r="WU135" s="11"/>
      <c r="WV135" s="11"/>
      <c r="WW135" s="11"/>
      <c r="WX135" s="11"/>
      <c r="WY135" s="11"/>
      <c r="WZ135" s="11"/>
      <c r="XA135" s="11"/>
      <c r="XB135" s="11"/>
      <c r="XC135" s="11"/>
      <c r="XD135" s="11"/>
      <c r="XE135" s="11"/>
      <c r="XF135" s="11"/>
      <c r="XG135" s="11"/>
      <c r="XH135" s="11"/>
      <c r="XI135" s="11"/>
      <c r="XJ135" s="11"/>
      <c r="XK135" s="11"/>
      <c r="XL135" s="11"/>
      <c r="XM135" s="11"/>
      <c r="XN135" s="11"/>
      <c r="XO135" s="11"/>
      <c r="XP135" s="11"/>
      <c r="XQ135" s="11"/>
      <c r="XR135" s="11"/>
      <c r="XS135" s="11"/>
      <c r="XT135" s="11"/>
      <c r="XU135" s="11"/>
      <c r="XV135" s="11"/>
      <c r="XW135" s="11"/>
      <c r="XX135" s="11"/>
      <c r="XY135" s="11"/>
      <c r="XZ135" s="11"/>
      <c r="YA135" s="11"/>
      <c r="YB135" s="11"/>
      <c r="YC135" s="11"/>
      <c r="YD135" s="11"/>
      <c r="YE135" s="11"/>
      <c r="YF135" s="11"/>
      <c r="YG135" s="11"/>
      <c r="YH135" s="11"/>
      <c r="YI135" s="11"/>
      <c r="YJ135" s="11"/>
      <c r="YK135" s="11"/>
      <c r="YL135" s="11"/>
      <c r="YM135" s="11"/>
      <c r="YN135" s="11"/>
      <c r="YO135" s="11"/>
      <c r="YP135" s="11"/>
      <c r="YQ135" s="11"/>
      <c r="YR135" s="11"/>
      <c r="YS135" s="11"/>
      <c r="YT135" s="11"/>
      <c r="YU135" s="11"/>
      <c r="YV135" s="11"/>
      <c r="YW135" s="11"/>
      <c r="YX135" s="11"/>
      <c r="YY135" s="11"/>
      <c r="YZ135" s="11"/>
      <c r="ZA135" s="11"/>
      <c r="ZB135" s="11"/>
      <c r="ZC135" s="11"/>
      <c r="ZD135" s="11"/>
      <c r="ZE135" s="11"/>
      <c r="ZF135" s="11"/>
      <c r="ZG135" s="11"/>
      <c r="ZH135" s="11"/>
      <c r="ZI135" s="11"/>
      <c r="ZJ135" s="11"/>
      <c r="ZK135" s="11"/>
      <c r="ZL135" s="11"/>
      <c r="ZM135" s="11"/>
      <c r="ZN135" s="11"/>
      <c r="ZO135" s="11"/>
      <c r="ZP135" s="11"/>
      <c r="ZQ135" s="11"/>
      <c r="ZR135" s="11"/>
      <c r="ZS135" s="11"/>
      <c r="ZT135" s="11"/>
      <c r="ZU135" s="11"/>
      <c r="ZV135" s="11"/>
      <c r="ZW135" s="11"/>
      <c r="ZX135" s="11"/>
      <c r="ZY135" s="11"/>
      <c r="ZZ135" s="11"/>
      <c r="AAA135" s="11"/>
      <c r="AAB135" s="11"/>
      <c r="AAC135" s="11"/>
      <c r="AAD135" s="11"/>
      <c r="AAE135" s="11"/>
      <c r="AAF135" s="11"/>
      <c r="AAG135" s="11"/>
      <c r="AAH135" s="11"/>
      <c r="AAI135" s="11"/>
      <c r="AAJ135" s="11"/>
      <c r="AAK135" s="11"/>
      <c r="AAL135" s="11"/>
      <c r="AAM135" s="11"/>
      <c r="AAN135" s="11"/>
      <c r="AAO135" s="11"/>
      <c r="AAP135" s="11"/>
      <c r="AAQ135" s="11"/>
      <c r="AAR135" s="11"/>
      <c r="AAS135" s="11"/>
      <c r="AAT135" s="11"/>
      <c r="AAU135" s="11"/>
      <c r="AAV135" s="11"/>
      <c r="AAW135" s="11"/>
      <c r="AAX135" s="11"/>
      <c r="AAY135" s="11"/>
      <c r="AAZ135" s="11"/>
      <c r="ABA135" s="11"/>
      <c r="ABB135" s="11"/>
      <c r="ABC135" s="11"/>
      <c r="ABD135" s="11"/>
      <c r="ABE135" s="11"/>
      <c r="ABF135" s="11"/>
      <c r="ABG135" s="11"/>
      <c r="ABH135" s="11"/>
      <c r="ABI135" s="11"/>
      <c r="ABJ135" s="11"/>
      <c r="ABK135" s="11"/>
      <c r="ABL135" s="11"/>
      <c r="ABM135" s="11"/>
      <c r="ABN135" s="11"/>
      <c r="ABO135" s="11"/>
      <c r="ABP135" s="11"/>
      <c r="ABQ135" s="11"/>
      <c r="ABR135" s="11"/>
      <c r="ABS135" s="11"/>
      <c r="ABT135" s="11"/>
      <c r="ABU135" s="11"/>
      <c r="ABV135" s="11"/>
      <c r="ABW135" s="11"/>
      <c r="ABX135" s="11"/>
      <c r="ABY135" s="11"/>
      <c r="ABZ135" s="11"/>
      <c r="ACA135" s="11"/>
      <c r="ACB135" s="11"/>
      <c r="ACC135" s="11"/>
      <c r="ACD135" s="11"/>
      <c r="ACE135" s="11"/>
      <c r="ACF135" s="11"/>
      <c r="ACG135" s="11"/>
      <c r="ACH135" s="11"/>
      <c r="ACI135" s="11"/>
      <c r="ACJ135" s="11"/>
      <c r="ACK135" s="11"/>
      <c r="ACL135" s="11"/>
      <c r="ACM135" s="11"/>
      <c r="ACN135" s="11"/>
      <c r="ACO135" s="11"/>
      <c r="ACP135" s="11"/>
      <c r="ACQ135" s="11"/>
      <c r="ACR135" s="11"/>
      <c r="ACS135" s="11"/>
      <c r="ACT135" s="11"/>
      <c r="ACU135" s="11"/>
      <c r="ACV135" s="11"/>
      <c r="ACW135" s="11"/>
      <c r="ACX135" s="11"/>
      <c r="ACY135" s="11"/>
      <c r="ACZ135" s="11"/>
      <c r="ADA135" s="11"/>
      <c r="ADB135" s="11"/>
      <c r="ADC135" s="11"/>
      <c r="ADD135" s="11"/>
      <c r="ADE135" s="11"/>
      <c r="ADF135" s="11"/>
      <c r="ADG135" s="11"/>
      <c r="ADH135" s="11"/>
      <c r="ADI135" s="11"/>
      <c r="ADJ135" s="11"/>
      <c r="ADK135" s="11"/>
      <c r="ADL135" s="11"/>
      <c r="ADM135" s="11"/>
      <c r="ADN135" s="11"/>
      <c r="ADO135" s="11"/>
      <c r="ADP135" s="11"/>
      <c r="ADQ135" s="11"/>
      <c r="ADR135" s="11"/>
      <c r="ADS135" s="11"/>
      <c r="ADT135" s="11"/>
      <c r="ADU135" s="11"/>
      <c r="ADV135" s="11"/>
      <c r="ADW135" s="11"/>
      <c r="ADX135" s="11"/>
      <c r="ADY135" s="11"/>
      <c r="ADZ135" s="11"/>
      <c r="AEA135" s="11"/>
      <c r="AEB135" s="11"/>
      <c r="AEC135" s="11"/>
      <c r="AED135" s="11"/>
      <c r="AEE135" s="11"/>
      <c r="AEF135" s="11"/>
      <c r="AEG135" s="11"/>
      <c r="AEH135" s="11"/>
      <c r="AEI135" s="11"/>
      <c r="AEJ135" s="11"/>
      <c r="AEK135" s="11"/>
      <c r="AEL135" s="11"/>
      <c r="AEM135" s="11"/>
      <c r="AEN135" s="11"/>
      <c r="AEO135" s="11"/>
      <c r="AEP135" s="11"/>
      <c r="AEQ135" s="11"/>
      <c r="AER135" s="11"/>
      <c r="AES135" s="11"/>
      <c r="AET135" s="11"/>
      <c r="AEU135" s="11"/>
      <c r="AEV135" s="11"/>
      <c r="AEW135" s="11"/>
      <c r="AEX135" s="11"/>
      <c r="AEY135" s="11"/>
      <c r="AEZ135" s="11"/>
      <c r="AFA135" s="11"/>
      <c r="AFB135" s="11"/>
      <c r="AFC135" s="11"/>
      <c r="AFD135" s="11"/>
      <c r="AFE135" s="11"/>
      <c r="AFF135" s="11"/>
      <c r="AFG135" s="11"/>
      <c r="AFH135" s="11"/>
      <c r="AFI135" s="11"/>
    </row>
    <row r="136" spans="2:84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c r="IW136" s="11"/>
      <c r="IX136" s="11"/>
      <c r="IY136" s="11"/>
      <c r="IZ136" s="11"/>
      <c r="JA136" s="11"/>
      <c r="JB136" s="11"/>
      <c r="JC136" s="11"/>
      <c r="JD136" s="11"/>
      <c r="JE136" s="11"/>
      <c r="JF136" s="11"/>
      <c r="JG136" s="11"/>
      <c r="JH136" s="11"/>
      <c r="JI136" s="11"/>
      <c r="JJ136" s="11"/>
      <c r="JK136" s="11"/>
      <c r="JL136" s="11"/>
      <c r="JM136" s="11"/>
      <c r="JN136" s="11"/>
      <c r="JO136" s="11"/>
      <c r="JP136" s="11"/>
      <c r="JQ136" s="11"/>
      <c r="JR136" s="11"/>
      <c r="JS136" s="11"/>
      <c r="JT136" s="11"/>
      <c r="JU136" s="11"/>
      <c r="JV136" s="11"/>
      <c r="JW136" s="11"/>
      <c r="JX136" s="11"/>
      <c r="JY136" s="11"/>
      <c r="JZ136" s="11"/>
      <c r="KA136" s="11"/>
      <c r="KB136" s="11"/>
      <c r="KC136" s="11"/>
      <c r="KD136" s="11"/>
      <c r="KE136" s="11"/>
      <c r="KF136" s="11"/>
      <c r="KG136" s="11"/>
      <c r="KH136" s="11"/>
      <c r="KI136" s="11"/>
      <c r="KJ136" s="11"/>
      <c r="KK136" s="11"/>
      <c r="KL136" s="11"/>
      <c r="KM136" s="11"/>
      <c r="KN136" s="11"/>
      <c r="KO136" s="11"/>
      <c r="KP136" s="11"/>
      <c r="KQ136" s="11"/>
      <c r="KR136" s="11"/>
      <c r="KS136" s="11"/>
      <c r="KT136" s="11"/>
      <c r="KU136" s="11"/>
      <c r="KV136" s="11"/>
      <c r="KW136" s="11"/>
      <c r="KX136" s="11"/>
      <c r="KY136" s="11"/>
      <c r="KZ136" s="11"/>
      <c r="LA136" s="11"/>
      <c r="LB136" s="11"/>
      <c r="LC136" s="11"/>
      <c r="LD136" s="11"/>
      <c r="LE136" s="11"/>
      <c r="LF136" s="11"/>
      <c r="LG136" s="11"/>
      <c r="LH136" s="11"/>
      <c r="LI136" s="11"/>
      <c r="LJ136" s="11"/>
      <c r="LK136" s="11"/>
      <c r="LL136" s="11"/>
      <c r="LM136" s="11"/>
      <c r="LN136" s="11"/>
      <c r="LO136" s="11"/>
      <c r="LP136" s="11"/>
      <c r="LQ136" s="11"/>
      <c r="LR136" s="11"/>
      <c r="LS136" s="11"/>
      <c r="LT136" s="11"/>
      <c r="LU136" s="11"/>
      <c r="LV136" s="11"/>
      <c r="LW136" s="11"/>
      <c r="LX136" s="11"/>
      <c r="LY136" s="11"/>
      <c r="LZ136" s="11"/>
      <c r="MA136" s="11"/>
      <c r="MB136" s="11"/>
      <c r="MC136" s="11"/>
      <c r="MD136" s="11"/>
      <c r="ME136" s="11"/>
      <c r="MF136" s="11"/>
      <c r="MG136" s="11"/>
      <c r="MH136" s="11"/>
      <c r="MI136" s="11"/>
      <c r="MJ136" s="11"/>
      <c r="MK136" s="11"/>
      <c r="ML136" s="11"/>
      <c r="MM136" s="11"/>
      <c r="MN136" s="11"/>
      <c r="MO136" s="11"/>
      <c r="MP136" s="11"/>
      <c r="MQ136" s="11"/>
      <c r="MR136" s="11"/>
      <c r="MS136" s="11"/>
      <c r="MT136" s="11"/>
      <c r="MU136" s="11"/>
      <c r="MV136" s="11"/>
      <c r="MW136" s="11"/>
      <c r="MX136" s="11"/>
      <c r="MY136" s="11"/>
      <c r="MZ136" s="11"/>
      <c r="NA136" s="11"/>
      <c r="NB136" s="11"/>
      <c r="NC136" s="11"/>
      <c r="ND136" s="11"/>
      <c r="NE136" s="11"/>
      <c r="NF136" s="11"/>
      <c r="NG136" s="11"/>
      <c r="NH136" s="11"/>
      <c r="NI136" s="11"/>
      <c r="NJ136" s="11"/>
      <c r="NK136" s="11"/>
      <c r="NL136" s="11"/>
      <c r="NM136" s="11"/>
      <c r="NN136" s="11"/>
      <c r="NO136" s="11"/>
      <c r="NP136" s="11"/>
      <c r="NQ136" s="11"/>
      <c r="NR136" s="11"/>
      <c r="NS136" s="11"/>
      <c r="NT136" s="11"/>
      <c r="NU136" s="11"/>
      <c r="NV136" s="11"/>
      <c r="NW136" s="11"/>
      <c r="NX136" s="11"/>
      <c r="NY136" s="11"/>
      <c r="NZ136" s="11"/>
      <c r="OA136" s="11"/>
      <c r="OB136" s="11"/>
      <c r="OC136" s="11"/>
      <c r="OD136" s="11"/>
      <c r="OE136" s="11"/>
      <c r="OF136" s="11"/>
      <c r="OG136" s="11"/>
      <c r="OH136" s="11"/>
      <c r="OI136" s="11"/>
      <c r="OJ136" s="11"/>
      <c r="OK136" s="11"/>
      <c r="OL136" s="11"/>
      <c r="OM136" s="11"/>
      <c r="ON136" s="11"/>
      <c r="OO136" s="11"/>
      <c r="OP136" s="11"/>
      <c r="OQ136" s="11"/>
      <c r="OR136" s="11"/>
      <c r="OS136" s="11"/>
      <c r="OT136" s="11"/>
      <c r="OU136" s="11"/>
      <c r="OV136" s="11"/>
      <c r="OW136" s="11"/>
      <c r="OX136" s="11"/>
      <c r="OY136" s="11"/>
      <c r="OZ136" s="11"/>
      <c r="PA136" s="11"/>
      <c r="PB136" s="11"/>
      <c r="PC136" s="11"/>
      <c r="PD136" s="11"/>
      <c r="PE136" s="11"/>
      <c r="PF136" s="11"/>
      <c r="PG136" s="11"/>
      <c r="PH136" s="11"/>
      <c r="PI136" s="11"/>
      <c r="PJ136" s="11"/>
      <c r="PK136" s="11"/>
      <c r="PL136" s="11"/>
      <c r="PM136" s="11"/>
      <c r="PN136" s="11"/>
      <c r="PO136" s="11"/>
      <c r="PP136" s="11"/>
      <c r="PQ136" s="11"/>
      <c r="PR136" s="11"/>
      <c r="PS136" s="11"/>
      <c r="PT136" s="11"/>
      <c r="PU136" s="11"/>
      <c r="PV136" s="11"/>
      <c r="PW136" s="11"/>
      <c r="PX136" s="11"/>
      <c r="PY136" s="11"/>
      <c r="PZ136" s="11"/>
      <c r="QA136" s="11"/>
      <c r="QB136" s="11"/>
      <c r="QC136" s="11"/>
      <c r="QD136" s="11"/>
      <c r="QE136" s="11"/>
      <c r="QF136" s="11"/>
      <c r="QG136" s="11"/>
      <c r="QH136" s="11"/>
      <c r="QI136" s="11"/>
      <c r="QJ136" s="11"/>
      <c r="QK136" s="11"/>
      <c r="QL136" s="11"/>
      <c r="QM136" s="11"/>
      <c r="QN136" s="11"/>
      <c r="QO136" s="11"/>
      <c r="QP136" s="11"/>
      <c r="QQ136" s="11"/>
      <c r="QR136" s="11"/>
      <c r="QS136" s="11"/>
      <c r="QT136" s="11"/>
      <c r="QU136" s="11"/>
      <c r="QV136" s="11"/>
      <c r="QW136" s="11"/>
      <c r="QX136" s="11"/>
      <c r="QY136" s="11"/>
      <c r="QZ136" s="11"/>
      <c r="RA136" s="11"/>
      <c r="RB136" s="11"/>
      <c r="RC136" s="11"/>
      <c r="RD136" s="11"/>
      <c r="RE136" s="11"/>
      <c r="RF136" s="11"/>
      <c r="RG136" s="11"/>
      <c r="RH136" s="11"/>
      <c r="RI136" s="11"/>
      <c r="RJ136" s="11"/>
      <c r="RK136" s="11"/>
      <c r="RL136" s="11"/>
      <c r="RM136" s="11"/>
      <c r="RN136" s="11"/>
      <c r="RO136" s="11"/>
      <c r="RP136" s="11"/>
      <c r="RQ136" s="11"/>
      <c r="RR136" s="11"/>
      <c r="RS136" s="11"/>
      <c r="RT136" s="11"/>
      <c r="RU136" s="11"/>
      <c r="RV136" s="11"/>
      <c r="RW136" s="11"/>
      <c r="RX136" s="11"/>
      <c r="RY136" s="11"/>
      <c r="RZ136" s="11"/>
      <c r="SA136" s="11"/>
      <c r="SB136" s="11"/>
      <c r="SC136" s="11"/>
      <c r="SD136" s="11"/>
      <c r="SE136" s="11"/>
      <c r="SF136" s="11"/>
      <c r="SG136" s="11"/>
      <c r="SH136" s="11"/>
      <c r="SI136" s="11"/>
      <c r="SJ136" s="11"/>
      <c r="SK136" s="11"/>
      <c r="SL136" s="11"/>
      <c r="SM136" s="11"/>
      <c r="SN136" s="11"/>
      <c r="SO136" s="11"/>
      <c r="SP136" s="11"/>
      <c r="SQ136" s="11"/>
      <c r="SR136" s="11"/>
      <c r="SS136" s="11"/>
      <c r="ST136" s="11"/>
      <c r="SU136" s="11"/>
      <c r="SV136" s="11"/>
      <c r="SW136" s="11"/>
      <c r="SX136" s="11"/>
      <c r="SY136" s="11"/>
      <c r="SZ136" s="11"/>
      <c r="TA136" s="11"/>
      <c r="TB136" s="11"/>
      <c r="TC136" s="11"/>
      <c r="TD136" s="11"/>
      <c r="TE136" s="11"/>
      <c r="TF136" s="11"/>
      <c r="TG136" s="11"/>
      <c r="TH136" s="11"/>
      <c r="TI136" s="11"/>
      <c r="TJ136" s="11"/>
      <c r="TK136" s="11"/>
      <c r="TL136" s="11"/>
      <c r="TM136" s="11"/>
      <c r="TN136" s="11"/>
      <c r="TO136" s="11"/>
      <c r="TP136" s="11"/>
      <c r="TQ136" s="11"/>
      <c r="TR136" s="11"/>
      <c r="TS136" s="11"/>
      <c r="TT136" s="11"/>
      <c r="TU136" s="11"/>
      <c r="TV136" s="11"/>
      <c r="TW136" s="11"/>
      <c r="TX136" s="11"/>
      <c r="TY136" s="11"/>
      <c r="TZ136" s="11"/>
      <c r="UA136" s="11"/>
      <c r="UB136" s="11"/>
      <c r="UC136" s="11"/>
      <c r="UD136" s="11"/>
      <c r="UE136" s="11"/>
      <c r="UF136" s="11"/>
      <c r="UG136" s="11"/>
      <c r="UH136" s="11"/>
      <c r="UI136" s="11"/>
      <c r="UJ136" s="11"/>
      <c r="UK136" s="11"/>
      <c r="UL136" s="11"/>
      <c r="UM136" s="11"/>
      <c r="UN136" s="11"/>
      <c r="UO136" s="11"/>
      <c r="UP136" s="11"/>
      <c r="UQ136" s="11"/>
      <c r="UR136" s="11"/>
      <c r="US136" s="11"/>
      <c r="UT136" s="11"/>
      <c r="UU136" s="11"/>
      <c r="UV136" s="11"/>
      <c r="UW136" s="11"/>
      <c r="UX136" s="11"/>
      <c r="UY136" s="11"/>
      <c r="UZ136" s="11"/>
      <c r="VA136" s="11"/>
      <c r="VB136" s="11"/>
      <c r="VC136" s="11"/>
      <c r="VD136" s="11"/>
      <c r="VE136" s="11"/>
      <c r="VF136" s="11"/>
      <c r="VG136" s="11"/>
      <c r="VH136" s="11"/>
      <c r="VI136" s="11"/>
      <c r="VJ136" s="11"/>
      <c r="VK136" s="11"/>
      <c r="VL136" s="11"/>
      <c r="VM136" s="11"/>
      <c r="VN136" s="11"/>
      <c r="VO136" s="11"/>
      <c r="VP136" s="11"/>
      <c r="VQ136" s="11"/>
      <c r="VR136" s="11"/>
      <c r="VS136" s="11"/>
      <c r="VT136" s="11"/>
      <c r="VU136" s="11"/>
      <c r="VV136" s="11"/>
      <c r="VW136" s="11"/>
      <c r="VX136" s="11"/>
      <c r="VY136" s="11"/>
      <c r="VZ136" s="11"/>
      <c r="WA136" s="11"/>
      <c r="WB136" s="11"/>
      <c r="WC136" s="11"/>
      <c r="WD136" s="11"/>
      <c r="WE136" s="11"/>
      <c r="WF136" s="11"/>
      <c r="WG136" s="11"/>
      <c r="WH136" s="11"/>
      <c r="WI136" s="11"/>
      <c r="WJ136" s="11"/>
      <c r="WK136" s="11"/>
      <c r="WL136" s="11"/>
      <c r="WM136" s="11"/>
      <c r="WN136" s="11"/>
      <c r="WO136" s="11"/>
      <c r="WP136" s="11"/>
      <c r="WQ136" s="11"/>
      <c r="WR136" s="11"/>
      <c r="WS136" s="11"/>
      <c r="WT136" s="11"/>
      <c r="WU136" s="11"/>
      <c r="WV136" s="11"/>
      <c r="WW136" s="11"/>
      <c r="WX136" s="11"/>
      <c r="WY136" s="11"/>
      <c r="WZ136" s="11"/>
      <c r="XA136" s="11"/>
      <c r="XB136" s="11"/>
      <c r="XC136" s="11"/>
      <c r="XD136" s="11"/>
      <c r="XE136" s="11"/>
      <c r="XF136" s="11"/>
      <c r="XG136" s="11"/>
      <c r="XH136" s="11"/>
      <c r="XI136" s="11"/>
      <c r="XJ136" s="11"/>
      <c r="XK136" s="11"/>
      <c r="XL136" s="11"/>
      <c r="XM136" s="11"/>
      <c r="XN136" s="11"/>
      <c r="XO136" s="11"/>
      <c r="XP136" s="11"/>
      <c r="XQ136" s="11"/>
      <c r="XR136" s="11"/>
      <c r="XS136" s="11"/>
      <c r="XT136" s="11"/>
      <c r="XU136" s="11"/>
      <c r="XV136" s="11"/>
      <c r="XW136" s="11"/>
      <c r="XX136" s="11"/>
      <c r="XY136" s="11"/>
      <c r="XZ136" s="11"/>
      <c r="YA136" s="11"/>
      <c r="YB136" s="11"/>
      <c r="YC136" s="11"/>
      <c r="YD136" s="11"/>
      <c r="YE136" s="11"/>
      <c r="YF136" s="11"/>
      <c r="YG136" s="11"/>
      <c r="YH136" s="11"/>
      <c r="YI136" s="11"/>
      <c r="YJ136" s="11"/>
      <c r="YK136" s="11"/>
      <c r="YL136" s="11"/>
      <c r="YM136" s="11"/>
      <c r="YN136" s="11"/>
      <c r="YO136" s="11"/>
      <c r="YP136" s="11"/>
      <c r="YQ136" s="11"/>
      <c r="YR136" s="11"/>
      <c r="YS136" s="11"/>
      <c r="YT136" s="11"/>
      <c r="YU136" s="11"/>
      <c r="YV136" s="11"/>
      <c r="YW136" s="11"/>
      <c r="YX136" s="11"/>
      <c r="YY136" s="11"/>
      <c r="YZ136" s="11"/>
      <c r="ZA136" s="11"/>
      <c r="ZB136" s="11"/>
      <c r="ZC136" s="11"/>
      <c r="ZD136" s="11"/>
      <c r="ZE136" s="11"/>
      <c r="ZF136" s="11"/>
      <c r="ZG136" s="11"/>
      <c r="ZH136" s="11"/>
      <c r="ZI136" s="11"/>
      <c r="ZJ136" s="11"/>
      <c r="ZK136" s="11"/>
      <c r="ZL136" s="11"/>
      <c r="ZM136" s="11"/>
      <c r="ZN136" s="11"/>
      <c r="ZO136" s="11"/>
      <c r="ZP136" s="11"/>
      <c r="ZQ136" s="11"/>
      <c r="ZR136" s="11"/>
      <c r="ZS136" s="11"/>
      <c r="ZT136" s="11"/>
      <c r="ZU136" s="11"/>
      <c r="ZV136" s="11"/>
      <c r="ZW136" s="11"/>
      <c r="ZX136" s="11"/>
      <c r="ZY136" s="11"/>
      <c r="ZZ136" s="11"/>
      <c r="AAA136" s="11"/>
      <c r="AAB136" s="11"/>
      <c r="AAC136" s="11"/>
      <c r="AAD136" s="11"/>
      <c r="AAE136" s="11"/>
      <c r="AAF136" s="11"/>
      <c r="AAG136" s="11"/>
      <c r="AAH136" s="11"/>
      <c r="AAI136" s="11"/>
      <c r="AAJ136" s="11"/>
      <c r="AAK136" s="11"/>
      <c r="AAL136" s="11"/>
      <c r="AAM136" s="11"/>
      <c r="AAN136" s="11"/>
      <c r="AAO136" s="11"/>
      <c r="AAP136" s="11"/>
      <c r="AAQ136" s="11"/>
      <c r="AAR136" s="11"/>
      <c r="AAS136" s="11"/>
      <c r="AAT136" s="11"/>
      <c r="AAU136" s="11"/>
      <c r="AAV136" s="11"/>
      <c r="AAW136" s="11"/>
      <c r="AAX136" s="11"/>
      <c r="AAY136" s="11"/>
      <c r="AAZ136" s="11"/>
      <c r="ABA136" s="11"/>
      <c r="ABB136" s="11"/>
      <c r="ABC136" s="11"/>
      <c r="ABD136" s="11"/>
      <c r="ABE136" s="11"/>
      <c r="ABF136" s="11"/>
      <c r="ABG136" s="11"/>
      <c r="ABH136" s="11"/>
      <c r="ABI136" s="11"/>
      <c r="ABJ136" s="11"/>
      <c r="ABK136" s="11"/>
      <c r="ABL136" s="11"/>
      <c r="ABM136" s="11"/>
      <c r="ABN136" s="11"/>
      <c r="ABO136" s="11"/>
      <c r="ABP136" s="11"/>
      <c r="ABQ136" s="11"/>
      <c r="ABR136" s="11"/>
      <c r="ABS136" s="11"/>
      <c r="ABT136" s="11"/>
      <c r="ABU136" s="11"/>
      <c r="ABV136" s="11"/>
      <c r="ABW136" s="11"/>
      <c r="ABX136" s="11"/>
      <c r="ABY136" s="11"/>
      <c r="ABZ136" s="11"/>
      <c r="ACA136" s="11"/>
      <c r="ACB136" s="11"/>
      <c r="ACC136" s="11"/>
      <c r="ACD136" s="11"/>
      <c r="ACE136" s="11"/>
      <c r="ACF136" s="11"/>
      <c r="ACG136" s="11"/>
      <c r="ACH136" s="11"/>
      <c r="ACI136" s="11"/>
      <c r="ACJ136" s="11"/>
      <c r="ACK136" s="11"/>
      <c r="ACL136" s="11"/>
      <c r="ACM136" s="11"/>
      <c r="ACN136" s="11"/>
      <c r="ACO136" s="11"/>
      <c r="ACP136" s="11"/>
      <c r="ACQ136" s="11"/>
      <c r="ACR136" s="11"/>
      <c r="ACS136" s="11"/>
      <c r="ACT136" s="11"/>
      <c r="ACU136" s="11"/>
      <c r="ACV136" s="11"/>
      <c r="ACW136" s="11"/>
      <c r="ACX136" s="11"/>
      <c r="ACY136" s="11"/>
      <c r="ACZ136" s="11"/>
      <c r="ADA136" s="11"/>
      <c r="ADB136" s="11"/>
      <c r="ADC136" s="11"/>
      <c r="ADD136" s="11"/>
      <c r="ADE136" s="11"/>
      <c r="ADF136" s="11"/>
      <c r="ADG136" s="11"/>
      <c r="ADH136" s="11"/>
      <c r="ADI136" s="11"/>
      <c r="ADJ136" s="11"/>
      <c r="ADK136" s="11"/>
      <c r="ADL136" s="11"/>
      <c r="ADM136" s="11"/>
      <c r="ADN136" s="11"/>
      <c r="ADO136" s="11"/>
      <c r="ADP136" s="11"/>
      <c r="ADQ136" s="11"/>
      <c r="ADR136" s="11"/>
      <c r="ADS136" s="11"/>
      <c r="ADT136" s="11"/>
      <c r="ADU136" s="11"/>
      <c r="ADV136" s="11"/>
      <c r="ADW136" s="11"/>
      <c r="ADX136" s="11"/>
      <c r="ADY136" s="11"/>
      <c r="ADZ136" s="11"/>
      <c r="AEA136" s="11"/>
      <c r="AEB136" s="11"/>
      <c r="AEC136" s="11"/>
      <c r="AED136" s="11"/>
      <c r="AEE136" s="11"/>
      <c r="AEF136" s="11"/>
      <c r="AEG136" s="11"/>
      <c r="AEH136" s="11"/>
      <c r="AEI136" s="11"/>
      <c r="AEJ136" s="11"/>
      <c r="AEK136" s="11"/>
      <c r="AEL136" s="11"/>
      <c r="AEM136" s="11"/>
      <c r="AEN136" s="11"/>
      <c r="AEO136" s="11"/>
      <c r="AEP136" s="11"/>
      <c r="AEQ136" s="11"/>
      <c r="AER136" s="11"/>
      <c r="AES136" s="11"/>
      <c r="AET136" s="11"/>
      <c r="AEU136" s="11"/>
      <c r="AEV136" s="11"/>
      <c r="AEW136" s="11"/>
      <c r="AEX136" s="11"/>
      <c r="AEY136" s="11"/>
      <c r="AEZ136" s="11"/>
      <c r="AFA136" s="11"/>
      <c r="AFB136" s="11"/>
      <c r="AFC136" s="11"/>
      <c r="AFD136" s="11"/>
      <c r="AFE136" s="11"/>
      <c r="AFF136" s="11"/>
      <c r="AFG136" s="11"/>
      <c r="AFH136" s="11"/>
      <c r="AFI136" s="11"/>
    </row>
    <row r="137" spans="2:84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c r="IW137" s="11"/>
      <c r="IX137" s="11"/>
      <c r="IY137" s="11"/>
      <c r="IZ137" s="11"/>
      <c r="JA137" s="11"/>
      <c r="JB137" s="11"/>
      <c r="JC137" s="11"/>
      <c r="JD137" s="11"/>
      <c r="JE137" s="11"/>
      <c r="JF137" s="11"/>
      <c r="JG137" s="11"/>
      <c r="JH137" s="11"/>
      <c r="JI137" s="11"/>
      <c r="JJ137" s="11"/>
      <c r="JK137" s="11"/>
      <c r="JL137" s="11"/>
      <c r="JM137" s="11"/>
      <c r="JN137" s="11"/>
      <c r="JO137" s="11"/>
      <c r="JP137" s="11"/>
      <c r="JQ137" s="11"/>
      <c r="JR137" s="11"/>
      <c r="JS137" s="11"/>
      <c r="JT137" s="11"/>
      <c r="JU137" s="11"/>
      <c r="JV137" s="11"/>
      <c r="JW137" s="11"/>
      <c r="JX137" s="11"/>
      <c r="JY137" s="11"/>
      <c r="JZ137" s="11"/>
      <c r="KA137" s="11"/>
      <c r="KB137" s="11"/>
      <c r="KC137" s="11"/>
      <c r="KD137" s="11"/>
      <c r="KE137" s="11"/>
      <c r="KF137" s="11"/>
      <c r="KG137" s="11"/>
      <c r="KH137" s="11"/>
      <c r="KI137" s="11"/>
      <c r="KJ137" s="11"/>
      <c r="KK137" s="11"/>
      <c r="KL137" s="11"/>
      <c r="KM137" s="11"/>
      <c r="KN137" s="11"/>
      <c r="KO137" s="11"/>
      <c r="KP137" s="11"/>
      <c r="KQ137" s="11"/>
      <c r="KR137" s="11"/>
      <c r="KS137" s="11"/>
      <c r="KT137" s="11"/>
      <c r="KU137" s="11"/>
      <c r="KV137" s="11"/>
      <c r="KW137" s="11"/>
      <c r="KX137" s="11"/>
      <c r="KY137" s="11"/>
      <c r="KZ137" s="11"/>
      <c r="LA137" s="11"/>
      <c r="LB137" s="11"/>
      <c r="LC137" s="11"/>
      <c r="LD137" s="11"/>
      <c r="LE137" s="11"/>
      <c r="LF137" s="11"/>
      <c r="LG137" s="11"/>
      <c r="LH137" s="11"/>
      <c r="LI137" s="11"/>
      <c r="LJ137" s="11"/>
      <c r="LK137" s="11"/>
      <c r="LL137" s="11"/>
      <c r="LM137" s="11"/>
      <c r="LN137" s="11"/>
      <c r="LO137" s="11"/>
      <c r="LP137" s="11"/>
      <c r="LQ137" s="11"/>
      <c r="LR137" s="11"/>
      <c r="LS137" s="11"/>
      <c r="LT137" s="11"/>
      <c r="LU137" s="11"/>
      <c r="LV137" s="11"/>
      <c r="LW137" s="11"/>
      <c r="LX137" s="11"/>
      <c r="LY137" s="11"/>
      <c r="LZ137" s="11"/>
      <c r="MA137" s="11"/>
      <c r="MB137" s="11"/>
      <c r="MC137" s="11"/>
      <c r="MD137" s="11"/>
      <c r="ME137" s="11"/>
      <c r="MF137" s="11"/>
      <c r="MG137" s="11"/>
      <c r="MH137" s="11"/>
      <c r="MI137" s="11"/>
      <c r="MJ137" s="11"/>
      <c r="MK137" s="11"/>
      <c r="ML137" s="11"/>
      <c r="MM137" s="11"/>
      <c r="MN137" s="11"/>
      <c r="MO137" s="11"/>
      <c r="MP137" s="11"/>
      <c r="MQ137" s="11"/>
      <c r="MR137" s="11"/>
      <c r="MS137" s="11"/>
      <c r="MT137" s="11"/>
      <c r="MU137" s="11"/>
      <c r="MV137" s="11"/>
      <c r="MW137" s="11"/>
      <c r="MX137" s="11"/>
      <c r="MY137" s="11"/>
      <c r="MZ137" s="11"/>
      <c r="NA137" s="11"/>
      <c r="NB137" s="11"/>
      <c r="NC137" s="11"/>
      <c r="ND137" s="11"/>
      <c r="NE137" s="11"/>
      <c r="NF137" s="11"/>
      <c r="NG137" s="11"/>
      <c r="NH137" s="11"/>
      <c r="NI137" s="11"/>
      <c r="NJ137" s="11"/>
      <c r="NK137" s="11"/>
      <c r="NL137" s="11"/>
      <c r="NM137" s="11"/>
      <c r="NN137" s="11"/>
      <c r="NO137" s="11"/>
      <c r="NP137" s="11"/>
      <c r="NQ137" s="11"/>
      <c r="NR137" s="11"/>
      <c r="NS137" s="11"/>
      <c r="NT137" s="11"/>
      <c r="NU137" s="11"/>
      <c r="NV137" s="11"/>
      <c r="NW137" s="11"/>
      <c r="NX137" s="11"/>
      <c r="NY137" s="11"/>
      <c r="NZ137" s="11"/>
      <c r="OA137" s="11"/>
      <c r="OB137" s="11"/>
      <c r="OC137" s="11"/>
      <c r="OD137" s="11"/>
      <c r="OE137" s="11"/>
      <c r="OF137" s="11"/>
      <c r="OG137" s="11"/>
      <c r="OH137" s="11"/>
      <c r="OI137" s="11"/>
      <c r="OJ137" s="11"/>
      <c r="OK137" s="11"/>
      <c r="OL137" s="11"/>
      <c r="OM137" s="11"/>
      <c r="ON137" s="11"/>
      <c r="OO137" s="11"/>
      <c r="OP137" s="11"/>
      <c r="OQ137" s="11"/>
      <c r="OR137" s="11"/>
      <c r="OS137" s="11"/>
      <c r="OT137" s="11"/>
      <c r="OU137" s="11"/>
      <c r="OV137" s="11"/>
      <c r="OW137" s="11"/>
      <c r="OX137" s="11"/>
      <c r="OY137" s="11"/>
      <c r="OZ137" s="11"/>
      <c r="PA137" s="11"/>
      <c r="PB137" s="11"/>
      <c r="PC137" s="11"/>
      <c r="PD137" s="11"/>
      <c r="PE137" s="11"/>
      <c r="PF137" s="11"/>
      <c r="PG137" s="11"/>
      <c r="PH137" s="11"/>
      <c r="PI137" s="11"/>
      <c r="PJ137" s="11"/>
      <c r="PK137" s="11"/>
      <c r="PL137" s="11"/>
      <c r="PM137" s="11"/>
      <c r="PN137" s="11"/>
      <c r="PO137" s="11"/>
      <c r="PP137" s="11"/>
      <c r="PQ137" s="11"/>
      <c r="PR137" s="11"/>
      <c r="PS137" s="11"/>
      <c r="PT137" s="11"/>
      <c r="PU137" s="11"/>
      <c r="PV137" s="11"/>
      <c r="PW137" s="11"/>
      <c r="PX137" s="11"/>
      <c r="PY137" s="11"/>
      <c r="PZ137" s="11"/>
      <c r="QA137" s="11"/>
      <c r="QB137" s="11"/>
      <c r="QC137" s="11"/>
      <c r="QD137" s="11"/>
      <c r="QE137" s="11"/>
      <c r="QF137" s="11"/>
      <c r="QG137" s="11"/>
      <c r="QH137" s="11"/>
      <c r="QI137" s="11"/>
      <c r="QJ137" s="11"/>
      <c r="QK137" s="11"/>
      <c r="QL137" s="11"/>
      <c r="QM137" s="11"/>
      <c r="QN137" s="11"/>
      <c r="QO137" s="11"/>
      <c r="QP137" s="11"/>
      <c r="QQ137" s="11"/>
      <c r="QR137" s="11"/>
      <c r="QS137" s="11"/>
      <c r="QT137" s="11"/>
      <c r="QU137" s="11"/>
      <c r="QV137" s="11"/>
      <c r="QW137" s="11"/>
      <c r="QX137" s="11"/>
      <c r="QY137" s="11"/>
      <c r="QZ137" s="11"/>
      <c r="RA137" s="11"/>
      <c r="RB137" s="11"/>
      <c r="RC137" s="11"/>
      <c r="RD137" s="11"/>
      <c r="RE137" s="11"/>
      <c r="RF137" s="11"/>
      <c r="RG137" s="11"/>
      <c r="RH137" s="11"/>
      <c r="RI137" s="11"/>
      <c r="RJ137" s="11"/>
      <c r="RK137" s="11"/>
      <c r="RL137" s="11"/>
      <c r="RM137" s="11"/>
      <c r="RN137" s="11"/>
      <c r="RO137" s="11"/>
      <c r="RP137" s="11"/>
      <c r="RQ137" s="11"/>
      <c r="RR137" s="11"/>
      <c r="RS137" s="11"/>
      <c r="RT137" s="11"/>
      <c r="RU137" s="11"/>
      <c r="RV137" s="11"/>
      <c r="RW137" s="11"/>
      <c r="RX137" s="11"/>
      <c r="RY137" s="11"/>
      <c r="RZ137" s="11"/>
      <c r="SA137" s="11"/>
      <c r="SB137" s="11"/>
      <c r="SC137" s="11"/>
      <c r="SD137" s="11"/>
      <c r="SE137" s="11"/>
      <c r="SF137" s="11"/>
      <c r="SG137" s="11"/>
      <c r="SH137" s="11"/>
      <c r="SI137" s="11"/>
      <c r="SJ137" s="11"/>
      <c r="SK137" s="11"/>
      <c r="SL137" s="11"/>
      <c r="SM137" s="11"/>
      <c r="SN137" s="11"/>
      <c r="SO137" s="11"/>
      <c r="SP137" s="11"/>
      <c r="SQ137" s="11"/>
      <c r="SR137" s="11"/>
      <c r="SS137" s="11"/>
      <c r="ST137" s="11"/>
      <c r="SU137" s="11"/>
      <c r="SV137" s="11"/>
      <c r="SW137" s="11"/>
      <c r="SX137" s="11"/>
      <c r="SY137" s="11"/>
      <c r="SZ137" s="11"/>
      <c r="TA137" s="11"/>
      <c r="TB137" s="11"/>
      <c r="TC137" s="11"/>
      <c r="TD137" s="11"/>
      <c r="TE137" s="11"/>
      <c r="TF137" s="11"/>
      <c r="TG137" s="11"/>
      <c r="TH137" s="11"/>
      <c r="TI137" s="11"/>
      <c r="TJ137" s="11"/>
      <c r="TK137" s="11"/>
      <c r="TL137" s="11"/>
      <c r="TM137" s="11"/>
      <c r="TN137" s="11"/>
      <c r="TO137" s="11"/>
      <c r="TP137" s="11"/>
      <c r="TQ137" s="11"/>
      <c r="TR137" s="11"/>
      <c r="TS137" s="11"/>
      <c r="TT137" s="11"/>
      <c r="TU137" s="11"/>
      <c r="TV137" s="11"/>
      <c r="TW137" s="11"/>
      <c r="TX137" s="11"/>
      <c r="TY137" s="11"/>
      <c r="TZ137" s="11"/>
      <c r="UA137" s="11"/>
      <c r="UB137" s="11"/>
      <c r="UC137" s="11"/>
      <c r="UD137" s="11"/>
      <c r="UE137" s="11"/>
      <c r="UF137" s="11"/>
      <c r="UG137" s="11"/>
      <c r="UH137" s="11"/>
      <c r="UI137" s="11"/>
      <c r="UJ137" s="11"/>
      <c r="UK137" s="11"/>
      <c r="UL137" s="11"/>
      <c r="UM137" s="11"/>
      <c r="UN137" s="11"/>
      <c r="UO137" s="11"/>
      <c r="UP137" s="11"/>
      <c r="UQ137" s="11"/>
      <c r="UR137" s="11"/>
      <c r="US137" s="11"/>
      <c r="UT137" s="11"/>
      <c r="UU137" s="11"/>
      <c r="UV137" s="11"/>
      <c r="UW137" s="11"/>
      <c r="UX137" s="11"/>
      <c r="UY137" s="11"/>
      <c r="UZ137" s="11"/>
      <c r="VA137" s="11"/>
      <c r="VB137" s="11"/>
      <c r="VC137" s="11"/>
      <c r="VD137" s="11"/>
      <c r="VE137" s="11"/>
      <c r="VF137" s="11"/>
      <c r="VG137" s="11"/>
      <c r="VH137" s="11"/>
      <c r="VI137" s="11"/>
      <c r="VJ137" s="11"/>
      <c r="VK137" s="11"/>
      <c r="VL137" s="11"/>
      <c r="VM137" s="11"/>
      <c r="VN137" s="11"/>
      <c r="VO137" s="11"/>
      <c r="VP137" s="11"/>
      <c r="VQ137" s="11"/>
      <c r="VR137" s="11"/>
      <c r="VS137" s="11"/>
      <c r="VT137" s="11"/>
      <c r="VU137" s="11"/>
      <c r="VV137" s="11"/>
      <c r="VW137" s="11"/>
      <c r="VX137" s="11"/>
      <c r="VY137" s="11"/>
      <c r="VZ137" s="11"/>
      <c r="WA137" s="11"/>
      <c r="WB137" s="11"/>
      <c r="WC137" s="11"/>
      <c r="WD137" s="11"/>
      <c r="WE137" s="11"/>
      <c r="WF137" s="11"/>
      <c r="WG137" s="11"/>
      <c r="WH137" s="11"/>
      <c r="WI137" s="11"/>
      <c r="WJ137" s="11"/>
      <c r="WK137" s="11"/>
      <c r="WL137" s="11"/>
      <c r="WM137" s="11"/>
      <c r="WN137" s="11"/>
      <c r="WO137" s="11"/>
      <c r="WP137" s="11"/>
      <c r="WQ137" s="11"/>
      <c r="WR137" s="11"/>
      <c r="WS137" s="11"/>
      <c r="WT137" s="11"/>
      <c r="WU137" s="11"/>
      <c r="WV137" s="11"/>
      <c r="WW137" s="11"/>
      <c r="WX137" s="11"/>
      <c r="WY137" s="11"/>
      <c r="WZ137" s="11"/>
      <c r="XA137" s="11"/>
      <c r="XB137" s="11"/>
      <c r="XC137" s="11"/>
      <c r="XD137" s="11"/>
      <c r="XE137" s="11"/>
      <c r="XF137" s="11"/>
      <c r="XG137" s="11"/>
      <c r="XH137" s="11"/>
      <c r="XI137" s="11"/>
      <c r="XJ137" s="11"/>
      <c r="XK137" s="11"/>
      <c r="XL137" s="11"/>
      <c r="XM137" s="11"/>
      <c r="XN137" s="11"/>
      <c r="XO137" s="11"/>
      <c r="XP137" s="11"/>
      <c r="XQ137" s="11"/>
      <c r="XR137" s="11"/>
      <c r="XS137" s="11"/>
      <c r="XT137" s="11"/>
      <c r="XU137" s="11"/>
      <c r="XV137" s="11"/>
      <c r="XW137" s="11"/>
      <c r="XX137" s="11"/>
      <c r="XY137" s="11"/>
      <c r="XZ137" s="11"/>
      <c r="YA137" s="11"/>
      <c r="YB137" s="11"/>
      <c r="YC137" s="11"/>
      <c r="YD137" s="11"/>
      <c r="YE137" s="11"/>
      <c r="YF137" s="11"/>
      <c r="YG137" s="11"/>
      <c r="YH137" s="11"/>
      <c r="YI137" s="11"/>
      <c r="YJ137" s="11"/>
      <c r="YK137" s="11"/>
      <c r="YL137" s="11"/>
      <c r="YM137" s="11"/>
      <c r="YN137" s="11"/>
      <c r="YO137" s="11"/>
      <c r="YP137" s="11"/>
      <c r="YQ137" s="11"/>
      <c r="YR137" s="11"/>
      <c r="YS137" s="11"/>
      <c r="YT137" s="11"/>
      <c r="YU137" s="11"/>
      <c r="YV137" s="11"/>
      <c r="YW137" s="11"/>
      <c r="YX137" s="11"/>
      <c r="YY137" s="11"/>
      <c r="YZ137" s="11"/>
      <c r="ZA137" s="11"/>
      <c r="ZB137" s="11"/>
      <c r="ZC137" s="11"/>
      <c r="ZD137" s="11"/>
      <c r="ZE137" s="11"/>
      <c r="ZF137" s="11"/>
      <c r="ZG137" s="11"/>
      <c r="ZH137" s="11"/>
      <c r="ZI137" s="11"/>
      <c r="ZJ137" s="11"/>
      <c r="ZK137" s="11"/>
      <c r="ZL137" s="11"/>
      <c r="ZM137" s="11"/>
      <c r="ZN137" s="11"/>
      <c r="ZO137" s="11"/>
      <c r="ZP137" s="11"/>
      <c r="ZQ137" s="11"/>
      <c r="ZR137" s="11"/>
      <c r="ZS137" s="11"/>
      <c r="ZT137" s="11"/>
      <c r="ZU137" s="11"/>
      <c r="ZV137" s="11"/>
      <c r="ZW137" s="11"/>
      <c r="ZX137" s="11"/>
      <c r="ZY137" s="11"/>
      <c r="ZZ137" s="11"/>
      <c r="AAA137" s="11"/>
      <c r="AAB137" s="11"/>
      <c r="AAC137" s="11"/>
      <c r="AAD137" s="11"/>
      <c r="AAE137" s="11"/>
      <c r="AAF137" s="11"/>
      <c r="AAG137" s="11"/>
      <c r="AAH137" s="11"/>
      <c r="AAI137" s="11"/>
      <c r="AAJ137" s="11"/>
      <c r="AAK137" s="11"/>
      <c r="AAL137" s="11"/>
      <c r="AAM137" s="11"/>
      <c r="AAN137" s="11"/>
      <c r="AAO137" s="11"/>
      <c r="AAP137" s="11"/>
      <c r="AAQ137" s="11"/>
      <c r="AAR137" s="11"/>
      <c r="AAS137" s="11"/>
      <c r="AAT137" s="11"/>
      <c r="AAU137" s="11"/>
      <c r="AAV137" s="11"/>
      <c r="AAW137" s="11"/>
      <c r="AAX137" s="11"/>
      <c r="AAY137" s="11"/>
      <c r="AAZ137" s="11"/>
      <c r="ABA137" s="11"/>
      <c r="ABB137" s="11"/>
      <c r="ABC137" s="11"/>
      <c r="ABD137" s="11"/>
      <c r="ABE137" s="11"/>
      <c r="ABF137" s="11"/>
      <c r="ABG137" s="11"/>
      <c r="ABH137" s="11"/>
      <c r="ABI137" s="11"/>
      <c r="ABJ137" s="11"/>
      <c r="ABK137" s="11"/>
      <c r="ABL137" s="11"/>
      <c r="ABM137" s="11"/>
      <c r="ABN137" s="11"/>
      <c r="ABO137" s="11"/>
      <c r="ABP137" s="11"/>
      <c r="ABQ137" s="11"/>
      <c r="ABR137" s="11"/>
      <c r="ABS137" s="11"/>
      <c r="ABT137" s="11"/>
      <c r="ABU137" s="11"/>
      <c r="ABV137" s="11"/>
      <c r="ABW137" s="11"/>
      <c r="ABX137" s="11"/>
      <c r="ABY137" s="11"/>
      <c r="ABZ137" s="11"/>
      <c r="ACA137" s="11"/>
      <c r="ACB137" s="11"/>
      <c r="ACC137" s="11"/>
      <c r="ACD137" s="11"/>
      <c r="ACE137" s="11"/>
      <c r="ACF137" s="11"/>
      <c r="ACG137" s="11"/>
      <c r="ACH137" s="11"/>
      <c r="ACI137" s="11"/>
      <c r="ACJ137" s="11"/>
      <c r="ACK137" s="11"/>
      <c r="ACL137" s="11"/>
      <c r="ACM137" s="11"/>
      <c r="ACN137" s="11"/>
      <c r="ACO137" s="11"/>
      <c r="ACP137" s="11"/>
      <c r="ACQ137" s="11"/>
      <c r="ACR137" s="11"/>
      <c r="ACS137" s="11"/>
      <c r="ACT137" s="11"/>
      <c r="ACU137" s="11"/>
      <c r="ACV137" s="11"/>
      <c r="ACW137" s="11"/>
      <c r="ACX137" s="11"/>
      <c r="ACY137" s="11"/>
      <c r="ACZ137" s="11"/>
      <c r="ADA137" s="11"/>
      <c r="ADB137" s="11"/>
      <c r="ADC137" s="11"/>
      <c r="ADD137" s="11"/>
      <c r="ADE137" s="11"/>
      <c r="ADF137" s="11"/>
      <c r="ADG137" s="11"/>
      <c r="ADH137" s="11"/>
      <c r="ADI137" s="11"/>
      <c r="ADJ137" s="11"/>
      <c r="ADK137" s="11"/>
      <c r="ADL137" s="11"/>
      <c r="ADM137" s="11"/>
      <c r="ADN137" s="11"/>
      <c r="ADO137" s="11"/>
      <c r="ADP137" s="11"/>
      <c r="ADQ137" s="11"/>
      <c r="ADR137" s="11"/>
      <c r="ADS137" s="11"/>
      <c r="ADT137" s="11"/>
      <c r="ADU137" s="11"/>
      <c r="ADV137" s="11"/>
      <c r="ADW137" s="11"/>
      <c r="ADX137" s="11"/>
      <c r="ADY137" s="11"/>
      <c r="ADZ137" s="11"/>
      <c r="AEA137" s="11"/>
      <c r="AEB137" s="11"/>
      <c r="AEC137" s="11"/>
      <c r="AED137" s="11"/>
      <c r="AEE137" s="11"/>
      <c r="AEF137" s="11"/>
      <c r="AEG137" s="11"/>
      <c r="AEH137" s="11"/>
      <c r="AEI137" s="11"/>
      <c r="AEJ137" s="11"/>
      <c r="AEK137" s="11"/>
      <c r="AEL137" s="11"/>
      <c r="AEM137" s="11"/>
      <c r="AEN137" s="11"/>
      <c r="AEO137" s="11"/>
      <c r="AEP137" s="11"/>
      <c r="AEQ137" s="11"/>
      <c r="AER137" s="11"/>
      <c r="AES137" s="11"/>
      <c r="AET137" s="11"/>
      <c r="AEU137" s="11"/>
      <c r="AEV137" s="11"/>
      <c r="AEW137" s="11"/>
      <c r="AEX137" s="11"/>
      <c r="AEY137" s="11"/>
      <c r="AEZ137" s="11"/>
      <c r="AFA137" s="11"/>
      <c r="AFB137" s="11"/>
      <c r="AFC137" s="11"/>
      <c r="AFD137" s="11"/>
      <c r="AFE137" s="11"/>
      <c r="AFF137" s="11"/>
      <c r="AFG137" s="11"/>
      <c r="AFH137" s="11"/>
      <c r="AFI137" s="11"/>
    </row>
    <row r="138" spans="2:84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c r="IW138" s="11"/>
      <c r="IX138" s="11"/>
      <c r="IY138" s="11"/>
      <c r="IZ138" s="11"/>
      <c r="JA138" s="11"/>
      <c r="JB138" s="11"/>
      <c r="JC138" s="11"/>
      <c r="JD138" s="11"/>
      <c r="JE138" s="11"/>
      <c r="JF138" s="11"/>
      <c r="JG138" s="11"/>
      <c r="JH138" s="11"/>
      <c r="JI138" s="11"/>
      <c r="JJ138" s="11"/>
      <c r="JK138" s="11"/>
      <c r="JL138" s="11"/>
      <c r="JM138" s="11"/>
      <c r="JN138" s="11"/>
      <c r="JO138" s="11"/>
      <c r="JP138" s="11"/>
      <c r="JQ138" s="11"/>
      <c r="JR138" s="11"/>
      <c r="JS138" s="11"/>
      <c r="JT138" s="11"/>
      <c r="JU138" s="11"/>
      <c r="JV138" s="11"/>
      <c r="JW138" s="11"/>
      <c r="JX138" s="11"/>
      <c r="JY138" s="11"/>
      <c r="JZ138" s="11"/>
      <c r="KA138" s="11"/>
      <c r="KB138" s="11"/>
      <c r="KC138" s="11"/>
      <c r="KD138" s="11"/>
      <c r="KE138" s="11"/>
      <c r="KF138" s="11"/>
      <c r="KG138" s="11"/>
      <c r="KH138" s="11"/>
      <c r="KI138" s="11"/>
      <c r="KJ138" s="11"/>
      <c r="KK138" s="11"/>
      <c r="KL138" s="11"/>
      <c r="KM138" s="11"/>
      <c r="KN138" s="11"/>
      <c r="KO138" s="11"/>
      <c r="KP138" s="11"/>
      <c r="KQ138" s="11"/>
      <c r="KR138" s="11"/>
      <c r="KS138" s="11"/>
      <c r="KT138" s="11"/>
      <c r="KU138" s="11"/>
      <c r="KV138" s="11"/>
      <c r="KW138" s="11"/>
      <c r="KX138" s="11"/>
      <c r="KY138" s="11"/>
      <c r="KZ138" s="11"/>
      <c r="LA138" s="11"/>
      <c r="LB138" s="11"/>
      <c r="LC138" s="11"/>
      <c r="LD138" s="11"/>
      <c r="LE138" s="11"/>
      <c r="LF138" s="11"/>
      <c r="LG138" s="11"/>
      <c r="LH138" s="11"/>
      <c r="LI138" s="11"/>
      <c r="LJ138" s="11"/>
      <c r="LK138" s="11"/>
      <c r="LL138" s="11"/>
      <c r="LM138" s="11"/>
      <c r="LN138" s="11"/>
      <c r="LO138" s="11"/>
      <c r="LP138" s="11"/>
      <c r="LQ138" s="11"/>
      <c r="LR138" s="11"/>
      <c r="LS138" s="11"/>
      <c r="LT138" s="11"/>
      <c r="LU138" s="11"/>
      <c r="LV138" s="11"/>
      <c r="LW138" s="11"/>
      <c r="LX138" s="11"/>
      <c r="LY138" s="11"/>
      <c r="LZ138" s="11"/>
      <c r="MA138" s="11"/>
      <c r="MB138" s="11"/>
      <c r="MC138" s="11"/>
      <c r="MD138" s="11"/>
      <c r="ME138" s="11"/>
      <c r="MF138" s="11"/>
      <c r="MG138" s="11"/>
      <c r="MH138" s="11"/>
      <c r="MI138" s="11"/>
      <c r="MJ138" s="11"/>
      <c r="MK138" s="11"/>
      <c r="ML138" s="11"/>
      <c r="MM138" s="11"/>
      <c r="MN138" s="11"/>
      <c r="MO138" s="11"/>
      <c r="MP138" s="11"/>
      <c r="MQ138" s="11"/>
      <c r="MR138" s="11"/>
      <c r="MS138" s="11"/>
      <c r="MT138" s="11"/>
      <c r="MU138" s="11"/>
      <c r="MV138" s="11"/>
      <c r="MW138" s="11"/>
      <c r="MX138" s="11"/>
      <c r="MY138" s="11"/>
      <c r="MZ138" s="11"/>
      <c r="NA138" s="11"/>
      <c r="NB138" s="11"/>
      <c r="NC138" s="11"/>
      <c r="ND138" s="11"/>
      <c r="NE138" s="11"/>
      <c r="NF138" s="11"/>
      <c r="NG138" s="11"/>
      <c r="NH138" s="11"/>
      <c r="NI138" s="11"/>
      <c r="NJ138" s="11"/>
      <c r="NK138" s="11"/>
      <c r="NL138" s="11"/>
      <c r="NM138" s="11"/>
      <c r="NN138" s="11"/>
      <c r="NO138" s="11"/>
      <c r="NP138" s="11"/>
      <c r="NQ138" s="11"/>
      <c r="NR138" s="11"/>
      <c r="NS138" s="11"/>
      <c r="NT138" s="11"/>
      <c r="NU138" s="11"/>
      <c r="NV138" s="11"/>
      <c r="NW138" s="11"/>
      <c r="NX138" s="11"/>
      <c r="NY138" s="11"/>
      <c r="NZ138" s="11"/>
      <c r="OA138" s="11"/>
      <c r="OB138" s="11"/>
      <c r="OC138" s="11"/>
      <c r="OD138" s="11"/>
      <c r="OE138" s="11"/>
      <c r="OF138" s="11"/>
      <c r="OG138" s="11"/>
      <c r="OH138" s="11"/>
      <c r="OI138" s="11"/>
      <c r="OJ138" s="11"/>
      <c r="OK138" s="11"/>
      <c r="OL138" s="11"/>
      <c r="OM138" s="11"/>
      <c r="ON138" s="11"/>
      <c r="OO138" s="11"/>
      <c r="OP138" s="11"/>
      <c r="OQ138" s="11"/>
      <c r="OR138" s="11"/>
      <c r="OS138" s="11"/>
      <c r="OT138" s="11"/>
      <c r="OU138" s="11"/>
      <c r="OV138" s="11"/>
      <c r="OW138" s="11"/>
      <c r="OX138" s="11"/>
      <c r="OY138" s="11"/>
      <c r="OZ138" s="11"/>
      <c r="PA138" s="11"/>
      <c r="PB138" s="11"/>
      <c r="PC138" s="11"/>
      <c r="PD138" s="11"/>
      <c r="PE138" s="11"/>
      <c r="PF138" s="11"/>
      <c r="PG138" s="11"/>
      <c r="PH138" s="11"/>
      <c r="PI138" s="11"/>
      <c r="PJ138" s="11"/>
      <c r="PK138" s="11"/>
      <c r="PL138" s="11"/>
      <c r="PM138" s="11"/>
      <c r="PN138" s="11"/>
      <c r="PO138" s="11"/>
      <c r="PP138" s="11"/>
      <c r="PQ138" s="11"/>
      <c r="PR138" s="11"/>
      <c r="PS138" s="11"/>
      <c r="PT138" s="11"/>
      <c r="PU138" s="11"/>
      <c r="PV138" s="11"/>
      <c r="PW138" s="11"/>
      <c r="PX138" s="11"/>
      <c r="PY138" s="11"/>
      <c r="PZ138" s="11"/>
      <c r="QA138" s="11"/>
      <c r="QB138" s="11"/>
      <c r="QC138" s="11"/>
      <c r="QD138" s="11"/>
      <c r="QE138" s="11"/>
      <c r="QF138" s="11"/>
      <c r="QG138" s="11"/>
      <c r="QH138" s="11"/>
      <c r="QI138" s="11"/>
      <c r="QJ138" s="11"/>
      <c r="QK138" s="11"/>
      <c r="QL138" s="11"/>
      <c r="QM138" s="11"/>
      <c r="QN138" s="11"/>
      <c r="QO138" s="11"/>
      <c r="QP138" s="11"/>
      <c r="QQ138" s="11"/>
      <c r="QR138" s="11"/>
      <c r="QS138" s="11"/>
      <c r="QT138" s="11"/>
      <c r="QU138" s="11"/>
      <c r="QV138" s="11"/>
      <c r="QW138" s="11"/>
      <c r="QX138" s="11"/>
      <c r="QY138" s="11"/>
      <c r="QZ138" s="11"/>
      <c r="RA138" s="11"/>
      <c r="RB138" s="11"/>
      <c r="RC138" s="11"/>
      <c r="RD138" s="11"/>
      <c r="RE138" s="11"/>
      <c r="RF138" s="11"/>
      <c r="RG138" s="11"/>
      <c r="RH138" s="11"/>
      <c r="RI138" s="11"/>
      <c r="RJ138" s="11"/>
      <c r="RK138" s="11"/>
      <c r="RL138" s="11"/>
      <c r="RM138" s="11"/>
      <c r="RN138" s="11"/>
      <c r="RO138" s="11"/>
      <c r="RP138" s="11"/>
      <c r="RQ138" s="11"/>
      <c r="RR138" s="11"/>
      <c r="RS138" s="11"/>
      <c r="RT138" s="11"/>
      <c r="RU138" s="11"/>
      <c r="RV138" s="11"/>
      <c r="RW138" s="11"/>
      <c r="RX138" s="11"/>
      <c r="RY138" s="11"/>
      <c r="RZ138" s="11"/>
      <c r="SA138" s="11"/>
      <c r="SB138" s="11"/>
      <c r="SC138" s="11"/>
      <c r="SD138" s="11"/>
      <c r="SE138" s="11"/>
      <c r="SF138" s="11"/>
      <c r="SG138" s="11"/>
      <c r="SH138" s="11"/>
      <c r="SI138" s="11"/>
      <c r="SJ138" s="11"/>
      <c r="SK138" s="11"/>
      <c r="SL138" s="11"/>
      <c r="SM138" s="11"/>
      <c r="SN138" s="11"/>
      <c r="SO138" s="11"/>
      <c r="SP138" s="11"/>
      <c r="SQ138" s="11"/>
      <c r="SR138" s="11"/>
      <c r="SS138" s="11"/>
      <c r="ST138" s="11"/>
      <c r="SU138" s="11"/>
      <c r="SV138" s="11"/>
      <c r="SW138" s="11"/>
      <c r="SX138" s="11"/>
      <c r="SY138" s="11"/>
      <c r="SZ138" s="11"/>
      <c r="TA138" s="11"/>
      <c r="TB138" s="11"/>
      <c r="TC138" s="11"/>
      <c r="TD138" s="11"/>
      <c r="TE138" s="11"/>
      <c r="TF138" s="11"/>
      <c r="TG138" s="11"/>
      <c r="TH138" s="11"/>
      <c r="TI138" s="11"/>
      <c r="TJ138" s="11"/>
      <c r="TK138" s="11"/>
      <c r="TL138" s="11"/>
      <c r="TM138" s="11"/>
      <c r="TN138" s="11"/>
      <c r="TO138" s="11"/>
      <c r="TP138" s="11"/>
      <c r="TQ138" s="11"/>
      <c r="TR138" s="11"/>
      <c r="TS138" s="11"/>
      <c r="TT138" s="11"/>
      <c r="TU138" s="11"/>
      <c r="TV138" s="11"/>
      <c r="TW138" s="11"/>
      <c r="TX138" s="11"/>
      <c r="TY138" s="11"/>
      <c r="TZ138" s="11"/>
      <c r="UA138" s="11"/>
      <c r="UB138" s="11"/>
      <c r="UC138" s="11"/>
      <c r="UD138" s="11"/>
      <c r="UE138" s="11"/>
      <c r="UF138" s="11"/>
      <c r="UG138" s="11"/>
      <c r="UH138" s="11"/>
      <c r="UI138" s="11"/>
      <c r="UJ138" s="11"/>
      <c r="UK138" s="11"/>
      <c r="UL138" s="11"/>
      <c r="UM138" s="11"/>
      <c r="UN138" s="11"/>
      <c r="UO138" s="11"/>
      <c r="UP138" s="11"/>
      <c r="UQ138" s="11"/>
      <c r="UR138" s="11"/>
      <c r="US138" s="11"/>
      <c r="UT138" s="11"/>
      <c r="UU138" s="11"/>
      <c r="UV138" s="11"/>
      <c r="UW138" s="11"/>
      <c r="UX138" s="11"/>
      <c r="UY138" s="11"/>
      <c r="UZ138" s="11"/>
      <c r="VA138" s="11"/>
      <c r="VB138" s="11"/>
      <c r="VC138" s="11"/>
      <c r="VD138" s="11"/>
      <c r="VE138" s="11"/>
      <c r="VF138" s="11"/>
      <c r="VG138" s="11"/>
      <c r="VH138" s="11"/>
      <c r="VI138" s="11"/>
      <c r="VJ138" s="11"/>
      <c r="VK138" s="11"/>
      <c r="VL138" s="11"/>
      <c r="VM138" s="11"/>
      <c r="VN138" s="11"/>
      <c r="VO138" s="11"/>
      <c r="VP138" s="11"/>
      <c r="VQ138" s="11"/>
      <c r="VR138" s="11"/>
      <c r="VS138" s="11"/>
      <c r="VT138" s="11"/>
      <c r="VU138" s="11"/>
      <c r="VV138" s="11"/>
      <c r="VW138" s="11"/>
      <c r="VX138" s="11"/>
      <c r="VY138" s="11"/>
      <c r="VZ138" s="11"/>
      <c r="WA138" s="11"/>
      <c r="WB138" s="11"/>
      <c r="WC138" s="11"/>
      <c r="WD138" s="11"/>
      <c r="WE138" s="11"/>
      <c r="WF138" s="11"/>
      <c r="WG138" s="11"/>
      <c r="WH138" s="11"/>
      <c r="WI138" s="11"/>
      <c r="WJ138" s="11"/>
      <c r="WK138" s="11"/>
      <c r="WL138" s="11"/>
      <c r="WM138" s="11"/>
      <c r="WN138" s="11"/>
      <c r="WO138" s="11"/>
      <c r="WP138" s="11"/>
      <c r="WQ138" s="11"/>
      <c r="WR138" s="11"/>
      <c r="WS138" s="11"/>
      <c r="WT138" s="11"/>
      <c r="WU138" s="11"/>
      <c r="WV138" s="11"/>
      <c r="WW138" s="11"/>
      <c r="WX138" s="11"/>
      <c r="WY138" s="11"/>
      <c r="WZ138" s="11"/>
      <c r="XA138" s="11"/>
      <c r="XB138" s="11"/>
      <c r="XC138" s="11"/>
      <c r="XD138" s="11"/>
      <c r="XE138" s="11"/>
      <c r="XF138" s="11"/>
      <c r="XG138" s="11"/>
      <c r="XH138" s="11"/>
      <c r="XI138" s="11"/>
      <c r="XJ138" s="11"/>
      <c r="XK138" s="11"/>
      <c r="XL138" s="11"/>
      <c r="XM138" s="11"/>
      <c r="XN138" s="11"/>
      <c r="XO138" s="11"/>
      <c r="XP138" s="11"/>
      <c r="XQ138" s="11"/>
      <c r="XR138" s="11"/>
      <c r="XS138" s="11"/>
      <c r="XT138" s="11"/>
      <c r="XU138" s="11"/>
      <c r="XV138" s="11"/>
      <c r="XW138" s="11"/>
      <c r="XX138" s="11"/>
      <c r="XY138" s="11"/>
      <c r="XZ138" s="11"/>
      <c r="YA138" s="11"/>
      <c r="YB138" s="11"/>
      <c r="YC138" s="11"/>
      <c r="YD138" s="11"/>
      <c r="YE138" s="11"/>
      <c r="YF138" s="11"/>
      <c r="YG138" s="11"/>
      <c r="YH138" s="11"/>
      <c r="YI138" s="11"/>
      <c r="YJ138" s="11"/>
      <c r="YK138" s="11"/>
      <c r="YL138" s="11"/>
      <c r="YM138" s="11"/>
      <c r="YN138" s="11"/>
      <c r="YO138" s="11"/>
      <c r="YP138" s="11"/>
      <c r="YQ138" s="11"/>
      <c r="YR138" s="11"/>
      <c r="YS138" s="11"/>
      <c r="YT138" s="11"/>
      <c r="YU138" s="11"/>
      <c r="YV138" s="11"/>
      <c r="YW138" s="11"/>
      <c r="YX138" s="11"/>
      <c r="YY138" s="11"/>
      <c r="YZ138" s="11"/>
      <c r="ZA138" s="11"/>
      <c r="ZB138" s="11"/>
      <c r="ZC138" s="11"/>
      <c r="ZD138" s="11"/>
      <c r="ZE138" s="11"/>
      <c r="ZF138" s="11"/>
      <c r="ZG138" s="11"/>
      <c r="ZH138" s="11"/>
      <c r="ZI138" s="11"/>
      <c r="ZJ138" s="11"/>
      <c r="ZK138" s="11"/>
      <c r="ZL138" s="11"/>
      <c r="ZM138" s="11"/>
      <c r="ZN138" s="11"/>
      <c r="ZO138" s="11"/>
      <c r="ZP138" s="11"/>
      <c r="ZQ138" s="11"/>
      <c r="ZR138" s="11"/>
      <c r="ZS138" s="11"/>
      <c r="ZT138" s="11"/>
      <c r="ZU138" s="11"/>
      <c r="ZV138" s="11"/>
      <c r="ZW138" s="11"/>
      <c r="ZX138" s="11"/>
      <c r="ZY138" s="11"/>
      <c r="ZZ138" s="11"/>
      <c r="AAA138" s="11"/>
      <c r="AAB138" s="11"/>
      <c r="AAC138" s="11"/>
      <c r="AAD138" s="11"/>
      <c r="AAE138" s="11"/>
      <c r="AAF138" s="11"/>
      <c r="AAG138" s="11"/>
      <c r="AAH138" s="11"/>
      <c r="AAI138" s="11"/>
      <c r="AAJ138" s="11"/>
      <c r="AAK138" s="11"/>
      <c r="AAL138" s="11"/>
      <c r="AAM138" s="11"/>
      <c r="AAN138" s="11"/>
      <c r="AAO138" s="11"/>
      <c r="AAP138" s="11"/>
      <c r="AAQ138" s="11"/>
      <c r="AAR138" s="11"/>
      <c r="AAS138" s="11"/>
      <c r="AAT138" s="11"/>
      <c r="AAU138" s="11"/>
      <c r="AAV138" s="11"/>
      <c r="AAW138" s="11"/>
      <c r="AAX138" s="11"/>
      <c r="AAY138" s="11"/>
      <c r="AAZ138" s="11"/>
      <c r="ABA138" s="11"/>
      <c r="ABB138" s="11"/>
      <c r="ABC138" s="11"/>
      <c r="ABD138" s="11"/>
      <c r="ABE138" s="11"/>
      <c r="ABF138" s="11"/>
      <c r="ABG138" s="11"/>
      <c r="ABH138" s="11"/>
      <c r="ABI138" s="11"/>
      <c r="ABJ138" s="11"/>
      <c r="ABK138" s="11"/>
      <c r="ABL138" s="11"/>
      <c r="ABM138" s="11"/>
      <c r="ABN138" s="11"/>
      <c r="ABO138" s="11"/>
      <c r="ABP138" s="11"/>
      <c r="ABQ138" s="11"/>
      <c r="ABR138" s="11"/>
      <c r="ABS138" s="11"/>
      <c r="ABT138" s="11"/>
      <c r="ABU138" s="11"/>
      <c r="ABV138" s="11"/>
      <c r="ABW138" s="11"/>
      <c r="ABX138" s="11"/>
      <c r="ABY138" s="11"/>
      <c r="ABZ138" s="11"/>
      <c r="ACA138" s="11"/>
      <c r="ACB138" s="11"/>
      <c r="ACC138" s="11"/>
      <c r="ACD138" s="11"/>
      <c r="ACE138" s="11"/>
      <c r="ACF138" s="11"/>
      <c r="ACG138" s="11"/>
      <c r="ACH138" s="11"/>
      <c r="ACI138" s="11"/>
      <c r="ACJ138" s="11"/>
      <c r="ACK138" s="11"/>
      <c r="ACL138" s="11"/>
      <c r="ACM138" s="11"/>
      <c r="ACN138" s="11"/>
      <c r="ACO138" s="11"/>
      <c r="ACP138" s="11"/>
      <c r="ACQ138" s="11"/>
      <c r="ACR138" s="11"/>
      <c r="ACS138" s="11"/>
      <c r="ACT138" s="11"/>
      <c r="ACU138" s="11"/>
      <c r="ACV138" s="11"/>
      <c r="ACW138" s="11"/>
      <c r="ACX138" s="11"/>
      <c r="ACY138" s="11"/>
      <c r="ACZ138" s="11"/>
      <c r="ADA138" s="11"/>
      <c r="ADB138" s="11"/>
      <c r="ADC138" s="11"/>
      <c r="ADD138" s="11"/>
      <c r="ADE138" s="11"/>
      <c r="ADF138" s="11"/>
      <c r="ADG138" s="11"/>
      <c r="ADH138" s="11"/>
      <c r="ADI138" s="11"/>
      <c r="ADJ138" s="11"/>
      <c r="ADK138" s="11"/>
      <c r="ADL138" s="11"/>
      <c r="ADM138" s="11"/>
      <c r="ADN138" s="11"/>
      <c r="ADO138" s="11"/>
      <c r="ADP138" s="11"/>
      <c r="ADQ138" s="11"/>
      <c r="ADR138" s="11"/>
      <c r="ADS138" s="11"/>
      <c r="ADT138" s="11"/>
      <c r="ADU138" s="11"/>
      <c r="ADV138" s="11"/>
      <c r="ADW138" s="11"/>
      <c r="ADX138" s="11"/>
      <c r="ADY138" s="11"/>
      <c r="ADZ138" s="11"/>
      <c r="AEA138" s="11"/>
      <c r="AEB138" s="11"/>
      <c r="AEC138" s="11"/>
      <c r="AED138" s="11"/>
      <c r="AEE138" s="11"/>
      <c r="AEF138" s="11"/>
      <c r="AEG138" s="11"/>
      <c r="AEH138" s="11"/>
      <c r="AEI138" s="11"/>
      <c r="AEJ138" s="11"/>
      <c r="AEK138" s="11"/>
      <c r="AEL138" s="11"/>
      <c r="AEM138" s="11"/>
      <c r="AEN138" s="11"/>
      <c r="AEO138" s="11"/>
      <c r="AEP138" s="11"/>
      <c r="AEQ138" s="11"/>
      <c r="AER138" s="11"/>
      <c r="AES138" s="11"/>
      <c r="AET138" s="11"/>
      <c r="AEU138" s="11"/>
      <c r="AEV138" s="11"/>
      <c r="AEW138" s="11"/>
      <c r="AEX138" s="11"/>
      <c r="AEY138" s="11"/>
      <c r="AEZ138" s="11"/>
      <c r="AFA138" s="11"/>
      <c r="AFB138" s="11"/>
      <c r="AFC138" s="11"/>
      <c r="AFD138" s="11"/>
      <c r="AFE138" s="11"/>
      <c r="AFF138" s="11"/>
      <c r="AFG138" s="11"/>
      <c r="AFH138" s="11"/>
      <c r="AFI138" s="11"/>
    </row>
    <row r="139" spans="2:84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c r="IW139" s="11"/>
      <c r="IX139" s="11"/>
      <c r="IY139" s="11"/>
      <c r="IZ139" s="11"/>
      <c r="JA139" s="11"/>
      <c r="JB139" s="11"/>
      <c r="JC139" s="11"/>
      <c r="JD139" s="11"/>
      <c r="JE139" s="11"/>
      <c r="JF139" s="11"/>
      <c r="JG139" s="11"/>
      <c r="JH139" s="11"/>
      <c r="JI139" s="11"/>
      <c r="JJ139" s="11"/>
      <c r="JK139" s="11"/>
      <c r="JL139" s="11"/>
      <c r="JM139" s="11"/>
      <c r="JN139" s="11"/>
      <c r="JO139" s="11"/>
      <c r="JP139" s="11"/>
      <c r="JQ139" s="11"/>
      <c r="JR139" s="11"/>
      <c r="JS139" s="11"/>
      <c r="JT139" s="11"/>
      <c r="JU139" s="11"/>
      <c r="JV139" s="11"/>
      <c r="JW139" s="11"/>
      <c r="JX139" s="11"/>
      <c r="JY139" s="11"/>
      <c r="JZ139" s="11"/>
      <c r="KA139" s="11"/>
      <c r="KB139" s="11"/>
      <c r="KC139" s="11"/>
      <c r="KD139" s="11"/>
      <c r="KE139" s="11"/>
      <c r="KF139" s="11"/>
      <c r="KG139" s="11"/>
      <c r="KH139" s="11"/>
      <c r="KI139" s="11"/>
      <c r="KJ139" s="11"/>
      <c r="KK139" s="11"/>
      <c r="KL139" s="11"/>
      <c r="KM139" s="11"/>
      <c r="KN139" s="11"/>
      <c r="KO139" s="11"/>
      <c r="KP139" s="11"/>
      <c r="KQ139" s="11"/>
      <c r="KR139" s="11"/>
      <c r="KS139" s="11"/>
      <c r="KT139" s="11"/>
      <c r="KU139" s="11"/>
      <c r="KV139" s="11"/>
      <c r="KW139" s="11"/>
      <c r="KX139" s="11"/>
      <c r="KY139" s="11"/>
      <c r="KZ139" s="11"/>
      <c r="LA139" s="11"/>
      <c r="LB139" s="11"/>
      <c r="LC139" s="11"/>
      <c r="LD139" s="11"/>
      <c r="LE139" s="11"/>
      <c r="LF139" s="11"/>
      <c r="LG139" s="11"/>
      <c r="LH139" s="11"/>
      <c r="LI139" s="11"/>
      <c r="LJ139" s="11"/>
      <c r="LK139" s="11"/>
      <c r="LL139" s="11"/>
      <c r="LM139" s="11"/>
      <c r="LN139" s="11"/>
      <c r="LO139" s="11"/>
      <c r="LP139" s="11"/>
      <c r="LQ139" s="11"/>
      <c r="LR139" s="11"/>
      <c r="LS139" s="11"/>
      <c r="LT139" s="11"/>
      <c r="LU139" s="11"/>
      <c r="LV139" s="11"/>
      <c r="LW139" s="11"/>
      <c r="LX139" s="11"/>
      <c r="LY139" s="11"/>
      <c r="LZ139" s="11"/>
      <c r="MA139" s="11"/>
      <c r="MB139" s="11"/>
      <c r="MC139" s="11"/>
      <c r="MD139" s="11"/>
      <c r="ME139" s="11"/>
      <c r="MF139" s="11"/>
      <c r="MG139" s="11"/>
      <c r="MH139" s="11"/>
      <c r="MI139" s="11"/>
      <c r="MJ139" s="11"/>
      <c r="MK139" s="11"/>
      <c r="ML139" s="11"/>
      <c r="MM139" s="11"/>
      <c r="MN139" s="11"/>
      <c r="MO139" s="11"/>
      <c r="MP139" s="11"/>
      <c r="MQ139" s="11"/>
      <c r="MR139" s="11"/>
      <c r="MS139" s="11"/>
      <c r="MT139" s="11"/>
      <c r="MU139" s="11"/>
      <c r="MV139" s="11"/>
      <c r="MW139" s="11"/>
      <c r="MX139" s="11"/>
      <c r="MY139" s="11"/>
      <c r="MZ139" s="11"/>
      <c r="NA139" s="11"/>
      <c r="NB139" s="11"/>
      <c r="NC139" s="11"/>
      <c r="ND139" s="11"/>
      <c r="NE139" s="11"/>
      <c r="NF139" s="11"/>
      <c r="NG139" s="11"/>
      <c r="NH139" s="11"/>
      <c r="NI139" s="11"/>
      <c r="NJ139" s="11"/>
      <c r="NK139" s="11"/>
      <c r="NL139" s="11"/>
      <c r="NM139" s="11"/>
      <c r="NN139" s="11"/>
      <c r="NO139" s="11"/>
      <c r="NP139" s="11"/>
      <c r="NQ139" s="11"/>
      <c r="NR139" s="11"/>
      <c r="NS139" s="11"/>
      <c r="NT139" s="11"/>
      <c r="NU139" s="11"/>
      <c r="NV139" s="11"/>
      <c r="NW139" s="11"/>
      <c r="NX139" s="11"/>
      <c r="NY139" s="11"/>
      <c r="NZ139" s="11"/>
      <c r="OA139" s="11"/>
      <c r="OB139" s="11"/>
      <c r="OC139" s="11"/>
      <c r="OD139" s="11"/>
      <c r="OE139" s="11"/>
      <c r="OF139" s="11"/>
      <c r="OG139" s="11"/>
      <c r="OH139" s="11"/>
      <c r="OI139" s="11"/>
      <c r="OJ139" s="11"/>
      <c r="OK139" s="11"/>
      <c r="OL139" s="11"/>
      <c r="OM139" s="11"/>
      <c r="ON139" s="11"/>
      <c r="OO139" s="11"/>
      <c r="OP139" s="11"/>
      <c r="OQ139" s="11"/>
      <c r="OR139" s="11"/>
      <c r="OS139" s="11"/>
      <c r="OT139" s="11"/>
      <c r="OU139" s="11"/>
      <c r="OV139" s="11"/>
      <c r="OW139" s="11"/>
      <c r="OX139" s="11"/>
      <c r="OY139" s="11"/>
      <c r="OZ139" s="11"/>
      <c r="PA139" s="11"/>
      <c r="PB139" s="11"/>
      <c r="PC139" s="11"/>
      <c r="PD139" s="11"/>
      <c r="PE139" s="11"/>
      <c r="PF139" s="11"/>
      <c r="PG139" s="11"/>
      <c r="PH139" s="11"/>
      <c r="PI139" s="11"/>
      <c r="PJ139" s="11"/>
      <c r="PK139" s="11"/>
      <c r="PL139" s="11"/>
      <c r="PM139" s="11"/>
      <c r="PN139" s="11"/>
      <c r="PO139" s="11"/>
      <c r="PP139" s="11"/>
      <c r="PQ139" s="11"/>
      <c r="PR139" s="11"/>
      <c r="PS139" s="11"/>
      <c r="PT139" s="11"/>
      <c r="PU139" s="11"/>
      <c r="PV139" s="11"/>
      <c r="PW139" s="11"/>
      <c r="PX139" s="11"/>
      <c r="PY139" s="11"/>
      <c r="PZ139" s="11"/>
      <c r="QA139" s="11"/>
      <c r="QB139" s="11"/>
      <c r="QC139" s="11"/>
      <c r="QD139" s="11"/>
      <c r="QE139" s="11"/>
      <c r="QF139" s="11"/>
      <c r="QG139" s="11"/>
      <c r="QH139" s="11"/>
      <c r="QI139" s="11"/>
      <c r="QJ139" s="11"/>
      <c r="QK139" s="11"/>
      <c r="QL139" s="11"/>
      <c r="QM139" s="11"/>
      <c r="QN139" s="11"/>
      <c r="QO139" s="11"/>
      <c r="QP139" s="11"/>
      <c r="QQ139" s="11"/>
      <c r="QR139" s="11"/>
      <c r="QS139" s="11"/>
      <c r="QT139" s="11"/>
      <c r="QU139" s="11"/>
      <c r="QV139" s="11"/>
      <c r="QW139" s="11"/>
      <c r="QX139" s="11"/>
      <c r="QY139" s="11"/>
      <c r="QZ139" s="11"/>
      <c r="RA139" s="11"/>
      <c r="RB139" s="11"/>
      <c r="RC139" s="11"/>
      <c r="RD139" s="11"/>
      <c r="RE139" s="11"/>
      <c r="RF139" s="11"/>
      <c r="RG139" s="11"/>
      <c r="RH139" s="11"/>
      <c r="RI139" s="11"/>
      <c r="RJ139" s="11"/>
      <c r="RK139" s="11"/>
      <c r="RL139" s="11"/>
      <c r="RM139" s="11"/>
      <c r="RN139" s="11"/>
      <c r="RO139" s="11"/>
      <c r="RP139" s="11"/>
      <c r="RQ139" s="11"/>
      <c r="RR139" s="11"/>
      <c r="RS139" s="11"/>
      <c r="RT139" s="11"/>
      <c r="RU139" s="11"/>
      <c r="RV139" s="11"/>
      <c r="RW139" s="11"/>
      <c r="RX139" s="11"/>
      <c r="RY139" s="11"/>
      <c r="RZ139" s="11"/>
      <c r="SA139" s="11"/>
      <c r="SB139" s="11"/>
      <c r="SC139" s="11"/>
      <c r="SD139" s="11"/>
      <c r="SE139" s="11"/>
      <c r="SF139" s="11"/>
      <c r="SG139" s="11"/>
      <c r="SH139" s="11"/>
      <c r="SI139" s="11"/>
      <c r="SJ139" s="11"/>
      <c r="SK139" s="11"/>
      <c r="SL139" s="11"/>
      <c r="SM139" s="11"/>
      <c r="SN139" s="11"/>
      <c r="SO139" s="11"/>
      <c r="SP139" s="11"/>
      <c r="SQ139" s="11"/>
      <c r="SR139" s="11"/>
      <c r="SS139" s="11"/>
      <c r="ST139" s="11"/>
      <c r="SU139" s="11"/>
      <c r="SV139" s="11"/>
      <c r="SW139" s="11"/>
      <c r="SX139" s="11"/>
      <c r="SY139" s="11"/>
      <c r="SZ139" s="11"/>
      <c r="TA139" s="11"/>
      <c r="TB139" s="11"/>
      <c r="TC139" s="11"/>
      <c r="TD139" s="11"/>
      <c r="TE139" s="11"/>
      <c r="TF139" s="11"/>
      <c r="TG139" s="11"/>
      <c r="TH139" s="11"/>
      <c r="TI139" s="11"/>
      <c r="TJ139" s="11"/>
      <c r="TK139" s="11"/>
      <c r="TL139" s="11"/>
      <c r="TM139" s="11"/>
      <c r="TN139" s="11"/>
      <c r="TO139" s="11"/>
      <c r="TP139" s="11"/>
      <c r="TQ139" s="11"/>
      <c r="TR139" s="11"/>
      <c r="TS139" s="11"/>
      <c r="TT139" s="11"/>
      <c r="TU139" s="11"/>
      <c r="TV139" s="11"/>
      <c r="TW139" s="11"/>
      <c r="TX139" s="11"/>
      <c r="TY139" s="11"/>
      <c r="TZ139" s="11"/>
      <c r="UA139" s="11"/>
      <c r="UB139" s="11"/>
      <c r="UC139" s="11"/>
      <c r="UD139" s="11"/>
      <c r="UE139" s="11"/>
      <c r="UF139" s="11"/>
      <c r="UG139" s="11"/>
      <c r="UH139" s="11"/>
      <c r="UI139" s="11"/>
      <c r="UJ139" s="11"/>
      <c r="UK139" s="11"/>
      <c r="UL139" s="11"/>
      <c r="UM139" s="11"/>
      <c r="UN139" s="11"/>
      <c r="UO139" s="11"/>
      <c r="UP139" s="11"/>
      <c r="UQ139" s="11"/>
      <c r="UR139" s="11"/>
      <c r="US139" s="11"/>
      <c r="UT139" s="11"/>
      <c r="UU139" s="11"/>
      <c r="UV139" s="11"/>
      <c r="UW139" s="11"/>
      <c r="UX139" s="11"/>
      <c r="UY139" s="11"/>
      <c r="UZ139" s="11"/>
      <c r="VA139" s="11"/>
      <c r="VB139" s="11"/>
      <c r="VC139" s="11"/>
      <c r="VD139" s="11"/>
      <c r="VE139" s="11"/>
      <c r="VF139" s="11"/>
      <c r="VG139" s="11"/>
      <c r="VH139" s="11"/>
      <c r="VI139" s="11"/>
      <c r="VJ139" s="11"/>
      <c r="VK139" s="11"/>
      <c r="VL139" s="11"/>
      <c r="VM139" s="11"/>
      <c r="VN139" s="11"/>
      <c r="VO139" s="11"/>
      <c r="VP139" s="11"/>
      <c r="VQ139" s="11"/>
      <c r="VR139" s="11"/>
      <c r="VS139" s="11"/>
      <c r="VT139" s="11"/>
      <c r="VU139" s="11"/>
      <c r="VV139" s="11"/>
      <c r="VW139" s="11"/>
      <c r="VX139" s="11"/>
      <c r="VY139" s="11"/>
      <c r="VZ139" s="11"/>
      <c r="WA139" s="11"/>
      <c r="WB139" s="11"/>
      <c r="WC139" s="11"/>
      <c r="WD139" s="11"/>
      <c r="WE139" s="11"/>
      <c r="WF139" s="11"/>
      <c r="WG139" s="11"/>
      <c r="WH139" s="11"/>
      <c r="WI139" s="11"/>
      <c r="WJ139" s="11"/>
      <c r="WK139" s="11"/>
      <c r="WL139" s="11"/>
      <c r="WM139" s="11"/>
      <c r="WN139" s="11"/>
      <c r="WO139" s="11"/>
      <c r="WP139" s="11"/>
      <c r="WQ139" s="11"/>
      <c r="WR139" s="11"/>
      <c r="WS139" s="11"/>
      <c r="WT139" s="11"/>
      <c r="WU139" s="11"/>
      <c r="WV139" s="11"/>
      <c r="WW139" s="11"/>
      <c r="WX139" s="11"/>
      <c r="WY139" s="11"/>
      <c r="WZ139" s="11"/>
      <c r="XA139" s="11"/>
      <c r="XB139" s="11"/>
      <c r="XC139" s="11"/>
      <c r="XD139" s="11"/>
      <c r="XE139" s="11"/>
      <c r="XF139" s="11"/>
      <c r="XG139" s="11"/>
      <c r="XH139" s="11"/>
      <c r="XI139" s="11"/>
      <c r="XJ139" s="11"/>
      <c r="XK139" s="11"/>
      <c r="XL139" s="11"/>
      <c r="XM139" s="11"/>
      <c r="XN139" s="11"/>
      <c r="XO139" s="11"/>
      <c r="XP139" s="11"/>
      <c r="XQ139" s="11"/>
      <c r="XR139" s="11"/>
      <c r="XS139" s="11"/>
      <c r="XT139" s="11"/>
      <c r="XU139" s="11"/>
      <c r="XV139" s="11"/>
      <c r="XW139" s="11"/>
      <c r="XX139" s="11"/>
      <c r="XY139" s="11"/>
      <c r="XZ139" s="11"/>
      <c r="YA139" s="11"/>
      <c r="YB139" s="11"/>
      <c r="YC139" s="11"/>
      <c r="YD139" s="11"/>
      <c r="YE139" s="11"/>
      <c r="YF139" s="11"/>
      <c r="YG139" s="11"/>
      <c r="YH139" s="11"/>
      <c r="YI139" s="11"/>
      <c r="YJ139" s="11"/>
      <c r="YK139" s="11"/>
      <c r="YL139" s="11"/>
      <c r="YM139" s="11"/>
      <c r="YN139" s="11"/>
      <c r="YO139" s="11"/>
      <c r="YP139" s="11"/>
      <c r="YQ139" s="11"/>
      <c r="YR139" s="11"/>
      <c r="YS139" s="11"/>
      <c r="YT139" s="11"/>
      <c r="YU139" s="11"/>
      <c r="YV139" s="11"/>
      <c r="YW139" s="11"/>
      <c r="YX139" s="11"/>
      <c r="YY139" s="11"/>
      <c r="YZ139" s="11"/>
      <c r="ZA139" s="11"/>
      <c r="ZB139" s="11"/>
      <c r="ZC139" s="11"/>
      <c r="ZD139" s="11"/>
      <c r="ZE139" s="11"/>
      <c r="ZF139" s="11"/>
      <c r="ZG139" s="11"/>
      <c r="ZH139" s="11"/>
      <c r="ZI139" s="11"/>
      <c r="ZJ139" s="11"/>
      <c r="ZK139" s="11"/>
      <c r="ZL139" s="11"/>
      <c r="ZM139" s="11"/>
      <c r="ZN139" s="11"/>
      <c r="ZO139" s="11"/>
      <c r="ZP139" s="11"/>
      <c r="ZQ139" s="11"/>
      <c r="ZR139" s="11"/>
      <c r="ZS139" s="11"/>
      <c r="ZT139" s="11"/>
      <c r="ZU139" s="11"/>
      <c r="ZV139" s="11"/>
      <c r="ZW139" s="11"/>
      <c r="ZX139" s="11"/>
      <c r="ZY139" s="11"/>
      <c r="ZZ139" s="11"/>
      <c r="AAA139" s="11"/>
      <c r="AAB139" s="11"/>
      <c r="AAC139" s="11"/>
      <c r="AAD139" s="11"/>
      <c r="AAE139" s="11"/>
      <c r="AAF139" s="11"/>
      <c r="AAG139" s="11"/>
      <c r="AAH139" s="11"/>
      <c r="AAI139" s="11"/>
      <c r="AAJ139" s="11"/>
      <c r="AAK139" s="11"/>
      <c r="AAL139" s="11"/>
      <c r="AAM139" s="11"/>
      <c r="AAN139" s="11"/>
      <c r="AAO139" s="11"/>
      <c r="AAP139" s="11"/>
      <c r="AAQ139" s="11"/>
      <c r="AAR139" s="11"/>
      <c r="AAS139" s="11"/>
      <c r="AAT139" s="11"/>
      <c r="AAU139" s="11"/>
      <c r="AAV139" s="11"/>
      <c r="AAW139" s="11"/>
      <c r="AAX139" s="11"/>
      <c r="AAY139" s="11"/>
      <c r="AAZ139" s="11"/>
      <c r="ABA139" s="11"/>
      <c r="ABB139" s="11"/>
      <c r="ABC139" s="11"/>
      <c r="ABD139" s="11"/>
      <c r="ABE139" s="11"/>
      <c r="ABF139" s="11"/>
      <c r="ABG139" s="11"/>
      <c r="ABH139" s="11"/>
      <c r="ABI139" s="11"/>
      <c r="ABJ139" s="11"/>
      <c r="ABK139" s="11"/>
      <c r="ABL139" s="11"/>
      <c r="ABM139" s="11"/>
      <c r="ABN139" s="11"/>
      <c r="ABO139" s="11"/>
      <c r="ABP139" s="11"/>
      <c r="ABQ139" s="11"/>
      <c r="ABR139" s="11"/>
      <c r="ABS139" s="11"/>
      <c r="ABT139" s="11"/>
      <c r="ABU139" s="11"/>
      <c r="ABV139" s="11"/>
      <c r="ABW139" s="11"/>
      <c r="ABX139" s="11"/>
      <c r="ABY139" s="11"/>
      <c r="ABZ139" s="11"/>
      <c r="ACA139" s="11"/>
      <c r="ACB139" s="11"/>
      <c r="ACC139" s="11"/>
      <c r="ACD139" s="11"/>
      <c r="ACE139" s="11"/>
      <c r="ACF139" s="11"/>
      <c r="ACG139" s="11"/>
      <c r="ACH139" s="11"/>
      <c r="ACI139" s="11"/>
      <c r="ACJ139" s="11"/>
      <c r="ACK139" s="11"/>
      <c r="ACL139" s="11"/>
      <c r="ACM139" s="11"/>
      <c r="ACN139" s="11"/>
      <c r="ACO139" s="11"/>
      <c r="ACP139" s="11"/>
      <c r="ACQ139" s="11"/>
      <c r="ACR139" s="11"/>
      <c r="ACS139" s="11"/>
      <c r="ACT139" s="11"/>
      <c r="ACU139" s="11"/>
      <c r="ACV139" s="11"/>
      <c r="ACW139" s="11"/>
      <c r="ACX139" s="11"/>
      <c r="ACY139" s="11"/>
      <c r="ACZ139" s="11"/>
      <c r="ADA139" s="11"/>
      <c r="ADB139" s="11"/>
      <c r="ADC139" s="11"/>
      <c r="ADD139" s="11"/>
      <c r="ADE139" s="11"/>
      <c r="ADF139" s="11"/>
      <c r="ADG139" s="11"/>
      <c r="ADH139" s="11"/>
      <c r="ADI139" s="11"/>
      <c r="ADJ139" s="11"/>
      <c r="ADK139" s="11"/>
      <c r="ADL139" s="11"/>
      <c r="ADM139" s="11"/>
      <c r="ADN139" s="11"/>
      <c r="ADO139" s="11"/>
      <c r="ADP139" s="11"/>
      <c r="ADQ139" s="11"/>
      <c r="ADR139" s="11"/>
      <c r="ADS139" s="11"/>
      <c r="ADT139" s="11"/>
      <c r="ADU139" s="11"/>
      <c r="ADV139" s="11"/>
      <c r="ADW139" s="11"/>
      <c r="ADX139" s="11"/>
      <c r="ADY139" s="11"/>
      <c r="ADZ139" s="11"/>
      <c r="AEA139" s="11"/>
      <c r="AEB139" s="11"/>
      <c r="AEC139" s="11"/>
      <c r="AED139" s="11"/>
      <c r="AEE139" s="11"/>
      <c r="AEF139" s="11"/>
      <c r="AEG139" s="11"/>
      <c r="AEH139" s="11"/>
      <c r="AEI139" s="11"/>
      <c r="AEJ139" s="11"/>
      <c r="AEK139" s="11"/>
      <c r="AEL139" s="11"/>
      <c r="AEM139" s="11"/>
      <c r="AEN139" s="11"/>
      <c r="AEO139" s="11"/>
      <c r="AEP139" s="11"/>
      <c r="AEQ139" s="11"/>
      <c r="AER139" s="11"/>
      <c r="AES139" s="11"/>
      <c r="AET139" s="11"/>
      <c r="AEU139" s="11"/>
      <c r="AEV139" s="11"/>
      <c r="AEW139" s="11"/>
      <c r="AEX139" s="11"/>
      <c r="AEY139" s="11"/>
      <c r="AEZ139" s="11"/>
      <c r="AFA139" s="11"/>
      <c r="AFB139" s="11"/>
      <c r="AFC139" s="11"/>
      <c r="AFD139" s="11"/>
      <c r="AFE139" s="11"/>
      <c r="AFF139" s="11"/>
      <c r="AFG139" s="11"/>
      <c r="AFH139" s="11"/>
      <c r="AFI139" s="11"/>
    </row>
    <row r="140" spans="2:84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c r="IW140" s="11"/>
      <c r="IX140" s="11"/>
      <c r="IY140" s="11"/>
      <c r="IZ140" s="11"/>
      <c r="JA140" s="11"/>
      <c r="JB140" s="11"/>
      <c r="JC140" s="11"/>
      <c r="JD140" s="11"/>
      <c r="JE140" s="11"/>
      <c r="JF140" s="11"/>
      <c r="JG140" s="11"/>
      <c r="JH140" s="11"/>
      <c r="JI140" s="11"/>
      <c r="JJ140" s="11"/>
      <c r="JK140" s="11"/>
      <c r="JL140" s="11"/>
      <c r="JM140" s="11"/>
      <c r="JN140" s="11"/>
      <c r="JO140" s="11"/>
      <c r="JP140" s="11"/>
      <c r="JQ140" s="11"/>
      <c r="JR140" s="11"/>
      <c r="JS140" s="11"/>
      <c r="JT140" s="11"/>
      <c r="JU140" s="11"/>
      <c r="JV140" s="11"/>
      <c r="JW140" s="11"/>
      <c r="JX140" s="11"/>
      <c r="JY140" s="11"/>
      <c r="JZ140" s="11"/>
      <c r="KA140" s="11"/>
      <c r="KB140" s="11"/>
      <c r="KC140" s="11"/>
      <c r="KD140" s="11"/>
      <c r="KE140" s="11"/>
      <c r="KF140" s="11"/>
      <c r="KG140" s="11"/>
      <c r="KH140" s="11"/>
      <c r="KI140" s="11"/>
      <c r="KJ140" s="11"/>
      <c r="KK140" s="11"/>
      <c r="KL140" s="11"/>
      <c r="KM140" s="11"/>
      <c r="KN140" s="11"/>
      <c r="KO140" s="11"/>
      <c r="KP140" s="11"/>
      <c r="KQ140" s="11"/>
      <c r="KR140" s="11"/>
      <c r="KS140" s="11"/>
      <c r="KT140" s="11"/>
      <c r="KU140" s="11"/>
      <c r="KV140" s="11"/>
      <c r="KW140" s="11"/>
      <c r="KX140" s="11"/>
      <c r="KY140" s="11"/>
      <c r="KZ140" s="11"/>
      <c r="LA140" s="11"/>
      <c r="LB140" s="11"/>
      <c r="LC140" s="11"/>
      <c r="LD140" s="11"/>
      <c r="LE140" s="11"/>
      <c r="LF140" s="11"/>
      <c r="LG140" s="11"/>
      <c r="LH140" s="11"/>
      <c r="LI140" s="11"/>
      <c r="LJ140" s="11"/>
      <c r="LK140" s="11"/>
      <c r="LL140" s="11"/>
      <c r="LM140" s="11"/>
      <c r="LN140" s="11"/>
      <c r="LO140" s="11"/>
      <c r="LP140" s="11"/>
      <c r="LQ140" s="11"/>
      <c r="LR140" s="11"/>
      <c r="LS140" s="11"/>
      <c r="LT140" s="11"/>
      <c r="LU140" s="11"/>
      <c r="LV140" s="11"/>
      <c r="LW140" s="11"/>
      <c r="LX140" s="11"/>
      <c r="LY140" s="11"/>
      <c r="LZ140" s="11"/>
      <c r="MA140" s="11"/>
      <c r="MB140" s="11"/>
      <c r="MC140" s="11"/>
      <c r="MD140" s="11"/>
      <c r="ME140" s="11"/>
      <c r="MF140" s="11"/>
      <c r="MG140" s="11"/>
      <c r="MH140" s="11"/>
      <c r="MI140" s="11"/>
      <c r="MJ140" s="11"/>
      <c r="MK140" s="11"/>
      <c r="ML140" s="11"/>
      <c r="MM140" s="11"/>
      <c r="MN140" s="11"/>
      <c r="MO140" s="11"/>
      <c r="MP140" s="11"/>
      <c r="MQ140" s="11"/>
      <c r="MR140" s="11"/>
      <c r="MS140" s="11"/>
      <c r="MT140" s="11"/>
      <c r="MU140" s="11"/>
      <c r="MV140" s="11"/>
      <c r="MW140" s="11"/>
      <c r="MX140" s="11"/>
      <c r="MY140" s="11"/>
      <c r="MZ140" s="11"/>
      <c r="NA140" s="11"/>
      <c r="NB140" s="11"/>
      <c r="NC140" s="11"/>
      <c r="ND140" s="11"/>
      <c r="NE140" s="11"/>
      <c r="NF140" s="11"/>
      <c r="NG140" s="11"/>
      <c r="NH140" s="11"/>
      <c r="NI140" s="11"/>
      <c r="NJ140" s="11"/>
      <c r="NK140" s="11"/>
      <c r="NL140" s="11"/>
      <c r="NM140" s="11"/>
      <c r="NN140" s="11"/>
      <c r="NO140" s="11"/>
      <c r="NP140" s="11"/>
      <c r="NQ140" s="11"/>
      <c r="NR140" s="11"/>
      <c r="NS140" s="11"/>
      <c r="NT140" s="11"/>
      <c r="NU140" s="11"/>
      <c r="NV140" s="11"/>
      <c r="NW140" s="11"/>
      <c r="NX140" s="11"/>
      <c r="NY140" s="11"/>
      <c r="NZ140" s="11"/>
      <c r="OA140" s="11"/>
      <c r="OB140" s="11"/>
      <c r="OC140" s="11"/>
      <c r="OD140" s="11"/>
      <c r="OE140" s="11"/>
      <c r="OF140" s="11"/>
      <c r="OG140" s="11"/>
      <c r="OH140" s="11"/>
      <c r="OI140" s="11"/>
      <c r="OJ140" s="11"/>
      <c r="OK140" s="11"/>
      <c r="OL140" s="11"/>
      <c r="OM140" s="11"/>
      <c r="ON140" s="11"/>
      <c r="OO140" s="11"/>
      <c r="OP140" s="11"/>
      <c r="OQ140" s="11"/>
      <c r="OR140" s="11"/>
      <c r="OS140" s="11"/>
      <c r="OT140" s="11"/>
      <c r="OU140" s="11"/>
      <c r="OV140" s="11"/>
      <c r="OW140" s="11"/>
      <c r="OX140" s="11"/>
      <c r="OY140" s="11"/>
      <c r="OZ140" s="11"/>
      <c r="PA140" s="11"/>
      <c r="PB140" s="11"/>
      <c r="PC140" s="11"/>
      <c r="PD140" s="11"/>
      <c r="PE140" s="11"/>
      <c r="PF140" s="11"/>
      <c r="PG140" s="11"/>
      <c r="PH140" s="11"/>
      <c r="PI140" s="11"/>
      <c r="PJ140" s="11"/>
      <c r="PK140" s="11"/>
      <c r="PL140" s="11"/>
      <c r="PM140" s="11"/>
      <c r="PN140" s="11"/>
      <c r="PO140" s="11"/>
      <c r="PP140" s="11"/>
      <c r="PQ140" s="11"/>
      <c r="PR140" s="11"/>
      <c r="PS140" s="11"/>
      <c r="PT140" s="11"/>
      <c r="PU140" s="11"/>
      <c r="PV140" s="11"/>
      <c r="PW140" s="11"/>
      <c r="PX140" s="11"/>
      <c r="PY140" s="11"/>
      <c r="PZ140" s="11"/>
      <c r="QA140" s="11"/>
      <c r="QB140" s="11"/>
      <c r="QC140" s="11"/>
      <c r="QD140" s="11"/>
      <c r="QE140" s="11"/>
      <c r="QF140" s="11"/>
      <c r="QG140" s="11"/>
      <c r="QH140" s="11"/>
      <c r="QI140" s="11"/>
      <c r="QJ140" s="11"/>
      <c r="QK140" s="11"/>
      <c r="QL140" s="11"/>
      <c r="QM140" s="11"/>
      <c r="QN140" s="11"/>
      <c r="QO140" s="11"/>
      <c r="QP140" s="11"/>
      <c r="QQ140" s="11"/>
      <c r="QR140" s="11"/>
      <c r="QS140" s="11"/>
      <c r="QT140" s="11"/>
      <c r="QU140" s="11"/>
      <c r="QV140" s="11"/>
      <c r="QW140" s="11"/>
      <c r="QX140" s="11"/>
      <c r="QY140" s="11"/>
      <c r="QZ140" s="11"/>
      <c r="RA140" s="11"/>
      <c r="RB140" s="11"/>
      <c r="RC140" s="11"/>
      <c r="RD140" s="11"/>
      <c r="RE140" s="11"/>
      <c r="RF140" s="11"/>
      <c r="RG140" s="11"/>
      <c r="RH140" s="11"/>
      <c r="RI140" s="11"/>
      <c r="RJ140" s="11"/>
      <c r="RK140" s="11"/>
      <c r="RL140" s="11"/>
      <c r="RM140" s="11"/>
      <c r="RN140" s="11"/>
      <c r="RO140" s="11"/>
      <c r="RP140" s="11"/>
      <c r="RQ140" s="11"/>
      <c r="RR140" s="11"/>
      <c r="RS140" s="11"/>
      <c r="RT140" s="11"/>
      <c r="RU140" s="11"/>
      <c r="RV140" s="11"/>
      <c r="RW140" s="11"/>
      <c r="RX140" s="11"/>
      <c r="RY140" s="11"/>
      <c r="RZ140" s="11"/>
      <c r="SA140" s="11"/>
      <c r="SB140" s="11"/>
      <c r="SC140" s="11"/>
      <c r="SD140" s="11"/>
      <c r="SE140" s="11"/>
      <c r="SF140" s="11"/>
      <c r="SG140" s="11"/>
      <c r="SH140" s="11"/>
      <c r="SI140" s="11"/>
      <c r="SJ140" s="11"/>
      <c r="SK140" s="11"/>
      <c r="SL140" s="11"/>
      <c r="SM140" s="11"/>
      <c r="SN140" s="11"/>
      <c r="SO140" s="11"/>
      <c r="SP140" s="11"/>
      <c r="SQ140" s="11"/>
      <c r="SR140" s="11"/>
      <c r="SS140" s="11"/>
      <c r="ST140" s="11"/>
      <c r="SU140" s="11"/>
      <c r="SV140" s="11"/>
      <c r="SW140" s="11"/>
      <c r="SX140" s="11"/>
      <c r="SY140" s="11"/>
      <c r="SZ140" s="11"/>
      <c r="TA140" s="11"/>
      <c r="TB140" s="11"/>
      <c r="TC140" s="11"/>
      <c r="TD140" s="11"/>
      <c r="TE140" s="11"/>
      <c r="TF140" s="11"/>
      <c r="TG140" s="11"/>
      <c r="TH140" s="11"/>
      <c r="TI140" s="11"/>
      <c r="TJ140" s="11"/>
      <c r="TK140" s="11"/>
      <c r="TL140" s="11"/>
      <c r="TM140" s="11"/>
      <c r="TN140" s="11"/>
      <c r="TO140" s="11"/>
      <c r="TP140" s="11"/>
      <c r="TQ140" s="11"/>
      <c r="TR140" s="11"/>
      <c r="TS140" s="11"/>
      <c r="TT140" s="11"/>
      <c r="TU140" s="11"/>
      <c r="TV140" s="11"/>
      <c r="TW140" s="11"/>
      <c r="TX140" s="11"/>
      <c r="TY140" s="11"/>
      <c r="TZ140" s="11"/>
      <c r="UA140" s="11"/>
      <c r="UB140" s="11"/>
      <c r="UC140" s="11"/>
      <c r="UD140" s="11"/>
      <c r="UE140" s="11"/>
      <c r="UF140" s="11"/>
      <c r="UG140" s="11"/>
      <c r="UH140" s="11"/>
      <c r="UI140" s="11"/>
      <c r="UJ140" s="11"/>
      <c r="UK140" s="11"/>
      <c r="UL140" s="11"/>
      <c r="UM140" s="11"/>
      <c r="UN140" s="11"/>
      <c r="UO140" s="11"/>
      <c r="UP140" s="11"/>
      <c r="UQ140" s="11"/>
      <c r="UR140" s="11"/>
      <c r="US140" s="11"/>
      <c r="UT140" s="11"/>
      <c r="UU140" s="11"/>
      <c r="UV140" s="11"/>
      <c r="UW140" s="11"/>
      <c r="UX140" s="11"/>
      <c r="UY140" s="11"/>
      <c r="UZ140" s="11"/>
      <c r="VA140" s="11"/>
      <c r="VB140" s="11"/>
      <c r="VC140" s="11"/>
      <c r="VD140" s="11"/>
      <c r="VE140" s="11"/>
      <c r="VF140" s="11"/>
      <c r="VG140" s="11"/>
      <c r="VH140" s="11"/>
      <c r="VI140" s="11"/>
      <c r="VJ140" s="11"/>
      <c r="VK140" s="11"/>
      <c r="VL140" s="11"/>
      <c r="VM140" s="11"/>
      <c r="VN140" s="11"/>
      <c r="VO140" s="11"/>
      <c r="VP140" s="11"/>
      <c r="VQ140" s="11"/>
      <c r="VR140" s="11"/>
      <c r="VS140" s="11"/>
      <c r="VT140" s="11"/>
      <c r="VU140" s="11"/>
      <c r="VV140" s="11"/>
      <c r="VW140" s="11"/>
      <c r="VX140" s="11"/>
      <c r="VY140" s="11"/>
      <c r="VZ140" s="11"/>
      <c r="WA140" s="11"/>
      <c r="WB140" s="11"/>
      <c r="WC140" s="11"/>
      <c r="WD140" s="11"/>
      <c r="WE140" s="11"/>
      <c r="WF140" s="11"/>
      <c r="WG140" s="11"/>
      <c r="WH140" s="11"/>
      <c r="WI140" s="11"/>
      <c r="WJ140" s="11"/>
      <c r="WK140" s="11"/>
      <c r="WL140" s="11"/>
      <c r="WM140" s="11"/>
      <c r="WN140" s="11"/>
      <c r="WO140" s="11"/>
      <c r="WP140" s="11"/>
      <c r="WQ140" s="11"/>
      <c r="WR140" s="11"/>
      <c r="WS140" s="11"/>
      <c r="WT140" s="11"/>
      <c r="WU140" s="11"/>
      <c r="WV140" s="11"/>
      <c r="WW140" s="11"/>
      <c r="WX140" s="11"/>
      <c r="WY140" s="11"/>
      <c r="WZ140" s="11"/>
      <c r="XA140" s="11"/>
      <c r="XB140" s="11"/>
      <c r="XC140" s="11"/>
      <c r="XD140" s="11"/>
      <c r="XE140" s="11"/>
      <c r="XF140" s="11"/>
      <c r="XG140" s="11"/>
      <c r="XH140" s="11"/>
      <c r="XI140" s="11"/>
      <c r="XJ140" s="11"/>
      <c r="XK140" s="11"/>
      <c r="XL140" s="11"/>
      <c r="XM140" s="11"/>
      <c r="XN140" s="11"/>
      <c r="XO140" s="11"/>
      <c r="XP140" s="11"/>
      <c r="XQ140" s="11"/>
      <c r="XR140" s="11"/>
      <c r="XS140" s="11"/>
      <c r="XT140" s="11"/>
      <c r="XU140" s="11"/>
      <c r="XV140" s="11"/>
      <c r="XW140" s="11"/>
      <c r="XX140" s="11"/>
      <c r="XY140" s="11"/>
      <c r="XZ140" s="11"/>
      <c r="YA140" s="11"/>
      <c r="YB140" s="11"/>
      <c r="YC140" s="11"/>
      <c r="YD140" s="11"/>
      <c r="YE140" s="11"/>
      <c r="YF140" s="11"/>
      <c r="YG140" s="11"/>
      <c r="YH140" s="11"/>
      <c r="YI140" s="11"/>
      <c r="YJ140" s="11"/>
      <c r="YK140" s="11"/>
      <c r="YL140" s="11"/>
      <c r="YM140" s="11"/>
      <c r="YN140" s="11"/>
      <c r="YO140" s="11"/>
      <c r="YP140" s="11"/>
      <c r="YQ140" s="11"/>
      <c r="YR140" s="11"/>
      <c r="YS140" s="11"/>
      <c r="YT140" s="11"/>
      <c r="YU140" s="11"/>
      <c r="YV140" s="11"/>
      <c r="YW140" s="11"/>
      <c r="YX140" s="11"/>
      <c r="YY140" s="11"/>
      <c r="YZ140" s="11"/>
      <c r="ZA140" s="11"/>
      <c r="ZB140" s="11"/>
      <c r="ZC140" s="11"/>
      <c r="ZD140" s="11"/>
      <c r="ZE140" s="11"/>
      <c r="ZF140" s="11"/>
      <c r="ZG140" s="11"/>
      <c r="ZH140" s="11"/>
      <c r="ZI140" s="11"/>
      <c r="ZJ140" s="11"/>
      <c r="ZK140" s="11"/>
      <c r="ZL140" s="11"/>
      <c r="ZM140" s="11"/>
      <c r="ZN140" s="11"/>
      <c r="ZO140" s="11"/>
      <c r="ZP140" s="11"/>
      <c r="ZQ140" s="11"/>
      <c r="ZR140" s="11"/>
      <c r="ZS140" s="11"/>
      <c r="ZT140" s="11"/>
      <c r="ZU140" s="11"/>
      <c r="ZV140" s="11"/>
      <c r="ZW140" s="11"/>
      <c r="ZX140" s="11"/>
      <c r="ZY140" s="11"/>
      <c r="ZZ140" s="11"/>
      <c r="AAA140" s="11"/>
      <c r="AAB140" s="11"/>
      <c r="AAC140" s="11"/>
      <c r="AAD140" s="11"/>
      <c r="AAE140" s="11"/>
      <c r="AAF140" s="11"/>
      <c r="AAG140" s="11"/>
      <c r="AAH140" s="11"/>
      <c r="AAI140" s="11"/>
      <c r="AAJ140" s="11"/>
      <c r="AAK140" s="11"/>
      <c r="AAL140" s="11"/>
      <c r="AAM140" s="11"/>
      <c r="AAN140" s="11"/>
      <c r="AAO140" s="11"/>
      <c r="AAP140" s="11"/>
      <c r="AAQ140" s="11"/>
      <c r="AAR140" s="11"/>
      <c r="AAS140" s="11"/>
      <c r="AAT140" s="11"/>
      <c r="AAU140" s="11"/>
      <c r="AAV140" s="11"/>
      <c r="AAW140" s="11"/>
      <c r="AAX140" s="11"/>
      <c r="AAY140" s="11"/>
      <c r="AAZ140" s="11"/>
      <c r="ABA140" s="11"/>
      <c r="ABB140" s="11"/>
      <c r="ABC140" s="11"/>
      <c r="ABD140" s="11"/>
      <c r="ABE140" s="11"/>
      <c r="ABF140" s="11"/>
      <c r="ABG140" s="11"/>
      <c r="ABH140" s="11"/>
      <c r="ABI140" s="11"/>
      <c r="ABJ140" s="11"/>
      <c r="ABK140" s="11"/>
      <c r="ABL140" s="11"/>
      <c r="ABM140" s="11"/>
      <c r="ABN140" s="11"/>
      <c r="ABO140" s="11"/>
      <c r="ABP140" s="11"/>
      <c r="ABQ140" s="11"/>
      <c r="ABR140" s="11"/>
      <c r="ABS140" s="11"/>
      <c r="ABT140" s="11"/>
      <c r="ABU140" s="11"/>
      <c r="ABV140" s="11"/>
      <c r="ABW140" s="11"/>
      <c r="ABX140" s="11"/>
      <c r="ABY140" s="11"/>
      <c r="ABZ140" s="11"/>
      <c r="ACA140" s="11"/>
      <c r="ACB140" s="11"/>
      <c r="ACC140" s="11"/>
      <c r="ACD140" s="11"/>
      <c r="ACE140" s="11"/>
      <c r="ACF140" s="11"/>
      <c r="ACG140" s="11"/>
      <c r="ACH140" s="11"/>
      <c r="ACI140" s="11"/>
      <c r="ACJ140" s="11"/>
      <c r="ACK140" s="11"/>
      <c r="ACL140" s="11"/>
      <c r="ACM140" s="11"/>
      <c r="ACN140" s="11"/>
      <c r="ACO140" s="11"/>
      <c r="ACP140" s="11"/>
      <c r="ACQ140" s="11"/>
      <c r="ACR140" s="11"/>
      <c r="ACS140" s="11"/>
      <c r="ACT140" s="11"/>
      <c r="ACU140" s="11"/>
      <c r="ACV140" s="11"/>
      <c r="ACW140" s="11"/>
      <c r="ACX140" s="11"/>
      <c r="ACY140" s="11"/>
      <c r="ACZ140" s="11"/>
      <c r="ADA140" s="11"/>
      <c r="ADB140" s="11"/>
      <c r="ADC140" s="11"/>
      <c r="ADD140" s="11"/>
      <c r="ADE140" s="11"/>
      <c r="ADF140" s="11"/>
      <c r="ADG140" s="11"/>
      <c r="ADH140" s="11"/>
      <c r="ADI140" s="11"/>
      <c r="ADJ140" s="11"/>
      <c r="ADK140" s="11"/>
      <c r="ADL140" s="11"/>
      <c r="ADM140" s="11"/>
      <c r="ADN140" s="11"/>
      <c r="ADO140" s="11"/>
      <c r="ADP140" s="11"/>
      <c r="ADQ140" s="11"/>
      <c r="ADR140" s="11"/>
      <c r="ADS140" s="11"/>
      <c r="ADT140" s="11"/>
      <c r="ADU140" s="11"/>
      <c r="ADV140" s="11"/>
      <c r="ADW140" s="11"/>
      <c r="ADX140" s="11"/>
      <c r="ADY140" s="11"/>
      <c r="ADZ140" s="11"/>
      <c r="AEA140" s="11"/>
      <c r="AEB140" s="11"/>
      <c r="AEC140" s="11"/>
      <c r="AED140" s="11"/>
      <c r="AEE140" s="11"/>
      <c r="AEF140" s="11"/>
      <c r="AEG140" s="11"/>
      <c r="AEH140" s="11"/>
      <c r="AEI140" s="11"/>
      <c r="AEJ140" s="11"/>
      <c r="AEK140" s="11"/>
      <c r="AEL140" s="11"/>
      <c r="AEM140" s="11"/>
      <c r="AEN140" s="11"/>
      <c r="AEO140" s="11"/>
      <c r="AEP140" s="11"/>
      <c r="AEQ140" s="11"/>
      <c r="AER140" s="11"/>
      <c r="AES140" s="11"/>
      <c r="AET140" s="11"/>
      <c r="AEU140" s="11"/>
      <c r="AEV140" s="11"/>
      <c r="AEW140" s="11"/>
      <c r="AEX140" s="11"/>
      <c r="AEY140" s="11"/>
      <c r="AEZ140" s="11"/>
      <c r="AFA140" s="11"/>
      <c r="AFB140" s="11"/>
      <c r="AFC140" s="11"/>
      <c r="AFD140" s="11"/>
      <c r="AFE140" s="11"/>
      <c r="AFF140" s="11"/>
      <c r="AFG140" s="11"/>
      <c r="AFH140" s="11"/>
      <c r="AFI140" s="11"/>
    </row>
    <row r="141" spans="2:84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c r="IW141" s="11"/>
      <c r="IX141" s="11"/>
      <c r="IY141" s="11"/>
      <c r="IZ141" s="11"/>
      <c r="JA141" s="11"/>
      <c r="JB141" s="11"/>
      <c r="JC141" s="11"/>
      <c r="JD141" s="11"/>
      <c r="JE141" s="11"/>
      <c r="JF141" s="11"/>
      <c r="JG141" s="11"/>
      <c r="JH141" s="11"/>
      <c r="JI141" s="11"/>
      <c r="JJ141" s="11"/>
      <c r="JK141" s="11"/>
      <c r="JL141" s="11"/>
      <c r="JM141" s="11"/>
      <c r="JN141" s="11"/>
      <c r="JO141" s="11"/>
      <c r="JP141" s="11"/>
      <c r="JQ141" s="11"/>
      <c r="JR141" s="11"/>
      <c r="JS141" s="11"/>
      <c r="JT141" s="11"/>
      <c r="JU141" s="11"/>
      <c r="JV141" s="11"/>
      <c r="JW141" s="11"/>
      <c r="JX141" s="11"/>
      <c r="JY141" s="11"/>
      <c r="JZ141" s="11"/>
      <c r="KA141" s="11"/>
      <c r="KB141" s="11"/>
      <c r="KC141" s="11"/>
      <c r="KD141" s="11"/>
      <c r="KE141" s="11"/>
      <c r="KF141" s="11"/>
      <c r="KG141" s="11"/>
      <c r="KH141" s="11"/>
      <c r="KI141" s="11"/>
      <c r="KJ141" s="11"/>
      <c r="KK141" s="11"/>
      <c r="KL141" s="11"/>
      <c r="KM141" s="11"/>
      <c r="KN141" s="11"/>
      <c r="KO141" s="11"/>
      <c r="KP141" s="11"/>
      <c r="KQ141" s="11"/>
      <c r="KR141" s="11"/>
      <c r="KS141" s="11"/>
      <c r="KT141" s="11"/>
      <c r="KU141" s="11"/>
      <c r="KV141" s="11"/>
      <c r="KW141" s="11"/>
      <c r="KX141" s="11"/>
      <c r="KY141" s="11"/>
      <c r="KZ141" s="11"/>
      <c r="LA141" s="11"/>
      <c r="LB141" s="11"/>
      <c r="LC141" s="11"/>
      <c r="LD141" s="11"/>
      <c r="LE141" s="11"/>
      <c r="LF141" s="11"/>
      <c r="LG141" s="11"/>
      <c r="LH141" s="11"/>
      <c r="LI141" s="11"/>
      <c r="LJ141" s="11"/>
      <c r="LK141" s="11"/>
      <c r="LL141" s="11"/>
      <c r="LM141" s="11"/>
      <c r="LN141" s="11"/>
      <c r="LO141" s="11"/>
      <c r="LP141" s="11"/>
      <c r="LQ141" s="11"/>
      <c r="LR141" s="11"/>
      <c r="LS141" s="11"/>
      <c r="LT141" s="11"/>
      <c r="LU141" s="11"/>
      <c r="LV141" s="11"/>
      <c r="LW141" s="11"/>
      <c r="LX141" s="11"/>
      <c r="LY141" s="11"/>
      <c r="LZ141" s="11"/>
      <c r="MA141" s="11"/>
      <c r="MB141" s="11"/>
      <c r="MC141" s="11"/>
      <c r="MD141" s="11"/>
      <c r="ME141" s="11"/>
      <c r="MF141" s="11"/>
      <c r="MG141" s="11"/>
      <c r="MH141" s="11"/>
      <c r="MI141" s="11"/>
      <c r="MJ141" s="11"/>
      <c r="MK141" s="11"/>
      <c r="ML141" s="11"/>
      <c r="MM141" s="11"/>
      <c r="MN141" s="11"/>
      <c r="MO141" s="11"/>
      <c r="MP141" s="11"/>
      <c r="MQ141" s="11"/>
      <c r="MR141" s="11"/>
      <c r="MS141" s="11"/>
      <c r="MT141" s="11"/>
      <c r="MU141" s="11"/>
      <c r="MV141" s="11"/>
      <c r="MW141" s="11"/>
      <c r="MX141" s="11"/>
      <c r="MY141" s="11"/>
      <c r="MZ141" s="11"/>
      <c r="NA141" s="11"/>
      <c r="NB141" s="11"/>
      <c r="NC141" s="11"/>
      <c r="ND141" s="11"/>
      <c r="NE141" s="11"/>
      <c r="NF141" s="11"/>
      <c r="NG141" s="11"/>
      <c r="NH141" s="11"/>
      <c r="NI141" s="11"/>
      <c r="NJ141" s="11"/>
      <c r="NK141" s="11"/>
      <c r="NL141" s="11"/>
      <c r="NM141" s="11"/>
      <c r="NN141" s="11"/>
      <c r="NO141" s="11"/>
      <c r="NP141" s="11"/>
      <c r="NQ141" s="11"/>
      <c r="NR141" s="11"/>
      <c r="NS141" s="11"/>
      <c r="NT141" s="11"/>
      <c r="NU141" s="11"/>
      <c r="NV141" s="11"/>
      <c r="NW141" s="11"/>
      <c r="NX141" s="11"/>
      <c r="NY141" s="11"/>
      <c r="NZ141" s="11"/>
      <c r="OA141" s="11"/>
      <c r="OB141" s="11"/>
      <c r="OC141" s="11"/>
      <c r="OD141" s="11"/>
      <c r="OE141" s="11"/>
      <c r="OF141" s="11"/>
      <c r="OG141" s="11"/>
      <c r="OH141" s="11"/>
      <c r="OI141" s="11"/>
      <c r="OJ141" s="11"/>
      <c r="OK141" s="11"/>
      <c r="OL141" s="11"/>
      <c r="OM141" s="11"/>
      <c r="ON141" s="11"/>
      <c r="OO141" s="11"/>
      <c r="OP141" s="11"/>
      <c r="OQ141" s="11"/>
      <c r="OR141" s="11"/>
      <c r="OS141" s="11"/>
      <c r="OT141" s="11"/>
      <c r="OU141" s="11"/>
      <c r="OV141" s="11"/>
      <c r="OW141" s="11"/>
      <c r="OX141" s="11"/>
      <c r="OY141" s="11"/>
      <c r="OZ141" s="11"/>
      <c r="PA141" s="11"/>
      <c r="PB141" s="11"/>
      <c r="PC141" s="11"/>
      <c r="PD141" s="11"/>
      <c r="PE141" s="11"/>
      <c r="PF141" s="11"/>
      <c r="PG141" s="11"/>
      <c r="PH141" s="11"/>
      <c r="PI141" s="11"/>
      <c r="PJ141" s="11"/>
      <c r="PK141" s="11"/>
      <c r="PL141" s="11"/>
      <c r="PM141" s="11"/>
      <c r="PN141" s="11"/>
      <c r="PO141" s="11"/>
      <c r="PP141" s="11"/>
      <c r="PQ141" s="11"/>
      <c r="PR141" s="11"/>
      <c r="PS141" s="11"/>
      <c r="PT141" s="11"/>
      <c r="PU141" s="11"/>
      <c r="PV141" s="11"/>
      <c r="PW141" s="11"/>
      <c r="PX141" s="11"/>
      <c r="PY141" s="11"/>
      <c r="PZ141" s="11"/>
      <c r="QA141" s="11"/>
      <c r="QB141" s="11"/>
      <c r="QC141" s="11"/>
      <c r="QD141" s="11"/>
      <c r="QE141" s="11"/>
      <c r="QF141" s="11"/>
      <c r="QG141" s="11"/>
      <c r="QH141" s="11"/>
      <c r="QI141" s="11"/>
      <c r="QJ141" s="11"/>
      <c r="QK141" s="11"/>
      <c r="QL141" s="11"/>
      <c r="QM141" s="11"/>
      <c r="QN141" s="11"/>
      <c r="QO141" s="11"/>
      <c r="QP141" s="11"/>
      <c r="QQ141" s="11"/>
      <c r="QR141" s="11"/>
      <c r="QS141" s="11"/>
      <c r="QT141" s="11"/>
      <c r="QU141" s="11"/>
      <c r="QV141" s="11"/>
      <c r="QW141" s="11"/>
      <c r="QX141" s="11"/>
      <c r="QY141" s="11"/>
      <c r="QZ141" s="11"/>
      <c r="RA141" s="11"/>
      <c r="RB141" s="11"/>
      <c r="RC141" s="11"/>
      <c r="RD141" s="11"/>
      <c r="RE141" s="11"/>
      <c r="RF141" s="11"/>
      <c r="RG141" s="11"/>
      <c r="RH141" s="11"/>
      <c r="RI141" s="11"/>
      <c r="RJ141" s="11"/>
      <c r="RK141" s="11"/>
      <c r="RL141" s="11"/>
      <c r="RM141" s="11"/>
      <c r="RN141" s="11"/>
      <c r="RO141" s="11"/>
      <c r="RP141" s="11"/>
      <c r="RQ141" s="11"/>
      <c r="RR141" s="11"/>
      <c r="RS141" s="11"/>
      <c r="RT141" s="11"/>
      <c r="RU141" s="11"/>
      <c r="RV141" s="11"/>
      <c r="RW141" s="11"/>
      <c r="RX141" s="11"/>
      <c r="RY141" s="11"/>
      <c r="RZ141" s="11"/>
      <c r="SA141" s="11"/>
      <c r="SB141" s="11"/>
      <c r="SC141" s="11"/>
      <c r="SD141" s="11"/>
      <c r="SE141" s="11"/>
      <c r="SF141" s="11"/>
      <c r="SG141" s="11"/>
      <c r="SH141" s="11"/>
      <c r="SI141" s="11"/>
      <c r="SJ141" s="11"/>
      <c r="SK141" s="11"/>
      <c r="SL141" s="11"/>
      <c r="SM141" s="11"/>
      <c r="SN141" s="11"/>
      <c r="SO141" s="11"/>
      <c r="SP141" s="11"/>
      <c r="SQ141" s="11"/>
      <c r="SR141" s="11"/>
      <c r="SS141" s="11"/>
      <c r="ST141" s="11"/>
      <c r="SU141" s="11"/>
      <c r="SV141" s="11"/>
      <c r="SW141" s="11"/>
      <c r="SX141" s="11"/>
      <c r="SY141" s="11"/>
      <c r="SZ141" s="11"/>
      <c r="TA141" s="11"/>
      <c r="TB141" s="11"/>
      <c r="TC141" s="11"/>
      <c r="TD141" s="11"/>
      <c r="TE141" s="11"/>
      <c r="TF141" s="11"/>
      <c r="TG141" s="11"/>
      <c r="TH141" s="11"/>
      <c r="TI141" s="11"/>
      <c r="TJ141" s="11"/>
      <c r="TK141" s="11"/>
      <c r="TL141" s="11"/>
      <c r="TM141" s="11"/>
      <c r="TN141" s="11"/>
      <c r="TO141" s="11"/>
      <c r="TP141" s="11"/>
      <c r="TQ141" s="11"/>
      <c r="TR141" s="11"/>
      <c r="TS141" s="11"/>
      <c r="TT141" s="11"/>
      <c r="TU141" s="11"/>
      <c r="TV141" s="11"/>
      <c r="TW141" s="11"/>
      <c r="TX141" s="11"/>
      <c r="TY141" s="11"/>
      <c r="TZ141" s="11"/>
      <c r="UA141" s="11"/>
      <c r="UB141" s="11"/>
      <c r="UC141" s="11"/>
      <c r="UD141" s="11"/>
      <c r="UE141" s="11"/>
      <c r="UF141" s="11"/>
      <c r="UG141" s="11"/>
      <c r="UH141" s="11"/>
      <c r="UI141" s="11"/>
      <c r="UJ141" s="11"/>
      <c r="UK141" s="11"/>
      <c r="UL141" s="11"/>
      <c r="UM141" s="11"/>
      <c r="UN141" s="11"/>
      <c r="UO141" s="11"/>
      <c r="UP141" s="11"/>
      <c r="UQ141" s="11"/>
      <c r="UR141" s="11"/>
      <c r="US141" s="11"/>
      <c r="UT141" s="11"/>
      <c r="UU141" s="11"/>
      <c r="UV141" s="11"/>
      <c r="UW141" s="11"/>
      <c r="UX141" s="11"/>
      <c r="UY141" s="11"/>
      <c r="UZ141" s="11"/>
      <c r="VA141" s="11"/>
      <c r="VB141" s="11"/>
      <c r="VC141" s="11"/>
      <c r="VD141" s="11"/>
      <c r="VE141" s="11"/>
      <c r="VF141" s="11"/>
      <c r="VG141" s="11"/>
      <c r="VH141" s="11"/>
      <c r="VI141" s="11"/>
      <c r="VJ141" s="11"/>
      <c r="VK141" s="11"/>
      <c r="VL141" s="11"/>
      <c r="VM141" s="11"/>
      <c r="VN141" s="11"/>
      <c r="VO141" s="11"/>
      <c r="VP141" s="11"/>
      <c r="VQ141" s="11"/>
      <c r="VR141" s="11"/>
      <c r="VS141" s="11"/>
      <c r="VT141" s="11"/>
      <c r="VU141" s="11"/>
      <c r="VV141" s="11"/>
      <c r="VW141" s="11"/>
      <c r="VX141" s="11"/>
      <c r="VY141" s="11"/>
      <c r="VZ141" s="11"/>
      <c r="WA141" s="11"/>
      <c r="WB141" s="11"/>
      <c r="WC141" s="11"/>
      <c r="WD141" s="11"/>
      <c r="WE141" s="11"/>
      <c r="WF141" s="11"/>
      <c r="WG141" s="11"/>
      <c r="WH141" s="11"/>
      <c r="WI141" s="11"/>
      <c r="WJ141" s="11"/>
      <c r="WK141" s="11"/>
      <c r="WL141" s="11"/>
      <c r="WM141" s="11"/>
      <c r="WN141" s="11"/>
      <c r="WO141" s="11"/>
      <c r="WP141" s="11"/>
      <c r="WQ141" s="11"/>
      <c r="WR141" s="11"/>
      <c r="WS141" s="11"/>
      <c r="WT141" s="11"/>
      <c r="WU141" s="11"/>
      <c r="WV141" s="11"/>
      <c r="WW141" s="11"/>
      <c r="WX141" s="11"/>
      <c r="WY141" s="11"/>
      <c r="WZ141" s="11"/>
      <c r="XA141" s="11"/>
      <c r="XB141" s="11"/>
      <c r="XC141" s="11"/>
      <c r="XD141" s="11"/>
      <c r="XE141" s="11"/>
      <c r="XF141" s="11"/>
      <c r="XG141" s="11"/>
      <c r="XH141" s="11"/>
      <c r="XI141" s="11"/>
      <c r="XJ141" s="11"/>
      <c r="XK141" s="11"/>
      <c r="XL141" s="11"/>
      <c r="XM141" s="11"/>
      <c r="XN141" s="11"/>
      <c r="XO141" s="11"/>
      <c r="XP141" s="11"/>
      <c r="XQ141" s="11"/>
      <c r="XR141" s="11"/>
      <c r="XS141" s="11"/>
      <c r="XT141" s="11"/>
      <c r="XU141" s="11"/>
      <c r="XV141" s="11"/>
      <c r="XW141" s="11"/>
      <c r="XX141" s="11"/>
      <c r="XY141" s="11"/>
      <c r="XZ141" s="11"/>
      <c r="YA141" s="11"/>
      <c r="YB141" s="11"/>
      <c r="YC141" s="11"/>
      <c r="YD141" s="11"/>
      <c r="YE141" s="11"/>
      <c r="YF141" s="11"/>
      <c r="YG141" s="11"/>
      <c r="YH141" s="11"/>
      <c r="YI141" s="11"/>
      <c r="YJ141" s="11"/>
      <c r="YK141" s="11"/>
      <c r="YL141" s="11"/>
      <c r="YM141" s="11"/>
      <c r="YN141" s="11"/>
      <c r="YO141" s="11"/>
      <c r="YP141" s="11"/>
      <c r="YQ141" s="11"/>
      <c r="YR141" s="11"/>
      <c r="YS141" s="11"/>
      <c r="YT141" s="11"/>
      <c r="YU141" s="11"/>
      <c r="YV141" s="11"/>
      <c r="YW141" s="11"/>
      <c r="YX141" s="11"/>
      <c r="YY141" s="11"/>
      <c r="YZ141" s="11"/>
      <c r="ZA141" s="11"/>
      <c r="ZB141" s="11"/>
      <c r="ZC141" s="11"/>
      <c r="ZD141" s="11"/>
      <c r="ZE141" s="11"/>
      <c r="ZF141" s="11"/>
      <c r="ZG141" s="11"/>
      <c r="ZH141" s="11"/>
      <c r="ZI141" s="11"/>
      <c r="ZJ141" s="11"/>
      <c r="ZK141" s="11"/>
      <c r="ZL141" s="11"/>
      <c r="ZM141" s="11"/>
      <c r="ZN141" s="11"/>
      <c r="ZO141" s="11"/>
      <c r="ZP141" s="11"/>
      <c r="ZQ141" s="11"/>
      <c r="ZR141" s="11"/>
      <c r="ZS141" s="11"/>
      <c r="ZT141" s="11"/>
      <c r="ZU141" s="11"/>
      <c r="ZV141" s="11"/>
      <c r="ZW141" s="11"/>
      <c r="ZX141" s="11"/>
      <c r="ZY141" s="11"/>
      <c r="ZZ141" s="11"/>
      <c r="AAA141" s="11"/>
      <c r="AAB141" s="11"/>
      <c r="AAC141" s="11"/>
      <c r="AAD141" s="11"/>
      <c r="AAE141" s="11"/>
      <c r="AAF141" s="11"/>
      <c r="AAG141" s="11"/>
      <c r="AAH141" s="11"/>
      <c r="AAI141" s="11"/>
      <c r="AAJ141" s="11"/>
      <c r="AAK141" s="11"/>
      <c r="AAL141" s="11"/>
      <c r="AAM141" s="11"/>
      <c r="AAN141" s="11"/>
      <c r="AAO141" s="11"/>
      <c r="AAP141" s="11"/>
      <c r="AAQ141" s="11"/>
      <c r="AAR141" s="11"/>
      <c r="AAS141" s="11"/>
      <c r="AAT141" s="11"/>
      <c r="AAU141" s="11"/>
      <c r="AAV141" s="11"/>
      <c r="AAW141" s="11"/>
      <c r="AAX141" s="11"/>
      <c r="AAY141" s="11"/>
      <c r="AAZ141" s="11"/>
      <c r="ABA141" s="11"/>
      <c r="ABB141" s="11"/>
      <c r="ABC141" s="11"/>
      <c r="ABD141" s="11"/>
      <c r="ABE141" s="11"/>
      <c r="ABF141" s="11"/>
      <c r="ABG141" s="11"/>
      <c r="ABH141" s="11"/>
      <c r="ABI141" s="11"/>
      <c r="ABJ141" s="11"/>
      <c r="ABK141" s="11"/>
      <c r="ABL141" s="11"/>
      <c r="ABM141" s="11"/>
      <c r="ABN141" s="11"/>
      <c r="ABO141" s="11"/>
      <c r="ABP141" s="11"/>
      <c r="ABQ141" s="11"/>
      <c r="ABR141" s="11"/>
      <c r="ABS141" s="11"/>
      <c r="ABT141" s="11"/>
      <c r="ABU141" s="11"/>
      <c r="ABV141" s="11"/>
      <c r="ABW141" s="11"/>
      <c r="ABX141" s="11"/>
      <c r="ABY141" s="11"/>
      <c r="ABZ141" s="11"/>
      <c r="ACA141" s="11"/>
      <c r="ACB141" s="11"/>
      <c r="ACC141" s="11"/>
      <c r="ACD141" s="11"/>
      <c r="ACE141" s="11"/>
      <c r="ACF141" s="11"/>
      <c r="ACG141" s="11"/>
      <c r="ACH141" s="11"/>
      <c r="ACI141" s="11"/>
      <c r="ACJ141" s="11"/>
      <c r="ACK141" s="11"/>
      <c r="ACL141" s="11"/>
      <c r="ACM141" s="11"/>
      <c r="ACN141" s="11"/>
      <c r="ACO141" s="11"/>
      <c r="ACP141" s="11"/>
      <c r="ACQ141" s="11"/>
      <c r="ACR141" s="11"/>
      <c r="ACS141" s="11"/>
      <c r="ACT141" s="11"/>
      <c r="ACU141" s="11"/>
      <c r="ACV141" s="11"/>
      <c r="ACW141" s="11"/>
      <c r="ACX141" s="11"/>
      <c r="ACY141" s="11"/>
      <c r="ACZ141" s="11"/>
      <c r="ADA141" s="11"/>
      <c r="ADB141" s="11"/>
      <c r="ADC141" s="11"/>
      <c r="ADD141" s="11"/>
      <c r="ADE141" s="11"/>
      <c r="ADF141" s="11"/>
      <c r="ADG141" s="11"/>
      <c r="ADH141" s="11"/>
      <c r="ADI141" s="11"/>
      <c r="ADJ141" s="11"/>
      <c r="ADK141" s="11"/>
      <c r="ADL141" s="11"/>
      <c r="ADM141" s="11"/>
      <c r="ADN141" s="11"/>
      <c r="ADO141" s="11"/>
      <c r="ADP141" s="11"/>
      <c r="ADQ141" s="11"/>
      <c r="ADR141" s="11"/>
      <c r="ADS141" s="11"/>
      <c r="ADT141" s="11"/>
      <c r="ADU141" s="11"/>
      <c r="ADV141" s="11"/>
      <c r="ADW141" s="11"/>
      <c r="ADX141" s="11"/>
      <c r="ADY141" s="11"/>
      <c r="ADZ141" s="11"/>
      <c r="AEA141" s="11"/>
      <c r="AEB141" s="11"/>
      <c r="AEC141" s="11"/>
      <c r="AED141" s="11"/>
      <c r="AEE141" s="11"/>
      <c r="AEF141" s="11"/>
      <c r="AEG141" s="11"/>
      <c r="AEH141" s="11"/>
      <c r="AEI141" s="11"/>
      <c r="AEJ141" s="11"/>
      <c r="AEK141" s="11"/>
      <c r="AEL141" s="11"/>
      <c r="AEM141" s="11"/>
      <c r="AEN141" s="11"/>
      <c r="AEO141" s="11"/>
      <c r="AEP141" s="11"/>
      <c r="AEQ141" s="11"/>
      <c r="AER141" s="11"/>
      <c r="AES141" s="11"/>
      <c r="AET141" s="11"/>
      <c r="AEU141" s="11"/>
      <c r="AEV141" s="11"/>
      <c r="AEW141" s="11"/>
      <c r="AEX141" s="11"/>
      <c r="AEY141" s="11"/>
      <c r="AEZ141" s="11"/>
      <c r="AFA141" s="11"/>
      <c r="AFB141" s="11"/>
      <c r="AFC141" s="11"/>
      <c r="AFD141" s="11"/>
      <c r="AFE141" s="11"/>
      <c r="AFF141" s="11"/>
      <c r="AFG141" s="11"/>
      <c r="AFH141" s="11"/>
      <c r="AFI141" s="11"/>
    </row>
    <row r="142" spans="2:84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c r="IW142" s="11"/>
      <c r="IX142" s="11"/>
      <c r="IY142" s="11"/>
      <c r="IZ142" s="11"/>
      <c r="JA142" s="11"/>
      <c r="JB142" s="11"/>
      <c r="JC142" s="11"/>
      <c r="JD142" s="11"/>
      <c r="JE142" s="11"/>
      <c r="JF142" s="11"/>
      <c r="JG142" s="11"/>
      <c r="JH142" s="11"/>
      <c r="JI142" s="11"/>
      <c r="JJ142" s="11"/>
      <c r="JK142" s="11"/>
      <c r="JL142" s="11"/>
      <c r="JM142" s="11"/>
      <c r="JN142" s="11"/>
      <c r="JO142" s="11"/>
      <c r="JP142" s="11"/>
      <c r="JQ142" s="11"/>
      <c r="JR142" s="11"/>
      <c r="JS142" s="11"/>
      <c r="JT142" s="11"/>
      <c r="JU142" s="11"/>
      <c r="JV142" s="11"/>
      <c r="JW142" s="11"/>
      <c r="JX142" s="11"/>
      <c r="JY142" s="11"/>
      <c r="JZ142" s="11"/>
      <c r="KA142" s="11"/>
      <c r="KB142" s="11"/>
      <c r="KC142" s="11"/>
      <c r="KD142" s="11"/>
      <c r="KE142" s="11"/>
      <c r="KF142" s="11"/>
      <c r="KG142" s="11"/>
      <c r="KH142" s="11"/>
      <c r="KI142" s="11"/>
      <c r="KJ142" s="11"/>
      <c r="KK142" s="11"/>
      <c r="KL142" s="11"/>
      <c r="KM142" s="11"/>
      <c r="KN142" s="11"/>
      <c r="KO142" s="11"/>
      <c r="KP142" s="11"/>
      <c r="KQ142" s="11"/>
      <c r="KR142" s="11"/>
      <c r="KS142" s="11"/>
      <c r="KT142" s="11"/>
      <c r="KU142" s="11"/>
      <c r="KV142" s="11"/>
      <c r="KW142" s="11"/>
      <c r="KX142" s="11"/>
      <c r="KY142" s="11"/>
      <c r="KZ142" s="11"/>
      <c r="LA142" s="11"/>
      <c r="LB142" s="11"/>
      <c r="LC142" s="11"/>
      <c r="LD142" s="11"/>
      <c r="LE142" s="11"/>
      <c r="LF142" s="11"/>
      <c r="LG142" s="11"/>
      <c r="LH142" s="11"/>
      <c r="LI142" s="11"/>
      <c r="LJ142" s="11"/>
      <c r="LK142" s="11"/>
      <c r="LL142" s="11"/>
      <c r="LM142" s="11"/>
      <c r="LN142" s="11"/>
      <c r="LO142" s="11"/>
      <c r="LP142" s="11"/>
      <c r="LQ142" s="11"/>
      <c r="LR142" s="11"/>
      <c r="LS142" s="11"/>
      <c r="LT142" s="11"/>
      <c r="LU142" s="11"/>
      <c r="LV142" s="11"/>
      <c r="LW142" s="11"/>
      <c r="LX142" s="11"/>
      <c r="LY142" s="11"/>
      <c r="LZ142" s="11"/>
      <c r="MA142" s="11"/>
      <c r="MB142" s="11"/>
      <c r="MC142" s="11"/>
      <c r="MD142" s="11"/>
      <c r="ME142" s="11"/>
      <c r="MF142" s="11"/>
      <c r="MG142" s="11"/>
      <c r="MH142" s="11"/>
      <c r="MI142" s="11"/>
      <c r="MJ142" s="11"/>
      <c r="MK142" s="11"/>
      <c r="ML142" s="11"/>
      <c r="MM142" s="11"/>
      <c r="MN142" s="11"/>
      <c r="MO142" s="11"/>
      <c r="MP142" s="11"/>
      <c r="MQ142" s="11"/>
      <c r="MR142" s="11"/>
      <c r="MS142" s="11"/>
      <c r="MT142" s="11"/>
      <c r="MU142" s="11"/>
      <c r="MV142" s="11"/>
      <c r="MW142" s="11"/>
      <c r="MX142" s="11"/>
      <c r="MY142" s="11"/>
      <c r="MZ142" s="11"/>
      <c r="NA142" s="11"/>
      <c r="NB142" s="11"/>
      <c r="NC142" s="11"/>
      <c r="ND142" s="11"/>
      <c r="NE142" s="11"/>
      <c r="NF142" s="11"/>
      <c r="NG142" s="11"/>
      <c r="NH142" s="11"/>
      <c r="NI142" s="11"/>
      <c r="NJ142" s="11"/>
      <c r="NK142" s="11"/>
      <c r="NL142" s="11"/>
      <c r="NM142" s="11"/>
      <c r="NN142" s="11"/>
      <c r="NO142" s="11"/>
      <c r="NP142" s="11"/>
      <c r="NQ142" s="11"/>
      <c r="NR142" s="11"/>
      <c r="NS142" s="11"/>
      <c r="NT142" s="11"/>
      <c r="NU142" s="11"/>
      <c r="NV142" s="11"/>
      <c r="NW142" s="11"/>
      <c r="NX142" s="11"/>
      <c r="NY142" s="11"/>
      <c r="NZ142" s="11"/>
      <c r="OA142" s="11"/>
      <c r="OB142" s="11"/>
      <c r="OC142" s="11"/>
      <c r="OD142" s="11"/>
      <c r="OE142" s="11"/>
      <c r="OF142" s="11"/>
      <c r="OG142" s="11"/>
      <c r="OH142" s="11"/>
      <c r="OI142" s="11"/>
      <c r="OJ142" s="11"/>
      <c r="OK142" s="11"/>
      <c r="OL142" s="11"/>
      <c r="OM142" s="11"/>
      <c r="ON142" s="11"/>
      <c r="OO142" s="11"/>
      <c r="OP142" s="11"/>
      <c r="OQ142" s="11"/>
      <c r="OR142" s="11"/>
      <c r="OS142" s="11"/>
      <c r="OT142" s="11"/>
      <c r="OU142" s="11"/>
      <c r="OV142" s="11"/>
      <c r="OW142" s="11"/>
      <c r="OX142" s="11"/>
      <c r="OY142" s="11"/>
      <c r="OZ142" s="11"/>
      <c r="PA142" s="11"/>
      <c r="PB142" s="11"/>
      <c r="PC142" s="11"/>
      <c r="PD142" s="11"/>
      <c r="PE142" s="11"/>
      <c r="PF142" s="11"/>
      <c r="PG142" s="11"/>
      <c r="PH142" s="11"/>
      <c r="PI142" s="11"/>
      <c r="PJ142" s="11"/>
      <c r="PK142" s="11"/>
      <c r="PL142" s="11"/>
      <c r="PM142" s="11"/>
      <c r="PN142" s="11"/>
      <c r="PO142" s="11"/>
      <c r="PP142" s="11"/>
      <c r="PQ142" s="11"/>
      <c r="PR142" s="11"/>
      <c r="PS142" s="11"/>
      <c r="PT142" s="11"/>
      <c r="PU142" s="11"/>
      <c r="PV142" s="11"/>
      <c r="PW142" s="11"/>
      <c r="PX142" s="11"/>
      <c r="PY142" s="11"/>
      <c r="PZ142" s="11"/>
      <c r="QA142" s="11"/>
      <c r="QB142" s="11"/>
      <c r="QC142" s="11"/>
      <c r="QD142" s="11"/>
      <c r="QE142" s="11"/>
      <c r="QF142" s="11"/>
      <c r="QG142" s="11"/>
      <c r="QH142" s="11"/>
      <c r="QI142" s="11"/>
      <c r="QJ142" s="11"/>
      <c r="QK142" s="11"/>
      <c r="QL142" s="11"/>
      <c r="QM142" s="11"/>
      <c r="QN142" s="11"/>
      <c r="QO142" s="11"/>
      <c r="QP142" s="11"/>
      <c r="QQ142" s="11"/>
      <c r="QR142" s="11"/>
      <c r="QS142" s="11"/>
      <c r="QT142" s="11"/>
      <c r="QU142" s="11"/>
      <c r="QV142" s="11"/>
      <c r="QW142" s="11"/>
      <c r="QX142" s="11"/>
      <c r="QY142" s="11"/>
      <c r="QZ142" s="11"/>
      <c r="RA142" s="11"/>
      <c r="RB142" s="11"/>
      <c r="RC142" s="11"/>
      <c r="RD142" s="11"/>
      <c r="RE142" s="11"/>
      <c r="RF142" s="11"/>
      <c r="RG142" s="11"/>
      <c r="RH142" s="11"/>
      <c r="RI142" s="11"/>
      <c r="RJ142" s="11"/>
      <c r="RK142" s="11"/>
      <c r="RL142" s="11"/>
      <c r="RM142" s="11"/>
      <c r="RN142" s="11"/>
      <c r="RO142" s="11"/>
      <c r="RP142" s="11"/>
      <c r="RQ142" s="11"/>
      <c r="RR142" s="11"/>
      <c r="RS142" s="11"/>
      <c r="RT142" s="11"/>
      <c r="RU142" s="11"/>
      <c r="RV142" s="11"/>
      <c r="RW142" s="11"/>
      <c r="RX142" s="11"/>
      <c r="RY142" s="11"/>
      <c r="RZ142" s="11"/>
      <c r="SA142" s="11"/>
      <c r="SB142" s="11"/>
      <c r="SC142" s="11"/>
      <c r="SD142" s="11"/>
      <c r="SE142" s="11"/>
      <c r="SF142" s="11"/>
      <c r="SG142" s="11"/>
      <c r="SH142" s="11"/>
      <c r="SI142" s="11"/>
      <c r="SJ142" s="11"/>
      <c r="SK142" s="11"/>
      <c r="SL142" s="11"/>
      <c r="SM142" s="11"/>
      <c r="SN142" s="11"/>
      <c r="SO142" s="11"/>
      <c r="SP142" s="11"/>
      <c r="SQ142" s="11"/>
      <c r="SR142" s="11"/>
      <c r="SS142" s="11"/>
      <c r="ST142" s="11"/>
      <c r="SU142" s="11"/>
      <c r="SV142" s="11"/>
      <c r="SW142" s="11"/>
      <c r="SX142" s="11"/>
      <c r="SY142" s="11"/>
      <c r="SZ142" s="11"/>
      <c r="TA142" s="11"/>
      <c r="TB142" s="11"/>
      <c r="TC142" s="11"/>
      <c r="TD142" s="11"/>
      <c r="TE142" s="11"/>
      <c r="TF142" s="11"/>
      <c r="TG142" s="11"/>
      <c r="TH142" s="11"/>
      <c r="TI142" s="11"/>
      <c r="TJ142" s="11"/>
      <c r="TK142" s="11"/>
      <c r="TL142" s="11"/>
      <c r="TM142" s="11"/>
      <c r="TN142" s="11"/>
      <c r="TO142" s="11"/>
      <c r="TP142" s="11"/>
      <c r="TQ142" s="11"/>
      <c r="TR142" s="11"/>
      <c r="TS142" s="11"/>
      <c r="TT142" s="11"/>
      <c r="TU142" s="11"/>
      <c r="TV142" s="11"/>
      <c r="TW142" s="11"/>
      <c r="TX142" s="11"/>
      <c r="TY142" s="11"/>
      <c r="TZ142" s="11"/>
      <c r="UA142" s="11"/>
      <c r="UB142" s="11"/>
      <c r="UC142" s="11"/>
      <c r="UD142" s="11"/>
      <c r="UE142" s="11"/>
      <c r="UF142" s="11"/>
      <c r="UG142" s="11"/>
      <c r="UH142" s="11"/>
      <c r="UI142" s="11"/>
      <c r="UJ142" s="11"/>
      <c r="UK142" s="11"/>
      <c r="UL142" s="11"/>
      <c r="UM142" s="11"/>
      <c r="UN142" s="11"/>
      <c r="UO142" s="11"/>
      <c r="UP142" s="11"/>
      <c r="UQ142" s="11"/>
      <c r="UR142" s="11"/>
      <c r="US142" s="11"/>
      <c r="UT142" s="11"/>
      <c r="UU142" s="11"/>
      <c r="UV142" s="11"/>
      <c r="UW142" s="11"/>
      <c r="UX142" s="11"/>
      <c r="UY142" s="11"/>
      <c r="UZ142" s="11"/>
      <c r="VA142" s="11"/>
      <c r="VB142" s="11"/>
      <c r="VC142" s="11"/>
      <c r="VD142" s="11"/>
      <c r="VE142" s="11"/>
      <c r="VF142" s="11"/>
      <c r="VG142" s="11"/>
      <c r="VH142" s="11"/>
      <c r="VI142" s="11"/>
      <c r="VJ142" s="11"/>
      <c r="VK142" s="11"/>
      <c r="VL142" s="11"/>
      <c r="VM142" s="11"/>
      <c r="VN142" s="11"/>
      <c r="VO142" s="11"/>
      <c r="VP142" s="11"/>
      <c r="VQ142" s="11"/>
      <c r="VR142" s="11"/>
      <c r="VS142" s="11"/>
      <c r="VT142" s="11"/>
      <c r="VU142" s="11"/>
      <c r="VV142" s="11"/>
      <c r="VW142" s="11"/>
      <c r="VX142" s="11"/>
      <c r="VY142" s="11"/>
      <c r="VZ142" s="11"/>
      <c r="WA142" s="11"/>
      <c r="WB142" s="11"/>
      <c r="WC142" s="11"/>
      <c r="WD142" s="11"/>
      <c r="WE142" s="11"/>
      <c r="WF142" s="11"/>
      <c r="WG142" s="11"/>
      <c r="WH142" s="11"/>
      <c r="WI142" s="11"/>
      <c r="WJ142" s="11"/>
      <c r="WK142" s="11"/>
      <c r="WL142" s="11"/>
      <c r="WM142" s="11"/>
      <c r="WN142" s="11"/>
      <c r="WO142" s="11"/>
      <c r="WP142" s="11"/>
      <c r="WQ142" s="11"/>
      <c r="WR142" s="11"/>
      <c r="WS142" s="11"/>
      <c r="WT142" s="11"/>
      <c r="WU142" s="11"/>
      <c r="WV142" s="11"/>
      <c r="WW142" s="11"/>
      <c r="WX142" s="11"/>
      <c r="WY142" s="11"/>
      <c r="WZ142" s="11"/>
      <c r="XA142" s="11"/>
      <c r="XB142" s="11"/>
      <c r="XC142" s="11"/>
      <c r="XD142" s="11"/>
      <c r="XE142" s="11"/>
      <c r="XF142" s="11"/>
      <c r="XG142" s="11"/>
      <c r="XH142" s="11"/>
      <c r="XI142" s="11"/>
      <c r="XJ142" s="11"/>
      <c r="XK142" s="11"/>
      <c r="XL142" s="11"/>
      <c r="XM142" s="11"/>
      <c r="XN142" s="11"/>
      <c r="XO142" s="11"/>
      <c r="XP142" s="11"/>
      <c r="XQ142" s="11"/>
      <c r="XR142" s="11"/>
      <c r="XS142" s="11"/>
      <c r="XT142" s="11"/>
      <c r="XU142" s="11"/>
      <c r="XV142" s="11"/>
      <c r="XW142" s="11"/>
      <c r="XX142" s="11"/>
      <c r="XY142" s="11"/>
      <c r="XZ142" s="11"/>
      <c r="YA142" s="11"/>
      <c r="YB142" s="11"/>
      <c r="YC142" s="11"/>
      <c r="YD142" s="11"/>
      <c r="YE142" s="11"/>
      <c r="YF142" s="11"/>
      <c r="YG142" s="11"/>
      <c r="YH142" s="11"/>
      <c r="YI142" s="11"/>
      <c r="YJ142" s="11"/>
      <c r="YK142" s="11"/>
      <c r="YL142" s="11"/>
      <c r="YM142" s="11"/>
      <c r="YN142" s="11"/>
      <c r="YO142" s="11"/>
      <c r="YP142" s="11"/>
      <c r="YQ142" s="11"/>
      <c r="YR142" s="11"/>
      <c r="YS142" s="11"/>
      <c r="YT142" s="11"/>
      <c r="YU142" s="11"/>
      <c r="YV142" s="11"/>
      <c r="YW142" s="11"/>
      <c r="YX142" s="11"/>
      <c r="YY142" s="11"/>
      <c r="YZ142" s="11"/>
      <c r="ZA142" s="11"/>
      <c r="ZB142" s="11"/>
      <c r="ZC142" s="11"/>
      <c r="ZD142" s="11"/>
      <c r="ZE142" s="11"/>
      <c r="ZF142" s="11"/>
      <c r="ZG142" s="11"/>
      <c r="ZH142" s="11"/>
      <c r="ZI142" s="11"/>
      <c r="ZJ142" s="11"/>
      <c r="ZK142" s="11"/>
      <c r="ZL142" s="11"/>
      <c r="ZM142" s="11"/>
      <c r="ZN142" s="11"/>
      <c r="ZO142" s="11"/>
      <c r="ZP142" s="11"/>
      <c r="ZQ142" s="11"/>
      <c r="ZR142" s="11"/>
      <c r="ZS142" s="11"/>
      <c r="ZT142" s="11"/>
      <c r="ZU142" s="11"/>
      <c r="ZV142" s="11"/>
      <c r="ZW142" s="11"/>
      <c r="ZX142" s="11"/>
      <c r="ZY142" s="11"/>
      <c r="ZZ142" s="11"/>
      <c r="AAA142" s="11"/>
      <c r="AAB142" s="11"/>
      <c r="AAC142" s="11"/>
      <c r="AAD142" s="11"/>
      <c r="AAE142" s="11"/>
      <c r="AAF142" s="11"/>
      <c r="AAG142" s="11"/>
      <c r="AAH142" s="11"/>
      <c r="AAI142" s="11"/>
      <c r="AAJ142" s="11"/>
      <c r="AAK142" s="11"/>
      <c r="AAL142" s="11"/>
      <c r="AAM142" s="11"/>
      <c r="AAN142" s="11"/>
      <c r="AAO142" s="11"/>
      <c r="AAP142" s="11"/>
      <c r="AAQ142" s="11"/>
      <c r="AAR142" s="11"/>
      <c r="AAS142" s="11"/>
      <c r="AAT142" s="11"/>
      <c r="AAU142" s="11"/>
      <c r="AAV142" s="11"/>
      <c r="AAW142" s="11"/>
      <c r="AAX142" s="11"/>
      <c r="AAY142" s="11"/>
      <c r="AAZ142" s="11"/>
      <c r="ABA142" s="11"/>
      <c r="ABB142" s="11"/>
      <c r="ABC142" s="11"/>
      <c r="ABD142" s="11"/>
      <c r="ABE142" s="11"/>
      <c r="ABF142" s="11"/>
      <c r="ABG142" s="11"/>
      <c r="ABH142" s="11"/>
      <c r="ABI142" s="11"/>
      <c r="ABJ142" s="11"/>
      <c r="ABK142" s="11"/>
      <c r="ABL142" s="11"/>
      <c r="ABM142" s="11"/>
      <c r="ABN142" s="11"/>
      <c r="ABO142" s="11"/>
      <c r="ABP142" s="11"/>
      <c r="ABQ142" s="11"/>
      <c r="ABR142" s="11"/>
      <c r="ABS142" s="11"/>
      <c r="ABT142" s="11"/>
      <c r="ABU142" s="11"/>
      <c r="ABV142" s="11"/>
      <c r="ABW142" s="11"/>
      <c r="ABX142" s="11"/>
      <c r="ABY142" s="11"/>
      <c r="ABZ142" s="11"/>
      <c r="ACA142" s="11"/>
      <c r="ACB142" s="11"/>
      <c r="ACC142" s="11"/>
      <c r="ACD142" s="11"/>
      <c r="ACE142" s="11"/>
      <c r="ACF142" s="11"/>
      <c r="ACG142" s="11"/>
      <c r="ACH142" s="11"/>
      <c r="ACI142" s="11"/>
      <c r="ACJ142" s="11"/>
      <c r="ACK142" s="11"/>
      <c r="ACL142" s="11"/>
      <c r="ACM142" s="11"/>
      <c r="ACN142" s="11"/>
      <c r="ACO142" s="11"/>
      <c r="ACP142" s="11"/>
      <c r="ACQ142" s="11"/>
      <c r="ACR142" s="11"/>
      <c r="ACS142" s="11"/>
      <c r="ACT142" s="11"/>
      <c r="ACU142" s="11"/>
      <c r="ACV142" s="11"/>
      <c r="ACW142" s="11"/>
      <c r="ACX142" s="11"/>
      <c r="ACY142" s="11"/>
      <c r="ACZ142" s="11"/>
      <c r="ADA142" s="11"/>
      <c r="ADB142" s="11"/>
      <c r="ADC142" s="11"/>
      <c r="ADD142" s="11"/>
      <c r="ADE142" s="11"/>
      <c r="ADF142" s="11"/>
      <c r="ADG142" s="11"/>
      <c r="ADH142" s="11"/>
      <c r="ADI142" s="11"/>
      <c r="ADJ142" s="11"/>
      <c r="ADK142" s="11"/>
      <c r="ADL142" s="11"/>
      <c r="ADM142" s="11"/>
      <c r="ADN142" s="11"/>
      <c r="ADO142" s="11"/>
      <c r="ADP142" s="11"/>
      <c r="ADQ142" s="11"/>
      <c r="ADR142" s="11"/>
      <c r="ADS142" s="11"/>
      <c r="ADT142" s="11"/>
      <c r="ADU142" s="11"/>
      <c r="ADV142" s="11"/>
      <c r="ADW142" s="11"/>
      <c r="ADX142" s="11"/>
      <c r="ADY142" s="11"/>
      <c r="ADZ142" s="11"/>
      <c r="AEA142" s="11"/>
      <c r="AEB142" s="11"/>
      <c r="AEC142" s="11"/>
      <c r="AED142" s="11"/>
      <c r="AEE142" s="11"/>
      <c r="AEF142" s="11"/>
      <c r="AEG142" s="11"/>
      <c r="AEH142" s="11"/>
      <c r="AEI142" s="11"/>
      <c r="AEJ142" s="11"/>
      <c r="AEK142" s="11"/>
      <c r="AEL142" s="11"/>
      <c r="AEM142" s="11"/>
      <c r="AEN142" s="11"/>
      <c r="AEO142" s="11"/>
      <c r="AEP142" s="11"/>
      <c r="AEQ142" s="11"/>
      <c r="AER142" s="11"/>
      <c r="AES142" s="11"/>
      <c r="AET142" s="11"/>
      <c r="AEU142" s="11"/>
      <c r="AEV142" s="11"/>
      <c r="AEW142" s="11"/>
      <c r="AEX142" s="11"/>
      <c r="AEY142" s="11"/>
      <c r="AEZ142" s="11"/>
      <c r="AFA142" s="11"/>
      <c r="AFB142" s="11"/>
      <c r="AFC142" s="11"/>
      <c r="AFD142" s="11"/>
      <c r="AFE142" s="11"/>
      <c r="AFF142" s="11"/>
      <c r="AFG142" s="11"/>
      <c r="AFH142" s="11"/>
      <c r="AFI142" s="11"/>
    </row>
    <row r="143" spans="2:84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c r="IW143" s="11"/>
      <c r="IX143" s="11"/>
      <c r="IY143" s="11"/>
      <c r="IZ143" s="11"/>
      <c r="JA143" s="11"/>
      <c r="JB143" s="11"/>
      <c r="JC143" s="11"/>
      <c r="JD143" s="11"/>
      <c r="JE143" s="11"/>
      <c r="JF143" s="11"/>
      <c r="JG143" s="11"/>
      <c r="JH143" s="11"/>
      <c r="JI143" s="11"/>
      <c r="JJ143" s="11"/>
      <c r="JK143" s="11"/>
      <c r="JL143" s="11"/>
      <c r="JM143" s="11"/>
      <c r="JN143" s="11"/>
      <c r="JO143" s="11"/>
      <c r="JP143" s="11"/>
      <c r="JQ143" s="11"/>
      <c r="JR143" s="11"/>
      <c r="JS143" s="11"/>
      <c r="JT143" s="11"/>
      <c r="JU143" s="11"/>
      <c r="JV143" s="11"/>
      <c r="JW143" s="11"/>
      <c r="JX143" s="11"/>
      <c r="JY143" s="11"/>
      <c r="JZ143" s="11"/>
      <c r="KA143" s="11"/>
      <c r="KB143" s="11"/>
      <c r="KC143" s="11"/>
      <c r="KD143" s="11"/>
      <c r="KE143" s="11"/>
      <c r="KF143" s="11"/>
      <c r="KG143" s="11"/>
      <c r="KH143" s="11"/>
      <c r="KI143" s="11"/>
      <c r="KJ143" s="11"/>
      <c r="KK143" s="11"/>
      <c r="KL143" s="11"/>
      <c r="KM143" s="11"/>
      <c r="KN143" s="11"/>
      <c r="KO143" s="11"/>
      <c r="KP143" s="11"/>
      <c r="KQ143" s="11"/>
      <c r="KR143" s="11"/>
      <c r="KS143" s="11"/>
      <c r="KT143" s="11"/>
      <c r="KU143" s="11"/>
      <c r="KV143" s="11"/>
      <c r="KW143" s="11"/>
      <c r="KX143" s="11"/>
      <c r="KY143" s="11"/>
      <c r="KZ143" s="11"/>
      <c r="LA143" s="11"/>
      <c r="LB143" s="11"/>
      <c r="LC143" s="11"/>
      <c r="LD143" s="11"/>
      <c r="LE143" s="11"/>
      <c r="LF143" s="11"/>
      <c r="LG143" s="11"/>
      <c r="LH143" s="11"/>
      <c r="LI143" s="11"/>
      <c r="LJ143" s="11"/>
      <c r="LK143" s="11"/>
      <c r="LL143" s="11"/>
      <c r="LM143" s="11"/>
      <c r="LN143" s="11"/>
      <c r="LO143" s="11"/>
      <c r="LP143" s="11"/>
      <c r="LQ143" s="11"/>
      <c r="LR143" s="11"/>
      <c r="LS143" s="11"/>
      <c r="LT143" s="11"/>
      <c r="LU143" s="11"/>
      <c r="LV143" s="11"/>
      <c r="LW143" s="11"/>
      <c r="LX143" s="11"/>
      <c r="LY143" s="11"/>
      <c r="LZ143" s="11"/>
      <c r="MA143" s="11"/>
      <c r="MB143" s="11"/>
      <c r="MC143" s="11"/>
      <c r="MD143" s="11"/>
      <c r="ME143" s="11"/>
      <c r="MF143" s="11"/>
      <c r="MG143" s="11"/>
      <c r="MH143" s="11"/>
      <c r="MI143" s="11"/>
      <c r="MJ143" s="11"/>
      <c r="MK143" s="11"/>
      <c r="ML143" s="11"/>
      <c r="MM143" s="11"/>
      <c r="MN143" s="11"/>
      <c r="MO143" s="11"/>
      <c r="MP143" s="11"/>
      <c r="MQ143" s="11"/>
      <c r="MR143" s="11"/>
      <c r="MS143" s="11"/>
      <c r="MT143" s="11"/>
      <c r="MU143" s="11"/>
      <c r="MV143" s="11"/>
      <c r="MW143" s="11"/>
      <c r="MX143" s="11"/>
      <c r="MY143" s="11"/>
      <c r="MZ143" s="11"/>
      <c r="NA143" s="11"/>
      <c r="NB143" s="11"/>
      <c r="NC143" s="11"/>
      <c r="ND143" s="11"/>
      <c r="NE143" s="11"/>
      <c r="NF143" s="11"/>
      <c r="NG143" s="11"/>
      <c r="NH143" s="11"/>
      <c r="NI143" s="11"/>
      <c r="NJ143" s="11"/>
      <c r="NK143" s="11"/>
      <c r="NL143" s="11"/>
      <c r="NM143" s="11"/>
      <c r="NN143" s="11"/>
      <c r="NO143" s="11"/>
      <c r="NP143" s="11"/>
      <c r="NQ143" s="11"/>
      <c r="NR143" s="11"/>
      <c r="NS143" s="11"/>
      <c r="NT143" s="11"/>
      <c r="NU143" s="11"/>
      <c r="NV143" s="11"/>
      <c r="NW143" s="11"/>
      <c r="NX143" s="11"/>
      <c r="NY143" s="11"/>
      <c r="NZ143" s="11"/>
      <c r="OA143" s="11"/>
      <c r="OB143" s="11"/>
      <c r="OC143" s="11"/>
      <c r="OD143" s="11"/>
      <c r="OE143" s="11"/>
      <c r="OF143" s="11"/>
      <c r="OG143" s="11"/>
      <c r="OH143" s="11"/>
      <c r="OI143" s="11"/>
      <c r="OJ143" s="11"/>
      <c r="OK143" s="11"/>
      <c r="OL143" s="11"/>
      <c r="OM143" s="11"/>
      <c r="ON143" s="11"/>
      <c r="OO143" s="11"/>
      <c r="OP143" s="11"/>
      <c r="OQ143" s="11"/>
      <c r="OR143" s="11"/>
      <c r="OS143" s="11"/>
      <c r="OT143" s="11"/>
      <c r="OU143" s="11"/>
      <c r="OV143" s="11"/>
      <c r="OW143" s="11"/>
      <c r="OX143" s="11"/>
      <c r="OY143" s="11"/>
      <c r="OZ143" s="11"/>
      <c r="PA143" s="11"/>
      <c r="PB143" s="11"/>
      <c r="PC143" s="11"/>
      <c r="PD143" s="11"/>
      <c r="PE143" s="11"/>
      <c r="PF143" s="11"/>
      <c r="PG143" s="11"/>
      <c r="PH143" s="11"/>
      <c r="PI143" s="11"/>
      <c r="PJ143" s="11"/>
      <c r="PK143" s="11"/>
      <c r="PL143" s="11"/>
      <c r="PM143" s="11"/>
      <c r="PN143" s="11"/>
      <c r="PO143" s="11"/>
      <c r="PP143" s="11"/>
      <c r="PQ143" s="11"/>
      <c r="PR143" s="11"/>
      <c r="PS143" s="11"/>
      <c r="PT143" s="11"/>
      <c r="PU143" s="11"/>
      <c r="PV143" s="11"/>
      <c r="PW143" s="11"/>
      <c r="PX143" s="11"/>
      <c r="PY143" s="11"/>
      <c r="PZ143" s="11"/>
      <c r="QA143" s="11"/>
      <c r="QB143" s="11"/>
      <c r="QC143" s="11"/>
      <c r="QD143" s="11"/>
      <c r="QE143" s="11"/>
      <c r="QF143" s="11"/>
      <c r="QG143" s="11"/>
      <c r="QH143" s="11"/>
      <c r="QI143" s="11"/>
      <c r="QJ143" s="11"/>
      <c r="QK143" s="11"/>
      <c r="QL143" s="11"/>
      <c r="QM143" s="11"/>
      <c r="QN143" s="11"/>
      <c r="QO143" s="11"/>
      <c r="QP143" s="11"/>
      <c r="QQ143" s="11"/>
      <c r="QR143" s="11"/>
      <c r="QS143" s="11"/>
      <c r="QT143" s="11"/>
      <c r="QU143" s="11"/>
      <c r="QV143" s="11"/>
      <c r="QW143" s="11"/>
      <c r="QX143" s="11"/>
      <c r="QY143" s="11"/>
      <c r="QZ143" s="11"/>
      <c r="RA143" s="11"/>
      <c r="RB143" s="11"/>
      <c r="RC143" s="11"/>
      <c r="RD143" s="11"/>
      <c r="RE143" s="11"/>
      <c r="RF143" s="11"/>
      <c r="RG143" s="11"/>
      <c r="RH143" s="11"/>
      <c r="RI143" s="11"/>
      <c r="RJ143" s="11"/>
      <c r="RK143" s="11"/>
      <c r="RL143" s="11"/>
      <c r="RM143" s="11"/>
      <c r="RN143" s="11"/>
      <c r="RO143" s="11"/>
      <c r="RP143" s="11"/>
      <c r="RQ143" s="11"/>
      <c r="RR143" s="11"/>
      <c r="RS143" s="11"/>
      <c r="RT143" s="11"/>
      <c r="RU143" s="11"/>
      <c r="RV143" s="11"/>
      <c r="RW143" s="11"/>
      <c r="RX143" s="11"/>
      <c r="RY143" s="11"/>
      <c r="RZ143" s="11"/>
      <c r="SA143" s="11"/>
      <c r="SB143" s="11"/>
      <c r="SC143" s="11"/>
      <c r="SD143" s="11"/>
      <c r="SE143" s="11"/>
      <c r="SF143" s="11"/>
      <c r="SG143" s="11"/>
      <c r="SH143" s="11"/>
      <c r="SI143" s="11"/>
      <c r="SJ143" s="11"/>
      <c r="SK143" s="11"/>
      <c r="SL143" s="11"/>
      <c r="SM143" s="11"/>
      <c r="SN143" s="11"/>
      <c r="SO143" s="11"/>
      <c r="SP143" s="11"/>
      <c r="SQ143" s="11"/>
      <c r="SR143" s="11"/>
      <c r="SS143" s="11"/>
      <c r="ST143" s="11"/>
      <c r="SU143" s="11"/>
      <c r="SV143" s="11"/>
      <c r="SW143" s="11"/>
      <c r="SX143" s="11"/>
      <c r="SY143" s="11"/>
      <c r="SZ143" s="11"/>
      <c r="TA143" s="11"/>
      <c r="TB143" s="11"/>
      <c r="TC143" s="11"/>
      <c r="TD143" s="11"/>
      <c r="TE143" s="11"/>
      <c r="TF143" s="11"/>
      <c r="TG143" s="11"/>
      <c r="TH143" s="11"/>
      <c r="TI143" s="11"/>
      <c r="TJ143" s="11"/>
      <c r="TK143" s="11"/>
      <c r="TL143" s="11"/>
      <c r="TM143" s="11"/>
      <c r="TN143" s="11"/>
      <c r="TO143" s="11"/>
      <c r="TP143" s="11"/>
      <c r="TQ143" s="11"/>
      <c r="TR143" s="11"/>
      <c r="TS143" s="11"/>
      <c r="TT143" s="11"/>
      <c r="TU143" s="11"/>
      <c r="TV143" s="11"/>
      <c r="TW143" s="11"/>
      <c r="TX143" s="11"/>
      <c r="TY143" s="11"/>
      <c r="TZ143" s="11"/>
      <c r="UA143" s="11"/>
      <c r="UB143" s="11"/>
      <c r="UC143" s="11"/>
      <c r="UD143" s="11"/>
      <c r="UE143" s="11"/>
      <c r="UF143" s="11"/>
      <c r="UG143" s="11"/>
      <c r="UH143" s="11"/>
      <c r="UI143" s="11"/>
      <c r="UJ143" s="11"/>
      <c r="UK143" s="11"/>
      <c r="UL143" s="11"/>
      <c r="UM143" s="11"/>
      <c r="UN143" s="11"/>
      <c r="UO143" s="11"/>
      <c r="UP143" s="11"/>
      <c r="UQ143" s="11"/>
      <c r="UR143" s="11"/>
      <c r="US143" s="11"/>
      <c r="UT143" s="11"/>
      <c r="UU143" s="11"/>
      <c r="UV143" s="11"/>
      <c r="UW143" s="11"/>
      <c r="UX143" s="11"/>
      <c r="UY143" s="11"/>
      <c r="UZ143" s="11"/>
      <c r="VA143" s="11"/>
      <c r="VB143" s="11"/>
      <c r="VC143" s="11"/>
      <c r="VD143" s="11"/>
      <c r="VE143" s="11"/>
      <c r="VF143" s="11"/>
      <c r="VG143" s="11"/>
      <c r="VH143" s="11"/>
      <c r="VI143" s="11"/>
      <c r="VJ143" s="11"/>
      <c r="VK143" s="11"/>
      <c r="VL143" s="11"/>
      <c r="VM143" s="11"/>
      <c r="VN143" s="11"/>
      <c r="VO143" s="11"/>
      <c r="VP143" s="11"/>
      <c r="VQ143" s="11"/>
      <c r="VR143" s="11"/>
      <c r="VS143" s="11"/>
      <c r="VT143" s="11"/>
      <c r="VU143" s="11"/>
      <c r="VV143" s="11"/>
      <c r="VW143" s="11"/>
      <c r="VX143" s="11"/>
      <c r="VY143" s="11"/>
      <c r="VZ143" s="11"/>
      <c r="WA143" s="11"/>
      <c r="WB143" s="11"/>
      <c r="WC143" s="11"/>
      <c r="WD143" s="11"/>
      <c r="WE143" s="11"/>
      <c r="WF143" s="11"/>
      <c r="WG143" s="11"/>
      <c r="WH143" s="11"/>
      <c r="WI143" s="11"/>
      <c r="WJ143" s="11"/>
      <c r="WK143" s="11"/>
      <c r="WL143" s="11"/>
      <c r="WM143" s="11"/>
      <c r="WN143" s="11"/>
      <c r="WO143" s="11"/>
      <c r="WP143" s="11"/>
      <c r="WQ143" s="11"/>
      <c r="WR143" s="11"/>
      <c r="WS143" s="11"/>
      <c r="WT143" s="11"/>
      <c r="WU143" s="11"/>
      <c r="WV143" s="11"/>
      <c r="WW143" s="11"/>
      <c r="WX143" s="11"/>
      <c r="WY143" s="11"/>
      <c r="WZ143" s="11"/>
      <c r="XA143" s="11"/>
      <c r="XB143" s="11"/>
      <c r="XC143" s="11"/>
      <c r="XD143" s="11"/>
      <c r="XE143" s="11"/>
      <c r="XF143" s="11"/>
      <c r="XG143" s="11"/>
      <c r="XH143" s="11"/>
      <c r="XI143" s="11"/>
      <c r="XJ143" s="11"/>
      <c r="XK143" s="11"/>
      <c r="XL143" s="11"/>
      <c r="XM143" s="11"/>
      <c r="XN143" s="11"/>
      <c r="XO143" s="11"/>
      <c r="XP143" s="11"/>
      <c r="XQ143" s="11"/>
      <c r="XR143" s="11"/>
      <c r="XS143" s="11"/>
      <c r="XT143" s="11"/>
      <c r="XU143" s="11"/>
      <c r="XV143" s="11"/>
      <c r="XW143" s="11"/>
      <c r="XX143" s="11"/>
      <c r="XY143" s="11"/>
      <c r="XZ143" s="11"/>
      <c r="YA143" s="11"/>
      <c r="YB143" s="11"/>
      <c r="YC143" s="11"/>
      <c r="YD143" s="11"/>
      <c r="YE143" s="11"/>
      <c r="YF143" s="11"/>
      <c r="YG143" s="11"/>
      <c r="YH143" s="11"/>
      <c r="YI143" s="11"/>
      <c r="YJ143" s="11"/>
      <c r="YK143" s="11"/>
      <c r="YL143" s="11"/>
      <c r="YM143" s="11"/>
      <c r="YN143" s="11"/>
      <c r="YO143" s="11"/>
      <c r="YP143" s="11"/>
      <c r="YQ143" s="11"/>
      <c r="YR143" s="11"/>
      <c r="YS143" s="11"/>
      <c r="YT143" s="11"/>
      <c r="YU143" s="11"/>
      <c r="YV143" s="11"/>
      <c r="YW143" s="11"/>
      <c r="YX143" s="11"/>
      <c r="YY143" s="11"/>
      <c r="YZ143" s="11"/>
      <c r="ZA143" s="11"/>
      <c r="ZB143" s="11"/>
      <c r="ZC143" s="11"/>
      <c r="ZD143" s="11"/>
      <c r="ZE143" s="11"/>
      <c r="ZF143" s="11"/>
      <c r="ZG143" s="11"/>
      <c r="ZH143" s="11"/>
      <c r="ZI143" s="11"/>
      <c r="ZJ143" s="11"/>
      <c r="ZK143" s="11"/>
      <c r="ZL143" s="11"/>
      <c r="ZM143" s="11"/>
      <c r="ZN143" s="11"/>
      <c r="ZO143" s="11"/>
      <c r="ZP143" s="11"/>
      <c r="ZQ143" s="11"/>
      <c r="ZR143" s="11"/>
      <c r="ZS143" s="11"/>
      <c r="ZT143" s="11"/>
      <c r="ZU143" s="11"/>
      <c r="ZV143" s="11"/>
      <c r="ZW143" s="11"/>
      <c r="ZX143" s="11"/>
      <c r="ZY143" s="11"/>
      <c r="ZZ143" s="11"/>
      <c r="AAA143" s="11"/>
      <c r="AAB143" s="11"/>
      <c r="AAC143" s="11"/>
      <c r="AAD143" s="11"/>
      <c r="AAE143" s="11"/>
      <c r="AAF143" s="11"/>
      <c r="AAG143" s="11"/>
      <c r="AAH143" s="11"/>
      <c r="AAI143" s="11"/>
      <c r="AAJ143" s="11"/>
      <c r="AAK143" s="11"/>
      <c r="AAL143" s="11"/>
      <c r="AAM143" s="11"/>
      <c r="AAN143" s="11"/>
      <c r="AAO143" s="11"/>
      <c r="AAP143" s="11"/>
      <c r="AAQ143" s="11"/>
      <c r="AAR143" s="11"/>
      <c r="AAS143" s="11"/>
      <c r="AAT143" s="11"/>
      <c r="AAU143" s="11"/>
      <c r="AAV143" s="11"/>
      <c r="AAW143" s="11"/>
      <c r="AAX143" s="11"/>
      <c r="AAY143" s="11"/>
      <c r="AAZ143" s="11"/>
      <c r="ABA143" s="11"/>
      <c r="ABB143" s="11"/>
      <c r="ABC143" s="11"/>
      <c r="ABD143" s="11"/>
      <c r="ABE143" s="11"/>
      <c r="ABF143" s="11"/>
      <c r="ABG143" s="11"/>
      <c r="ABH143" s="11"/>
      <c r="ABI143" s="11"/>
      <c r="ABJ143" s="11"/>
      <c r="ABK143" s="11"/>
      <c r="ABL143" s="11"/>
      <c r="ABM143" s="11"/>
      <c r="ABN143" s="11"/>
      <c r="ABO143" s="11"/>
      <c r="ABP143" s="11"/>
      <c r="ABQ143" s="11"/>
      <c r="ABR143" s="11"/>
      <c r="ABS143" s="11"/>
      <c r="ABT143" s="11"/>
      <c r="ABU143" s="11"/>
      <c r="ABV143" s="11"/>
      <c r="ABW143" s="11"/>
      <c r="ABX143" s="11"/>
      <c r="ABY143" s="11"/>
      <c r="ABZ143" s="11"/>
      <c r="ACA143" s="11"/>
      <c r="ACB143" s="11"/>
      <c r="ACC143" s="11"/>
      <c r="ACD143" s="11"/>
      <c r="ACE143" s="11"/>
      <c r="ACF143" s="11"/>
      <c r="ACG143" s="11"/>
      <c r="ACH143" s="11"/>
      <c r="ACI143" s="11"/>
      <c r="ACJ143" s="11"/>
      <c r="ACK143" s="11"/>
      <c r="ACL143" s="11"/>
      <c r="ACM143" s="11"/>
      <c r="ACN143" s="11"/>
      <c r="ACO143" s="11"/>
      <c r="ACP143" s="11"/>
      <c r="ACQ143" s="11"/>
      <c r="ACR143" s="11"/>
      <c r="ACS143" s="11"/>
      <c r="ACT143" s="11"/>
      <c r="ACU143" s="11"/>
      <c r="ACV143" s="11"/>
      <c r="ACW143" s="11"/>
      <c r="ACX143" s="11"/>
      <c r="ACY143" s="11"/>
      <c r="ACZ143" s="11"/>
      <c r="ADA143" s="11"/>
      <c r="ADB143" s="11"/>
      <c r="ADC143" s="11"/>
      <c r="ADD143" s="11"/>
      <c r="ADE143" s="11"/>
      <c r="ADF143" s="11"/>
      <c r="ADG143" s="11"/>
      <c r="ADH143" s="11"/>
      <c r="ADI143" s="11"/>
      <c r="ADJ143" s="11"/>
      <c r="ADK143" s="11"/>
      <c r="ADL143" s="11"/>
      <c r="ADM143" s="11"/>
      <c r="ADN143" s="11"/>
      <c r="ADO143" s="11"/>
      <c r="ADP143" s="11"/>
      <c r="ADQ143" s="11"/>
      <c r="ADR143" s="11"/>
      <c r="ADS143" s="11"/>
      <c r="ADT143" s="11"/>
      <c r="ADU143" s="11"/>
      <c r="ADV143" s="11"/>
      <c r="ADW143" s="11"/>
      <c r="ADX143" s="11"/>
      <c r="ADY143" s="11"/>
      <c r="ADZ143" s="11"/>
      <c r="AEA143" s="11"/>
      <c r="AEB143" s="11"/>
      <c r="AEC143" s="11"/>
      <c r="AED143" s="11"/>
      <c r="AEE143" s="11"/>
      <c r="AEF143" s="11"/>
      <c r="AEG143" s="11"/>
      <c r="AEH143" s="11"/>
      <c r="AEI143" s="11"/>
      <c r="AEJ143" s="11"/>
      <c r="AEK143" s="11"/>
      <c r="AEL143" s="11"/>
      <c r="AEM143" s="11"/>
      <c r="AEN143" s="11"/>
      <c r="AEO143" s="11"/>
      <c r="AEP143" s="11"/>
      <c r="AEQ143" s="11"/>
      <c r="AER143" s="11"/>
      <c r="AES143" s="11"/>
      <c r="AET143" s="11"/>
      <c r="AEU143" s="11"/>
      <c r="AEV143" s="11"/>
      <c r="AEW143" s="11"/>
      <c r="AEX143" s="11"/>
      <c r="AEY143" s="11"/>
      <c r="AEZ143" s="11"/>
      <c r="AFA143" s="11"/>
      <c r="AFB143" s="11"/>
      <c r="AFC143" s="11"/>
      <c r="AFD143" s="11"/>
      <c r="AFE143" s="11"/>
      <c r="AFF143" s="11"/>
      <c r="AFG143" s="11"/>
      <c r="AFH143" s="11"/>
      <c r="AFI143" s="11"/>
    </row>
    <row r="144" spans="2:84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c r="IW144" s="11"/>
      <c r="IX144" s="11"/>
      <c r="IY144" s="11"/>
      <c r="IZ144" s="11"/>
      <c r="JA144" s="11"/>
      <c r="JB144" s="11"/>
      <c r="JC144" s="11"/>
      <c r="JD144" s="11"/>
      <c r="JE144" s="11"/>
      <c r="JF144" s="11"/>
      <c r="JG144" s="11"/>
      <c r="JH144" s="11"/>
      <c r="JI144" s="11"/>
      <c r="JJ144" s="11"/>
      <c r="JK144" s="11"/>
      <c r="JL144" s="11"/>
      <c r="JM144" s="11"/>
      <c r="JN144" s="11"/>
      <c r="JO144" s="11"/>
      <c r="JP144" s="11"/>
      <c r="JQ144" s="11"/>
      <c r="JR144" s="11"/>
      <c r="JS144" s="11"/>
      <c r="JT144" s="11"/>
      <c r="JU144" s="11"/>
      <c r="JV144" s="11"/>
      <c r="JW144" s="11"/>
      <c r="JX144" s="11"/>
      <c r="JY144" s="11"/>
      <c r="JZ144" s="11"/>
      <c r="KA144" s="11"/>
      <c r="KB144" s="11"/>
      <c r="KC144" s="11"/>
      <c r="KD144" s="11"/>
      <c r="KE144" s="11"/>
      <c r="KF144" s="11"/>
      <c r="KG144" s="11"/>
      <c r="KH144" s="11"/>
      <c r="KI144" s="11"/>
      <c r="KJ144" s="11"/>
      <c r="KK144" s="11"/>
      <c r="KL144" s="11"/>
      <c r="KM144" s="11"/>
      <c r="KN144" s="11"/>
      <c r="KO144" s="11"/>
      <c r="KP144" s="11"/>
      <c r="KQ144" s="11"/>
      <c r="KR144" s="11"/>
      <c r="KS144" s="11"/>
      <c r="KT144" s="11"/>
      <c r="KU144" s="11"/>
      <c r="KV144" s="11"/>
      <c r="KW144" s="11"/>
      <c r="KX144" s="11"/>
      <c r="KY144" s="11"/>
      <c r="KZ144" s="11"/>
      <c r="LA144" s="11"/>
      <c r="LB144" s="11"/>
      <c r="LC144" s="11"/>
      <c r="LD144" s="11"/>
      <c r="LE144" s="11"/>
      <c r="LF144" s="11"/>
      <c r="LG144" s="11"/>
      <c r="LH144" s="11"/>
      <c r="LI144" s="11"/>
      <c r="LJ144" s="11"/>
      <c r="LK144" s="11"/>
      <c r="LL144" s="11"/>
      <c r="LM144" s="11"/>
      <c r="LN144" s="11"/>
      <c r="LO144" s="11"/>
      <c r="LP144" s="11"/>
      <c r="LQ144" s="11"/>
      <c r="LR144" s="11"/>
      <c r="LS144" s="11"/>
      <c r="LT144" s="11"/>
      <c r="LU144" s="11"/>
      <c r="LV144" s="11"/>
      <c r="LW144" s="11"/>
      <c r="LX144" s="11"/>
      <c r="LY144" s="11"/>
      <c r="LZ144" s="11"/>
      <c r="MA144" s="11"/>
      <c r="MB144" s="11"/>
      <c r="MC144" s="11"/>
      <c r="MD144" s="11"/>
      <c r="ME144" s="11"/>
      <c r="MF144" s="11"/>
      <c r="MG144" s="11"/>
      <c r="MH144" s="11"/>
      <c r="MI144" s="11"/>
      <c r="MJ144" s="11"/>
      <c r="MK144" s="11"/>
      <c r="ML144" s="11"/>
      <c r="MM144" s="11"/>
      <c r="MN144" s="11"/>
      <c r="MO144" s="11"/>
      <c r="MP144" s="11"/>
      <c r="MQ144" s="11"/>
      <c r="MR144" s="11"/>
      <c r="MS144" s="11"/>
      <c r="MT144" s="11"/>
      <c r="MU144" s="11"/>
      <c r="MV144" s="11"/>
      <c r="MW144" s="11"/>
      <c r="MX144" s="11"/>
      <c r="MY144" s="11"/>
      <c r="MZ144" s="11"/>
      <c r="NA144" s="11"/>
      <c r="NB144" s="11"/>
      <c r="NC144" s="11"/>
      <c r="ND144" s="11"/>
      <c r="NE144" s="11"/>
      <c r="NF144" s="11"/>
      <c r="NG144" s="11"/>
      <c r="NH144" s="11"/>
      <c r="NI144" s="11"/>
      <c r="NJ144" s="11"/>
      <c r="NK144" s="11"/>
      <c r="NL144" s="11"/>
      <c r="NM144" s="11"/>
      <c r="NN144" s="11"/>
      <c r="NO144" s="11"/>
      <c r="NP144" s="11"/>
      <c r="NQ144" s="11"/>
      <c r="NR144" s="11"/>
      <c r="NS144" s="11"/>
      <c r="NT144" s="11"/>
      <c r="NU144" s="11"/>
      <c r="NV144" s="11"/>
      <c r="NW144" s="11"/>
      <c r="NX144" s="11"/>
      <c r="NY144" s="11"/>
      <c r="NZ144" s="11"/>
      <c r="OA144" s="11"/>
      <c r="OB144" s="11"/>
      <c r="OC144" s="11"/>
      <c r="OD144" s="11"/>
      <c r="OE144" s="11"/>
      <c r="OF144" s="11"/>
      <c r="OG144" s="11"/>
      <c r="OH144" s="11"/>
      <c r="OI144" s="11"/>
      <c r="OJ144" s="11"/>
      <c r="OK144" s="11"/>
      <c r="OL144" s="11"/>
      <c r="OM144" s="11"/>
      <c r="ON144" s="11"/>
      <c r="OO144" s="11"/>
      <c r="OP144" s="11"/>
      <c r="OQ144" s="11"/>
      <c r="OR144" s="11"/>
      <c r="OS144" s="11"/>
      <c r="OT144" s="11"/>
      <c r="OU144" s="11"/>
      <c r="OV144" s="11"/>
      <c r="OW144" s="11"/>
      <c r="OX144" s="11"/>
      <c r="OY144" s="11"/>
      <c r="OZ144" s="11"/>
      <c r="PA144" s="11"/>
      <c r="PB144" s="11"/>
      <c r="PC144" s="11"/>
      <c r="PD144" s="11"/>
      <c r="PE144" s="11"/>
      <c r="PF144" s="11"/>
      <c r="PG144" s="11"/>
      <c r="PH144" s="11"/>
      <c r="PI144" s="11"/>
      <c r="PJ144" s="11"/>
      <c r="PK144" s="11"/>
      <c r="PL144" s="11"/>
      <c r="PM144" s="11"/>
      <c r="PN144" s="11"/>
      <c r="PO144" s="11"/>
      <c r="PP144" s="11"/>
      <c r="PQ144" s="11"/>
      <c r="PR144" s="11"/>
      <c r="PS144" s="11"/>
      <c r="PT144" s="11"/>
      <c r="PU144" s="11"/>
      <c r="PV144" s="11"/>
      <c r="PW144" s="11"/>
      <c r="PX144" s="11"/>
      <c r="PY144" s="11"/>
      <c r="PZ144" s="11"/>
      <c r="QA144" s="11"/>
      <c r="QB144" s="11"/>
      <c r="QC144" s="11"/>
      <c r="QD144" s="11"/>
      <c r="QE144" s="11"/>
      <c r="QF144" s="11"/>
      <c r="QG144" s="11"/>
      <c r="QH144" s="11"/>
      <c r="QI144" s="11"/>
      <c r="QJ144" s="11"/>
      <c r="QK144" s="11"/>
      <c r="QL144" s="11"/>
      <c r="QM144" s="11"/>
      <c r="QN144" s="11"/>
      <c r="QO144" s="11"/>
      <c r="QP144" s="11"/>
      <c r="QQ144" s="11"/>
      <c r="QR144" s="11"/>
      <c r="QS144" s="11"/>
      <c r="QT144" s="11"/>
      <c r="QU144" s="11"/>
      <c r="QV144" s="11"/>
      <c r="QW144" s="11"/>
      <c r="QX144" s="11"/>
      <c r="QY144" s="11"/>
      <c r="QZ144" s="11"/>
      <c r="RA144" s="11"/>
      <c r="RB144" s="11"/>
      <c r="RC144" s="11"/>
      <c r="RD144" s="11"/>
      <c r="RE144" s="11"/>
      <c r="RF144" s="11"/>
      <c r="RG144" s="11"/>
      <c r="RH144" s="11"/>
      <c r="RI144" s="11"/>
      <c r="RJ144" s="11"/>
      <c r="RK144" s="11"/>
      <c r="RL144" s="11"/>
      <c r="RM144" s="11"/>
      <c r="RN144" s="11"/>
      <c r="RO144" s="11"/>
      <c r="RP144" s="11"/>
      <c r="RQ144" s="11"/>
      <c r="RR144" s="11"/>
      <c r="RS144" s="11"/>
      <c r="RT144" s="11"/>
      <c r="RU144" s="11"/>
      <c r="RV144" s="11"/>
      <c r="RW144" s="11"/>
      <c r="RX144" s="11"/>
      <c r="RY144" s="11"/>
      <c r="RZ144" s="11"/>
      <c r="SA144" s="11"/>
      <c r="SB144" s="11"/>
      <c r="SC144" s="11"/>
      <c r="SD144" s="11"/>
      <c r="SE144" s="11"/>
      <c r="SF144" s="11"/>
      <c r="SG144" s="11"/>
      <c r="SH144" s="11"/>
      <c r="SI144" s="11"/>
      <c r="SJ144" s="11"/>
      <c r="SK144" s="11"/>
      <c r="SL144" s="11"/>
      <c r="SM144" s="11"/>
      <c r="SN144" s="11"/>
      <c r="SO144" s="11"/>
      <c r="SP144" s="11"/>
      <c r="SQ144" s="11"/>
      <c r="SR144" s="11"/>
      <c r="SS144" s="11"/>
      <c r="ST144" s="11"/>
      <c r="SU144" s="11"/>
      <c r="SV144" s="11"/>
      <c r="SW144" s="11"/>
      <c r="SX144" s="11"/>
      <c r="SY144" s="11"/>
      <c r="SZ144" s="11"/>
      <c r="TA144" s="11"/>
      <c r="TB144" s="11"/>
      <c r="TC144" s="11"/>
      <c r="TD144" s="11"/>
      <c r="TE144" s="11"/>
      <c r="TF144" s="11"/>
      <c r="TG144" s="11"/>
      <c r="TH144" s="11"/>
      <c r="TI144" s="11"/>
      <c r="TJ144" s="11"/>
      <c r="TK144" s="11"/>
      <c r="TL144" s="11"/>
      <c r="TM144" s="11"/>
      <c r="TN144" s="11"/>
      <c r="TO144" s="11"/>
      <c r="TP144" s="11"/>
      <c r="TQ144" s="11"/>
      <c r="TR144" s="11"/>
      <c r="TS144" s="11"/>
      <c r="TT144" s="11"/>
      <c r="TU144" s="11"/>
      <c r="TV144" s="11"/>
      <c r="TW144" s="11"/>
      <c r="TX144" s="11"/>
      <c r="TY144" s="11"/>
      <c r="TZ144" s="11"/>
      <c r="UA144" s="11"/>
      <c r="UB144" s="11"/>
      <c r="UC144" s="11"/>
      <c r="UD144" s="11"/>
      <c r="UE144" s="11"/>
      <c r="UF144" s="11"/>
      <c r="UG144" s="11"/>
      <c r="UH144" s="11"/>
      <c r="UI144" s="11"/>
      <c r="UJ144" s="11"/>
      <c r="UK144" s="11"/>
      <c r="UL144" s="11"/>
      <c r="UM144" s="11"/>
      <c r="UN144" s="11"/>
      <c r="UO144" s="11"/>
      <c r="UP144" s="11"/>
      <c r="UQ144" s="11"/>
      <c r="UR144" s="11"/>
      <c r="US144" s="11"/>
      <c r="UT144" s="11"/>
      <c r="UU144" s="11"/>
      <c r="UV144" s="11"/>
      <c r="UW144" s="11"/>
      <c r="UX144" s="11"/>
      <c r="UY144" s="11"/>
      <c r="UZ144" s="11"/>
      <c r="VA144" s="11"/>
      <c r="VB144" s="11"/>
      <c r="VC144" s="11"/>
      <c r="VD144" s="11"/>
      <c r="VE144" s="11"/>
      <c r="VF144" s="11"/>
      <c r="VG144" s="11"/>
      <c r="VH144" s="11"/>
      <c r="VI144" s="11"/>
      <c r="VJ144" s="11"/>
      <c r="VK144" s="11"/>
      <c r="VL144" s="11"/>
      <c r="VM144" s="11"/>
      <c r="VN144" s="11"/>
      <c r="VO144" s="11"/>
      <c r="VP144" s="11"/>
      <c r="VQ144" s="11"/>
      <c r="VR144" s="11"/>
      <c r="VS144" s="11"/>
      <c r="VT144" s="11"/>
      <c r="VU144" s="11"/>
      <c r="VV144" s="11"/>
      <c r="VW144" s="11"/>
      <c r="VX144" s="11"/>
      <c r="VY144" s="11"/>
      <c r="VZ144" s="11"/>
      <c r="WA144" s="11"/>
      <c r="WB144" s="11"/>
      <c r="WC144" s="11"/>
      <c r="WD144" s="11"/>
      <c r="WE144" s="11"/>
      <c r="WF144" s="11"/>
      <c r="WG144" s="11"/>
      <c r="WH144" s="11"/>
      <c r="WI144" s="11"/>
      <c r="WJ144" s="11"/>
      <c r="WK144" s="11"/>
      <c r="WL144" s="11"/>
      <c r="WM144" s="11"/>
      <c r="WN144" s="11"/>
      <c r="WO144" s="11"/>
      <c r="WP144" s="11"/>
      <c r="WQ144" s="11"/>
      <c r="WR144" s="11"/>
      <c r="WS144" s="11"/>
      <c r="WT144" s="11"/>
      <c r="WU144" s="11"/>
      <c r="WV144" s="11"/>
      <c r="WW144" s="11"/>
      <c r="WX144" s="11"/>
      <c r="WY144" s="11"/>
      <c r="WZ144" s="11"/>
      <c r="XA144" s="11"/>
      <c r="XB144" s="11"/>
      <c r="XC144" s="11"/>
      <c r="XD144" s="11"/>
      <c r="XE144" s="11"/>
      <c r="XF144" s="11"/>
      <c r="XG144" s="11"/>
      <c r="XH144" s="11"/>
      <c r="XI144" s="11"/>
      <c r="XJ144" s="11"/>
      <c r="XK144" s="11"/>
      <c r="XL144" s="11"/>
      <c r="XM144" s="11"/>
      <c r="XN144" s="11"/>
      <c r="XO144" s="11"/>
      <c r="XP144" s="11"/>
      <c r="XQ144" s="11"/>
      <c r="XR144" s="11"/>
      <c r="XS144" s="11"/>
      <c r="XT144" s="11"/>
      <c r="XU144" s="11"/>
      <c r="XV144" s="11"/>
      <c r="XW144" s="11"/>
      <c r="XX144" s="11"/>
      <c r="XY144" s="11"/>
      <c r="XZ144" s="11"/>
      <c r="YA144" s="11"/>
      <c r="YB144" s="11"/>
      <c r="YC144" s="11"/>
      <c r="YD144" s="11"/>
      <c r="YE144" s="11"/>
      <c r="YF144" s="11"/>
      <c r="YG144" s="11"/>
      <c r="YH144" s="11"/>
      <c r="YI144" s="11"/>
      <c r="YJ144" s="11"/>
      <c r="YK144" s="11"/>
      <c r="YL144" s="11"/>
      <c r="YM144" s="11"/>
      <c r="YN144" s="11"/>
      <c r="YO144" s="11"/>
      <c r="YP144" s="11"/>
      <c r="YQ144" s="11"/>
      <c r="YR144" s="11"/>
      <c r="YS144" s="11"/>
      <c r="YT144" s="11"/>
      <c r="YU144" s="11"/>
      <c r="YV144" s="11"/>
      <c r="YW144" s="11"/>
      <c r="YX144" s="11"/>
      <c r="YY144" s="11"/>
      <c r="YZ144" s="11"/>
      <c r="ZA144" s="11"/>
      <c r="ZB144" s="11"/>
      <c r="ZC144" s="11"/>
      <c r="ZD144" s="11"/>
      <c r="ZE144" s="11"/>
      <c r="ZF144" s="11"/>
      <c r="ZG144" s="11"/>
      <c r="ZH144" s="11"/>
      <c r="ZI144" s="11"/>
      <c r="ZJ144" s="11"/>
      <c r="ZK144" s="11"/>
      <c r="ZL144" s="11"/>
      <c r="ZM144" s="11"/>
      <c r="ZN144" s="11"/>
      <c r="ZO144" s="11"/>
      <c r="ZP144" s="11"/>
      <c r="ZQ144" s="11"/>
      <c r="ZR144" s="11"/>
      <c r="ZS144" s="11"/>
      <c r="ZT144" s="11"/>
      <c r="ZU144" s="11"/>
      <c r="ZV144" s="11"/>
      <c r="ZW144" s="11"/>
      <c r="ZX144" s="11"/>
      <c r="ZY144" s="11"/>
      <c r="ZZ144" s="11"/>
      <c r="AAA144" s="11"/>
      <c r="AAB144" s="11"/>
      <c r="AAC144" s="11"/>
      <c r="AAD144" s="11"/>
      <c r="AAE144" s="11"/>
      <c r="AAF144" s="11"/>
      <c r="AAG144" s="11"/>
      <c r="AAH144" s="11"/>
      <c r="AAI144" s="11"/>
      <c r="AAJ144" s="11"/>
      <c r="AAK144" s="11"/>
      <c r="AAL144" s="11"/>
      <c r="AAM144" s="11"/>
      <c r="AAN144" s="11"/>
      <c r="AAO144" s="11"/>
      <c r="AAP144" s="11"/>
      <c r="AAQ144" s="11"/>
      <c r="AAR144" s="11"/>
      <c r="AAS144" s="11"/>
      <c r="AAT144" s="11"/>
      <c r="AAU144" s="11"/>
      <c r="AAV144" s="11"/>
      <c r="AAW144" s="11"/>
      <c r="AAX144" s="11"/>
      <c r="AAY144" s="11"/>
      <c r="AAZ144" s="11"/>
      <c r="ABA144" s="11"/>
      <c r="ABB144" s="11"/>
      <c r="ABC144" s="11"/>
      <c r="ABD144" s="11"/>
      <c r="ABE144" s="11"/>
      <c r="ABF144" s="11"/>
      <c r="ABG144" s="11"/>
      <c r="ABH144" s="11"/>
      <c r="ABI144" s="11"/>
      <c r="ABJ144" s="11"/>
      <c r="ABK144" s="11"/>
      <c r="ABL144" s="11"/>
      <c r="ABM144" s="11"/>
      <c r="ABN144" s="11"/>
      <c r="ABO144" s="11"/>
      <c r="ABP144" s="11"/>
      <c r="ABQ144" s="11"/>
      <c r="ABR144" s="11"/>
      <c r="ABS144" s="11"/>
      <c r="ABT144" s="11"/>
      <c r="ABU144" s="11"/>
      <c r="ABV144" s="11"/>
      <c r="ABW144" s="11"/>
      <c r="ABX144" s="11"/>
      <c r="ABY144" s="11"/>
      <c r="ABZ144" s="11"/>
      <c r="ACA144" s="11"/>
      <c r="ACB144" s="11"/>
      <c r="ACC144" s="11"/>
      <c r="ACD144" s="11"/>
      <c r="ACE144" s="11"/>
      <c r="ACF144" s="11"/>
      <c r="ACG144" s="11"/>
      <c r="ACH144" s="11"/>
      <c r="ACI144" s="11"/>
      <c r="ACJ144" s="11"/>
      <c r="ACK144" s="11"/>
      <c r="ACL144" s="11"/>
      <c r="ACM144" s="11"/>
      <c r="ACN144" s="11"/>
      <c r="ACO144" s="11"/>
      <c r="ACP144" s="11"/>
      <c r="ACQ144" s="11"/>
      <c r="ACR144" s="11"/>
      <c r="ACS144" s="11"/>
      <c r="ACT144" s="11"/>
      <c r="ACU144" s="11"/>
      <c r="ACV144" s="11"/>
      <c r="ACW144" s="11"/>
      <c r="ACX144" s="11"/>
      <c r="ACY144" s="11"/>
      <c r="ACZ144" s="11"/>
      <c r="ADA144" s="11"/>
      <c r="ADB144" s="11"/>
      <c r="ADC144" s="11"/>
      <c r="ADD144" s="11"/>
      <c r="ADE144" s="11"/>
      <c r="ADF144" s="11"/>
      <c r="ADG144" s="11"/>
      <c r="ADH144" s="11"/>
      <c r="ADI144" s="11"/>
      <c r="ADJ144" s="11"/>
      <c r="ADK144" s="11"/>
      <c r="ADL144" s="11"/>
      <c r="ADM144" s="11"/>
      <c r="ADN144" s="11"/>
      <c r="ADO144" s="11"/>
      <c r="ADP144" s="11"/>
      <c r="ADQ144" s="11"/>
      <c r="ADR144" s="11"/>
      <c r="ADS144" s="11"/>
      <c r="ADT144" s="11"/>
      <c r="ADU144" s="11"/>
      <c r="ADV144" s="11"/>
      <c r="ADW144" s="11"/>
      <c r="ADX144" s="11"/>
      <c r="ADY144" s="11"/>
      <c r="ADZ144" s="11"/>
      <c r="AEA144" s="11"/>
      <c r="AEB144" s="11"/>
      <c r="AEC144" s="11"/>
      <c r="AED144" s="11"/>
      <c r="AEE144" s="11"/>
      <c r="AEF144" s="11"/>
      <c r="AEG144" s="11"/>
      <c r="AEH144" s="11"/>
      <c r="AEI144" s="11"/>
      <c r="AEJ144" s="11"/>
      <c r="AEK144" s="11"/>
      <c r="AEL144" s="11"/>
      <c r="AEM144" s="11"/>
      <c r="AEN144" s="11"/>
      <c r="AEO144" s="11"/>
      <c r="AEP144" s="11"/>
      <c r="AEQ144" s="11"/>
      <c r="AER144" s="11"/>
      <c r="AES144" s="11"/>
      <c r="AET144" s="11"/>
      <c r="AEU144" s="11"/>
      <c r="AEV144" s="11"/>
      <c r="AEW144" s="11"/>
      <c r="AEX144" s="11"/>
      <c r="AEY144" s="11"/>
      <c r="AEZ144" s="11"/>
      <c r="AFA144" s="11"/>
      <c r="AFB144" s="11"/>
      <c r="AFC144" s="11"/>
      <c r="AFD144" s="11"/>
      <c r="AFE144" s="11"/>
      <c r="AFF144" s="11"/>
      <c r="AFG144" s="11"/>
      <c r="AFH144" s="11"/>
      <c r="AFI144" s="11"/>
    </row>
    <row r="145" spans="2:84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c r="IW145" s="11"/>
      <c r="IX145" s="11"/>
      <c r="IY145" s="11"/>
      <c r="IZ145" s="11"/>
      <c r="JA145" s="11"/>
      <c r="JB145" s="11"/>
      <c r="JC145" s="11"/>
      <c r="JD145" s="11"/>
      <c r="JE145" s="11"/>
      <c r="JF145" s="11"/>
      <c r="JG145" s="11"/>
      <c r="JH145" s="11"/>
      <c r="JI145" s="11"/>
      <c r="JJ145" s="11"/>
      <c r="JK145" s="11"/>
      <c r="JL145" s="11"/>
      <c r="JM145" s="11"/>
      <c r="JN145" s="11"/>
      <c r="JO145" s="11"/>
      <c r="JP145" s="11"/>
      <c r="JQ145" s="11"/>
      <c r="JR145" s="11"/>
      <c r="JS145" s="11"/>
      <c r="JT145" s="11"/>
      <c r="JU145" s="11"/>
      <c r="JV145" s="11"/>
      <c r="JW145" s="11"/>
      <c r="JX145" s="11"/>
      <c r="JY145" s="11"/>
      <c r="JZ145" s="11"/>
      <c r="KA145" s="11"/>
      <c r="KB145" s="11"/>
      <c r="KC145" s="11"/>
      <c r="KD145" s="11"/>
      <c r="KE145" s="11"/>
      <c r="KF145" s="11"/>
      <c r="KG145" s="11"/>
      <c r="KH145" s="11"/>
      <c r="KI145" s="11"/>
      <c r="KJ145" s="11"/>
      <c r="KK145" s="11"/>
      <c r="KL145" s="11"/>
      <c r="KM145" s="11"/>
      <c r="KN145" s="11"/>
      <c r="KO145" s="11"/>
      <c r="KP145" s="11"/>
      <c r="KQ145" s="11"/>
      <c r="KR145" s="11"/>
      <c r="KS145" s="11"/>
      <c r="KT145" s="11"/>
      <c r="KU145" s="11"/>
      <c r="KV145" s="11"/>
      <c r="KW145" s="11"/>
      <c r="KX145" s="11"/>
      <c r="KY145" s="11"/>
      <c r="KZ145" s="11"/>
      <c r="LA145" s="11"/>
      <c r="LB145" s="11"/>
      <c r="LC145" s="11"/>
      <c r="LD145" s="11"/>
      <c r="LE145" s="11"/>
      <c r="LF145" s="11"/>
      <c r="LG145" s="11"/>
      <c r="LH145" s="11"/>
      <c r="LI145" s="11"/>
      <c r="LJ145" s="11"/>
      <c r="LK145" s="11"/>
      <c r="LL145" s="11"/>
      <c r="LM145" s="11"/>
      <c r="LN145" s="11"/>
      <c r="LO145" s="11"/>
      <c r="LP145" s="11"/>
      <c r="LQ145" s="11"/>
      <c r="LR145" s="11"/>
      <c r="LS145" s="11"/>
      <c r="LT145" s="11"/>
      <c r="LU145" s="11"/>
      <c r="LV145" s="11"/>
      <c r="LW145" s="11"/>
      <c r="LX145" s="11"/>
      <c r="LY145" s="11"/>
      <c r="LZ145" s="11"/>
      <c r="MA145" s="11"/>
      <c r="MB145" s="11"/>
      <c r="MC145" s="11"/>
      <c r="MD145" s="11"/>
      <c r="ME145" s="11"/>
      <c r="MF145" s="11"/>
      <c r="MG145" s="11"/>
      <c r="MH145" s="11"/>
      <c r="MI145" s="11"/>
      <c r="MJ145" s="11"/>
      <c r="MK145" s="11"/>
      <c r="ML145" s="11"/>
      <c r="MM145" s="11"/>
      <c r="MN145" s="11"/>
      <c r="MO145" s="11"/>
      <c r="MP145" s="11"/>
      <c r="MQ145" s="11"/>
      <c r="MR145" s="11"/>
      <c r="MS145" s="11"/>
      <c r="MT145" s="11"/>
      <c r="MU145" s="11"/>
      <c r="MV145" s="11"/>
      <c r="MW145" s="11"/>
      <c r="MX145" s="11"/>
      <c r="MY145" s="11"/>
      <c r="MZ145" s="11"/>
      <c r="NA145" s="11"/>
      <c r="NB145" s="11"/>
      <c r="NC145" s="11"/>
      <c r="ND145" s="11"/>
      <c r="NE145" s="11"/>
      <c r="NF145" s="11"/>
      <c r="NG145" s="11"/>
      <c r="NH145" s="11"/>
      <c r="NI145" s="11"/>
      <c r="NJ145" s="11"/>
      <c r="NK145" s="11"/>
      <c r="NL145" s="11"/>
      <c r="NM145" s="11"/>
      <c r="NN145" s="11"/>
      <c r="NO145" s="11"/>
      <c r="NP145" s="11"/>
      <c r="NQ145" s="11"/>
      <c r="NR145" s="11"/>
      <c r="NS145" s="11"/>
      <c r="NT145" s="11"/>
      <c r="NU145" s="11"/>
      <c r="NV145" s="11"/>
      <c r="NW145" s="11"/>
      <c r="NX145" s="11"/>
      <c r="NY145" s="11"/>
      <c r="NZ145" s="11"/>
      <c r="OA145" s="11"/>
      <c r="OB145" s="11"/>
      <c r="OC145" s="11"/>
      <c r="OD145" s="11"/>
      <c r="OE145" s="11"/>
      <c r="OF145" s="11"/>
      <c r="OG145" s="11"/>
      <c r="OH145" s="11"/>
      <c r="OI145" s="11"/>
      <c r="OJ145" s="11"/>
      <c r="OK145" s="11"/>
      <c r="OL145" s="11"/>
      <c r="OM145" s="11"/>
      <c r="ON145" s="11"/>
      <c r="OO145" s="11"/>
      <c r="OP145" s="11"/>
      <c r="OQ145" s="11"/>
      <c r="OR145" s="11"/>
      <c r="OS145" s="11"/>
      <c r="OT145" s="11"/>
      <c r="OU145" s="11"/>
      <c r="OV145" s="11"/>
      <c r="OW145" s="11"/>
      <c r="OX145" s="11"/>
      <c r="OY145" s="11"/>
      <c r="OZ145" s="11"/>
      <c r="PA145" s="11"/>
      <c r="PB145" s="11"/>
      <c r="PC145" s="11"/>
      <c r="PD145" s="11"/>
      <c r="PE145" s="11"/>
      <c r="PF145" s="11"/>
      <c r="PG145" s="11"/>
      <c r="PH145" s="11"/>
      <c r="PI145" s="11"/>
      <c r="PJ145" s="11"/>
      <c r="PK145" s="11"/>
      <c r="PL145" s="11"/>
      <c r="PM145" s="11"/>
      <c r="PN145" s="11"/>
      <c r="PO145" s="11"/>
      <c r="PP145" s="11"/>
      <c r="PQ145" s="11"/>
      <c r="PR145" s="11"/>
      <c r="PS145" s="11"/>
      <c r="PT145" s="11"/>
      <c r="PU145" s="11"/>
      <c r="PV145" s="11"/>
      <c r="PW145" s="11"/>
      <c r="PX145" s="11"/>
      <c r="PY145" s="11"/>
      <c r="PZ145" s="11"/>
      <c r="QA145" s="11"/>
      <c r="QB145" s="11"/>
      <c r="QC145" s="11"/>
      <c r="QD145" s="11"/>
      <c r="QE145" s="11"/>
      <c r="QF145" s="11"/>
      <c r="QG145" s="11"/>
      <c r="QH145" s="11"/>
      <c r="QI145" s="11"/>
      <c r="QJ145" s="11"/>
      <c r="QK145" s="11"/>
      <c r="QL145" s="11"/>
      <c r="QM145" s="11"/>
      <c r="QN145" s="11"/>
      <c r="QO145" s="11"/>
      <c r="QP145" s="11"/>
      <c r="QQ145" s="11"/>
      <c r="QR145" s="11"/>
      <c r="QS145" s="11"/>
      <c r="QT145" s="11"/>
      <c r="QU145" s="11"/>
      <c r="QV145" s="11"/>
      <c r="QW145" s="11"/>
      <c r="QX145" s="11"/>
      <c r="QY145" s="11"/>
      <c r="QZ145" s="11"/>
      <c r="RA145" s="11"/>
      <c r="RB145" s="11"/>
      <c r="RC145" s="11"/>
      <c r="RD145" s="11"/>
      <c r="RE145" s="11"/>
      <c r="RF145" s="11"/>
      <c r="RG145" s="11"/>
      <c r="RH145" s="11"/>
      <c r="RI145" s="11"/>
      <c r="RJ145" s="11"/>
      <c r="RK145" s="11"/>
      <c r="RL145" s="11"/>
      <c r="RM145" s="11"/>
      <c r="RN145" s="11"/>
      <c r="RO145" s="11"/>
      <c r="RP145" s="11"/>
      <c r="RQ145" s="11"/>
      <c r="RR145" s="11"/>
      <c r="RS145" s="11"/>
      <c r="RT145" s="11"/>
      <c r="RU145" s="11"/>
      <c r="RV145" s="11"/>
      <c r="RW145" s="11"/>
      <c r="RX145" s="11"/>
      <c r="RY145" s="11"/>
      <c r="RZ145" s="11"/>
      <c r="SA145" s="11"/>
      <c r="SB145" s="11"/>
      <c r="SC145" s="11"/>
      <c r="SD145" s="11"/>
      <c r="SE145" s="11"/>
      <c r="SF145" s="11"/>
      <c r="SG145" s="11"/>
      <c r="SH145" s="11"/>
      <c r="SI145" s="11"/>
      <c r="SJ145" s="11"/>
      <c r="SK145" s="11"/>
      <c r="SL145" s="11"/>
      <c r="SM145" s="11"/>
      <c r="SN145" s="11"/>
      <c r="SO145" s="11"/>
      <c r="SP145" s="11"/>
      <c r="SQ145" s="11"/>
      <c r="SR145" s="11"/>
      <c r="SS145" s="11"/>
      <c r="ST145" s="11"/>
      <c r="SU145" s="11"/>
      <c r="SV145" s="11"/>
      <c r="SW145" s="11"/>
      <c r="SX145" s="11"/>
      <c r="SY145" s="11"/>
      <c r="SZ145" s="11"/>
      <c r="TA145" s="11"/>
      <c r="TB145" s="11"/>
      <c r="TC145" s="11"/>
      <c r="TD145" s="11"/>
      <c r="TE145" s="11"/>
      <c r="TF145" s="11"/>
      <c r="TG145" s="11"/>
      <c r="TH145" s="11"/>
      <c r="TI145" s="11"/>
      <c r="TJ145" s="11"/>
      <c r="TK145" s="11"/>
      <c r="TL145" s="11"/>
      <c r="TM145" s="11"/>
      <c r="TN145" s="11"/>
      <c r="TO145" s="11"/>
      <c r="TP145" s="11"/>
      <c r="TQ145" s="11"/>
      <c r="TR145" s="11"/>
      <c r="TS145" s="11"/>
      <c r="TT145" s="11"/>
      <c r="TU145" s="11"/>
      <c r="TV145" s="11"/>
      <c r="TW145" s="11"/>
      <c r="TX145" s="11"/>
      <c r="TY145" s="11"/>
      <c r="TZ145" s="11"/>
      <c r="UA145" s="11"/>
      <c r="UB145" s="11"/>
      <c r="UC145" s="11"/>
      <c r="UD145" s="11"/>
      <c r="UE145" s="11"/>
      <c r="UF145" s="11"/>
      <c r="UG145" s="11"/>
      <c r="UH145" s="11"/>
      <c r="UI145" s="11"/>
      <c r="UJ145" s="11"/>
      <c r="UK145" s="11"/>
      <c r="UL145" s="11"/>
      <c r="UM145" s="11"/>
      <c r="UN145" s="11"/>
      <c r="UO145" s="11"/>
      <c r="UP145" s="11"/>
      <c r="UQ145" s="11"/>
      <c r="UR145" s="11"/>
      <c r="US145" s="11"/>
      <c r="UT145" s="11"/>
      <c r="UU145" s="11"/>
      <c r="UV145" s="11"/>
      <c r="UW145" s="11"/>
      <c r="UX145" s="11"/>
      <c r="UY145" s="11"/>
      <c r="UZ145" s="11"/>
      <c r="VA145" s="11"/>
      <c r="VB145" s="11"/>
      <c r="VC145" s="11"/>
      <c r="VD145" s="11"/>
      <c r="VE145" s="11"/>
      <c r="VF145" s="11"/>
      <c r="VG145" s="11"/>
      <c r="VH145" s="11"/>
      <c r="VI145" s="11"/>
      <c r="VJ145" s="11"/>
      <c r="VK145" s="11"/>
      <c r="VL145" s="11"/>
      <c r="VM145" s="11"/>
      <c r="VN145" s="11"/>
      <c r="VO145" s="11"/>
      <c r="VP145" s="11"/>
      <c r="VQ145" s="11"/>
      <c r="VR145" s="11"/>
      <c r="VS145" s="11"/>
      <c r="VT145" s="11"/>
      <c r="VU145" s="11"/>
      <c r="VV145" s="11"/>
      <c r="VW145" s="11"/>
      <c r="VX145" s="11"/>
      <c r="VY145" s="11"/>
      <c r="VZ145" s="11"/>
      <c r="WA145" s="11"/>
      <c r="WB145" s="11"/>
      <c r="WC145" s="11"/>
      <c r="WD145" s="11"/>
      <c r="WE145" s="11"/>
      <c r="WF145" s="11"/>
      <c r="WG145" s="11"/>
      <c r="WH145" s="11"/>
      <c r="WI145" s="11"/>
      <c r="WJ145" s="11"/>
      <c r="WK145" s="11"/>
      <c r="WL145" s="11"/>
      <c r="WM145" s="11"/>
      <c r="WN145" s="11"/>
      <c r="WO145" s="11"/>
      <c r="WP145" s="11"/>
      <c r="WQ145" s="11"/>
      <c r="WR145" s="11"/>
      <c r="WS145" s="11"/>
      <c r="WT145" s="11"/>
      <c r="WU145" s="11"/>
      <c r="WV145" s="11"/>
      <c r="WW145" s="11"/>
      <c r="WX145" s="11"/>
      <c r="WY145" s="11"/>
      <c r="WZ145" s="11"/>
      <c r="XA145" s="11"/>
      <c r="XB145" s="11"/>
      <c r="XC145" s="11"/>
      <c r="XD145" s="11"/>
      <c r="XE145" s="11"/>
      <c r="XF145" s="11"/>
      <c r="XG145" s="11"/>
      <c r="XH145" s="11"/>
      <c r="XI145" s="11"/>
      <c r="XJ145" s="11"/>
      <c r="XK145" s="11"/>
      <c r="XL145" s="11"/>
      <c r="XM145" s="11"/>
      <c r="XN145" s="11"/>
      <c r="XO145" s="11"/>
      <c r="XP145" s="11"/>
      <c r="XQ145" s="11"/>
      <c r="XR145" s="11"/>
      <c r="XS145" s="11"/>
      <c r="XT145" s="11"/>
      <c r="XU145" s="11"/>
      <c r="XV145" s="11"/>
      <c r="XW145" s="11"/>
      <c r="XX145" s="11"/>
      <c r="XY145" s="11"/>
      <c r="XZ145" s="11"/>
      <c r="YA145" s="11"/>
      <c r="YB145" s="11"/>
      <c r="YC145" s="11"/>
      <c r="YD145" s="11"/>
      <c r="YE145" s="11"/>
      <c r="YF145" s="11"/>
      <c r="YG145" s="11"/>
      <c r="YH145" s="11"/>
      <c r="YI145" s="11"/>
      <c r="YJ145" s="11"/>
      <c r="YK145" s="11"/>
      <c r="YL145" s="11"/>
      <c r="YM145" s="11"/>
      <c r="YN145" s="11"/>
      <c r="YO145" s="11"/>
      <c r="YP145" s="11"/>
      <c r="YQ145" s="11"/>
      <c r="YR145" s="11"/>
      <c r="YS145" s="11"/>
      <c r="YT145" s="11"/>
      <c r="YU145" s="11"/>
      <c r="YV145" s="11"/>
      <c r="YW145" s="11"/>
      <c r="YX145" s="11"/>
      <c r="YY145" s="11"/>
      <c r="YZ145" s="11"/>
      <c r="ZA145" s="11"/>
      <c r="ZB145" s="11"/>
      <c r="ZC145" s="11"/>
      <c r="ZD145" s="11"/>
      <c r="ZE145" s="11"/>
      <c r="ZF145" s="11"/>
      <c r="ZG145" s="11"/>
      <c r="ZH145" s="11"/>
      <c r="ZI145" s="11"/>
      <c r="ZJ145" s="11"/>
      <c r="ZK145" s="11"/>
      <c r="ZL145" s="11"/>
      <c r="ZM145" s="11"/>
      <c r="ZN145" s="11"/>
      <c r="ZO145" s="11"/>
      <c r="ZP145" s="11"/>
      <c r="ZQ145" s="11"/>
      <c r="ZR145" s="11"/>
      <c r="ZS145" s="11"/>
      <c r="ZT145" s="11"/>
      <c r="ZU145" s="11"/>
      <c r="ZV145" s="11"/>
      <c r="ZW145" s="11"/>
      <c r="ZX145" s="11"/>
      <c r="ZY145" s="11"/>
      <c r="ZZ145" s="11"/>
      <c r="AAA145" s="11"/>
      <c r="AAB145" s="11"/>
      <c r="AAC145" s="11"/>
      <c r="AAD145" s="11"/>
      <c r="AAE145" s="11"/>
      <c r="AAF145" s="11"/>
      <c r="AAG145" s="11"/>
      <c r="AAH145" s="11"/>
      <c r="AAI145" s="11"/>
      <c r="AAJ145" s="11"/>
      <c r="AAK145" s="11"/>
      <c r="AAL145" s="11"/>
      <c r="AAM145" s="11"/>
      <c r="AAN145" s="11"/>
      <c r="AAO145" s="11"/>
      <c r="AAP145" s="11"/>
      <c r="AAQ145" s="11"/>
      <c r="AAR145" s="11"/>
      <c r="AAS145" s="11"/>
      <c r="AAT145" s="11"/>
      <c r="AAU145" s="11"/>
      <c r="AAV145" s="11"/>
      <c r="AAW145" s="11"/>
      <c r="AAX145" s="11"/>
      <c r="AAY145" s="11"/>
      <c r="AAZ145" s="11"/>
      <c r="ABA145" s="11"/>
      <c r="ABB145" s="11"/>
      <c r="ABC145" s="11"/>
      <c r="ABD145" s="11"/>
      <c r="ABE145" s="11"/>
      <c r="ABF145" s="11"/>
      <c r="ABG145" s="11"/>
      <c r="ABH145" s="11"/>
      <c r="ABI145" s="11"/>
      <c r="ABJ145" s="11"/>
      <c r="ABK145" s="11"/>
      <c r="ABL145" s="11"/>
      <c r="ABM145" s="11"/>
      <c r="ABN145" s="11"/>
      <c r="ABO145" s="11"/>
      <c r="ABP145" s="11"/>
      <c r="ABQ145" s="11"/>
      <c r="ABR145" s="11"/>
      <c r="ABS145" s="11"/>
      <c r="ABT145" s="11"/>
      <c r="ABU145" s="11"/>
      <c r="ABV145" s="11"/>
      <c r="ABW145" s="11"/>
      <c r="ABX145" s="11"/>
      <c r="ABY145" s="11"/>
      <c r="ABZ145" s="11"/>
      <c r="ACA145" s="11"/>
      <c r="ACB145" s="11"/>
      <c r="ACC145" s="11"/>
      <c r="ACD145" s="11"/>
      <c r="ACE145" s="11"/>
      <c r="ACF145" s="11"/>
      <c r="ACG145" s="11"/>
      <c r="ACH145" s="11"/>
      <c r="ACI145" s="11"/>
      <c r="ACJ145" s="11"/>
      <c r="ACK145" s="11"/>
      <c r="ACL145" s="11"/>
      <c r="ACM145" s="11"/>
      <c r="ACN145" s="11"/>
      <c r="ACO145" s="11"/>
      <c r="ACP145" s="11"/>
      <c r="ACQ145" s="11"/>
      <c r="ACR145" s="11"/>
      <c r="ACS145" s="11"/>
      <c r="ACT145" s="11"/>
      <c r="ACU145" s="11"/>
      <c r="ACV145" s="11"/>
      <c r="ACW145" s="11"/>
      <c r="ACX145" s="11"/>
      <c r="ACY145" s="11"/>
      <c r="ACZ145" s="11"/>
      <c r="ADA145" s="11"/>
      <c r="ADB145" s="11"/>
      <c r="ADC145" s="11"/>
      <c r="ADD145" s="11"/>
      <c r="ADE145" s="11"/>
      <c r="ADF145" s="11"/>
      <c r="ADG145" s="11"/>
      <c r="ADH145" s="11"/>
      <c r="ADI145" s="11"/>
      <c r="ADJ145" s="11"/>
      <c r="ADK145" s="11"/>
      <c r="ADL145" s="11"/>
      <c r="ADM145" s="11"/>
      <c r="ADN145" s="11"/>
      <c r="ADO145" s="11"/>
      <c r="ADP145" s="11"/>
      <c r="ADQ145" s="11"/>
      <c r="ADR145" s="11"/>
      <c r="ADS145" s="11"/>
      <c r="ADT145" s="11"/>
      <c r="ADU145" s="11"/>
      <c r="ADV145" s="11"/>
      <c r="ADW145" s="11"/>
      <c r="ADX145" s="11"/>
      <c r="ADY145" s="11"/>
      <c r="ADZ145" s="11"/>
      <c r="AEA145" s="11"/>
      <c r="AEB145" s="11"/>
      <c r="AEC145" s="11"/>
      <c r="AED145" s="11"/>
      <c r="AEE145" s="11"/>
      <c r="AEF145" s="11"/>
      <c r="AEG145" s="11"/>
      <c r="AEH145" s="11"/>
      <c r="AEI145" s="11"/>
      <c r="AEJ145" s="11"/>
      <c r="AEK145" s="11"/>
      <c r="AEL145" s="11"/>
      <c r="AEM145" s="11"/>
      <c r="AEN145" s="11"/>
      <c r="AEO145" s="11"/>
      <c r="AEP145" s="11"/>
      <c r="AEQ145" s="11"/>
      <c r="AER145" s="11"/>
      <c r="AES145" s="11"/>
      <c r="AET145" s="11"/>
      <c r="AEU145" s="11"/>
      <c r="AEV145" s="11"/>
      <c r="AEW145" s="11"/>
      <c r="AEX145" s="11"/>
      <c r="AEY145" s="11"/>
      <c r="AEZ145" s="11"/>
      <c r="AFA145" s="11"/>
      <c r="AFB145" s="11"/>
      <c r="AFC145" s="11"/>
      <c r="AFD145" s="11"/>
      <c r="AFE145" s="11"/>
      <c r="AFF145" s="11"/>
      <c r="AFG145" s="11"/>
      <c r="AFH145" s="11"/>
      <c r="AFI145" s="11"/>
    </row>
    <row r="146" spans="2:84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c r="IW146" s="11"/>
      <c r="IX146" s="11"/>
      <c r="IY146" s="11"/>
      <c r="IZ146" s="11"/>
      <c r="JA146" s="11"/>
      <c r="JB146" s="11"/>
      <c r="JC146" s="11"/>
      <c r="JD146" s="11"/>
      <c r="JE146" s="11"/>
      <c r="JF146" s="11"/>
      <c r="JG146" s="11"/>
      <c r="JH146" s="11"/>
      <c r="JI146" s="11"/>
      <c r="JJ146" s="11"/>
      <c r="JK146" s="11"/>
      <c r="JL146" s="11"/>
      <c r="JM146" s="11"/>
      <c r="JN146" s="11"/>
      <c r="JO146" s="11"/>
      <c r="JP146" s="11"/>
      <c r="JQ146" s="11"/>
      <c r="JR146" s="11"/>
      <c r="JS146" s="11"/>
      <c r="JT146" s="11"/>
      <c r="JU146" s="11"/>
      <c r="JV146" s="11"/>
      <c r="JW146" s="11"/>
      <c r="JX146" s="11"/>
      <c r="JY146" s="11"/>
      <c r="JZ146" s="11"/>
      <c r="KA146" s="11"/>
      <c r="KB146" s="11"/>
      <c r="KC146" s="11"/>
      <c r="KD146" s="11"/>
      <c r="KE146" s="11"/>
      <c r="KF146" s="11"/>
      <c r="KG146" s="11"/>
      <c r="KH146" s="11"/>
      <c r="KI146" s="11"/>
      <c r="KJ146" s="11"/>
      <c r="KK146" s="11"/>
      <c r="KL146" s="11"/>
      <c r="KM146" s="11"/>
      <c r="KN146" s="11"/>
      <c r="KO146" s="11"/>
      <c r="KP146" s="11"/>
      <c r="KQ146" s="11"/>
      <c r="KR146" s="11"/>
      <c r="KS146" s="11"/>
      <c r="KT146" s="11"/>
      <c r="KU146" s="11"/>
      <c r="KV146" s="11"/>
      <c r="KW146" s="11"/>
      <c r="KX146" s="11"/>
      <c r="KY146" s="11"/>
      <c r="KZ146" s="11"/>
      <c r="LA146" s="11"/>
      <c r="LB146" s="11"/>
      <c r="LC146" s="11"/>
      <c r="LD146" s="11"/>
      <c r="LE146" s="11"/>
      <c r="LF146" s="11"/>
      <c r="LG146" s="11"/>
      <c r="LH146" s="11"/>
      <c r="LI146" s="11"/>
      <c r="LJ146" s="11"/>
      <c r="LK146" s="11"/>
      <c r="LL146" s="11"/>
      <c r="LM146" s="11"/>
      <c r="LN146" s="11"/>
      <c r="LO146" s="11"/>
      <c r="LP146" s="11"/>
      <c r="LQ146" s="11"/>
      <c r="LR146" s="11"/>
      <c r="LS146" s="11"/>
      <c r="LT146" s="11"/>
      <c r="LU146" s="11"/>
      <c r="LV146" s="11"/>
      <c r="LW146" s="11"/>
      <c r="LX146" s="11"/>
      <c r="LY146" s="11"/>
      <c r="LZ146" s="11"/>
      <c r="MA146" s="11"/>
      <c r="MB146" s="11"/>
      <c r="MC146" s="11"/>
      <c r="MD146" s="11"/>
      <c r="ME146" s="11"/>
      <c r="MF146" s="11"/>
      <c r="MG146" s="11"/>
      <c r="MH146" s="11"/>
      <c r="MI146" s="11"/>
      <c r="MJ146" s="11"/>
      <c r="MK146" s="11"/>
      <c r="ML146" s="11"/>
      <c r="MM146" s="11"/>
      <c r="MN146" s="11"/>
      <c r="MO146" s="11"/>
      <c r="MP146" s="11"/>
      <c r="MQ146" s="11"/>
      <c r="MR146" s="11"/>
      <c r="MS146" s="11"/>
      <c r="MT146" s="11"/>
      <c r="MU146" s="11"/>
      <c r="MV146" s="11"/>
      <c r="MW146" s="11"/>
      <c r="MX146" s="11"/>
      <c r="MY146" s="11"/>
      <c r="MZ146" s="11"/>
      <c r="NA146" s="11"/>
      <c r="NB146" s="11"/>
      <c r="NC146" s="11"/>
      <c r="ND146" s="11"/>
      <c r="NE146" s="11"/>
      <c r="NF146" s="11"/>
      <c r="NG146" s="11"/>
      <c r="NH146" s="11"/>
      <c r="NI146" s="11"/>
      <c r="NJ146" s="11"/>
      <c r="NK146" s="11"/>
      <c r="NL146" s="11"/>
      <c r="NM146" s="11"/>
      <c r="NN146" s="11"/>
      <c r="NO146" s="11"/>
      <c r="NP146" s="11"/>
      <c r="NQ146" s="11"/>
      <c r="NR146" s="11"/>
      <c r="NS146" s="11"/>
      <c r="NT146" s="11"/>
      <c r="NU146" s="11"/>
      <c r="NV146" s="11"/>
      <c r="NW146" s="11"/>
      <c r="NX146" s="11"/>
      <c r="NY146" s="11"/>
      <c r="NZ146" s="11"/>
      <c r="OA146" s="11"/>
      <c r="OB146" s="11"/>
      <c r="OC146" s="11"/>
      <c r="OD146" s="11"/>
      <c r="OE146" s="11"/>
      <c r="OF146" s="11"/>
      <c r="OG146" s="11"/>
      <c r="OH146" s="11"/>
      <c r="OI146" s="11"/>
      <c r="OJ146" s="11"/>
      <c r="OK146" s="11"/>
      <c r="OL146" s="11"/>
      <c r="OM146" s="11"/>
      <c r="ON146" s="11"/>
      <c r="OO146" s="11"/>
      <c r="OP146" s="11"/>
      <c r="OQ146" s="11"/>
      <c r="OR146" s="11"/>
      <c r="OS146" s="11"/>
      <c r="OT146" s="11"/>
      <c r="OU146" s="11"/>
      <c r="OV146" s="11"/>
      <c r="OW146" s="11"/>
      <c r="OX146" s="11"/>
      <c r="OY146" s="11"/>
      <c r="OZ146" s="11"/>
      <c r="PA146" s="11"/>
      <c r="PB146" s="11"/>
      <c r="PC146" s="11"/>
      <c r="PD146" s="11"/>
      <c r="PE146" s="11"/>
      <c r="PF146" s="11"/>
      <c r="PG146" s="11"/>
      <c r="PH146" s="11"/>
      <c r="PI146" s="11"/>
      <c r="PJ146" s="11"/>
      <c r="PK146" s="11"/>
      <c r="PL146" s="11"/>
      <c r="PM146" s="11"/>
      <c r="PN146" s="11"/>
      <c r="PO146" s="11"/>
      <c r="PP146" s="11"/>
      <c r="PQ146" s="11"/>
      <c r="PR146" s="11"/>
      <c r="PS146" s="11"/>
      <c r="PT146" s="11"/>
      <c r="PU146" s="11"/>
      <c r="PV146" s="11"/>
      <c r="PW146" s="11"/>
      <c r="PX146" s="11"/>
      <c r="PY146" s="11"/>
      <c r="PZ146" s="11"/>
      <c r="QA146" s="11"/>
      <c r="QB146" s="11"/>
      <c r="QC146" s="11"/>
      <c r="QD146" s="11"/>
      <c r="QE146" s="11"/>
      <c r="QF146" s="11"/>
      <c r="QG146" s="11"/>
      <c r="QH146" s="11"/>
      <c r="QI146" s="11"/>
      <c r="QJ146" s="11"/>
      <c r="QK146" s="11"/>
      <c r="QL146" s="11"/>
      <c r="QM146" s="11"/>
      <c r="QN146" s="11"/>
      <c r="QO146" s="11"/>
      <c r="QP146" s="11"/>
      <c r="QQ146" s="11"/>
      <c r="QR146" s="11"/>
      <c r="QS146" s="11"/>
      <c r="QT146" s="11"/>
      <c r="QU146" s="11"/>
      <c r="QV146" s="11"/>
      <c r="QW146" s="11"/>
      <c r="QX146" s="11"/>
      <c r="QY146" s="11"/>
      <c r="QZ146" s="11"/>
      <c r="RA146" s="11"/>
      <c r="RB146" s="11"/>
      <c r="RC146" s="11"/>
      <c r="RD146" s="11"/>
      <c r="RE146" s="11"/>
      <c r="RF146" s="11"/>
      <c r="RG146" s="11"/>
      <c r="RH146" s="11"/>
      <c r="RI146" s="11"/>
      <c r="RJ146" s="11"/>
      <c r="RK146" s="11"/>
      <c r="RL146" s="11"/>
      <c r="RM146" s="11"/>
      <c r="RN146" s="11"/>
      <c r="RO146" s="11"/>
      <c r="RP146" s="11"/>
      <c r="RQ146" s="11"/>
      <c r="RR146" s="11"/>
      <c r="RS146" s="11"/>
      <c r="RT146" s="11"/>
      <c r="RU146" s="11"/>
      <c r="RV146" s="11"/>
      <c r="RW146" s="11"/>
      <c r="RX146" s="11"/>
      <c r="RY146" s="11"/>
      <c r="RZ146" s="11"/>
      <c r="SA146" s="11"/>
      <c r="SB146" s="11"/>
      <c r="SC146" s="11"/>
      <c r="SD146" s="11"/>
      <c r="SE146" s="11"/>
      <c r="SF146" s="11"/>
      <c r="SG146" s="11"/>
      <c r="SH146" s="11"/>
      <c r="SI146" s="11"/>
      <c r="SJ146" s="11"/>
      <c r="SK146" s="11"/>
      <c r="SL146" s="11"/>
      <c r="SM146" s="11"/>
      <c r="SN146" s="11"/>
      <c r="SO146" s="11"/>
      <c r="SP146" s="11"/>
      <c r="SQ146" s="11"/>
      <c r="SR146" s="11"/>
      <c r="SS146" s="11"/>
      <c r="ST146" s="11"/>
      <c r="SU146" s="11"/>
      <c r="SV146" s="11"/>
      <c r="SW146" s="11"/>
      <c r="SX146" s="11"/>
      <c r="SY146" s="11"/>
      <c r="SZ146" s="11"/>
      <c r="TA146" s="11"/>
      <c r="TB146" s="11"/>
      <c r="TC146" s="11"/>
      <c r="TD146" s="11"/>
      <c r="TE146" s="11"/>
      <c r="TF146" s="11"/>
      <c r="TG146" s="11"/>
      <c r="TH146" s="11"/>
      <c r="TI146" s="11"/>
      <c r="TJ146" s="11"/>
      <c r="TK146" s="11"/>
      <c r="TL146" s="11"/>
      <c r="TM146" s="11"/>
      <c r="TN146" s="11"/>
      <c r="TO146" s="11"/>
      <c r="TP146" s="11"/>
      <c r="TQ146" s="11"/>
      <c r="TR146" s="11"/>
      <c r="TS146" s="11"/>
      <c r="TT146" s="11"/>
      <c r="TU146" s="11"/>
      <c r="TV146" s="11"/>
      <c r="TW146" s="11"/>
      <c r="TX146" s="11"/>
      <c r="TY146" s="11"/>
      <c r="TZ146" s="11"/>
      <c r="UA146" s="11"/>
      <c r="UB146" s="11"/>
      <c r="UC146" s="11"/>
      <c r="UD146" s="11"/>
      <c r="UE146" s="11"/>
      <c r="UF146" s="11"/>
      <c r="UG146" s="11"/>
      <c r="UH146" s="11"/>
      <c r="UI146" s="11"/>
      <c r="UJ146" s="11"/>
      <c r="UK146" s="11"/>
      <c r="UL146" s="11"/>
      <c r="UM146" s="11"/>
      <c r="UN146" s="11"/>
      <c r="UO146" s="11"/>
      <c r="UP146" s="11"/>
      <c r="UQ146" s="11"/>
      <c r="UR146" s="11"/>
      <c r="US146" s="11"/>
      <c r="UT146" s="11"/>
      <c r="UU146" s="11"/>
      <c r="UV146" s="11"/>
      <c r="UW146" s="11"/>
      <c r="UX146" s="11"/>
      <c r="UY146" s="11"/>
      <c r="UZ146" s="11"/>
      <c r="VA146" s="11"/>
      <c r="VB146" s="11"/>
      <c r="VC146" s="11"/>
      <c r="VD146" s="11"/>
      <c r="VE146" s="11"/>
      <c r="VF146" s="11"/>
      <c r="VG146" s="11"/>
      <c r="VH146" s="11"/>
      <c r="VI146" s="11"/>
      <c r="VJ146" s="11"/>
      <c r="VK146" s="11"/>
      <c r="VL146" s="11"/>
      <c r="VM146" s="11"/>
      <c r="VN146" s="11"/>
      <c r="VO146" s="11"/>
      <c r="VP146" s="11"/>
      <c r="VQ146" s="11"/>
      <c r="VR146" s="11"/>
      <c r="VS146" s="11"/>
      <c r="VT146" s="11"/>
      <c r="VU146" s="11"/>
      <c r="VV146" s="11"/>
      <c r="VW146" s="11"/>
      <c r="VX146" s="11"/>
      <c r="VY146" s="11"/>
      <c r="VZ146" s="11"/>
      <c r="WA146" s="11"/>
      <c r="WB146" s="11"/>
      <c r="WC146" s="11"/>
      <c r="WD146" s="11"/>
      <c r="WE146" s="11"/>
      <c r="WF146" s="11"/>
      <c r="WG146" s="11"/>
      <c r="WH146" s="11"/>
      <c r="WI146" s="11"/>
      <c r="WJ146" s="11"/>
      <c r="WK146" s="11"/>
      <c r="WL146" s="11"/>
      <c r="WM146" s="11"/>
      <c r="WN146" s="11"/>
      <c r="WO146" s="11"/>
      <c r="WP146" s="11"/>
      <c r="WQ146" s="11"/>
      <c r="WR146" s="11"/>
      <c r="WS146" s="11"/>
      <c r="WT146" s="11"/>
      <c r="WU146" s="11"/>
      <c r="WV146" s="11"/>
      <c r="WW146" s="11"/>
      <c r="WX146" s="11"/>
      <c r="WY146" s="11"/>
      <c r="WZ146" s="11"/>
      <c r="XA146" s="11"/>
      <c r="XB146" s="11"/>
      <c r="XC146" s="11"/>
      <c r="XD146" s="11"/>
      <c r="XE146" s="11"/>
      <c r="XF146" s="11"/>
      <c r="XG146" s="11"/>
      <c r="XH146" s="11"/>
      <c r="XI146" s="11"/>
      <c r="XJ146" s="11"/>
      <c r="XK146" s="11"/>
      <c r="XL146" s="11"/>
      <c r="XM146" s="11"/>
      <c r="XN146" s="11"/>
      <c r="XO146" s="11"/>
      <c r="XP146" s="11"/>
      <c r="XQ146" s="11"/>
      <c r="XR146" s="11"/>
      <c r="XS146" s="11"/>
      <c r="XT146" s="11"/>
      <c r="XU146" s="11"/>
      <c r="XV146" s="11"/>
      <c r="XW146" s="11"/>
      <c r="XX146" s="11"/>
      <c r="XY146" s="11"/>
      <c r="XZ146" s="11"/>
      <c r="YA146" s="11"/>
      <c r="YB146" s="11"/>
      <c r="YC146" s="11"/>
      <c r="YD146" s="11"/>
      <c r="YE146" s="11"/>
      <c r="YF146" s="11"/>
      <c r="YG146" s="11"/>
      <c r="YH146" s="11"/>
      <c r="YI146" s="11"/>
      <c r="YJ146" s="11"/>
      <c r="YK146" s="11"/>
      <c r="YL146" s="11"/>
      <c r="YM146" s="11"/>
      <c r="YN146" s="11"/>
      <c r="YO146" s="11"/>
      <c r="YP146" s="11"/>
      <c r="YQ146" s="11"/>
      <c r="YR146" s="11"/>
      <c r="YS146" s="11"/>
      <c r="YT146" s="11"/>
      <c r="YU146" s="11"/>
      <c r="YV146" s="11"/>
      <c r="YW146" s="11"/>
      <c r="YX146" s="11"/>
      <c r="YY146" s="11"/>
      <c r="YZ146" s="11"/>
      <c r="ZA146" s="11"/>
      <c r="ZB146" s="11"/>
      <c r="ZC146" s="11"/>
      <c r="ZD146" s="11"/>
      <c r="ZE146" s="11"/>
      <c r="ZF146" s="11"/>
      <c r="ZG146" s="11"/>
      <c r="ZH146" s="11"/>
      <c r="ZI146" s="11"/>
      <c r="ZJ146" s="11"/>
      <c r="ZK146" s="11"/>
      <c r="ZL146" s="11"/>
      <c r="ZM146" s="11"/>
      <c r="ZN146" s="11"/>
      <c r="ZO146" s="11"/>
      <c r="ZP146" s="11"/>
      <c r="ZQ146" s="11"/>
      <c r="ZR146" s="11"/>
      <c r="ZS146" s="11"/>
      <c r="ZT146" s="11"/>
      <c r="ZU146" s="11"/>
      <c r="ZV146" s="11"/>
      <c r="ZW146" s="11"/>
      <c r="ZX146" s="11"/>
      <c r="ZY146" s="11"/>
      <c r="ZZ146" s="11"/>
      <c r="AAA146" s="11"/>
      <c r="AAB146" s="11"/>
      <c r="AAC146" s="11"/>
      <c r="AAD146" s="11"/>
      <c r="AAE146" s="11"/>
      <c r="AAF146" s="11"/>
      <c r="AAG146" s="11"/>
      <c r="AAH146" s="11"/>
      <c r="AAI146" s="11"/>
      <c r="AAJ146" s="11"/>
      <c r="AAK146" s="11"/>
      <c r="AAL146" s="11"/>
      <c r="AAM146" s="11"/>
      <c r="AAN146" s="11"/>
      <c r="AAO146" s="11"/>
      <c r="AAP146" s="11"/>
      <c r="AAQ146" s="11"/>
      <c r="AAR146" s="11"/>
      <c r="AAS146" s="11"/>
      <c r="AAT146" s="11"/>
      <c r="AAU146" s="11"/>
      <c r="AAV146" s="11"/>
      <c r="AAW146" s="11"/>
      <c r="AAX146" s="11"/>
      <c r="AAY146" s="11"/>
      <c r="AAZ146" s="11"/>
      <c r="ABA146" s="11"/>
      <c r="ABB146" s="11"/>
      <c r="ABC146" s="11"/>
      <c r="ABD146" s="11"/>
      <c r="ABE146" s="11"/>
      <c r="ABF146" s="11"/>
      <c r="ABG146" s="11"/>
      <c r="ABH146" s="11"/>
      <c r="ABI146" s="11"/>
      <c r="ABJ146" s="11"/>
      <c r="ABK146" s="11"/>
      <c r="ABL146" s="11"/>
      <c r="ABM146" s="11"/>
      <c r="ABN146" s="11"/>
      <c r="ABO146" s="11"/>
      <c r="ABP146" s="11"/>
      <c r="ABQ146" s="11"/>
      <c r="ABR146" s="11"/>
      <c r="ABS146" s="11"/>
      <c r="ABT146" s="11"/>
      <c r="ABU146" s="11"/>
      <c r="ABV146" s="11"/>
      <c r="ABW146" s="11"/>
      <c r="ABX146" s="11"/>
      <c r="ABY146" s="11"/>
      <c r="ABZ146" s="11"/>
      <c r="ACA146" s="11"/>
      <c r="ACB146" s="11"/>
      <c r="ACC146" s="11"/>
      <c r="ACD146" s="11"/>
      <c r="ACE146" s="11"/>
      <c r="ACF146" s="11"/>
      <c r="ACG146" s="11"/>
      <c r="ACH146" s="11"/>
      <c r="ACI146" s="11"/>
      <c r="ACJ146" s="11"/>
      <c r="ACK146" s="11"/>
      <c r="ACL146" s="11"/>
      <c r="ACM146" s="11"/>
      <c r="ACN146" s="11"/>
      <c r="ACO146" s="11"/>
      <c r="ACP146" s="11"/>
      <c r="ACQ146" s="11"/>
      <c r="ACR146" s="11"/>
      <c r="ACS146" s="11"/>
      <c r="ACT146" s="11"/>
      <c r="ACU146" s="11"/>
      <c r="ACV146" s="11"/>
      <c r="ACW146" s="11"/>
      <c r="ACX146" s="11"/>
      <c r="ACY146" s="11"/>
      <c r="ACZ146" s="11"/>
      <c r="ADA146" s="11"/>
      <c r="ADB146" s="11"/>
      <c r="ADC146" s="11"/>
      <c r="ADD146" s="11"/>
      <c r="ADE146" s="11"/>
      <c r="ADF146" s="11"/>
      <c r="ADG146" s="11"/>
      <c r="ADH146" s="11"/>
      <c r="ADI146" s="11"/>
      <c r="ADJ146" s="11"/>
      <c r="ADK146" s="11"/>
      <c r="ADL146" s="11"/>
      <c r="ADM146" s="11"/>
      <c r="ADN146" s="11"/>
      <c r="ADO146" s="11"/>
      <c r="ADP146" s="11"/>
      <c r="ADQ146" s="11"/>
      <c r="ADR146" s="11"/>
      <c r="ADS146" s="11"/>
      <c r="ADT146" s="11"/>
      <c r="ADU146" s="11"/>
      <c r="ADV146" s="11"/>
      <c r="ADW146" s="11"/>
      <c r="ADX146" s="11"/>
      <c r="ADY146" s="11"/>
      <c r="ADZ146" s="11"/>
      <c r="AEA146" s="11"/>
      <c r="AEB146" s="11"/>
      <c r="AEC146" s="11"/>
      <c r="AED146" s="11"/>
      <c r="AEE146" s="11"/>
      <c r="AEF146" s="11"/>
      <c r="AEG146" s="11"/>
      <c r="AEH146" s="11"/>
      <c r="AEI146" s="11"/>
      <c r="AEJ146" s="11"/>
      <c r="AEK146" s="11"/>
      <c r="AEL146" s="11"/>
      <c r="AEM146" s="11"/>
      <c r="AEN146" s="11"/>
      <c r="AEO146" s="11"/>
      <c r="AEP146" s="11"/>
      <c r="AEQ146" s="11"/>
      <c r="AER146" s="11"/>
      <c r="AES146" s="11"/>
      <c r="AET146" s="11"/>
      <c r="AEU146" s="11"/>
      <c r="AEV146" s="11"/>
      <c r="AEW146" s="11"/>
      <c r="AEX146" s="11"/>
      <c r="AEY146" s="11"/>
      <c r="AEZ146" s="11"/>
      <c r="AFA146" s="11"/>
      <c r="AFB146" s="11"/>
      <c r="AFC146" s="11"/>
      <c r="AFD146" s="11"/>
      <c r="AFE146" s="11"/>
      <c r="AFF146" s="11"/>
      <c r="AFG146" s="11"/>
      <c r="AFH146" s="11"/>
      <c r="AFI146" s="11"/>
    </row>
    <row r="147" spans="2:84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c r="PU147" s="11"/>
      <c r="PV147" s="11"/>
      <c r="PW147" s="11"/>
      <c r="PX147" s="11"/>
      <c r="PY147" s="11"/>
      <c r="PZ147" s="11"/>
      <c r="QA147" s="11"/>
      <c r="QB147" s="11"/>
      <c r="QC147" s="11"/>
      <c r="QD147" s="11"/>
      <c r="QE147" s="11"/>
      <c r="QF147" s="11"/>
      <c r="QG147" s="11"/>
      <c r="QH147" s="11"/>
      <c r="QI147" s="11"/>
      <c r="QJ147" s="11"/>
      <c r="QK147" s="11"/>
      <c r="QL147" s="11"/>
      <c r="QM147" s="11"/>
      <c r="QN147" s="11"/>
      <c r="QO147" s="11"/>
      <c r="QP147" s="11"/>
      <c r="QQ147" s="11"/>
      <c r="QR147" s="11"/>
      <c r="QS147" s="11"/>
      <c r="QT147" s="11"/>
      <c r="QU147" s="11"/>
      <c r="QV147" s="11"/>
      <c r="QW147" s="11"/>
      <c r="QX147" s="11"/>
      <c r="QY147" s="11"/>
      <c r="QZ147" s="11"/>
      <c r="RA147" s="11"/>
      <c r="RB147" s="11"/>
      <c r="RC147" s="11"/>
      <c r="RD147" s="11"/>
      <c r="RE147" s="11"/>
      <c r="RF147" s="11"/>
      <c r="RG147" s="11"/>
      <c r="RH147" s="11"/>
      <c r="RI147" s="11"/>
      <c r="RJ147" s="11"/>
      <c r="RK147" s="11"/>
      <c r="RL147" s="11"/>
      <c r="RM147" s="11"/>
      <c r="RN147" s="11"/>
      <c r="RO147" s="11"/>
      <c r="RP147" s="11"/>
      <c r="RQ147" s="11"/>
      <c r="RR147" s="11"/>
      <c r="RS147" s="11"/>
      <c r="RT147" s="11"/>
      <c r="RU147" s="11"/>
      <c r="RV147" s="11"/>
      <c r="RW147" s="11"/>
      <c r="RX147" s="11"/>
      <c r="RY147" s="11"/>
      <c r="RZ147" s="11"/>
      <c r="SA147" s="11"/>
      <c r="SB147" s="11"/>
      <c r="SC147" s="11"/>
      <c r="SD147" s="11"/>
      <c r="SE147" s="11"/>
      <c r="SF147" s="11"/>
      <c r="SG147" s="11"/>
      <c r="SH147" s="11"/>
      <c r="SI147" s="11"/>
      <c r="SJ147" s="11"/>
      <c r="SK147" s="11"/>
      <c r="SL147" s="11"/>
      <c r="SM147" s="11"/>
      <c r="SN147" s="11"/>
      <c r="SO147" s="11"/>
      <c r="SP147" s="11"/>
      <c r="SQ147" s="11"/>
      <c r="SR147" s="11"/>
      <c r="SS147" s="11"/>
      <c r="ST147" s="11"/>
      <c r="SU147" s="11"/>
      <c r="SV147" s="11"/>
      <c r="SW147" s="11"/>
      <c r="SX147" s="11"/>
      <c r="SY147" s="11"/>
      <c r="SZ147" s="11"/>
      <c r="TA147" s="11"/>
      <c r="TB147" s="11"/>
      <c r="TC147" s="11"/>
      <c r="TD147" s="11"/>
      <c r="TE147" s="11"/>
      <c r="TF147" s="11"/>
      <c r="TG147" s="11"/>
      <c r="TH147" s="11"/>
      <c r="TI147" s="11"/>
      <c r="TJ147" s="11"/>
      <c r="TK147" s="11"/>
      <c r="TL147" s="11"/>
      <c r="TM147" s="11"/>
      <c r="TN147" s="11"/>
      <c r="TO147" s="11"/>
      <c r="TP147" s="11"/>
      <c r="TQ147" s="11"/>
      <c r="TR147" s="11"/>
      <c r="TS147" s="11"/>
      <c r="TT147" s="11"/>
      <c r="TU147" s="11"/>
      <c r="TV147" s="11"/>
      <c r="TW147" s="11"/>
      <c r="TX147" s="11"/>
      <c r="TY147" s="11"/>
      <c r="TZ147" s="11"/>
      <c r="UA147" s="11"/>
      <c r="UB147" s="11"/>
      <c r="UC147" s="11"/>
      <c r="UD147" s="11"/>
      <c r="UE147" s="11"/>
      <c r="UF147" s="11"/>
      <c r="UG147" s="11"/>
      <c r="UH147" s="11"/>
      <c r="UI147" s="11"/>
      <c r="UJ147" s="11"/>
      <c r="UK147" s="11"/>
      <c r="UL147" s="11"/>
      <c r="UM147" s="11"/>
      <c r="UN147" s="11"/>
      <c r="UO147" s="11"/>
      <c r="UP147" s="11"/>
      <c r="UQ147" s="11"/>
      <c r="UR147" s="11"/>
      <c r="US147" s="11"/>
      <c r="UT147" s="11"/>
      <c r="UU147" s="11"/>
      <c r="UV147" s="11"/>
      <c r="UW147" s="11"/>
      <c r="UX147" s="11"/>
      <c r="UY147" s="11"/>
      <c r="UZ147" s="11"/>
      <c r="VA147" s="11"/>
      <c r="VB147" s="11"/>
      <c r="VC147" s="11"/>
      <c r="VD147" s="11"/>
      <c r="VE147" s="11"/>
      <c r="VF147" s="11"/>
      <c r="VG147" s="11"/>
      <c r="VH147" s="11"/>
      <c r="VI147" s="11"/>
      <c r="VJ147" s="11"/>
      <c r="VK147" s="11"/>
      <c r="VL147" s="11"/>
      <c r="VM147" s="11"/>
      <c r="VN147" s="11"/>
      <c r="VO147" s="11"/>
      <c r="VP147" s="11"/>
      <c r="VQ147" s="11"/>
      <c r="VR147" s="11"/>
      <c r="VS147" s="11"/>
      <c r="VT147" s="11"/>
      <c r="VU147" s="11"/>
      <c r="VV147" s="11"/>
      <c r="VW147" s="11"/>
      <c r="VX147" s="11"/>
      <c r="VY147" s="11"/>
      <c r="VZ147" s="11"/>
      <c r="WA147" s="11"/>
      <c r="WB147" s="11"/>
      <c r="WC147" s="11"/>
      <c r="WD147" s="11"/>
      <c r="WE147" s="11"/>
      <c r="WF147" s="11"/>
      <c r="WG147" s="11"/>
      <c r="WH147" s="11"/>
      <c r="WI147" s="11"/>
      <c r="WJ147" s="11"/>
      <c r="WK147" s="11"/>
      <c r="WL147" s="11"/>
      <c r="WM147" s="11"/>
      <c r="WN147" s="11"/>
      <c r="WO147" s="11"/>
      <c r="WP147" s="11"/>
      <c r="WQ147" s="11"/>
      <c r="WR147" s="11"/>
      <c r="WS147" s="11"/>
      <c r="WT147" s="11"/>
      <c r="WU147" s="11"/>
      <c r="WV147" s="11"/>
      <c r="WW147" s="11"/>
      <c r="WX147" s="11"/>
      <c r="WY147" s="11"/>
      <c r="WZ147" s="11"/>
      <c r="XA147" s="11"/>
      <c r="XB147" s="11"/>
      <c r="XC147" s="11"/>
      <c r="XD147" s="11"/>
      <c r="XE147" s="11"/>
      <c r="XF147" s="11"/>
      <c r="XG147" s="11"/>
      <c r="XH147" s="11"/>
      <c r="XI147" s="11"/>
      <c r="XJ147" s="11"/>
      <c r="XK147" s="11"/>
      <c r="XL147" s="11"/>
      <c r="XM147" s="11"/>
      <c r="XN147" s="11"/>
      <c r="XO147" s="11"/>
      <c r="XP147" s="11"/>
      <c r="XQ147" s="11"/>
      <c r="XR147" s="11"/>
      <c r="XS147" s="11"/>
      <c r="XT147" s="11"/>
      <c r="XU147" s="11"/>
      <c r="XV147" s="11"/>
      <c r="XW147" s="11"/>
      <c r="XX147" s="11"/>
      <c r="XY147" s="11"/>
      <c r="XZ147" s="11"/>
      <c r="YA147" s="11"/>
      <c r="YB147" s="11"/>
      <c r="YC147" s="11"/>
      <c r="YD147" s="11"/>
      <c r="YE147" s="11"/>
      <c r="YF147" s="11"/>
      <c r="YG147" s="11"/>
      <c r="YH147" s="11"/>
      <c r="YI147" s="11"/>
      <c r="YJ147" s="11"/>
      <c r="YK147" s="11"/>
      <c r="YL147" s="11"/>
      <c r="YM147" s="11"/>
      <c r="YN147" s="11"/>
      <c r="YO147" s="11"/>
      <c r="YP147" s="11"/>
      <c r="YQ147" s="11"/>
      <c r="YR147" s="11"/>
      <c r="YS147" s="11"/>
      <c r="YT147" s="11"/>
      <c r="YU147" s="11"/>
      <c r="YV147" s="11"/>
      <c r="YW147" s="11"/>
      <c r="YX147" s="11"/>
      <c r="YY147" s="11"/>
      <c r="YZ147" s="11"/>
      <c r="ZA147" s="11"/>
      <c r="ZB147" s="11"/>
      <c r="ZC147" s="11"/>
      <c r="ZD147" s="11"/>
      <c r="ZE147" s="11"/>
      <c r="ZF147" s="11"/>
      <c r="ZG147" s="11"/>
      <c r="ZH147" s="11"/>
      <c r="ZI147" s="11"/>
      <c r="ZJ147" s="11"/>
      <c r="ZK147" s="11"/>
      <c r="ZL147" s="11"/>
      <c r="ZM147" s="11"/>
      <c r="ZN147" s="11"/>
      <c r="ZO147" s="11"/>
      <c r="ZP147" s="11"/>
      <c r="ZQ147" s="11"/>
      <c r="ZR147" s="11"/>
      <c r="ZS147" s="11"/>
      <c r="ZT147" s="11"/>
      <c r="ZU147" s="11"/>
      <c r="ZV147" s="11"/>
      <c r="ZW147" s="11"/>
      <c r="ZX147" s="11"/>
      <c r="ZY147" s="11"/>
      <c r="ZZ147" s="11"/>
      <c r="AAA147" s="11"/>
      <c r="AAB147" s="11"/>
      <c r="AAC147" s="11"/>
      <c r="AAD147" s="11"/>
      <c r="AAE147" s="11"/>
      <c r="AAF147" s="11"/>
      <c r="AAG147" s="11"/>
      <c r="AAH147" s="11"/>
      <c r="AAI147" s="11"/>
      <c r="AAJ147" s="11"/>
      <c r="AAK147" s="11"/>
      <c r="AAL147" s="11"/>
      <c r="AAM147" s="11"/>
      <c r="AAN147" s="11"/>
      <c r="AAO147" s="11"/>
      <c r="AAP147" s="11"/>
      <c r="AAQ147" s="11"/>
      <c r="AAR147" s="11"/>
      <c r="AAS147" s="11"/>
      <c r="AAT147" s="11"/>
      <c r="AAU147" s="11"/>
      <c r="AAV147" s="11"/>
      <c r="AAW147" s="11"/>
      <c r="AAX147" s="11"/>
      <c r="AAY147" s="11"/>
      <c r="AAZ147" s="11"/>
      <c r="ABA147" s="11"/>
      <c r="ABB147" s="11"/>
      <c r="ABC147" s="11"/>
      <c r="ABD147" s="11"/>
      <c r="ABE147" s="11"/>
      <c r="ABF147" s="11"/>
      <c r="ABG147" s="11"/>
      <c r="ABH147" s="11"/>
      <c r="ABI147" s="11"/>
      <c r="ABJ147" s="11"/>
      <c r="ABK147" s="11"/>
      <c r="ABL147" s="11"/>
      <c r="ABM147" s="11"/>
      <c r="ABN147" s="11"/>
      <c r="ABO147" s="11"/>
      <c r="ABP147" s="11"/>
      <c r="ABQ147" s="11"/>
      <c r="ABR147" s="11"/>
      <c r="ABS147" s="11"/>
      <c r="ABT147" s="11"/>
      <c r="ABU147" s="11"/>
      <c r="ABV147" s="11"/>
      <c r="ABW147" s="11"/>
      <c r="ABX147" s="11"/>
      <c r="ABY147" s="11"/>
      <c r="ABZ147" s="11"/>
      <c r="ACA147" s="11"/>
      <c r="ACB147" s="11"/>
      <c r="ACC147" s="11"/>
      <c r="ACD147" s="11"/>
      <c r="ACE147" s="11"/>
      <c r="ACF147" s="11"/>
      <c r="ACG147" s="11"/>
      <c r="ACH147" s="11"/>
      <c r="ACI147" s="11"/>
      <c r="ACJ147" s="11"/>
      <c r="ACK147" s="11"/>
      <c r="ACL147" s="11"/>
      <c r="ACM147" s="11"/>
      <c r="ACN147" s="11"/>
      <c r="ACO147" s="11"/>
      <c r="ACP147" s="11"/>
      <c r="ACQ147" s="11"/>
      <c r="ACR147" s="11"/>
      <c r="ACS147" s="11"/>
      <c r="ACT147" s="11"/>
      <c r="ACU147" s="11"/>
      <c r="ACV147" s="11"/>
      <c r="ACW147" s="11"/>
      <c r="ACX147" s="11"/>
      <c r="ACY147" s="11"/>
      <c r="ACZ147" s="11"/>
      <c r="ADA147" s="11"/>
      <c r="ADB147" s="11"/>
      <c r="ADC147" s="11"/>
      <c r="ADD147" s="11"/>
      <c r="ADE147" s="11"/>
      <c r="ADF147" s="11"/>
      <c r="ADG147" s="11"/>
      <c r="ADH147" s="11"/>
      <c r="ADI147" s="11"/>
      <c r="ADJ147" s="11"/>
      <c r="ADK147" s="11"/>
      <c r="ADL147" s="11"/>
      <c r="ADM147" s="11"/>
      <c r="ADN147" s="11"/>
      <c r="ADO147" s="11"/>
      <c r="ADP147" s="11"/>
      <c r="ADQ147" s="11"/>
      <c r="ADR147" s="11"/>
      <c r="ADS147" s="11"/>
      <c r="ADT147" s="11"/>
      <c r="ADU147" s="11"/>
      <c r="ADV147" s="11"/>
      <c r="ADW147" s="11"/>
      <c r="ADX147" s="11"/>
      <c r="ADY147" s="11"/>
      <c r="ADZ147" s="11"/>
      <c r="AEA147" s="11"/>
      <c r="AEB147" s="11"/>
      <c r="AEC147" s="11"/>
      <c r="AED147" s="11"/>
      <c r="AEE147" s="11"/>
      <c r="AEF147" s="11"/>
      <c r="AEG147" s="11"/>
      <c r="AEH147" s="11"/>
      <c r="AEI147" s="11"/>
      <c r="AEJ147" s="11"/>
      <c r="AEK147" s="11"/>
      <c r="AEL147" s="11"/>
      <c r="AEM147" s="11"/>
      <c r="AEN147" s="11"/>
      <c r="AEO147" s="11"/>
      <c r="AEP147" s="11"/>
      <c r="AEQ147" s="11"/>
      <c r="AER147" s="11"/>
      <c r="AES147" s="11"/>
      <c r="AET147" s="11"/>
      <c r="AEU147" s="11"/>
      <c r="AEV147" s="11"/>
      <c r="AEW147" s="11"/>
      <c r="AEX147" s="11"/>
      <c r="AEY147" s="11"/>
      <c r="AEZ147" s="11"/>
      <c r="AFA147" s="11"/>
      <c r="AFB147" s="11"/>
      <c r="AFC147" s="11"/>
      <c r="AFD147" s="11"/>
      <c r="AFE147" s="11"/>
      <c r="AFF147" s="11"/>
      <c r="AFG147" s="11"/>
      <c r="AFH147" s="11"/>
      <c r="AFI147" s="11"/>
    </row>
    <row r="148" spans="2:84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row>
    <row r="149" spans="2:84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c r="XX149" s="11"/>
      <c r="XY149" s="11"/>
      <c r="XZ149" s="11"/>
      <c r="YA149" s="11"/>
      <c r="YB149" s="11"/>
      <c r="YC149" s="11"/>
      <c r="YD149" s="11"/>
      <c r="YE149" s="11"/>
      <c r="YF149" s="11"/>
      <c r="YG149" s="11"/>
      <c r="YH149" s="11"/>
      <c r="YI149" s="11"/>
      <c r="YJ149" s="11"/>
      <c r="YK149" s="11"/>
      <c r="YL149" s="11"/>
      <c r="YM149" s="11"/>
      <c r="YN149" s="11"/>
      <c r="YO149" s="11"/>
      <c r="YP149" s="11"/>
      <c r="YQ149" s="11"/>
      <c r="YR149" s="11"/>
      <c r="YS149" s="11"/>
      <c r="YT149" s="11"/>
      <c r="YU149" s="11"/>
      <c r="YV149" s="11"/>
      <c r="YW149" s="11"/>
      <c r="YX149" s="11"/>
      <c r="YY149" s="11"/>
      <c r="YZ149" s="11"/>
      <c r="ZA149" s="11"/>
      <c r="ZB149" s="11"/>
      <c r="ZC149" s="11"/>
      <c r="ZD149" s="11"/>
      <c r="ZE149" s="11"/>
      <c r="ZF149" s="11"/>
      <c r="ZG149" s="11"/>
      <c r="ZH149" s="11"/>
      <c r="ZI149" s="11"/>
      <c r="ZJ149" s="11"/>
      <c r="ZK149" s="11"/>
      <c r="ZL149" s="11"/>
      <c r="ZM149" s="11"/>
      <c r="ZN149" s="11"/>
      <c r="ZO149" s="11"/>
      <c r="ZP149" s="11"/>
      <c r="ZQ149" s="11"/>
      <c r="ZR149" s="11"/>
      <c r="ZS149" s="11"/>
      <c r="ZT149" s="11"/>
      <c r="ZU149" s="11"/>
      <c r="ZV149" s="11"/>
      <c r="ZW149" s="11"/>
      <c r="ZX149" s="11"/>
      <c r="ZY149" s="11"/>
      <c r="ZZ149" s="11"/>
      <c r="AAA149" s="11"/>
      <c r="AAB149" s="11"/>
      <c r="AAC149" s="11"/>
      <c r="AAD149" s="11"/>
      <c r="AAE149" s="11"/>
      <c r="AAF149" s="11"/>
      <c r="AAG149" s="11"/>
      <c r="AAH149" s="11"/>
      <c r="AAI149" s="11"/>
      <c r="AAJ149" s="11"/>
      <c r="AAK149" s="11"/>
      <c r="AAL149" s="11"/>
      <c r="AAM149" s="11"/>
      <c r="AAN149" s="11"/>
      <c r="AAO149" s="11"/>
      <c r="AAP149" s="11"/>
      <c r="AAQ149" s="11"/>
      <c r="AAR149" s="11"/>
      <c r="AAS149" s="11"/>
      <c r="AAT149" s="11"/>
      <c r="AAU149" s="11"/>
      <c r="AAV149" s="11"/>
      <c r="AAW149" s="11"/>
      <c r="AAX149" s="11"/>
      <c r="AAY149" s="11"/>
      <c r="AAZ149" s="11"/>
      <c r="ABA149" s="11"/>
      <c r="ABB149" s="11"/>
      <c r="ABC149" s="11"/>
      <c r="ABD149" s="11"/>
      <c r="ABE149" s="11"/>
      <c r="ABF149" s="11"/>
      <c r="ABG149" s="11"/>
      <c r="ABH149" s="11"/>
      <c r="ABI149" s="11"/>
      <c r="ABJ149" s="11"/>
      <c r="ABK149" s="11"/>
      <c r="ABL149" s="11"/>
      <c r="ABM149" s="11"/>
      <c r="ABN149" s="11"/>
      <c r="ABO149" s="11"/>
      <c r="ABP149" s="11"/>
      <c r="ABQ149" s="11"/>
      <c r="ABR149" s="11"/>
      <c r="ABS149" s="11"/>
      <c r="ABT149" s="11"/>
      <c r="ABU149" s="11"/>
      <c r="ABV149" s="11"/>
      <c r="ABW149" s="11"/>
      <c r="ABX149" s="11"/>
      <c r="ABY149" s="11"/>
      <c r="ABZ149" s="11"/>
      <c r="ACA149" s="11"/>
      <c r="ACB149" s="11"/>
      <c r="ACC149" s="11"/>
      <c r="ACD149" s="11"/>
      <c r="ACE149" s="11"/>
      <c r="ACF149" s="11"/>
      <c r="ACG149" s="11"/>
      <c r="ACH149" s="11"/>
      <c r="ACI149" s="11"/>
      <c r="ACJ149" s="11"/>
      <c r="ACK149" s="11"/>
      <c r="ACL149" s="11"/>
      <c r="ACM149" s="11"/>
      <c r="ACN149" s="11"/>
      <c r="ACO149" s="11"/>
      <c r="ACP149" s="11"/>
      <c r="ACQ149" s="11"/>
      <c r="ACR149" s="11"/>
      <c r="ACS149" s="11"/>
      <c r="ACT149" s="11"/>
      <c r="ACU149" s="11"/>
      <c r="ACV149" s="11"/>
      <c r="ACW149" s="11"/>
      <c r="ACX149" s="11"/>
      <c r="ACY149" s="11"/>
      <c r="ACZ149" s="11"/>
      <c r="ADA149" s="11"/>
      <c r="ADB149" s="11"/>
      <c r="ADC149" s="11"/>
      <c r="ADD149" s="11"/>
      <c r="ADE149" s="11"/>
      <c r="ADF149" s="11"/>
      <c r="ADG149" s="11"/>
      <c r="ADH149" s="11"/>
      <c r="ADI149" s="11"/>
      <c r="ADJ149" s="11"/>
      <c r="ADK149" s="11"/>
      <c r="ADL149" s="11"/>
      <c r="ADM149" s="11"/>
      <c r="ADN149" s="11"/>
      <c r="ADO149" s="11"/>
      <c r="ADP149" s="11"/>
      <c r="ADQ149" s="11"/>
      <c r="ADR149" s="11"/>
      <c r="ADS149" s="11"/>
      <c r="ADT149" s="11"/>
      <c r="ADU149" s="11"/>
      <c r="ADV149" s="11"/>
      <c r="ADW149" s="11"/>
      <c r="ADX149" s="11"/>
      <c r="ADY149" s="11"/>
      <c r="ADZ149" s="11"/>
      <c r="AEA149" s="11"/>
      <c r="AEB149" s="11"/>
      <c r="AEC149" s="11"/>
      <c r="AED149" s="11"/>
      <c r="AEE149" s="11"/>
      <c r="AEF149" s="11"/>
      <c r="AEG149" s="11"/>
      <c r="AEH149" s="11"/>
      <c r="AEI149" s="11"/>
      <c r="AEJ149" s="11"/>
      <c r="AEK149" s="11"/>
      <c r="AEL149" s="11"/>
      <c r="AEM149" s="11"/>
      <c r="AEN149" s="11"/>
      <c r="AEO149" s="11"/>
      <c r="AEP149" s="11"/>
      <c r="AEQ149" s="11"/>
      <c r="AER149" s="11"/>
      <c r="AES149" s="11"/>
      <c r="AET149" s="11"/>
      <c r="AEU149" s="11"/>
      <c r="AEV149" s="11"/>
      <c r="AEW149" s="11"/>
      <c r="AEX149" s="11"/>
      <c r="AEY149" s="11"/>
      <c r="AEZ149" s="11"/>
      <c r="AFA149" s="11"/>
      <c r="AFB149" s="11"/>
      <c r="AFC149" s="11"/>
      <c r="AFD149" s="11"/>
      <c r="AFE149" s="11"/>
      <c r="AFF149" s="11"/>
      <c r="AFG149" s="11"/>
      <c r="AFH149" s="11"/>
      <c r="AFI149" s="11"/>
    </row>
    <row r="150" spans="2:84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1"/>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row>
    <row r="151" spans="2:84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c r="XX151" s="11"/>
      <c r="XY151" s="11"/>
      <c r="XZ151" s="11"/>
      <c r="YA151" s="11"/>
      <c r="YB151" s="11"/>
      <c r="YC151" s="11"/>
      <c r="YD151" s="11"/>
      <c r="YE151" s="11"/>
      <c r="YF151" s="11"/>
      <c r="YG151" s="11"/>
      <c r="YH151" s="11"/>
      <c r="YI151" s="11"/>
      <c r="YJ151" s="11"/>
      <c r="YK151" s="11"/>
      <c r="YL151" s="11"/>
      <c r="YM151" s="11"/>
      <c r="YN151" s="11"/>
      <c r="YO151" s="11"/>
      <c r="YP151" s="11"/>
      <c r="YQ151" s="11"/>
      <c r="YR151" s="11"/>
      <c r="YS151" s="11"/>
      <c r="YT151" s="11"/>
      <c r="YU151" s="11"/>
      <c r="YV151" s="11"/>
      <c r="YW151" s="11"/>
      <c r="YX151" s="11"/>
      <c r="YY151" s="11"/>
      <c r="YZ151" s="11"/>
      <c r="ZA151" s="11"/>
      <c r="ZB151" s="11"/>
      <c r="ZC151" s="11"/>
      <c r="ZD151" s="11"/>
      <c r="ZE151" s="11"/>
      <c r="ZF151" s="11"/>
      <c r="ZG151" s="11"/>
      <c r="ZH151" s="11"/>
      <c r="ZI151" s="11"/>
      <c r="ZJ151" s="11"/>
      <c r="ZK151" s="11"/>
      <c r="ZL151" s="11"/>
      <c r="ZM151" s="11"/>
      <c r="ZN151" s="11"/>
      <c r="ZO151" s="11"/>
      <c r="ZP151" s="11"/>
      <c r="ZQ151" s="11"/>
      <c r="ZR151" s="11"/>
      <c r="ZS151" s="11"/>
      <c r="ZT151" s="11"/>
      <c r="ZU151" s="11"/>
      <c r="ZV151" s="11"/>
      <c r="ZW151" s="11"/>
      <c r="ZX151" s="11"/>
      <c r="ZY151" s="11"/>
      <c r="ZZ151" s="11"/>
      <c r="AAA151" s="11"/>
      <c r="AAB151" s="11"/>
      <c r="AAC151" s="11"/>
      <c r="AAD151" s="11"/>
      <c r="AAE151" s="11"/>
      <c r="AAF151" s="11"/>
      <c r="AAG151" s="11"/>
      <c r="AAH151" s="11"/>
      <c r="AAI151" s="11"/>
      <c r="AAJ151" s="11"/>
      <c r="AAK151" s="11"/>
      <c r="AAL151" s="11"/>
      <c r="AAM151" s="11"/>
      <c r="AAN151" s="11"/>
      <c r="AAO151" s="11"/>
      <c r="AAP151" s="11"/>
      <c r="AAQ151" s="11"/>
      <c r="AAR151" s="11"/>
      <c r="AAS151" s="11"/>
      <c r="AAT151" s="11"/>
      <c r="AAU151" s="11"/>
      <c r="AAV151" s="11"/>
      <c r="AAW151" s="11"/>
      <c r="AAX151" s="11"/>
      <c r="AAY151" s="11"/>
      <c r="AAZ151" s="11"/>
      <c r="ABA151" s="11"/>
      <c r="ABB151" s="11"/>
      <c r="ABC151" s="11"/>
      <c r="ABD151" s="11"/>
      <c r="ABE151" s="11"/>
      <c r="ABF151" s="11"/>
      <c r="ABG151" s="11"/>
      <c r="ABH151" s="11"/>
      <c r="ABI151" s="11"/>
      <c r="ABJ151" s="11"/>
      <c r="ABK151" s="11"/>
      <c r="ABL151" s="11"/>
      <c r="ABM151" s="11"/>
      <c r="ABN151" s="11"/>
      <c r="ABO151" s="11"/>
      <c r="ABP151" s="11"/>
      <c r="ABQ151" s="11"/>
      <c r="ABR151" s="11"/>
      <c r="ABS151" s="11"/>
      <c r="ABT151" s="11"/>
      <c r="ABU151" s="11"/>
      <c r="ABV151" s="11"/>
      <c r="ABW151" s="11"/>
      <c r="ABX151" s="11"/>
      <c r="ABY151" s="11"/>
      <c r="ABZ151" s="11"/>
      <c r="ACA151" s="11"/>
      <c r="ACB151" s="11"/>
      <c r="ACC151" s="11"/>
      <c r="ACD151" s="11"/>
      <c r="ACE151" s="11"/>
      <c r="ACF151" s="11"/>
      <c r="ACG151" s="11"/>
      <c r="ACH151" s="11"/>
      <c r="ACI151" s="11"/>
      <c r="ACJ151" s="11"/>
      <c r="ACK151" s="11"/>
      <c r="ACL151" s="11"/>
      <c r="ACM151" s="11"/>
      <c r="ACN151" s="11"/>
      <c r="ACO151" s="11"/>
      <c r="ACP151" s="11"/>
      <c r="ACQ151" s="11"/>
      <c r="ACR151" s="11"/>
      <c r="ACS151" s="11"/>
      <c r="ACT151" s="11"/>
      <c r="ACU151" s="11"/>
      <c r="ACV151" s="11"/>
      <c r="ACW151" s="11"/>
      <c r="ACX151" s="11"/>
      <c r="ACY151" s="11"/>
      <c r="ACZ151" s="11"/>
      <c r="ADA151" s="11"/>
      <c r="ADB151" s="11"/>
      <c r="ADC151" s="11"/>
      <c r="ADD151" s="11"/>
      <c r="ADE151" s="11"/>
      <c r="ADF151" s="11"/>
      <c r="ADG151" s="11"/>
      <c r="ADH151" s="11"/>
      <c r="ADI151" s="11"/>
      <c r="ADJ151" s="11"/>
      <c r="ADK151" s="11"/>
      <c r="ADL151" s="11"/>
      <c r="ADM151" s="11"/>
      <c r="ADN151" s="11"/>
      <c r="ADO151" s="11"/>
      <c r="ADP151" s="11"/>
      <c r="ADQ151" s="11"/>
      <c r="ADR151" s="11"/>
      <c r="ADS151" s="11"/>
      <c r="ADT151" s="11"/>
      <c r="ADU151" s="11"/>
      <c r="ADV151" s="11"/>
      <c r="ADW151" s="11"/>
      <c r="ADX151" s="11"/>
      <c r="ADY151" s="11"/>
      <c r="ADZ151" s="11"/>
      <c r="AEA151" s="11"/>
      <c r="AEB151" s="11"/>
      <c r="AEC151" s="11"/>
      <c r="AED151" s="11"/>
      <c r="AEE151" s="11"/>
      <c r="AEF151" s="11"/>
      <c r="AEG151" s="11"/>
      <c r="AEH151" s="11"/>
      <c r="AEI151" s="11"/>
      <c r="AEJ151" s="11"/>
      <c r="AEK151" s="11"/>
      <c r="AEL151" s="11"/>
      <c r="AEM151" s="11"/>
      <c r="AEN151" s="11"/>
      <c r="AEO151" s="11"/>
      <c r="AEP151" s="11"/>
      <c r="AEQ151" s="11"/>
      <c r="AER151" s="11"/>
      <c r="AES151" s="11"/>
      <c r="AET151" s="11"/>
      <c r="AEU151" s="11"/>
      <c r="AEV151" s="11"/>
      <c r="AEW151" s="11"/>
      <c r="AEX151" s="11"/>
      <c r="AEY151" s="11"/>
      <c r="AEZ151" s="11"/>
      <c r="AFA151" s="11"/>
      <c r="AFB151" s="11"/>
      <c r="AFC151" s="11"/>
      <c r="AFD151" s="11"/>
      <c r="AFE151" s="11"/>
      <c r="AFF151" s="11"/>
      <c r="AFG151" s="11"/>
      <c r="AFH151" s="11"/>
      <c r="AFI151" s="11"/>
    </row>
    <row r="152" spans="2:84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1"/>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row>
    <row r="153" spans="2:84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c r="XX153" s="11"/>
      <c r="XY153" s="11"/>
      <c r="XZ153" s="11"/>
      <c r="YA153" s="11"/>
      <c r="YB153" s="11"/>
      <c r="YC153" s="11"/>
      <c r="YD153" s="11"/>
      <c r="YE153" s="11"/>
      <c r="YF153" s="11"/>
      <c r="YG153" s="11"/>
      <c r="YH153" s="11"/>
      <c r="YI153" s="11"/>
      <c r="YJ153" s="11"/>
      <c r="YK153" s="11"/>
      <c r="YL153" s="11"/>
      <c r="YM153" s="11"/>
      <c r="YN153" s="11"/>
      <c r="YO153" s="11"/>
      <c r="YP153" s="11"/>
      <c r="YQ153" s="11"/>
      <c r="YR153" s="11"/>
      <c r="YS153" s="11"/>
      <c r="YT153" s="11"/>
      <c r="YU153" s="11"/>
      <c r="YV153" s="11"/>
      <c r="YW153" s="11"/>
      <c r="YX153" s="11"/>
      <c r="YY153" s="11"/>
      <c r="YZ153" s="11"/>
      <c r="ZA153" s="11"/>
      <c r="ZB153" s="11"/>
      <c r="ZC153" s="11"/>
      <c r="ZD153" s="11"/>
      <c r="ZE153" s="11"/>
      <c r="ZF153" s="11"/>
      <c r="ZG153" s="11"/>
      <c r="ZH153" s="11"/>
      <c r="ZI153" s="11"/>
      <c r="ZJ153" s="11"/>
      <c r="ZK153" s="11"/>
      <c r="ZL153" s="11"/>
      <c r="ZM153" s="11"/>
      <c r="ZN153" s="11"/>
      <c r="ZO153" s="11"/>
      <c r="ZP153" s="11"/>
      <c r="ZQ153" s="11"/>
      <c r="ZR153" s="11"/>
      <c r="ZS153" s="11"/>
      <c r="ZT153" s="11"/>
      <c r="ZU153" s="11"/>
      <c r="ZV153" s="11"/>
      <c r="ZW153" s="11"/>
      <c r="ZX153" s="11"/>
      <c r="ZY153" s="11"/>
      <c r="ZZ153" s="11"/>
      <c r="AAA153" s="11"/>
      <c r="AAB153" s="11"/>
      <c r="AAC153" s="11"/>
      <c r="AAD153" s="11"/>
      <c r="AAE153" s="11"/>
      <c r="AAF153" s="11"/>
      <c r="AAG153" s="11"/>
      <c r="AAH153" s="11"/>
      <c r="AAI153" s="11"/>
      <c r="AAJ153" s="11"/>
      <c r="AAK153" s="11"/>
      <c r="AAL153" s="11"/>
      <c r="AAM153" s="11"/>
      <c r="AAN153" s="11"/>
      <c r="AAO153" s="11"/>
      <c r="AAP153" s="11"/>
      <c r="AAQ153" s="11"/>
      <c r="AAR153" s="11"/>
      <c r="AAS153" s="11"/>
      <c r="AAT153" s="11"/>
      <c r="AAU153" s="11"/>
      <c r="AAV153" s="11"/>
      <c r="AAW153" s="11"/>
      <c r="AAX153" s="11"/>
      <c r="AAY153" s="11"/>
      <c r="AAZ153" s="11"/>
      <c r="ABA153" s="11"/>
      <c r="ABB153" s="11"/>
      <c r="ABC153" s="11"/>
      <c r="ABD153" s="11"/>
      <c r="ABE153" s="11"/>
      <c r="ABF153" s="11"/>
      <c r="ABG153" s="11"/>
      <c r="ABH153" s="11"/>
      <c r="ABI153" s="11"/>
      <c r="ABJ153" s="11"/>
      <c r="ABK153" s="11"/>
      <c r="ABL153" s="11"/>
      <c r="ABM153" s="11"/>
      <c r="ABN153" s="11"/>
      <c r="ABO153" s="11"/>
      <c r="ABP153" s="11"/>
      <c r="ABQ153" s="11"/>
      <c r="ABR153" s="11"/>
      <c r="ABS153" s="11"/>
      <c r="ABT153" s="11"/>
      <c r="ABU153" s="11"/>
      <c r="ABV153" s="11"/>
      <c r="ABW153" s="11"/>
      <c r="ABX153" s="11"/>
      <c r="ABY153" s="11"/>
      <c r="ABZ153" s="11"/>
      <c r="ACA153" s="11"/>
      <c r="ACB153" s="11"/>
      <c r="ACC153" s="11"/>
      <c r="ACD153" s="11"/>
      <c r="ACE153" s="11"/>
      <c r="ACF153" s="11"/>
      <c r="ACG153" s="11"/>
      <c r="ACH153" s="11"/>
      <c r="ACI153" s="11"/>
      <c r="ACJ153" s="11"/>
      <c r="ACK153" s="11"/>
      <c r="ACL153" s="11"/>
      <c r="ACM153" s="11"/>
      <c r="ACN153" s="11"/>
      <c r="ACO153" s="11"/>
      <c r="ACP153" s="11"/>
      <c r="ACQ153" s="11"/>
      <c r="ACR153" s="11"/>
      <c r="ACS153" s="11"/>
      <c r="ACT153" s="11"/>
      <c r="ACU153" s="11"/>
      <c r="ACV153" s="11"/>
      <c r="ACW153" s="11"/>
      <c r="ACX153" s="11"/>
      <c r="ACY153" s="11"/>
      <c r="ACZ153" s="11"/>
      <c r="ADA153" s="11"/>
      <c r="ADB153" s="11"/>
      <c r="ADC153" s="11"/>
      <c r="ADD153" s="11"/>
      <c r="ADE153" s="11"/>
      <c r="ADF153" s="11"/>
      <c r="ADG153" s="11"/>
      <c r="ADH153" s="11"/>
      <c r="ADI153" s="11"/>
      <c r="ADJ153" s="11"/>
      <c r="ADK153" s="11"/>
      <c r="ADL153" s="11"/>
      <c r="ADM153" s="11"/>
      <c r="ADN153" s="11"/>
      <c r="ADO153" s="11"/>
      <c r="ADP153" s="11"/>
      <c r="ADQ153" s="11"/>
      <c r="ADR153" s="11"/>
      <c r="ADS153" s="11"/>
      <c r="ADT153" s="11"/>
      <c r="ADU153" s="11"/>
      <c r="ADV153" s="11"/>
      <c r="ADW153" s="11"/>
      <c r="ADX153" s="11"/>
      <c r="ADY153" s="11"/>
      <c r="ADZ153" s="11"/>
      <c r="AEA153" s="11"/>
      <c r="AEB153" s="11"/>
      <c r="AEC153" s="11"/>
      <c r="AED153" s="11"/>
      <c r="AEE153" s="11"/>
      <c r="AEF153" s="11"/>
      <c r="AEG153" s="11"/>
      <c r="AEH153" s="11"/>
      <c r="AEI153" s="11"/>
      <c r="AEJ153" s="11"/>
      <c r="AEK153" s="11"/>
      <c r="AEL153" s="11"/>
      <c r="AEM153" s="11"/>
      <c r="AEN153" s="11"/>
      <c r="AEO153" s="11"/>
      <c r="AEP153" s="11"/>
      <c r="AEQ153" s="11"/>
      <c r="AER153" s="11"/>
      <c r="AES153" s="11"/>
      <c r="AET153" s="11"/>
      <c r="AEU153" s="11"/>
      <c r="AEV153" s="11"/>
      <c r="AEW153" s="11"/>
      <c r="AEX153" s="11"/>
      <c r="AEY153" s="11"/>
      <c r="AEZ153" s="11"/>
      <c r="AFA153" s="11"/>
      <c r="AFB153" s="11"/>
      <c r="AFC153" s="11"/>
      <c r="AFD153" s="11"/>
      <c r="AFE153" s="11"/>
      <c r="AFF153" s="11"/>
      <c r="AFG153" s="11"/>
      <c r="AFH153" s="11"/>
      <c r="AFI153" s="11"/>
    </row>
    <row r="154" spans="2:84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1"/>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row>
    <row r="155" spans="2:84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c r="XX155" s="11"/>
      <c r="XY155" s="11"/>
      <c r="XZ155" s="11"/>
      <c r="YA155" s="11"/>
      <c r="YB155" s="11"/>
      <c r="YC155" s="11"/>
      <c r="YD155" s="11"/>
      <c r="YE155" s="11"/>
      <c r="YF155" s="11"/>
      <c r="YG155" s="11"/>
      <c r="YH155" s="11"/>
      <c r="YI155" s="11"/>
      <c r="YJ155" s="11"/>
      <c r="YK155" s="11"/>
      <c r="YL155" s="11"/>
      <c r="YM155" s="11"/>
      <c r="YN155" s="11"/>
      <c r="YO155" s="11"/>
      <c r="YP155" s="11"/>
      <c r="YQ155" s="11"/>
      <c r="YR155" s="11"/>
      <c r="YS155" s="11"/>
      <c r="YT155" s="11"/>
      <c r="YU155" s="11"/>
      <c r="YV155" s="11"/>
      <c r="YW155" s="11"/>
      <c r="YX155" s="11"/>
      <c r="YY155" s="11"/>
      <c r="YZ155" s="11"/>
      <c r="ZA155" s="11"/>
      <c r="ZB155" s="11"/>
      <c r="ZC155" s="11"/>
      <c r="ZD155" s="11"/>
      <c r="ZE155" s="11"/>
      <c r="ZF155" s="11"/>
      <c r="ZG155" s="11"/>
      <c r="ZH155" s="11"/>
      <c r="ZI155" s="11"/>
      <c r="ZJ155" s="11"/>
      <c r="ZK155" s="11"/>
      <c r="ZL155" s="11"/>
      <c r="ZM155" s="11"/>
      <c r="ZN155" s="11"/>
      <c r="ZO155" s="11"/>
      <c r="ZP155" s="11"/>
      <c r="ZQ155" s="11"/>
      <c r="ZR155" s="11"/>
      <c r="ZS155" s="11"/>
      <c r="ZT155" s="11"/>
      <c r="ZU155" s="11"/>
      <c r="ZV155" s="11"/>
      <c r="ZW155" s="11"/>
      <c r="ZX155" s="11"/>
      <c r="ZY155" s="11"/>
      <c r="ZZ155" s="11"/>
      <c r="AAA155" s="11"/>
      <c r="AAB155" s="11"/>
      <c r="AAC155" s="11"/>
      <c r="AAD155" s="11"/>
      <c r="AAE155" s="11"/>
      <c r="AAF155" s="11"/>
      <c r="AAG155" s="11"/>
      <c r="AAH155" s="11"/>
      <c r="AAI155" s="11"/>
      <c r="AAJ155" s="11"/>
      <c r="AAK155" s="11"/>
      <c r="AAL155" s="11"/>
      <c r="AAM155" s="11"/>
      <c r="AAN155" s="11"/>
      <c r="AAO155" s="11"/>
      <c r="AAP155" s="11"/>
      <c r="AAQ155" s="11"/>
      <c r="AAR155" s="11"/>
      <c r="AAS155" s="11"/>
      <c r="AAT155" s="11"/>
      <c r="AAU155" s="11"/>
      <c r="AAV155" s="11"/>
      <c r="AAW155" s="11"/>
      <c r="AAX155" s="11"/>
      <c r="AAY155" s="11"/>
      <c r="AAZ155" s="11"/>
      <c r="ABA155" s="11"/>
      <c r="ABB155" s="11"/>
      <c r="ABC155" s="11"/>
      <c r="ABD155" s="11"/>
      <c r="ABE155" s="11"/>
      <c r="ABF155" s="11"/>
      <c r="ABG155" s="11"/>
      <c r="ABH155" s="11"/>
      <c r="ABI155" s="11"/>
      <c r="ABJ155" s="11"/>
      <c r="ABK155" s="11"/>
      <c r="ABL155" s="11"/>
      <c r="ABM155" s="11"/>
      <c r="ABN155" s="11"/>
      <c r="ABO155" s="11"/>
      <c r="ABP155" s="11"/>
      <c r="ABQ155" s="11"/>
      <c r="ABR155" s="11"/>
      <c r="ABS155" s="11"/>
      <c r="ABT155" s="11"/>
      <c r="ABU155" s="11"/>
      <c r="ABV155" s="11"/>
      <c r="ABW155" s="11"/>
      <c r="ABX155" s="11"/>
      <c r="ABY155" s="11"/>
      <c r="ABZ155" s="11"/>
      <c r="ACA155" s="11"/>
      <c r="ACB155" s="11"/>
      <c r="ACC155" s="11"/>
      <c r="ACD155" s="11"/>
      <c r="ACE155" s="11"/>
      <c r="ACF155" s="11"/>
      <c r="ACG155" s="11"/>
      <c r="ACH155" s="11"/>
      <c r="ACI155" s="11"/>
      <c r="ACJ155" s="11"/>
      <c r="ACK155" s="11"/>
      <c r="ACL155" s="11"/>
      <c r="ACM155" s="11"/>
      <c r="ACN155" s="11"/>
      <c r="ACO155" s="11"/>
      <c r="ACP155" s="11"/>
      <c r="ACQ155" s="11"/>
      <c r="ACR155" s="11"/>
      <c r="ACS155" s="11"/>
      <c r="ACT155" s="11"/>
      <c r="ACU155" s="11"/>
      <c r="ACV155" s="11"/>
      <c r="ACW155" s="11"/>
      <c r="ACX155" s="11"/>
      <c r="ACY155" s="11"/>
      <c r="ACZ155" s="11"/>
      <c r="ADA155" s="11"/>
      <c r="ADB155" s="11"/>
      <c r="ADC155" s="11"/>
      <c r="ADD155" s="11"/>
      <c r="ADE155" s="11"/>
      <c r="ADF155" s="11"/>
      <c r="ADG155" s="11"/>
      <c r="ADH155" s="11"/>
      <c r="ADI155" s="11"/>
      <c r="ADJ155" s="11"/>
      <c r="ADK155" s="11"/>
      <c r="ADL155" s="11"/>
      <c r="ADM155" s="11"/>
      <c r="ADN155" s="11"/>
      <c r="ADO155" s="11"/>
      <c r="ADP155" s="11"/>
      <c r="ADQ155" s="11"/>
      <c r="ADR155" s="11"/>
      <c r="ADS155" s="11"/>
      <c r="ADT155" s="11"/>
      <c r="ADU155" s="11"/>
      <c r="ADV155" s="11"/>
      <c r="ADW155" s="11"/>
      <c r="ADX155" s="11"/>
      <c r="ADY155" s="11"/>
      <c r="ADZ155" s="11"/>
      <c r="AEA155" s="11"/>
      <c r="AEB155" s="11"/>
      <c r="AEC155" s="11"/>
      <c r="AED155" s="11"/>
      <c r="AEE155" s="11"/>
      <c r="AEF155" s="11"/>
      <c r="AEG155" s="11"/>
      <c r="AEH155" s="11"/>
      <c r="AEI155" s="11"/>
      <c r="AEJ155" s="11"/>
      <c r="AEK155" s="11"/>
      <c r="AEL155" s="11"/>
      <c r="AEM155" s="11"/>
      <c r="AEN155" s="11"/>
      <c r="AEO155" s="11"/>
      <c r="AEP155" s="11"/>
      <c r="AEQ155" s="11"/>
      <c r="AER155" s="11"/>
      <c r="AES155" s="11"/>
      <c r="AET155" s="11"/>
      <c r="AEU155" s="11"/>
      <c r="AEV155" s="11"/>
      <c r="AEW155" s="11"/>
      <c r="AEX155" s="11"/>
      <c r="AEY155" s="11"/>
      <c r="AEZ155" s="11"/>
      <c r="AFA155" s="11"/>
      <c r="AFB155" s="11"/>
      <c r="AFC155" s="11"/>
      <c r="AFD155" s="11"/>
      <c r="AFE155" s="11"/>
      <c r="AFF155" s="11"/>
      <c r="AFG155" s="11"/>
      <c r="AFH155" s="11"/>
      <c r="AFI155" s="11"/>
    </row>
    <row r="156" spans="2:84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1"/>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row>
    <row r="157" spans="2:84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row>
    <row r="158" spans="2:84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1"/>
      <c r="LV158" s="11"/>
      <c r="LW158" s="11"/>
      <c r="LX158" s="11"/>
      <c r="LY158" s="11"/>
      <c r="LZ158" s="11"/>
      <c r="MA158" s="11"/>
      <c r="MB158" s="11"/>
      <c r="MC158" s="11"/>
      <c r="MD158" s="11"/>
      <c r="ME158" s="11"/>
      <c r="MF158" s="11"/>
      <c r="MG158" s="11"/>
      <c r="MH158" s="11"/>
      <c r="MI158" s="11"/>
      <c r="MJ158" s="11"/>
      <c r="MK158" s="11"/>
      <c r="ML158" s="11"/>
      <c r="MM158" s="11"/>
      <c r="MN158" s="11"/>
      <c r="MO158" s="11"/>
      <c r="MP158" s="11"/>
      <c r="MQ158" s="11"/>
      <c r="MR158" s="11"/>
      <c r="MS158" s="11"/>
      <c r="MT158" s="11"/>
      <c r="MU158" s="11"/>
      <c r="MV158" s="11"/>
      <c r="MW158" s="11"/>
      <c r="MX158" s="11"/>
      <c r="MY158" s="11"/>
      <c r="MZ158" s="11"/>
      <c r="NA158" s="11"/>
      <c r="NB158" s="11"/>
      <c r="NC158" s="11"/>
      <c r="ND158" s="11"/>
      <c r="NE158" s="11"/>
      <c r="NF158" s="11"/>
      <c r="NG158" s="11"/>
      <c r="NH158" s="11"/>
      <c r="NI158" s="11"/>
      <c r="NJ158" s="11"/>
      <c r="NK158" s="11"/>
      <c r="NL158" s="11"/>
      <c r="NM158" s="11"/>
      <c r="NN158" s="11"/>
      <c r="NO158" s="11"/>
      <c r="NP158" s="11"/>
      <c r="NQ158" s="11"/>
      <c r="NR158" s="11"/>
      <c r="NS158" s="11"/>
      <c r="NT158" s="11"/>
      <c r="NU158" s="11"/>
      <c r="NV158" s="11"/>
      <c r="NW158" s="11"/>
      <c r="NX158" s="11"/>
      <c r="NY158" s="11"/>
      <c r="NZ158" s="11"/>
      <c r="OA158" s="11"/>
      <c r="OB158" s="11"/>
      <c r="OC158" s="11"/>
      <c r="OD158" s="11"/>
      <c r="OE158" s="11"/>
      <c r="OF158" s="11"/>
      <c r="OG158" s="11"/>
      <c r="OH158" s="11"/>
      <c r="OI158" s="11"/>
      <c r="OJ158" s="11"/>
      <c r="OK158" s="11"/>
      <c r="OL158" s="11"/>
      <c r="OM158" s="11"/>
      <c r="ON158" s="11"/>
      <c r="OO158" s="11"/>
      <c r="OP158" s="11"/>
      <c r="OQ158" s="11"/>
      <c r="OR158" s="11"/>
      <c r="OS158" s="11"/>
      <c r="OT158" s="11"/>
      <c r="OU158" s="11"/>
      <c r="OV158" s="11"/>
      <c r="OW158" s="11"/>
      <c r="OX158" s="11"/>
      <c r="OY158" s="11"/>
      <c r="OZ158" s="11"/>
      <c r="PA158" s="11"/>
      <c r="PB158" s="11"/>
      <c r="PC158" s="11"/>
      <c r="PD158" s="11"/>
      <c r="PE158" s="11"/>
      <c r="PF158" s="11"/>
      <c r="PG158" s="11"/>
      <c r="PH158" s="11"/>
      <c r="PI158" s="11"/>
      <c r="PJ158" s="11"/>
      <c r="PK158" s="11"/>
      <c r="PL158" s="11"/>
      <c r="PM158" s="11"/>
      <c r="PN158" s="11"/>
      <c r="PO158" s="11"/>
      <c r="PP158" s="11"/>
      <c r="PQ158" s="11"/>
      <c r="PR158" s="11"/>
      <c r="PS158" s="11"/>
      <c r="PT158" s="11"/>
      <c r="PU158" s="11"/>
      <c r="PV158" s="11"/>
      <c r="PW158" s="11"/>
      <c r="PX158" s="11"/>
      <c r="PY158" s="11"/>
      <c r="PZ158" s="11"/>
      <c r="QA158" s="11"/>
      <c r="QB158" s="11"/>
      <c r="QC158" s="11"/>
      <c r="QD158" s="11"/>
      <c r="QE158" s="11"/>
      <c r="QF158" s="11"/>
      <c r="QG158" s="11"/>
      <c r="QH158" s="11"/>
      <c r="QI158" s="11"/>
      <c r="QJ158" s="11"/>
      <c r="QK158" s="11"/>
      <c r="QL158" s="11"/>
      <c r="QM158" s="11"/>
      <c r="QN158" s="11"/>
      <c r="QO158" s="11"/>
      <c r="QP158" s="11"/>
      <c r="QQ158" s="11"/>
      <c r="QR158" s="11"/>
      <c r="QS158" s="11"/>
      <c r="QT158" s="11"/>
      <c r="QU158" s="11"/>
      <c r="QV158" s="11"/>
      <c r="QW158" s="11"/>
      <c r="QX158" s="11"/>
      <c r="QY158" s="11"/>
      <c r="QZ158" s="11"/>
      <c r="RA158" s="11"/>
      <c r="RB158" s="11"/>
      <c r="RC158" s="11"/>
      <c r="RD158" s="11"/>
      <c r="RE158" s="11"/>
      <c r="RF158" s="11"/>
      <c r="RG158" s="11"/>
      <c r="RH158" s="11"/>
      <c r="RI158" s="11"/>
      <c r="RJ158" s="11"/>
      <c r="RK158" s="11"/>
      <c r="RL158" s="11"/>
      <c r="RM158" s="11"/>
      <c r="RN158" s="11"/>
      <c r="RO158" s="11"/>
      <c r="RP158" s="11"/>
      <c r="RQ158" s="11"/>
      <c r="RR158" s="11"/>
      <c r="RS158" s="11"/>
      <c r="RT158" s="11"/>
      <c r="RU158" s="11"/>
      <c r="RV158" s="11"/>
      <c r="RW158" s="11"/>
      <c r="RX158" s="11"/>
      <c r="RY158" s="11"/>
      <c r="RZ158" s="11"/>
      <c r="SA158" s="11"/>
      <c r="SB158" s="11"/>
      <c r="SC158" s="11"/>
      <c r="SD158" s="11"/>
      <c r="SE158" s="11"/>
      <c r="SF158" s="11"/>
      <c r="SG158" s="11"/>
      <c r="SH158" s="11"/>
      <c r="SI158" s="11"/>
      <c r="SJ158" s="11"/>
      <c r="SK158" s="11"/>
      <c r="SL158" s="11"/>
      <c r="SM158" s="11"/>
      <c r="SN158" s="11"/>
      <c r="SO158" s="11"/>
      <c r="SP158" s="11"/>
      <c r="SQ158" s="11"/>
      <c r="SR158" s="11"/>
      <c r="SS158" s="11"/>
      <c r="ST158" s="11"/>
      <c r="SU158" s="11"/>
      <c r="SV158" s="11"/>
      <c r="SW158" s="11"/>
      <c r="SX158" s="11"/>
      <c r="SY158" s="11"/>
      <c r="SZ158" s="11"/>
      <c r="TA158" s="11"/>
      <c r="TB158" s="11"/>
      <c r="TC158" s="11"/>
      <c r="TD158" s="11"/>
      <c r="TE158" s="11"/>
      <c r="TF158" s="11"/>
      <c r="TG158" s="11"/>
      <c r="TH158" s="11"/>
      <c r="TI158" s="11"/>
      <c r="TJ158" s="11"/>
      <c r="TK158" s="11"/>
      <c r="TL158" s="11"/>
      <c r="TM158" s="11"/>
      <c r="TN158" s="11"/>
      <c r="TO158" s="11"/>
      <c r="TP158" s="11"/>
      <c r="TQ158" s="11"/>
      <c r="TR158" s="11"/>
      <c r="TS158" s="11"/>
      <c r="TT158" s="11"/>
      <c r="TU158" s="11"/>
      <c r="TV158" s="11"/>
      <c r="TW158" s="11"/>
      <c r="TX158" s="11"/>
      <c r="TY158" s="11"/>
      <c r="TZ158" s="11"/>
      <c r="UA158" s="11"/>
      <c r="UB158" s="11"/>
      <c r="UC158" s="11"/>
      <c r="UD158" s="11"/>
      <c r="UE158" s="11"/>
      <c r="UF158" s="11"/>
      <c r="UG158" s="11"/>
      <c r="UH158" s="11"/>
      <c r="UI158" s="11"/>
      <c r="UJ158" s="11"/>
      <c r="UK158" s="11"/>
      <c r="UL158" s="11"/>
      <c r="UM158" s="11"/>
      <c r="UN158" s="11"/>
      <c r="UO158" s="11"/>
      <c r="UP158" s="11"/>
      <c r="UQ158" s="11"/>
      <c r="UR158" s="11"/>
      <c r="US158" s="11"/>
      <c r="UT158" s="11"/>
      <c r="UU158" s="11"/>
      <c r="UV158" s="11"/>
      <c r="UW158" s="11"/>
      <c r="UX158" s="11"/>
      <c r="UY158" s="11"/>
      <c r="UZ158" s="11"/>
      <c r="VA158" s="11"/>
      <c r="VB158" s="11"/>
      <c r="VC158" s="11"/>
      <c r="VD158" s="11"/>
      <c r="VE158" s="11"/>
      <c r="VF158" s="11"/>
      <c r="VG158" s="11"/>
      <c r="VH158" s="11"/>
      <c r="VI158" s="11"/>
      <c r="VJ158" s="11"/>
      <c r="VK158" s="11"/>
      <c r="VL158" s="11"/>
      <c r="VM158" s="11"/>
      <c r="VN158" s="11"/>
      <c r="VO158" s="11"/>
      <c r="VP158" s="11"/>
      <c r="VQ158" s="11"/>
      <c r="VR158" s="11"/>
      <c r="VS158" s="11"/>
      <c r="VT158" s="11"/>
      <c r="VU158" s="11"/>
      <c r="VV158" s="11"/>
      <c r="VW158" s="11"/>
      <c r="VX158" s="11"/>
      <c r="VY158" s="11"/>
      <c r="VZ158" s="11"/>
      <c r="WA158" s="11"/>
      <c r="WB158" s="11"/>
      <c r="WC158" s="11"/>
      <c r="WD158" s="11"/>
      <c r="WE158" s="11"/>
      <c r="WF158" s="11"/>
      <c r="WG158" s="11"/>
      <c r="WH158" s="11"/>
      <c r="WI158" s="11"/>
      <c r="WJ158" s="11"/>
      <c r="WK158" s="11"/>
      <c r="WL158" s="11"/>
      <c r="WM158" s="11"/>
      <c r="WN158" s="11"/>
      <c r="WO158" s="11"/>
      <c r="WP158" s="11"/>
      <c r="WQ158" s="11"/>
      <c r="WR158" s="11"/>
      <c r="WS158" s="11"/>
      <c r="WT158" s="11"/>
      <c r="WU158" s="11"/>
      <c r="WV158" s="11"/>
      <c r="WW158" s="11"/>
      <c r="WX158" s="11"/>
      <c r="WY158" s="11"/>
      <c r="WZ158" s="11"/>
      <c r="XA158" s="11"/>
      <c r="XB158" s="11"/>
      <c r="XC158" s="11"/>
      <c r="XD158" s="11"/>
      <c r="XE158" s="11"/>
      <c r="XF158" s="11"/>
      <c r="XG158" s="11"/>
      <c r="XH158" s="11"/>
      <c r="XI158" s="11"/>
      <c r="XJ158" s="11"/>
      <c r="XK158" s="11"/>
      <c r="XL158" s="11"/>
      <c r="XM158" s="11"/>
      <c r="XN158" s="11"/>
      <c r="XO158" s="11"/>
      <c r="XP158" s="11"/>
      <c r="XQ158" s="11"/>
      <c r="XR158" s="11"/>
      <c r="XS158" s="11"/>
      <c r="XT158" s="11"/>
      <c r="XU158" s="11"/>
      <c r="XV158" s="11"/>
      <c r="XW158" s="11"/>
      <c r="XX158" s="11"/>
      <c r="XY158" s="11"/>
      <c r="XZ158" s="11"/>
      <c r="YA158" s="11"/>
      <c r="YB158" s="11"/>
      <c r="YC158" s="11"/>
      <c r="YD158" s="11"/>
      <c r="YE158" s="11"/>
      <c r="YF158" s="11"/>
      <c r="YG158" s="11"/>
      <c r="YH158" s="11"/>
      <c r="YI158" s="11"/>
      <c r="YJ158" s="11"/>
      <c r="YK158" s="11"/>
      <c r="YL158" s="11"/>
      <c r="YM158" s="11"/>
      <c r="YN158" s="11"/>
      <c r="YO158" s="11"/>
      <c r="YP158" s="11"/>
      <c r="YQ158" s="11"/>
      <c r="YR158" s="11"/>
      <c r="YS158" s="11"/>
      <c r="YT158" s="11"/>
      <c r="YU158" s="11"/>
      <c r="YV158" s="11"/>
      <c r="YW158" s="11"/>
      <c r="YX158" s="11"/>
      <c r="YY158" s="11"/>
      <c r="YZ158" s="11"/>
      <c r="ZA158" s="11"/>
      <c r="ZB158" s="11"/>
      <c r="ZC158" s="11"/>
      <c r="ZD158" s="11"/>
      <c r="ZE158" s="11"/>
      <c r="ZF158" s="11"/>
      <c r="ZG158" s="11"/>
      <c r="ZH158" s="11"/>
      <c r="ZI158" s="11"/>
      <c r="ZJ158" s="11"/>
      <c r="ZK158" s="11"/>
      <c r="ZL158" s="11"/>
      <c r="ZM158" s="11"/>
      <c r="ZN158" s="11"/>
      <c r="ZO158" s="11"/>
      <c r="ZP158" s="11"/>
      <c r="ZQ158" s="11"/>
      <c r="ZR158" s="11"/>
      <c r="ZS158" s="11"/>
      <c r="ZT158" s="11"/>
      <c r="ZU158" s="11"/>
      <c r="ZV158" s="11"/>
      <c r="ZW158" s="11"/>
      <c r="ZX158" s="11"/>
      <c r="ZY158" s="11"/>
      <c r="ZZ158" s="11"/>
      <c r="AAA158" s="11"/>
      <c r="AAB158" s="11"/>
      <c r="AAC158" s="11"/>
      <c r="AAD158" s="11"/>
      <c r="AAE158" s="11"/>
      <c r="AAF158" s="11"/>
      <c r="AAG158" s="11"/>
      <c r="AAH158" s="11"/>
      <c r="AAI158" s="11"/>
      <c r="AAJ158" s="11"/>
      <c r="AAK158" s="11"/>
      <c r="AAL158" s="11"/>
      <c r="AAM158" s="11"/>
      <c r="AAN158" s="11"/>
      <c r="AAO158" s="11"/>
      <c r="AAP158" s="11"/>
      <c r="AAQ158" s="11"/>
      <c r="AAR158" s="11"/>
      <c r="AAS158" s="11"/>
      <c r="AAT158" s="11"/>
      <c r="AAU158" s="11"/>
      <c r="AAV158" s="11"/>
      <c r="AAW158" s="11"/>
      <c r="AAX158" s="11"/>
      <c r="AAY158" s="11"/>
      <c r="AAZ158" s="11"/>
      <c r="ABA158" s="11"/>
      <c r="ABB158" s="11"/>
      <c r="ABC158" s="11"/>
      <c r="ABD158" s="11"/>
      <c r="ABE158" s="11"/>
      <c r="ABF158" s="11"/>
      <c r="ABG158" s="11"/>
      <c r="ABH158" s="11"/>
      <c r="ABI158" s="11"/>
      <c r="ABJ158" s="11"/>
      <c r="ABK158" s="11"/>
      <c r="ABL158" s="11"/>
      <c r="ABM158" s="11"/>
      <c r="ABN158" s="11"/>
      <c r="ABO158" s="11"/>
      <c r="ABP158" s="11"/>
      <c r="ABQ158" s="11"/>
      <c r="ABR158" s="11"/>
      <c r="ABS158" s="11"/>
      <c r="ABT158" s="11"/>
      <c r="ABU158" s="11"/>
      <c r="ABV158" s="11"/>
      <c r="ABW158" s="11"/>
      <c r="ABX158" s="11"/>
      <c r="ABY158" s="11"/>
      <c r="ABZ158" s="11"/>
      <c r="ACA158" s="11"/>
      <c r="ACB158" s="11"/>
      <c r="ACC158" s="11"/>
      <c r="ACD158" s="11"/>
      <c r="ACE158" s="11"/>
      <c r="ACF158" s="11"/>
      <c r="ACG158" s="11"/>
      <c r="ACH158" s="11"/>
      <c r="ACI158" s="11"/>
      <c r="ACJ158" s="11"/>
      <c r="ACK158" s="11"/>
      <c r="ACL158" s="11"/>
      <c r="ACM158" s="11"/>
      <c r="ACN158" s="11"/>
      <c r="ACO158" s="11"/>
      <c r="ACP158" s="11"/>
      <c r="ACQ158" s="11"/>
      <c r="ACR158" s="11"/>
      <c r="ACS158" s="11"/>
      <c r="ACT158" s="11"/>
      <c r="ACU158" s="11"/>
      <c r="ACV158" s="11"/>
      <c r="ACW158" s="11"/>
      <c r="ACX158" s="11"/>
      <c r="ACY158" s="11"/>
      <c r="ACZ158" s="11"/>
      <c r="ADA158" s="11"/>
      <c r="ADB158" s="11"/>
      <c r="ADC158" s="11"/>
      <c r="ADD158" s="11"/>
      <c r="ADE158" s="11"/>
      <c r="ADF158" s="11"/>
      <c r="ADG158" s="11"/>
      <c r="ADH158" s="11"/>
      <c r="ADI158" s="11"/>
      <c r="ADJ158" s="11"/>
      <c r="ADK158" s="11"/>
      <c r="ADL158" s="11"/>
      <c r="ADM158" s="11"/>
      <c r="ADN158" s="11"/>
      <c r="ADO158" s="11"/>
      <c r="ADP158" s="11"/>
      <c r="ADQ158" s="11"/>
      <c r="ADR158" s="11"/>
      <c r="ADS158" s="11"/>
      <c r="ADT158" s="11"/>
      <c r="ADU158" s="11"/>
      <c r="ADV158" s="11"/>
      <c r="ADW158" s="11"/>
      <c r="ADX158" s="11"/>
      <c r="ADY158" s="11"/>
      <c r="ADZ158" s="11"/>
      <c r="AEA158" s="11"/>
      <c r="AEB158" s="11"/>
      <c r="AEC158" s="11"/>
      <c r="AED158" s="11"/>
      <c r="AEE158" s="11"/>
      <c r="AEF158" s="11"/>
      <c r="AEG158" s="11"/>
      <c r="AEH158" s="11"/>
      <c r="AEI158" s="11"/>
      <c r="AEJ158" s="11"/>
      <c r="AEK158" s="11"/>
      <c r="AEL158" s="11"/>
      <c r="AEM158" s="11"/>
      <c r="AEN158" s="11"/>
      <c r="AEO158" s="11"/>
      <c r="AEP158" s="11"/>
      <c r="AEQ158" s="11"/>
      <c r="AER158" s="11"/>
      <c r="AES158" s="11"/>
      <c r="AET158" s="11"/>
      <c r="AEU158" s="11"/>
      <c r="AEV158" s="11"/>
      <c r="AEW158" s="11"/>
      <c r="AEX158" s="11"/>
      <c r="AEY158" s="11"/>
      <c r="AEZ158" s="11"/>
      <c r="AFA158" s="11"/>
      <c r="AFB158" s="11"/>
      <c r="AFC158" s="11"/>
      <c r="AFD158" s="11"/>
      <c r="AFE158" s="11"/>
      <c r="AFF158" s="11"/>
      <c r="AFG158" s="11"/>
      <c r="AFH158" s="11"/>
      <c r="AFI158" s="11"/>
    </row>
    <row r="159" spans="2:84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1"/>
      <c r="LV159" s="11"/>
      <c r="LW159" s="11"/>
      <c r="LX159" s="11"/>
      <c r="LY159" s="11"/>
      <c r="LZ159" s="11"/>
      <c r="MA159" s="11"/>
      <c r="MB159" s="11"/>
      <c r="MC159" s="11"/>
      <c r="MD159" s="11"/>
      <c r="ME159" s="11"/>
      <c r="MF159" s="11"/>
      <c r="MG159" s="11"/>
      <c r="MH159" s="11"/>
      <c r="MI159" s="11"/>
      <c r="MJ159" s="11"/>
      <c r="MK159" s="11"/>
      <c r="ML159" s="11"/>
      <c r="MM159" s="11"/>
      <c r="MN159" s="11"/>
      <c r="MO159" s="11"/>
      <c r="MP159" s="11"/>
      <c r="MQ159" s="11"/>
      <c r="MR159" s="11"/>
      <c r="MS159" s="11"/>
      <c r="MT159" s="11"/>
      <c r="MU159" s="11"/>
      <c r="MV159" s="11"/>
      <c r="MW159" s="11"/>
      <c r="MX159" s="11"/>
      <c r="MY159" s="11"/>
      <c r="MZ159" s="11"/>
      <c r="NA159" s="11"/>
      <c r="NB159" s="11"/>
      <c r="NC159" s="11"/>
      <c r="ND159" s="11"/>
      <c r="NE159" s="11"/>
      <c r="NF159" s="11"/>
      <c r="NG159" s="11"/>
      <c r="NH159" s="11"/>
      <c r="NI159" s="11"/>
      <c r="NJ159" s="11"/>
      <c r="NK159" s="11"/>
      <c r="NL159" s="11"/>
      <c r="NM159" s="11"/>
      <c r="NN159" s="11"/>
      <c r="NO159" s="11"/>
      <c r="NP159" s="11"/>
      <c r="NQ159" s="11"/>
      <c r="NR159" s="11"/>
      <c r="NS159" s="11"/>
      <c r="NT159" s="11"/>
      <c r="NU159" s="11"/>
      <c r="NV159" s="11"/>
      <c r="NW159" s="11"/>
      <c r="NX159" s="11"/>
      <c r="NY159" s="11"/>
      <c r="NZ159" s="11"/>
      <c r="OA159" s="11"/>
      <c r="OB159" s="11"/>
      <c r="OC159" s="11"/>
      <c r="OD159" s="11"/>
      <c r="OE159" s="11"/>
      <c r="OF159" s="11"/>
      <c r="OG159" s="11"/>
      <c r="OH159" s="11"/>
      <c r="OI159" s="11"/>
      <c r="OJ159" s="11"/>
      <c r="OK159" s="11"/>
      <c r="OL159" s="11"/>
      <c r="OM159" s="11"/>
      <c r="ON159" s="11"/>
      <c r="OO159" s="11"/>
      <c r="OP159" s="11"/>
      <c r="OQ159" s="11"/>
      <c r="OR159" s="11"/>
      <c r="OS159" s="11"/>
      <c r="OT159" s="11"/>
      <c r="OU159" s="11"/>
      <c r="OV159" s="11"/>
      <c r="OW159" s="11"/>
      <c r="OX159" s="11"/>
      <c r="OY159" s="11"/>
      <c r="OZ159" s="11"/>
      <c r="PA159" s="11"/>
      <c r="PB159" s="11"/>
      <c r="PC159" s="11"/>
      <c r="PD159" s="11"/>
      <c r="PE159" s="11"/>
      <c r="PF159" s="11"/>
      <c r="PG159" s="11"/>
      <c r="PH159" s="11"/>
      <c r="PI159" s="11"/>
      <c r="PJ159" s="11"/>
      <c r="PK159" s="11"/>
      <c r="PL159" s="11"/>
      <c r="PM159" s="11"/>
      <c r="PN159" s="11"/>
      <c r="PO159" s="11"/>
      <c r="PP159" s="11"/>
      <c r="PQ159" s="11"/>
      <c r="PR159" s="11"/>
      <c r="PS159" s="11"/>
      <c r="PT159" s="11"/>
      <c r="PU159" s="11"/>
      <c r="PV159" s="11"/>
      <c r="PW159" s="11"/>
      <c r="PX159" s="11"/>
      <c r="PY159" s="11"/>
      <c r="PZ159" s="11"/>
      <c r="QA159" s="11"/>
      <c r="QB159" s="11"/>
      <c r="QC159" s="11"/>
      <c r="QD159" s="11"/>
      <c r="QE159" s="11"/>
      <c r="QF159" s="11"/>
      <c r="QG159" s="11"/>
      <c r="QH159" s="11"/>
      <c r="QI159" s="11"/>
      <c r="QJ159" s="11"/>
      <c r="QK159" s="11"/>
      <c r="QL159" s="11"/>
      <c r="QM159" s="11"/>
      <c r="QN159" s="11"/>
      <c r="QO159" s="11"/>
      <c r="QP159" s="11"/>
      <c r="QQ159" s="11"/>
      <c r="QR159" s="11"/>
      <c r="QS159" s="11"/>
      <c r="QT159" s="11"/>
      <c r="QU159" s="11"/>
      <c r="QV159" s="11"/>
      <c r="QW159" s="11"/>
      <c r="QX159" s="11"/>
      <c r="QY159" s="11"/>
      <c r="QZ159" s="11"/>
      <c r="RA159" s="11"/>
      <c r="RB159" s="11"/>
      <c r="RC159" s="11"/>
      <c r="RD159" s="11"/>
      <c r="RE159" s="11"/>
      <c r="RF159" s="11"/>
      <c r="RG159" s="11"/>
      <c r="RH159" s="11"/>
      <c r="RI159" s="11"/>
      <c r="RJ159" s="11"/>
      <c r="RK159" s="11"/>
      <c r="RL159" s="11"/>
      <c r="RM159" s="11"/>
      <c r="RN159" s="11"/>
      <c r="RO159" s="11"/>
      <c r="RP159" s="11"/>
      <c r="RQ159" s="11"/>
      <c r="RR159" s="11"/>
      <c r="RS159" s="11"/>
      <c r="RT159" s="11"/>
      <c r="RU159" s="11"/>
      <c r="RV159" s="11"/>
      <c r="RW159" s="11"/>
      <c r="RX159" s="11"/>
      <c r="RY159" s="11"/>
      <c r="RZ159" s="11"/>
      <c r="SA159" s="11"/>
      <c r="SB159" s="11"/>
      <c r="SC159" s="11"/>
      <c r="SD159" s="11"/>
      <c r="SE159" s="11"/>
      <c r="SF159" s="11"/>
      <c r="SG159" s="11"/>
      <c r="SH159" s="11"/>
      <c r="SI159" s="11"/>
      <c r="SJ159" s="11"/>
      <c r="SK159" s="11"/>
      <c r="SL159" s="11"/>
      <c r="SM159" s="11"/>
      <c r="SN159" s="11"/>
      <c r="SO159" s="11"/>
      <c r="SP159" s="11"/>
      <c r="SQ159" s="11"/>
      <c r="SR159" s="11"/>
      <c r="SS159" s="11"/>
      <c r="ST159" s="11"/>
      <c r="SU159" s="11"/>
      <c r="SV159" s="11"/>
      <c r="SW159" s="11"/>
      <c r="SX159" s="11"/>
      <c r="SY159" s="11"/>
      <c r="SZ159" s="11"/>
      <c r="TA159" s="11"/>
      <c r="TB159" s="11"/>
      <c r="TC159" s="11"/>
      <c r="TD159" s="11"/>
      <c r="TE159" s="11"/>
      <c r="TF159" s="11"/>
      <c r="TG159" s="11"/>
      <c r="TH159" s="11"/>
      <c r="TI159" s="11"/>
      <c r="TJ159" s="11"/>
      <c r="TK159" s="11"/>
      <c r="TL159" s="11"/>
      <c r="TM159" s="11"/>
      <c r="TN159" s="11"/>
      <c r="TO159" s="11"/>
      <c r="TP159" s="11"/>
      <c r="TQ159" s="11"/>
      <c r="TR159" s="11"/>
      <c r="TS159" s="11"/>
      <c r="TT159" s="11"/>
      <c r="TU159" s="11"/>
      <c r="TV159" s="11"/>
      <c r="TW159" s="11"/>
      <c r="TX159" s="11"/>
      <c r="TY159" s="11"/>
      <c r="TZ159" s="11"/>
      <c r="UA159" s="11"/>
      <c r="UB159" s="11"/>
      <c r="UC159" s="11"/>
      <c r="UD159" s="11"/>
      <c r="UE159" s="11"/>
      <c r="UF159" s="11"/>
      <c r="UG159" s="11"/>
      <c r="UH159" s="11"/>
      <c r="UI159" s="11"/>
      <c r="UJ159" s="11"/>
      <c r="UK159" s="11"/>
      <c r="UL159" s="11"/>
      <c r="UM159" s="11"/>
      <c r="UN159" s="11"/>
      <c r="UO159" s="11"/>
      <c r="UP159" s="11"/>
      <c r="UQ159" s="11"/>
      <c r="UR159" s="11"/>
      <c r="US159" s="11"/>
      <c r="UT159" s="11"/>
      <c r="UU159" s="11"/>
      <c r="UV159" s="11"/>
      <c r="UW159" s="11"/>
      <c r="UX159" s="11"/>
      <c r="UY159" s="11"/>
      <c r="UZ159" s="11"/>
      <c r="VA159" s="11"/>
      <c r="VB159" s="11"/>
      <c r="VC159" s="11"/>
      <c r="VD159" s="11"/>
      <c r="VE159" s="11"/>
      <c r="VF159" s="11"/>
      <c r="VG159" s="11"/>
      <c r="VH159" s="11"/>
      <c r="VI159" s="11"/>
      <c r="VJ159" s="11"/>
      <c r="VK159" s="11"/>
      <c r="VL159" s="11"/>
      <c r="VM159" s="11"/>
      <c r="VN159" s="11"/>
      <c r="VO159" s="11"/>
      <c r="VP159" s="11"/>
      <c r="VQ159" s="11"/>
      <c r="VR159" s="11"/>
      <c r="VS159" s="11"/>
      <c r="VT159" s="11"/>
      <c r="VU159" s="11"/>
      <c r="VV159" s="11"/>
      <c r="VW159" s="11"/>
      <c r="VX159" s="11"/>
      <c r="VY159" s="11"/>
      <c r="VZ159" s="11"/>
      <c r="WA159" s="11"/>
      <c r="WB159" s="11"/>
      <c r="WC159" s="11"/>
      <c r="WD159" s="11"/>
      <c r="WE159" s="11"/>
      <c r="WF159" s="11"/>
      <c r="WG159" s="11"/>
      <c r="WH159" s="11"/>
      <c r="WI159" s="11"/>
      <c r="WJ159" s="11"/>
      <c r="WK159" s="11"/>
      <c r="WL159" s="11"/>
      <c r="WM159" s="11"/>
      <c r="WN159" s="11"/>
      <c r="WO159" s="11"/>
      <c r="WP159" s="11"/>
      <c r="WQ159" s="11"/>
      <c r="WR159" s="11"/>
      <c r="WS159" s="11"/>
      <c r="WT159" s="11"/>
      <c r="WU159" s="11"/>
      <c r="WV159" s="11"/>
      <c r="WW159" s="11"/>
      <c r="WX159" s="11"/>
      <c r="WY159" s="11"/>
      <c r="WZ159" s="11"/>
      <c r="XA159" s="11"/>
      <c r="XB159" s="11"/>
      <c r="XC159" s="11"/>
      <c r="XD159" s="11"/>
      <c r="XE159" s="11"/>
      <c r="XF159" s="11"/>
      <c r="XG159" s="11"/>
      <c r="XH159" s="11"/>
      <c r="XI159" s="11"/>
      <c r="XJ159" s="11"/>
      <c r="XK159" s="11"/>
      <c r="XL159" s="11"/>
      <c r="XM159" s="11"/>
      <c r="XN159" s="11"/>
      <c r="XO159" s="11"/>
      <c r="XP159" s="11"/>
      <c r="XQ159" s="11"/>
      <c r="XR159" s="11"/>
      <c r="XS159" s="11"/>
      <c r="XT159" s="11"/>
      <c r="XU159" s="11"/>
      <c r="XV159" s="11"/>
      <c r="XW159" s="11"/>
      <c r="XX159" s="11"/>
      <c r="XY159" s="11"/>
      <c r="XZ159" s="11"/>
      <c r="YA159" s="11"/>
      <c r="YB159" s="11"/>
      <c r="YC159" s="11"/>
      <c r="YD159" s="11"/>
      <c r="YE159" s="11"/>
      <c r="YF159" s="11"/>
      <c r="YG159" s="11"/>
      <c r="YH159" s="11"/>
      <c r="YI159" s="11"/>
      <c r="YJ159" s="11"/>
      <c r="YK159" s="11"/>
      <c r="YL159" s="11"/>
      <c r="YM159" s="11"/>
      <c r="YN159" s="11"/>
      <c r="YO159" s="11"/>
      <c r="YP159" s="11"/>
      <c r="YQ159" s="11"/>
      <c r="YR159" s="11"/>
      <c r="YS159" s="11"/>
      <c r="YT159" s="11"/>
      <c r="YU159" s="11"/>
      <c r="YV159" s="11"/>
      <c r="YW159" s="11"/>
      <c r="YX159" s="11"/>
      <c r="YY159" s="11"/>
      <c r="YZ159" s="11"/>
      <c r="ZA159" s="11"/>
      <c r="ZB159" s="11"/>
      <c r="ZC159" s="11"/>
      <c r="ZD159" s="11"/>
      <c r="ZE159" s="11"/>
      <c r="ZF159" s="11"/>
      <c r="ZG159" s="11"/>
      <c r="ZH159" s="11"/>
      <c r="ZI159" s="11"/>
      <c r="ZJ159" s="11"/>
      <c r="ZK159" s="11"/>
      <c r="ZL159" s="11"/>
      <c r="ZM159" s="11"/>
      <c r="ZN159" s="11"/>
      <c r="ZO159" s="11"/>
      <c r="ZP159" s="11"/>
      <c r="ZQ159" s="11"/>
      <c r="ZR159" s="11"/>
      <c r="ZS159" s="11"/>
      <c r="ZT159" s="11"/>
      <c r="ZU159" s="11"/>
      <c r="ZV159" s="11"/>
      <c r="ZW159" s="11"/>
      <c r="ZX159" s="11"/>
      <c r="ZY159" s="11"/>
      <c r="ZZ159" s="11"/>
      <c r="AAA159" s="11"/>
      <c r="AAB159" s="11"/>
      <c r="AAC159" s="11"/>
      <c r="AAD159" s="11"/>
      <c r="AAE159" s="11"/>
      <c r="AAF159" s="11"/>
      <c r="AAG159" s="11"/>
      <c r="AAH159" s="11"/>
      <c r="AAI159" s="11"/>
      <c r="AAJ159" s="11"/>
      <c r="AAK159" s="11"/>
      <c r="AAL159" s="11"/>
      <c r="AAM159" s="11"/>
      <c r="AAN159" s="11"/>
      <c r="AAO159" s="11"/>
      <c r="AAP159" s="11"/>
      <c r="AAQ159" s="11"/>
      <c r="AAR159" s="11"/>
      <c r="AAS159" s="11"/>
      <c r="AAT159" s="11"/>
      <c r="AAU159" s="11"/>
      <c r="AAV159" s="11"/>
      <c r="AAW159" s="11"/>
      <c r="AAX159" s="11"/>
      <c r="AAY159" s="11"/>
      <c r="AAZ159" s="11"/>
      <c r="ABA159" s="11"/>
      <c r="ABB159" s="11"/>
      <c r="ABC159" s="11"/>
      <c r="ABD159" s="11"/>
      <c r="ABE159" s="11"/>
      <c r="ABF159" s="11"/>
      <c r="ABG159" s="11"/>
      <c r="ABH159" s="11"/>
      <c r="ABI159" s="11"/>
      <c r="ABJ159" s="11"/>
      <c r="ABK159" s="11"/>
      <c r="ABL159" s="11"/>
      <c r="ABM159" s="11"/>
      <c r="ABN159" s="11"/>
      <c r="ABO159" s="11"/>
      <c r="ABP159" s="11"/>
      <c r="ABQ159" s="11"/>
      <c r="ABR159" s="11"/>
      <c r="ABS159" s="11"/>
      <c r="ABT159" s="11"/>
      <c r="ABU159" s="11"/>
      <c r="ABV159" s="11"/>
      <c r="ABW159" s="11"/>
      <c r="ABX159" s="11"/>
      <c r="ABY159" s="11"/>
      <c r="ABZ159" s="11"/>
      <c r="ACA159" s="11"/>
      <c r="ACB159" s="11"/>
      <c r="ACC159" s="11"/>
      <c r="ACD159" s="11"/>
      <c r="ACE159" s="11"/>
      <c r="ACF159" s="11"/>
      <c r="ACG159" s="11"/>
      <c r="ACH159" s="11"/>
      <c r="ACI159" s="11"/>
      <c r="ACJ159" s="11"/>
      <c r="ACK159" s="11"/>
      <c r="ACL159" s="11"/>
      <c r="ACM159" s="11"/>
      <c r="ACN159" s="11"/>
      <c r="ACO159" s="11"/>
      <c r="ACP159" s="11"/>
      <c r="ACQ159" s="11"/>
      <c r="ACR159" s="11"/>
      <c r="ACS159" s="11"/>
      <c r="ACT159" s="11"/>
      <c r="ACU159" s="11"/>
      <c r="ACV159" s="11"/>
      <c r="ACW159" s="11"/>
      <c r="ACX159" s="11"/>
      <c r="ACY159" s="11"/>
      <c r="ACZ159" s="11"/>
      <c r="ADA159" s="11"/>
      <c r="ADB159" s="11"/>
      <c r="ADC159" s="11"/>
      <c r="ADD159" s="11"/>
      <c r="ADE159" s="11"/>
      <c r="ADF159" s="11"/>
      <c r="ADG159" s="11"/>
      <c r="ADH159" s="11"/>
      <c r="ADI159" s="11"/>
      <c r="ADJ159" s="11"/>
      <c r="ADK159" s="11"/>
      <c r="ADL159" s="11"/>
      <c r="ADM159" s="11"/>
      <c r="ADN159" s="11"/>
      <c r="ADO159" s="11"/>
      <c r="ADP159" s="11"/>
      <c r="ADQ159" s="11"/>
      <c r="ADR159" s="11"/>
      <c r="ADS159" s="11"/>
      <c r="ADT159" s="11"/>
      <c r="ADU159" s="11"/>
      <c r="ADV159" s="11"/>
      <c r="ADW159" s="11"/>
      <c r="ADX159" s="11"/>
      <c r="ADY159" s="11"/>
      <c r="ADZ159" s="11"/>
      <c r="AEA159" s="11"/>
      <c r="AEB159" s="11"/>
      <c r="AEC159" s="11"/>
      <c r="AED159" s="11"/>
      <c r="AEE159" s="11"/>
      <c r="AEF159" s="11"/>
      <c r="AEG159" s="11"/>
      <c r="AEH159" s="11"/>
      <c r="AEI159" s="11"/>
      <c r="AEJ159" s="11"/>
      <c r="AEK159" s="11"/>
      <c r="AEL159" s="11"/>
      <c r="AEM159" s="11"/>
      <c r="AEN159" s="11"/>
      <c r="AEO159" s="11"/>
      <c r="AEP159" s="11"/>
      <c r="AEQ159" s="11"/>
      <c r="AER159" s="11"/>
      <c r="AES159" s="11"/>
      <c r="AET159" s="11"/>
      <c r="AEU159" s="11"/>
      <c r="AEV159" s="11"/>
      <c r="AEW159" s="11"/>
      <c r="AEX159" s="11"/>
      <c r="AEY159" s="11"/>
      <c r="AEZ159" s="11"/>
      <c r="AFA159" s="11"/>
      <c r="AFB159" s="11"/>
      <c r="AFC159" s="11"/>
      <c r="AFD159" s="11"/>
      <c r="AFE159" s="11"/>
      <c r="AFF159" s="11"/>
      <c r="AFG159" s="11"/>
      <c r="AFH159" s="11"/>
      <c r="AFI159" s="11"/>
    </row>
    <row r="160" spans="2:84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1"/>
      <c r="LV160" s="11"/>
      <c r="LW160" s="11"/>
      <c r="LX160" s="11"/>
      <c r="LY160" s="11"/>
      <c r="LZ160" s="11"/>
      <c r="MA160" s="11"/>
      <c r="MB160" s="11"/>
      <c r="MC160" s="11"/>
      <c r="MD160" s="11"/>
      <c r="ME160" s="11"/>
      <c r="MF160" s="11"/>
      <c r="MG160" s="11"/>
      <c r="MH160" s="11"/>
      <c r="MI160" s="11"/>
      <c r="MJ160" s="11"/>
      <c r="MK160" s="11"/>
      <c r="ML160" s="11"/>
      <c r="MM160" s="11"/>
      <c r="MN160" s="11"/>
      <c r="MO160" s="11"/>
      <c r="MP160" s="11"/>
      <c r="MQ160" s="11"/>
      <c r="MR160" s="11"/>
      <c r="MS160" s="11"/>
      <c r="MT160" s="11"/>
      <c r="MU160" s="11"/>
      <c r="MV160" s="11"/>
      <c r="MW160" s="11"/>
      <c r="MX160" s="11"/>
      <c r="MY160" s="11"/>
      <c r="MZ160" s="11"/>
      <c r="NA160" s="11"/>
      <c r="NB160" s="11"/>
      <c r="NC160" s="11"/>
      <c r="ND160" s="11"/>
      <c r="NE160" s="11"/>
      <c r="NF160" s="11"/>
      <c r="NG160" s="11"/>
      <c r="NH160" s="11"/>
      <c r="NI160" s="11"/>
      <c r="NJ160" s="11"/>
      <c r="NK160" s="11"/>
      <c r="NL160" s="11"/>
      <c r="NM160" s="11"/>
      <c r="NN160" s="11"/>
      <c r="NO160" s="11"/>
      <c r="NP160" s="11"/>
      <c r="NQ160" s="11"/>
      <c r="NR160" s="11"/>
      <c r="NS160" s="11"/>
      <c r="NT160" s="11"/>
      <c r="NU160" s="11"/>
      <c r="NV160" s="11"/>
      <c r="NW160" s="11"/>
      <c r="NX160" s="11"/>
      <c r="NY160" s="11"/>
      <c r="NZ160" s="11"/>
      <c r="OA160" s="11"/>
      <c r="OB160" s="11"/>
      <c r="OC160" s="11"/>
      <c r="OD160" s="11"/>
      <c r="OE160" s="11"/>
      <c r="OF160" s="11"/>
      <c r="OG160" s="11"/>
      <c r="OH160" s="11"/>
      <c r="OI160" s="11"/>
      <c r="OJ160" s="11"/>
      <c r="OK160" s="11"/>
      <c r="OL160" s="11"/>
      <c r="OM160" s="11"/>
      <c r="ON160" s="11"/>
      <c r="OO160" s="11"/>
      <c r="OP160" s="11"/>
      <c r="OQ160" s="11"/>
      <c r="OR160" s="11"/>
      <c r="OS160" s="11"/>
      <c r="OT160" s="11"/>
      <c r="OU160" s="11"/>
      <c r="OV160" s="11"/>
      <c r="OW160" s="11"/>
      <c r="OX160" s="11"/>
      <c r="OY160" s="11"/>
      <c r="OZ160" s="11"/>
      <c r="PA160" s="11"/>
      <c r="PB160" s="11"/>
      <c r="PC160" s="11"/>
      <c r="PD160" s="11"/>
      <c r="PE160" s="11"/>
      <c r="PF160" s="11"/>
      <c r="PG160" s="11"/>
      <c r="PH160" s="11"/>
      <c r="PI160" s="11"/>
      <c r="PJ160" s="11"/>
      <c r="PK160" s="11"/>
      <c r="PL160" s="11"/>
      <c r="PM160" s="11"/>
      <c r="PN160" s="11"/>
      <c r="PO160" s="11"/>
      <c r="PP160" s="11"/>
      <c r="PQ160" s="11"/>
      <c r="PR160" s="11"/>
      <c r="PS160" s="11"/>
      <c r="PT160" s="11"/>
      <c r="PU160" s="11"/>
      <c r="PV160" s="11"/>
      <c r="PW160" s="11"/>
      <c r="PX160" s="11"/>
      <c r="PY160" s="11"/>
      <c r="PZ160" s="11"/>
      <c r="QA160" s="11"/>
      <c r="QB160" s="11"/>
      <c r="QC160" s="11"/>
      <c r="QD160" s="11"/>
      <c r="QE160" s="11"/>
      <c r="QF160" s="11"/>
      <c r="QG160" s="11"/>
      <c r="QH160" s="11"/>
      <c r="QI160" s="11"/>
      <c r="QJ160" s="11"/>
      <c r="QK160" s="11"/>
      <c r="QL160" s="11"/>
      <c r="QM160" s="11"/>
      <c r="QN160" s="11"/>
      <c r="QO160" s="11"/>
      <c r="QP160" s="11"/>
      <c r="QQ160" s="11"/>
      <c r="QR160" s="11"/>
      <c r="QS160" s="11"/>
      <c r="QT160" s="11"/>
      <c r="QU160" s="11"/>
      <c r="QV160" s="11"/>
      <c r="QW160" s="11"/>
      <c r="QX160" s="11"/>
      <c r="QY160" s="11"/>
      <c r="QZ160" s="11"/>
      <c r="RA160" s="11"/>
      <c r="RB160" s="11"/>
      <c r="RC160" s="11"/>
      <c r="RD160" s="11"/>
      <c r="RE160" s="11"/>
      <c r="RF160" s="11"/>
      <c r="RG160" s="11"/>
      <c r="RH160" s="11"/>
      <c r="RI160" s="11"/>
      <c r="RJ160" s="11"/>
      <c r="RK160" s="11"/>
      <c r="RL160" s="11"/>
      <c r="RM160" s="11"/>
      <c r="RN160" s="11"/>
      <c r="RO160" s="11"/>
      <c r="RP160" s="11"/>
      <c r="RQ160" s="11"/>
      <c r="RR160" s="11"/>
      <c r="RS160" s="11"/>
      <c r="RT160" s="11"/>
      <c r="RU160" s="11"/>
      <c r="RV160" s="11"/>
      <c r="RW160" s="11"/>
      <c r="RX160" s="11"/>
      <c r="RY160" s="11"/>
      <c r="RZ160" s="11"/>
      <c r="SA160" s="11"/>
      <c r="SB160" s="11"/>
      <c r="SC160" s="11"/>
      <c r="SD160" s="11"/>
      <c r="SE160" s="11"/>
      <c r="SF160" s="11"/>
      <c r="SG160" s="11"/>
      <c r="SH160" s="11"/>
      <c r="SI160" s="11"/>
      <c r="SJ160" s="11"/>
      <c r="SK160" s="11"/>
      <c r="SL160" s="11"/>
      <c r="SM160" s="11"/>
      <c r="SN160" s="11"/>
      <c r="SO160" s="11"/>
      <c r="SP160" s="11"/>
      <c r="SQ160" s="11"/>
      <c r="SR160" s="11"/>
      <c r="SS160" s="11"/>
      <c r="ST160" s="11"/>
      <c r="SU160" s="11"/>
      <c r="SV160" s="11"/>
      <c r="SW160" s="11"/>
      <c r="SX160" s="11"/>
      <c r="SY160" s="11"/>
      <c r="SZ160" s="11"/>
      <c r="TA160" s="11"/>
      <c r="TB160" s="11"/>
      <c r="TC160" s="11"/>
      <c r="TD160" s="11"/>
      <c r="TE160" s="11"/>
      <c r="TF160" s="11"/>
      <c r="TG160" s="11"/>
      <c r="TH160" s="11"/>
      <c r="TI160" s="11"/>
      <c r="TJ160" s="11"/>
      <c r="TK160" s="11"/>
      <c r="TL160" s="11"/>
      <c r="TM160" s="11"/>
      <c r="TN160" s="11"/>
      <c r="TO160" s="11"/>
      <c r="TP160" s="11"/>
      <c r="TQ160" s="11"/>
      <c r="TR160" s="11"/>
      <c r="TS160" s="11"/>
      <c r="TT160" s="11"/>
      <c r="TU160" s="11"/>
      <c r="TV160" s="11"/>
      <c r="TW160" s="11"/>
      <c r="TX160" s="11"/>
      <c r="TY160" s="11"/>
      <c r="TZ160" s="11"/>
      <c r="UA160" s="11"/>
      <c r="UB160" s="11"/>
      <c r="UC160" s="11"/>
      <c r="UD160" s="11"/>
      <c r="UE160" s="11"/>
      <c r="UF160" s="11"/>
      <c r="UG160" s="11"/>
      <c r="UH160" s="11"/>
      <c r="UI160" s="11"/>
      <c r="UJ160" s="11"/>
      <c r="UK160" s="11"/>
      <c r="UL160" s="11"/>
      <c r="UM160" s="11"/>
      <c r="UN160" s="11"/>
      <c r="UO160" s="11"/>
      <c r="UP160" s="11"/>
      <c r="UQ160" s="11"/>
      <c r="UR160" s="11"/>
      <c r="US160" s="11"/>
      <c r="UT160" s="11"/>
      <c r="UU160" s="11"/>
      <c r="UV160" s="11"/>
      <c r="UW160" s="11"/>
      <c r="UX160" s="11"/>
      <c r="UY160" s="11"/>
      <c r="UZ160" s="11"/>
      <c r="VA160" s="11"/>
      <c r="VB160" s="11"/>
      <c r="VC160" s="11"/>
      <c r="VD160" s="11"/>
      <c r="VE160" s="11"/>
      <c r="VF160" s="11"/>
      <c r="VG160" s="11"/>
      <c r="VH160" s="11"/>
      <c r="VI160" s="11"/>
      <c r="VJ160" s="11"/>
      <c r="VK160" s="11"/>
      <c r="VL160" s="11"/>
      <c r="VM160" s="11"/>
      <c r="VN160" s="11"/>
      <c r="VO160" s="11"/>
      <c r="VP160" s="11"/>
      <c r="VQ160" s="11"/>
      <c r="VR160" s="11"/>
      <c r="VS160" s="11"/>
      <c r="VT160" s="11"/>
      <c r="VU160" s="11"/>
      <c r="VV160" s="11"/>
      <c r="VW160" s="11"/>
      <c r="VX160" s="11"/>
      <c r="VY160" s="11"/>
      <c r="VZ160" s="11"/>
      <c r="WA160" s="11"/>
      <c r="WB160" s="11"/>
      <c r="WC160" s="11"/>
      <c r="WD160" s="11"/>
      <c r="WE160" s="11"/>
      <c r="WF160" s="11"/>
      <c r="WG160" s="11"/>
      <c r="WH160" s="11"/>
      <c r="WI160" s="11"/>
      <c r="WJ160" s="11"/>
      <c r="WK160" s="11"/>
      <c r="WL160" s="11"/>
      <c r="WM160" s="11"/>
      <c r="WN160" s="11"/>
      <c r="WO160" s="11"/>
      <c r="WP160" s="11"/>
      <c r="WQ160" s="11"/>
      <c r="WR160" s="11"/>
      <c r="WS160" s="11"/>
      <c r="WT160" s="11"/>
      <c r="WU160" s="11"/>
      <c r="WV160" s="11"/>
      <c r="WW160" s="11"/>
      <c r="WX160" s="11"/>
      <c r="WY160" s="11"/>
      <c r="WZ160" s="11"/>
      <c r="XA160" s="11"/>
      <c r="XB160" s="11"/>
      <c r="XC160" s="11"/>
      <c r="XD160" s="11"/>
      <c r="XE160" s="11"/>
      <c r="XF160" s="11"/>
      <c r="XG160" s="11"/>
      <c r="XH160" s="11"/>
      <c r="XI160" s="11"/>
      <c r="XJ160" s="11"/>
      <c r="XK160" s="11"/>
      <c r="XL160" s="11"/>
      <c r="XM160" s="11"/>
      <c r="XN160" s="11"/>
      <c r="XO160" s="11"/>
      <c r="XP160" s="11"/>
      <c r="XQ160" s="11"/>
      <c r="XR160" s="11"/>
      <c r="XS160" s="11"/>
      <c r="XT160" s="11"/>
      <c r="XU160" s="11"/>
      <c r="XV160" s="11"/>
      <c r="XW160" s="11"/>
      <c r="XX160" s="11"/>
      <c r="XY160" s="11"/>
      <c r="XZ160" s="11"/>
      <c r="YA160" s="11"/>
      <c r="YB160" s="11"/>
      <c r="YC160" s="11"/>
      <c r="YD160" s="11"/>
      <c r="YE160" s="11"/>
      <c r="YF160" s="11"/>
      <c r="YG160" s="11"/>
      <c r="YH160" s="11"/>
      <c r="YI160" s="11"/>
      <c r="YJ160" s="11"/>
      <c r="YK160" s="11"/>
      <c r="YL160" s="11"/>
      <c r="YM160" s="11"/>
      <c r="YN160" s="11"/>
      <c r="YO160" s="11"/>
      <c r="YP160" s="11"/>
      <c r="YQ160" s="11"/>
      <c r="YR160" s="11"/>
      <c r="YS160" s="11"/>
      <c r="YT160" s="11"/>
      <c r="YU160" s="11"/>
      <c r="YV160" s="11"/>
      <c r="YW160" s="11"/>
      <c r="YX160" s="11"/>
      <c r="YY160" s="11"/>
      <c r="YZ160" s="11"/>
      <c r="ZA160" s="11"/>
      <c r="ZB160" s="11"/>
      <c r="ZC160" s="11"/>
      <c r="ZD160" s="11"/>
      <c r="ZE160" s="11"/>
      <c r="ZF160" s="11"/>
      <c r="ZG160" s="11"/>
      <c r="ZH160" s="11"/>
      <c r="ZI160" s="11"/>
      <c r="ZJ160" s="11"/>
      <c r="ZK160" s="11"/>
      <c r="ZL160" s="11"/>
      <c r="ZM160" s="11"/>
      <c r="ZN160" s="11"/>
      <c r="ZO160" s="11"/>
      <c r="ZP160" s="11"/>
      <c r="ZQ160" s="11"/>
      <c r="ZR160" s="11"/>
      <c r="ZS160" s="11"/>
      <c r="ZT160" s="11"/>
      <c r="ZU160" s="11"/>
      <c r="ZV160" s="11"/>
      <c r="ZW160" s="11"/>
      <c r="ZX160" s="11"/>
      <c r="ZY160" s="11"/>
      <c r="ZZ160" s="11"/>
      <c r="AAA160" s="11"/>
      <c r="AAB160" s="11"/>
      <c r="AAC160" s="11"/>
      <c r="AAD160" s="11"/>
      <c r="AAE160" s="11"/>
      <c r="AAF160" s="11"/>
      <c r="AAG160" s="11"/>
      <c r="AAH160" s="11"/>
      <c r="AAI160" s="11"/>
      <c r="AAJ160" s="11"/>
      <c r="AAK160" s="11"/>
      <c r="AAL160" s="11"/>
      <c r="AAM160" s="11"/>
      <c r="AAN160" s="11"/>
      <c r="AAO160" s="11"/>
      <c r="AAP160" s="11"/>
      <c r="AAQ160" s="11"/>
      <c r="AAR160" s="11"/>
      <c r="AAS160" s="11"/>
      <c r="AAT160" s="11"/>
      <c r="AAU160" s="11"/>
      <c r="AAV160" s="11"/>
      <c r="AAW160" s="11"/>
      <c r="AAX160" s="11"/>
      <c r="AAY160" s="11"/>
      <c r="AAZ160" s="11"/>
      <c r="ABA160" s="11"/>
      <c r="ABB160" s="11"/>
      <c r="ABC160" s="11"/>
      <c r="ABD160" s="11"/>
      <c r="ABE160" s="11"/>
      <c r="ABF160" s="11"/>
      <c r="ABG160" s="11"/>
      <c r="ABH160" s="11"/>
      <c r="ABI160" s="11"/>
      <c r="ABJ160" s="11"/>
      <c r="ABK160" s="11"/>
      <c r="ABL160" s="11"/>
      <c r="ABM160" s="11"/>
      <c r="ABN160" s="11"/>
      <c r="ABO160" s="11"/>
      <c r="ABP160" s="11"/>
      <c r="ABQ160" s="11"/>
      <c r="ABR160" s="11"/>
      <c r="ABS160" s="11"/>
      <c r="ABT160" s="11"/>
      <c r="ABU160" s="11"/>
      <c r="ABV160" s="11"/>
      <c r="ABW160" s="11"/>
      <c r="ABX160" s="11"/>
      <c r="ABY160" s="11"/>
      <c r="ABZ160" s="11"/>
      <c r="ACA160" s="11"/>
      <c r="ACB160" s="11"/>
      <c r="ACC160" s="11"/>
      <c r="ACD160" s="11"/>
      <c r="ACE160" s="11"/>
      <c r="ACF160" s="11"/>
      <c r="ACG160" s="11"/>
      <c r="ACH160" s="11"/>
      <c r="ACI160" s="11"/>
      <c r="ACJ160" s="11"/>
      <c r="ACK160" s="11"/>
      <c r="ACL160" s="11"/>
      <c r="ACM160" s="11"/>
      <c r="ACN160" s="11"/>
      <c r="ACO160" s="11"/>
      <c r="ACP160" s="11"/>
      <c r="ACQ160" s="11"/>
      <c r="ACR160" s="11"/>
      <c r="ACS160" s="11"/>
      <c r="ACT160" s="11"/>
      <c r="ACU160" s="11"/>
      <c r="ACV160" s="11"/>
      <c r="ACW160" s="11"/>
      <c r="ACX160" s="11"/>
      <c r="ACY160" s="11"/>
      <c r="ACZ160" s="11"/>
      <c r="ADA160" s="11"/>
      <c r="ADB160" s="11"/>
      <c r="ADC160" s="11"/>
      <c r="ADD160" s="11"/>
      <c r="ADE160" s="11"/>
      <c r="ADF160" s="11"/>
      <c r="ADG160" s="11"/>
      <c r="ADH160" s="11"/>
      <c r="ADI160" s="11"/>
      <c r="ADJ160" s="11"/>
      <c r="ADK160" s="11"/>
      <c r="ADL160" s="11"/>
      <c r="ADM160" s="11"/>
      <c r="ADN160" s="11"/>
      <c r="ADO160" s="11"/>
      <c r="ADP160" s="11"/>
      <c r="ADQ160" s="11"/>
      <c r="ADR160" s="11"/>
      <c r="ADS160" s="11"/>
      <c r="ADT160" s="11"/>
      <c r="ADU160" s="11"/>
      <c r="ADV160" s="11"/>
      <c r="ADW160" s="11"/>
      <c r="ADX160" s="11"/>
      <c r="ADY160" s="11"/>
      <c r="ADZ160" s="11"/>
      <c r="AEA160" s="11"/>
      <c r="AEB160" s="11"/>
      <c r="AEC160" s="11"/>
      <c r="AED160" s="11"/>
      <c r="AEE160" s="11"/>
      <c r="AEF160" s="11"/>
      <c r="AEG160" s="11"/>
      <c r="AEH160" s="11"/>
      <c r="AEI160" s="11"/>
      <c r="AEJ160" s="11"/>
      <c r="AEK160" s="11"/>
      <c r="AEL160" s="11"/>
      <c r="AEM160" s="11"/>
      <c r="AEN160" s="11"/>
      <c r="AEO160" s="11"/>
      <c r="AEP160" s="11"/>
      <c r="AEQ160" s="11"/>
      <c r="AER160" s="11"/>
      <c r="AES160" s="11"/>
      <c r="AET160" s="11"/>
      <c r="AEU160" s="11"/>
      <c r="AEV160" s="11"/>
      <c r="AEW160" s="11"/>
      <c r="AEX160" s="11"/>
      <c r="AEY160" s="11"/>
      <c r="AEZ160" s="11"/>
      <c r="AFA160" s="11"/>
      <c r="AFB160" s="11"/>
      <c r="AFC160" s="11"/>
      <c r="AFD160" s="11"/>
      <c r="AFE160" s="11"/>
      <c r="AFF160" s="11"/>
      <c r="AFG160" s="11"/>
      <c r="AFH160" s="11"/>
      <c r="AFI160" s="11"/>
    </row>
    <row r="161" spans="2:84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1"/>
      <c r="LV161" s="11"/>
      <c r="LW161" s="11"/>
      <c r="LX161" s="11"/>
      <c r="LY161" s="11"/>
      <c r="LZ161" s="11"/>
      <c r="MA161" s="11"/>
      <c r="MB161" s="11"/>
      <c r="MC161" s="11"/>
      <c r="MD161" s="11"/>
      <c r="ME161" s="11"/>
      <c r="MF161" s="11"/>
      <c r="MG161" s="11"/>
      <c r="MH161" s="11"/>
      <c r="MI161" s="11"/>
      <c r="MJ161" s="11"/>
      <c r="MK161" s="11"/>
      <c r="ML161" s="11"/>
      <c r="MM161" s="11"/>
      <c r="MN161" s="11"/>
      <c r="MO161" s="11"/>
      <c r="MP161" s="11"/>
      <c r="MQ161" s="11"/>
      <c r="MR161" s="11"/>
      <c r="MS161" s="11"/>
      <c r="MT161" s="11"/>
      <c r="MU161" s="11"/>
      <c r="MV161" s="11"/>
      <c r="MW161" s="11"/>
      <c r="MX161" s="11"/>
      <c r="MY161" s="11"/>
      <c r="MZ161" s="11"/>
      <c r="NA161" s="11"/>
      <c r="NB161" s="11"/>
      <c r="NC161" s="11"/>
      <c r="ND161" s="11"/>
      <c r="NE161" s="11"/>
      <c r="NF161" s="11"/>
      <c r="NG161" s="11"/>
      <c r="NH161" s="11"/>
      <c r="NI161" s="11"/>
      <c r="NJ161" s="11"/>
      <c r="NK161" s="11"/>
      <c r="NL161" s="11"/>
      <c r="NM161" s="11"/>
      <c r="NN161" s="11"/>
      <c r="NO161" s="11"/>
      <c r="NP161" s="11"/>
      <c r="NQ161" s="11"/>
      <c r="NR161" s="11"/>
      <c r="NS161" s="11"/>
      <c r="NT161" s="11"/>
      <c r="NU161" s="11"/>
      <c r="NV161" s="11"/>
      <c r="NW161" s="11"/>
      <c r="NX161" s="11"/>
      <c r="NY161" s="11"/>
      <c r="NZ161" s="11"/>
      <c r="OA161" s="11"/>
      <c r="OB161" s="11"/>
      <c r="OC161" s="11"/>
      <c r="OD161" s="11"/>
      <c r="OE161" s="11"/>
      <c r="OF161" s="11"/>
      <c r="OG161" s="11"/>
      <c r="OH161" s="11"/>
      <c r="OI161" s="11"/>
      <c r="OJ161" s="11"/>
      <c r="OK161" s="11"/>
      <c r="OL161" s="11"/>
      <c r="OM161" s="11"/>
      <c r="ON161" s="11"/>
      <c r="OO161" s="11"/>
      <c r="OP161" s="11"/>
      <c r="OQ161" s="11"/>
      <c r="OR161" s="11"/>
      <c r="OS161" s="11"/>
      <c r="OT161" s="11"/>
      <c r="OU161" s="11"/>
      <c r="OV161" s="11"/>
      <c r="OW161" s="11"/>
      <c r="OX161" s="11"/>
      <c r="OY161" s="11"/>
      <c r="OZ161" s="11"/>
      <c r="PA161" s="11"/>
      <c r="PB161" s="11"/>
      <c r="PC161" s="11"/>
      <c r="PD161" s="11"/>
      <c r="PE161" s="11"/>
      <c r="PF161" s="11"/>
      <c r="PG161" s="11"/>
      <c r="PH161" s="11"/>
      <c r="PI161" s="11"/>
      <c r="PJ161" s="11"/>
      <c r="PK161" s="11"/>
      <c r="PL161" s="11"/>
      <c r="PM161" s="11"/>
      <c r="PN161" s="11"/>
      <c r="PO161" s="11"/>
      <c r="PP161" s="11"/>
      <c r="PQ161" s="11"/>
      <c r="PR161" s="11"/>
      <c r="PS161" s="11"/>
      <c r="PT161" s="11"/>
      <c r="PU161" s="11"/>
      <c r="PV161" s="11"/>
      <c r="PW161" s="11"/>
      <c r="PX161" s="11"/>
      <c r="PY161" s="11"/>
      <c r="PZ161" s="11"/>
      <c r="QA161" s="11"/>
      <c r="QB161" s="11"/>
      <c r="QC161" s="11"/>
      <c r="QD161" s="11"/>
      <c r="QE161" s="11"/>
      <c r="QF161" s="11"/>
      <c r="QG161" s="11"/>
      <c r="QH161" s="11"/>
      <c r="QI161" s="11"/>
      <c r="QJ161" s="11"/>
      <c r="QK161" s="11"/>
      <c r="QL161" s="11"/>
      <c r="QM161" s="11"/>
      <c r="QN161" s="11"/>
      <c r="QO161" s="11"/>
      <c r="QP161" s="11"/>
      <c r="QQ161" s="11"/>
      <c r="QR161" s="11"/>
      <c r="QS161" s="11"/>
      <c r="QT161" s="11"/>
      <c r="QU161" s="11"/>
      <c r="QV161" s="11"/>
      <c r="QW161" s="11"/>
      <c r="QX161" s="11"/>
      <c r="QY161" s="11"/>
      <c r="QZ161" s="11"/>
      <c r="RA161" s="11"/>
      <c r="RB161" s="11"/>
      <c r="RC161" s="11"/>
      <c r="RD161" s="11"/>
      <c r="RE161" s="11"/>
      <c r="RF161" s="11"/>
      <c r="RG161" s="11"/>
      <c r="RH161" s="11"/>
      <c r="RI161" s="11"/>
      <c r="RJ161" s="11"/>
      <c r="RK161" s="11"/>
      <c r="RL161" s="11"/>
      <c r="RM161" s="11"/>
      <c r="RN161" s="11"/>
      <c r="RO161" s="11"/>
      <c r="RP161" s="11"/>
      <c r="RQ161" s="11"/>
      <c r="RR161" s="11"/>
      <c r="RS161" s="11"/>
      <c r="RT161" s="11"/>
      <c r="RU161" s="11"/>
      <c r="RV161" s="11"/>
      <c r="RW161" s="11"/>
      <c r="RX161" s="11"/>
      <c r="RY161" s="11"/>
      <c r="RZ161" s="11"/>
      <c r="SA161" s="11"/>
      <c r="SB161" s="11"/>
      <c r="SC161" s="11"/>
      <c r="SD161" s="11"/>
      <c r="SE161" s="11"/>
      <c r="SF161" s="11"/>
      <c r="SG161" s="11"/>
      <c r="SH161" s="11"/>
      <c r="SI161" s="11"/>
      <c r="SJ161" s="11"/>
      <c r="SK161" s="11"/>
      <c r="SL161" s="11"/>
      <c r="SM161" s="11"/>
      <c r="SN161" s="11"/>
      <c r="SO161" s="11"/>
      <c r="SP161" s="11"/>
      <c r="SQ161" s="11"/>
      <c r="SR161" s="11"/>
      <c r="SS161" s="11"/>
      <c r="ST161" s="11"/>
      <c r="SU161" s="11"/>
      <c r="SV161" s="11"/>
      <c r="SW161" s="11"/>
      <c r="SX161" s="11"/>
      <c r="SY161" s="11"/>
      <c r="SZ161" s="11"/>
      <c r="TA161" s="11"/>
      <c r="TB161" s="11"/>
      <c r="TC161" s="11"/>
      <c r="TD161" s="11"/>
      <c r="TE161" s="11"/>
      <c r="TF161" s="11"/>
      <c r="TG161" s="11"/>
      <c r="TH161" s="11"/>
      <c r="TI161" s="11"/>
      <c r="TJ161" s="11"/>
      <c r="TK161" s="11"/>
      <c r="TL161" s="11"/>
      <c r="TM161" s="11"/>
      <c r="TN161" s="11"/>
      <c r="TO161" s="11"/>
      <c r="TP161" s="11"/>
      <c r="TQ161" s="11"/>
      <c r="TR161" s="11"/>
      <c r="TS161" s="11"/>
      <c r="TT161" s="11"/>
      <c r="TU161" s="11"/>
      <c r="TV161" s="11"/>
      <c r="TW161" s="11"/>
      <c r="TX161" s="11"/>
      <c r="TY161" s="11"/>
      <c r="TZ161" s="11"/>
      <c r="UA161" s="11"/>
      <c r="UB161" s="11"/>
      <c r="UC161" s="11"/>
      <c r="UD161" s="11"/>
      <c r="UE161" s="11"/>
      <c r="UF161" s="11"/>
      <c r="UG161" s="11"/>
      <c r="UH161" s="11"/>
      <c r="UI161" s="11"/>
      <c r="UJ161" s="11"/>
      <c r="UK161" s="11"/>
      <c r="UL161" s="11"/>
      <c r="UM161" s="11"/>
      <c r="UN161" s="11"/>
      <c r="UO161" s="11"/>
      <c r="UP161" s="11"/>
      <c r="UQ161" s="11"/>
      <c r="UR161" s="11"/>
      <c r="US161" s="11"/>
      <c r="UT161" s="11"/>
      <c r="UU161" s="11"/>
      <c r="UV161" s="11"/>
      <c r="UW161" s="11"/>
      <c r="UX161" s="11"/>
      <c r="UY161" s="11"/>
      <c r="UZ161" s="11"/>
      <c r="VA161" s="11"/>
      <c r="VB161" s="11"/>
      <c r="VC161" s="11"/>
      <c r="VD161" s="11"/>
      <c r="VE161" s="11"/>
      <c r="VF161" s="11"/>
      <c r="VG161" s="11"/>
      <c r="VH161" s="11"/>
      <c r="VI161" s="11"/>
      <c r="VJ161" s="11"/>
      <c r="VK161" s="11"/>
      <c r="VL161" s="11"/>
      <c r="VM161" s="11"/>
      <c r="VN161" s="11"/>
      <c r="VO161" s="11"/>
      <c r="VP161" s="11"/>
      <c r="VQ161" s="11"/>
      <c r="VR161" s="11"/>
      <c r="VS161" s="11"/>
      <c r="VT161" s="11"/>
      <c r="VU161" s="11"/>
      <c r="VV161" s="11"/>
      <c r="VW161" s="11"/>
      <c r="VX161" s="11"/>
      <c r="VY161" s="11"/>
      <c r="VZ161" s="11"/>
      <c r="WA161" s="11"/>
      <c r="WB161" s="11"/>
      <c r="WC161" s="11"/>
      <c r="WD161" s="11"/>
      <c r="WE161" s="11"/>
      <c r="WF161" s="11"/>
      <c r="WG161" s="11"/>
      <c r="WH161" s="11"/>
      <c r="WI161" s="11"/>
      <c r="WJ161" s="11"/>
      <c r="WK161" s="11"/>
      <c r="WL161" s="11"/>
      <c r="WM161" s="11"/>
      <c r="WN161" s="11"/>
      <c r="WO161" s="11"/>
      <c r="WP161" s="11"/>
      <c r="WQ161" s="11"/>
      <c r="WR161" s="11"/>
      <c r="WS161" s="11"/>
      <c r="WT161" s="11"/>
      <c r="WU161" s="11"/>
      <c r="WV161" s="11"/>
      <c r="WW161" s="11"/>
      <c r="WX161" s="11"/>
      <c r="WY161" s="11"/>
      <c r="WZ161" s="11"/>
      <c r="XA161" s="11"/>
      <c r="XB161" s="11"/>
      <c r="XC161" s="11"/>
      <c r="XD161" s="11"/>
      <c r="XE161" s="11"/>
      <c r="XF161" s="11"/>
      <c r="XG161" s="11"/>
      <c r="XH161" s="11"/>
      <c r="XI161" s="11"/>
      <c r="XJ161" s="11"/>
      <c r="XK161" s="11"/>
      <c r="XL161" s="11"/>
      <c r="XM161" s="11"/>
      <c r="XN161" s="11"/>
      <c r="XO161" s="11"/>
      <c r="XP161" s="11"/>
      <c r="XQ161" s="11"/>
      <c r="XR161" s="11"/>
      <c r="XS161" s="11"/>
      <c r="XT161" s="11"/>
      <c r="XU161" s="11"/>
      <c r="XV161" s="11"/>
      <c r="XW161" s="11"/>
      <c r="XX161" s="11"/>
      <c r="XY161" s="11"/>
      <c r="XZ161" s="11"/>
      <c r="YA161" s="11"/>
      <c r="YB161" s="11"/>
      <c r="YC161" s="11"/>
      <c r="YD161" s="11"/>
      <c r="YE161" s="11"/>
      <c r="YF161" s="11"/>
      <c r="YG161" s="11"/>
      <c r="YH161" s="11"/>
      <c r="YI161" s="11"/>
      <c r="YJ161" s="11"/>
      <c r="YK161" s="11"/>
      <c r="YL161" s="11"/>
      <c r="YM161" s="11"/>
      <c r="YN161" s="11"/>
      <c r="YO161" s="11"/>
      <c r="YP161" s="11"/>
      <c r="YQ161" s="11"/>
      <c r="YR161" s="11"/>
      <c r="YS161" s="11"/>
      <c r="YT161" s="11"/>
      <c r="YU161" s="11"/>
      <c r="YV161" s="11"/>
      <c r="YW161" s="11"/>
      <c r="YX161" s="11"/>
      <c r="YY161" s="11"/>
      <c r="YZ161" s="11"/>
      <c r="ZA161" s="11"/>
      <c r="ZB161" s="11"/>
      <c r="ZC161" s="11"/>
      <c r="ZD161" s="11"/>
      <c r="ZE161" s="11"/>
      <c r="ZF161" s="11"/>
      <c r="ZG161" s="11"/>
      <c r="ZH161" s="11"/>
      <c r="ZI161" s="11"/>
      <c r="ZJ161" s="11"/>
      <c r="ZK161" s="11"/>
      <c r="ZL161" s="11"/>
      <c r="ZM161" s="11"/>
      <c r="ZN161" s="11"/>
      <c r="ZO161" s="11"/>
      <c r="ZP161" s="11"/>
      <c r="ZQ161" s="11"/>
      <c r="ZR161" s="11"/>
      <c r="ZS161" s="11"/>
      <c r="ZT161" s="11"/>
      <c r="ZU161" s="11"/>
      <c r="ZV161" s="11"/>
      <c r="ZW161" s="11"/>
      <c r="ZX161" s="11"/>
      <c r="ZY161" s="11"/>
      <c r="ZZ161" s="11"/>
      <c r="AAA161" s="11"/>
      <c r="AAB161" s="11"/>
      <c r="AAC161" s="11"/>
      <c r="AAD161" s="11"/>
      <c r="AAE161" s="11"/>
      <c r="AAF161" s="11"/>
      <c r="AAG161" s="11"/>
      <c r="AAH161" s="11"/>
      <c r="AAI161" s="11"/>
      <c r="AAJ161" s="11"/>
      <c r="AAK161" s="11"/>
      <c r="AAL161" s="11"/>
      <c r="AAM161" s="11"/>
      <c r="AAN161" s="11"/>
      <c r="AAO161" s="11"/>
      <c r="AAP161" s="11"/>
      <c r="AAQ161" s="11"/>
      <c r="AAR161" s="11"/>
      <c r="AAS161" s="11"/>
      <c r="AAT161" s="11"/>
      <c r="AAU161" s="11"/>
      <c r="AAV161" s="11"/>
      <c r="AAW161" s="11"/>
      <c r="AAX161" s="11"/>
      <c r="AAY161" s="11"/>
      <c r="AAZ161" s="11"/>
      <c r="ABA161" s="11"/>
      <c r="ABB161" s="11"/>
      <c r="ABC161" s="11"/>
      <c r="ABD161" s="11"/>
      <c r="ABE161" s="11"/>
      <c r="ABF161" s="11"/>
      <c r="ABG161" s="11"/>
      <c r="ABH161" s="11"/>
      <c r="ABI161" s="11"/>
      <c r="ABJ161" s="11"/>
      <c r="ABK161" s="11"/>
      <c r="ABL161" s="11"/>
      <c r="ABM161" s="11"/>
      <c r="ABN161" s="11"/>
      <c r="ABO161" s="11"/>
      <c r="ABP161" s="11"/>
      <c r="ABQ161" s="11"/>
      <c r="ABR161" s="11"/>
      <c r="ABS161" s="11"/>
      <c r="ABT161" s="11"/>
      <c r="ABU161" s="11"/>
      <c r="ABV161" s="11"/>
      <c r="ABW161" s="11"/>
      <c r="ABX161" s="11"/>
      <c r="ABY161" s="11"/>
      <c r="ABZ161" s="11"/>
      <c r="ACA161" s="11"/>
      <c r="ACB161" s="11"/>
      <c r="ACC161" s="11"/>
      <c r="ACD161" s="11"/>
      <c r="ACE161" s="11"/>
      <c r="ACF161" s="11"/>
      <c r="ACG161" s="11"/>
      <c r="ACH161" s="11"/>
      <c r="ACI161" s="11"/>
      <c r="ACJ161" s="11"/>
      <c r="ACK161" s="11"/>
      <c r="ACL161" s="11"/>
      <c r="ACM161" s="11"/>
      <c r="ACN161" s="11"/>
      <c r="ACO161" s="11"/>
      <c r="ACP161" s="11"/>
      <c r="ACQ161" s="11"/>
      <c r="ACR161" s="11"/>
      <c r="ACS161" s="11"/>
      <c r="ACT161" s="11"/>
      <c r="ACU161" s="11"/>
      <c r="ACV161" s="11"/>
      <c r="ACW161" s="11"/>
      <c r="ACX161" s="11"/>
      <c r="ACY161" s="11"/>
      <c r="ACZ161" s="11"/>
      <c r="ADA161" s="11"/>
      <c r="ADB161" s="11"/>
      <c r="ADC161" s="11"/>
      <c r="ADD161" s="11"/>
      <c r="ADE161" s="11"/>
      <c r="ADF161" s="11"/>
      <c r="ADG161" s="11"/>
      <c r="ADH161" s="11"/>
      <c r="ADI161" s="11"/>
      <c r="ADJ161" s="11"/>
      <c r="ADK161" s="11"/>
      <c r="ADL161" s="11"/>
      <c r="ADM161" s="11"/>
      <c r="ADN161" s="11"/>
      <c r="ADO161" s="11"/>
      <c r="ADP161" s="11"/>
      <c r="ADQ161" s="11"/>
      <c r="ADR161" s="11"/>
      <c r="ADS161" s="11"/>
      <c r="ADT161" s="11"/>
      <c r="ADU161" s="11"/>
      <c r="ADV161" s="11"/>
      <c r="ADW161" s="11"/>
      <c r="ADX161" s="11"/>
      <c r="ADY161" s="11"/>
      <c r="ADZ161" s="11"/>
      <c r="AEA161" s="11"/>
      <c r="AEB161" s="11"/>
      <c r="AEC161" s="11"/>
      <c r="AED161" s="11"/>
      <c r="AEE161" s="11"/>
      <c r="AEF161" s="11"/>
      <c r="AEG161" s="11"/>
      <c r="AEH161" s="11"/>
      <c r="AEI161" s="11"/>
      <c r="AEJ161" s="11"/>
      <c r="AEK161" s="11"/>
      <c r="AEL161" s="11"/>
      <c r="AEM161" s="11"/>
      <c r="AEN161" s="11"/>
      <c r="AEO161" s="11"/>
      <c r="AEP161" s="11"/>
      <c r="AEQ161" s="11"/>
      <c r="AER161" s="11"/>
      <c r="AES161" s="11"/>
      <c r="AET161" s="11"/>
      <c r="AEU161" s="11"/>
      <c r="AEV161" s="11"/>
      <c r="AEW161" s="11"/>
      <c r="AEX161" s="11"/>
      <c r="AEY161" s="11"/>
      <c r="AEZ161" s="11"/>
      <c r="AFA161" s="11"/>
      <c r="AFB161" s="11"/>
      <c r="AFC161" s="11"/>
      <c r="AFD161" s="11"/>
      <c r="AFE161" s="11"/>
      <c r="AFF161" s="11"/>
      <c r="AFG161" s="11"/>
      <c r="AFH161" s="11"/>
      <c r="AFI161" s="11"/>
    </row>
    <row r="162" spans="2:84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1"/>
      <c r="LV162" s="11"/>
      <c r="LW162" s="11"/>
      <c r="LX162" s="11"/>
      <c r="LY162" s="11"/>
      <c r="LZ162" s="11"/>
      <c r="MA162" s="11"/>
      <c r="MB162" s="11"/>
      <c r="MC162" s="11"/>
      <c r="MD162" s="11"/>
      <c r="ME162" s="11"/>
      <c r="MF162" s="11"/>
      <c r="MG162" s="11"/>
      <c r="MH162" s="11"/>
      <c r="MI162" s="11"/>
      <c r="MJ162" s="11"/>
      <c r="MK162" s="11"/>
      <c r="ML162" s="11"/>
      <c r="MM162" s="11"/>
      <c r="MN162" s="11"/>
      <c r="MO162" s="11"/>
      <c r="MP162" s="11"/>
      <c r="MQ162" s="11"/>
      <c r="MR162" s="11"/>
      <c r="MS162" s="11"/>
      <c r="MT162" s="11"/>
      <c r="MU162" s="11"/>
      <c r="MV162" s="11"/>
      <c r="MW162" s="11"/>
      <c r="MX162" s="11"/>
      <c r="MY162" s="11"/>
      <c r="MZ162" s="11"/>
      <c r="NA162" s="11"/>
      <c r="NB162" s="11"/>
      <c r="NC162" s="11"/>
      <c r="ND162" s="11"/>
      <c r="NE162" s="11"/>
      <c r="NF162" s="11"/>
      <c r="NG162" s="11"/>
      <c r="NH162" s="11"/>
      <c r="NI162" s="11"/>
      <c r="NJ162" s="11"/>
      <c r="NK162" s="11"/>
      <c r="NL162" s="11"/>
      <c r="NM162" s="11"/>
      <c r="NN162" s="11"/>
      <c r="NO162" s="11"/>
      <c r="NP162" s="11"/>
      <c r="NQ162" s="11"/>
      <c r="NR162" s="11"/>
      <c r="NS162" s="11"/>
      <c r="NT162" s="11"/>
      <c r="NU162" s="11"/>
      <c r="NV162" s="11"/>
      <c r="NW162" s="11"/>
      <c r="NX162" s="11"/>
      <c r="NY162" s="11"/>
      <c r="NZ162" s="11"/>
      <c r="OA162" s="11"/>
      <c r="OB162" s="11"/>
      <c r="OC162" s="11"/>
      <c r="OD162" s="11"/>
      <c r="OE162" s="11"/>
      <c r="OF162" s="11"/>
      <c r="OG162" s="11"/>
      <c r="OH162" s="11"/>
      <c r="OI162" s="11"/>
      <c r="OJ162" s="11"/>
      <c r="OK162" s="11"/>
      <c r="OL162" s="11"/>
      <c r="OM162" s="11"/>
      <c r="ON162" s="11"/>
      <c r="OO162" s="11"/>
      <c r="OP162" s="11"/>
      <c r="OQ162" s="11"/>
      <c r="OR162" s="11"/>
      <c r="OS162" s="11"/>
      <c r="OT162" s="11"/>
      <c r="OU162" s="11"/>
      <c r="OV162" s="11"/>
      <c r="OW162" s="11"/>
      <c r="OX162" s="11"/>
      <c r="OY162" s="11"/>
      <c r="OZ162" s="11"/>
      <c r="PA162" s="11"/>
      <c r="PB162" s="11"/>
      <c r="PC162" s="11"/>
      <c r="PD162" s="11"/>
      <c r="PE162" s="11"/>
      <c r="PF162" s="11"/>
      <c r="PG162" s="11"/>
      <c r="PH162" s="11"/>
      <c r="PI162" s="11"/>
      <c r="PJ162" s="11"/>
      <c r="PK162" s="11"/>
      <c r="PL162" s="11"/>
      <c r="PM162" s="11"/>
      <c r="PN162" s="11"/>
      <c r="PO162" s="11"/>
      <c r="PP162" s="11"/>
      <c r="PQ162" s="11"/>
      <c r="PR162" s="11"/>
      <c r="PS162" s="11"/>
      <c r="PT162" s="11"/>
      <c r="PU162" s="11"/>
      <c r="PV162" s="11"/>
      <c r="PW162" s="11"/>
      <c r="PX162" s="11"/>
      <c r="PY162" s="11"/>
      <c r="PZ162" s="11"/>
      <c r="QA162" s="11"/>
      <c r="QB162" s="11"/>
      <c r="QC162" s="11"/>
      <c r="QD162" s="11"/>
      <c r="QE162" s="11"/>
      <c r="QF162" s="11"/>
      <c r="QG162" s="11"/>
      <c r="QH162" s="11"/>
      <c r="QI162" s="11"/>
      <c r="QJ162" s="11"/>
      <c r="QK162" s="11"/>
      <c r="QL162" s="11"/>
      <c r="QM162" s="11"/>
      <c r="QN162" s="11"/>
      <c r="QO162" s="11"/>
      <c r="QP162" s="11"/>
      <c r="QQ162" s="11"/>
      <c r="QR162" s="11"/>
      <c r="QS162" s="11"/>
      <c r="QT162" s="11"/>
      <c r="QU162" s="11"/>
      <c r="QV162" s="11"/>
      <c r="QW162" s="11"/>
      <c r="QX162" s="11"/>
      <c r="QY162" s="11"/>
      <c r="QZ162" s="11"/>
      <c r="RA162" s="11"/>
      <c r="RB162" s="11"/>
      <c r="RC162" s="11"/>
      <c r="RD162" s="11"/>
      <c r="RE162" s="11"/>
      <c r="RF162" s="11"/>
      <c r="RG162" s="11"/>
      <c r="RH162" s="11"/>
      <c r="RI162" s="11"/>
      <c r="RJ162" s="11"/>
      <c r="RK162" s="11"/>
      <c r="RL162" s="11"/>
      <c r="RM162" s="11"/>
      <c r="RN162" s="11"/>
      <c r="RO162" s="11"/>
      <c r="RP162" s="11"/>
      <c r="RQ162" s="11"/>
      <c r="RR162" s="11"/>
      <c r="RS162" s="11"/>
      <c r="RT162" s="11"/>
      <c r="RU162" s="11"/>
      <c r="RV162" s="11"/>
      <c r="RW162" s="11"/>
      <c r="RX162" s="11"/>
      <c r="RY162" s="11"/>
      <c r="RZ162" s="11"/>
      <c r="SA162" s="11"/>
      <c r="SB162" s="11"/>
      <c r="SC162" s="11"/>
      <c r="SD162" s="11"/>
      <c r="SE162" s="11"/>
      <c r="SF162" s="11"/>
      <c r="SG162" s="11"/>
      <c r="SH162" s="11"/>
      <c r="SI162" s="11"/>
      <c r="SJ162" s="11"/>
      <c r="SK162" s="11"/>
      <c r="SL162" s="11"/>
      <c r="SM162" s="11"/>
      <c r="SN162" s="11"/>
      <c r="SO162" s="11"/>
      <c r="SP162" s="11"/>
      <c r="SQ162" s="11"/>
      <c r="SR162" s="11"/>
      <c r="SS162" s="11"/>
      <c r="ST162" s="11"/>
      <c r="SU162" s="11"/>
      <c r="SV162" s="11"/>
      <c r="SW162" s="11"/>
      <c r="SX162" s="11"/>
      <c r="SY162" s="11"/>
      <c r="SZ162" s="11"/>
      <c r="TA162" s="11"/>
      <c r="TB162" s="11"/>
      <c r="TC162" s="11"/>
      <c r="TD162" s="11"/>
      <c r="TE162" s="11"/>
      <c r="TF162" s="11"/>
      <c r="TG162" s="11"/>
      <c r="TH162" s="11"/>
      <c r="TI162" s="11"/>
      <c r="TJ162" s="11"/>
      <c r="TK162" s="11"/>
      <c r="TL162" s="11"/>
      <c r="TM162" s="11"/>
      <c r="TN162" s="11"/>
      <c r="TO162" s="11"/>
      <c r="TP162" s="11"/>
      <c r="TQ162" s="11"/>
      <c r="TR162" s="11"/>
      <c r="TS162" s="11"/>
      <c r="TT162" s="11"/>
      <c r="TU162" s="11"/>
      <c r="TV162" s="11"/>
      <c r="TW162" s="11"/>
      <c r="TX162" s="11"/>
      <c r="TY162" s="11"/>
      <c r="TZ162" s="11"/>
      <c r="UA162" s="11"/>
      <c r="UB162" s="11"/>
      <c r="UC162" s="11"/>
      <c r="UD162" s="11"/>
      <c r="UE162" s="11"/>
      <c r="UF162" s="11"/>
      <c r="UG162" s="11"/>
      <c r="UH162" s="11"/>
      <c r="UI162" s="11"/>
      <c r="UJ162" s="11"/>
      <c r="UK162" s="11"/>
      <c r="UL162" s="11"/>
      <c r="UM162" s="11"/>
      <c r="UN162" s="11"/>
      <c r="UO162" s="11"/>
      <c r="UP162" s="11"/>
      <c r="UQ162" s="11"/>
      <c r="UR162" s="11"/>
      <c r="US162" s="11"/>
      <c r="UT162" s="11"/>
      <c r="UU162" s="11"/>
      <c r="UV162" s="11"/>
      <c r="UW162" s="11"/>
      <c r="UX162" s="11"/>
      <c r="UY162" s="11"/>
      <c r="UZ162" s="11"/>
      <c r="VA162" s="11"/>
      <c r="VB162" s="11"/>
      <c r="VC162" s="11"/>
      <c r="VD162" s="11"/>
      <c r="VE162" s="11"/>
      <c r="VF162" s="11"/>
      <c r="VG162" s="11"/>
      <c r="VH162" s="11"/>
      <c r="VI162" s="11"/>
      <c r="VJ162" s="11"/>
      <c r="VK162" s="11"/>
      <c r="VL162" s="11"/>
      <c r="VM162" s="11"/>
      <c r="VN162" s="11"/>
      <c r="VO162" s="11"/>
      <c r="VP162" s="11"/>
      <c r="VQ162" s="11"/>
      <c r="VR162" s="11"/>
      <c r="VS162" s="11"/>
      <c r="VT162" s="11"/>
      <c r="VU162" s="11"/>
      <c r="VV162" s="11"/>
      <c r="VW162" s="11"/>
      <c r="VX162" s="11"/>
      <c r="VY162" s="11"/>
      <c r="VZ162" s="11"/>
      <c r="WA162" s="11"/>
      <c r="WB162" s="11"/>
      <c r="WC162" s="11"/>
      <c r="WD162" s="11"/>
      <c r="WE162" s="11"/>
      <c r="WF162" s="11"/>
      <c r="WG162" s="11"/>
      <c r="WH162" s="11"/>
      <c r="WI162" s="11"/>
      <c r="WJ162" s="11"/>
      <c r="WK162" s="11"/>
      <c r="WL162" s="11"/>
      <c r="WM162" s="11"/>
      <c r="WN162" s="11"/>
      <c r="WO162" s="11"/>
      <c r="WP162" s="11"/>
      <c r="WQ162" s="11"/>
      <c r="WR162" s="11"/>
      <c r="WS162" s="11"/>
      <c r="WT162" s="11"/>
      <c r="WU162" s="11"/>
      <c r="WV162" s="11"/>
      <c r="WW162" s="11"/>
      <c r="WX162" s="11"/>
      <c r="WY162" s="11"/>
      <c r="WZ162" s="11"/>
      <c r="XA162" s="11"/>
      <c r="XB162" s="11"/>
      <c r="XC162" s="11"/>
      <c r="XD162" s="11"/>
      <c r="XE162" s="11"/>
      <c r="XF162" s="11"/>
      <c r="XG162" s="11"/>
      <c r="XH162" s="11"/>
      <c r="XI162" s="11"/>
      <c r="XJ162" s="11"/>
      <c r="XK162" s="11"/>
      <c r="XL162" s="11"/>
      <c r="XM162" s="11"/>
      <c r="XN162" s="11"/>
      <c r="XO162" s="11"/>
      <c r="XP162" s="11"/>
      <c r="XQ162" s="11"/>
      <c r="XR162" s="11"/>
      <c r="XS162" s="11"/>
      <c r="XT162" s="11"/>
      <c r="XU162" s="11"/>
      <c r="XV162" s="11"/>
      <c r="XW162" s="11"/>
      <c r="XX162" s="11"/>
      <c r="XY162" s="11"/>
      <c r="XZ162" s="11"/>
      <c r="YA162" s="11"/>
      <c r="YB162" s="11"/>
      <c r="YC162" s="11"/>
      <c r="YD162" s="11"/>
      <c r="YE162" s="11"/>
      <c r="YF162" s="11"/>
      <c r="YG162" s="11"/>
      <c r="YH162" s="11"/>
      <c r="YI162" s="11"/>
      <c r="YJ162" s="11"/>
      <c r="YK162" s="11"/>
      <c r="YL162" s="11"/>
      <c r="YM162" s="11"/>
      <c r="YN162" s="11"/>
      <c r="YO162" s="11"/>
      <c r="YP162" s="11"/>
      <c r="YQ162" s="11"/>
      <c r="YR162" s="11"/>
      <c r="YS162" s="11"/>
      <c r="YT162" s="11"/>
      <c r="YU162" s="11"/>
      <c r="YV162" s="11"/>
      <c r="YW162" s="11"/>
      <c r="YX162" s="11"/>
      <c r="YY162" s="11"/>
      <c r="YZ162" s="11"/>
      <c r="ZA162" s="11"/>
      <c r="ZB162" s="11"/>
      <c r="ZC162" s="11"/>
      <c r="ZD162" s="11"/>
      <c r="ZE162" s="11"/>
      <c r="ZF162" s="11"/>
      <c r="ZG162" s="11"/>
      <c r="ZH162" s="11"/>
      <c r="ZI162" s="11"/>
      <c r="ZJ162" s="11"/>
      <c r="ZK162" s="11"/>
      <c r="ZL162" s="11"/>
      <c r="ZM162" s="11"/>
      <c r="ZN162" s="11"/>
      <c r="ZO162" s="11"/>
      <c r="ZP162" s="11"/>
      <c r="ZQ162" s="11"/>
      <c r="ZR162" s="11"/>
      <c r="ZS162" s="11"/>
      <c r="ZT162" s="11"/>
      <c r="ZU162" s="11"/>
      <c r="ZV162" s="11"/>
      <c r="ZW162" s="11"/>
      <c r="ZX162" s="11"/>
      <c r="ZY162" s="11"/>
      <c r="ZZ162" s="11"/>
      <c r="AAA162" s="11"/>
      <c r="AAB162" s="11"/>
      <c r="AAC162" s="11"/>
      <c r="AAD162" s="11"/>
      <c r="AAE162" s="11"/>
      <c r="AAF162" s="11"/>
      <c r="AAG162" s="11"/>
      <c r="AAH162" s="11"/>
      <c r="AAI162" s="11"/>
      <c r="AAJ162" s="11"/>
      <c r="AAK162" s="11"/>
      <c r="AAL162" s="11"/>
      <c r="AAM162" s="11"/>
      <c r="AAN162" s="11"/>
      <c r="AAO162" s="11"/>
      <c r="AAP162" s="11"/>
      <c r="AAQ162" s="11"/>
      <c r="AAR162" s="11"/>
      <c r="AAS162" s="11"/>
      <c r="AAT162" s="11"/>
      <c r="AAU162" s="11"/>
      <c r="AAV162" s="11"/>
      <c r="AAW162" s="11"/>
      <c r="AAX162" s="11"/>
      <c r="AAY162" s="11"/>
      <c r="AAZ162" s="11"/>
      <c r="ABA162" s="11"/>
      <c r="ABB162" s="11"/>
      <c r="ABC162" s="11"/>
      <c r="ABD162" s="11"/>
      <c r="ABE162" s="11"/>
      <c r="ABF162" s="11"/>
      <c r="ABG162" s="11"/>
      <c r="ABH162" s="11"/>
      <c r="ABI162" s="11"/>
      <c r="ABJ162" s="11"/>
      <c r="ABK162" s="11"/>
      <c r="ABL162" s="11"/>
      <c r="ABM162" s="11"/>
      <c r="ABN162" s="11"/>
      <c r="ABO162" s="11"/>
      <c r="ABP162" s="11"/>
      <c r="ABQ162" s="11"/>
      <c r="ABR162" s="11"/>
      <c r="ABS162" s="11"/>
      <c r="ABT162" s="11"/>
      <c r="ABU162" s="11"/>
      <c r="ABV162" s="11"/>
      <c r="ABW162" s="11"/>
      <c r="ABX162" s="11"/>
      <c r="ABY162" s="11"/>
      <c r="ABZ162" s="11"/>
      <c r="ACA162" s="11"/>
      <c r="ACB162" s="11"/>
      <c r="ACC162" s="11"/>
      <c r="ACD162" s="11"/>
      <c r="ACE162" s="11"/>
      <c r="ACF162" s="11"/>
      <c r="ACG162" s="11"/>
      <c r="ACH162" s="11"/>
      <c r="ACI162" s="11"/>
      <c r="ACJ162" s="11"/>
      <c r="ACK162" s="11"/>
      <c r="ACL162" s="11"/>
      <c r="ACM162" s="11"/>
      <c r="ACN162" s="11"/>
      <c r="ACO162" s="11"/>
      <c r="ACP162" s="11"/>
      <c r="ACQ162" s="11"/>
      <c r="ACR162" s="11"/>
      <c r="ACS162" s="11"/>
      <c r="ACT162" s="11"/>
      <c r="ACU162" s="11"/>
      <c r="ACV162" s="11"/>
      <c r="ACW162" s="11"/>
      <c r="ACX162" s="11"/>
      <c r="ACY162" s="11"/>
      <c r="ACZ162" s="11"/>
      <c r="ADA162" s="11"/>
      <c r="ADB162" s="11"/>
      <c r="ADC162" s="11"/>
      <c r="ADD162" s="11"/>
      <c r="ADE162" s="11"/>
      <c r="ADF162" s="11"/>
      <c r="ADG162" s="11"/>
      <c r="ADH162" s="11"/>
      <c r="ADI162" s="11"/>
      <c r="ADJ162" s="11"/>
      <c r="ADK162" s="11"/>
      <c r="ADL162" s="11"/>
      <c r="ADM162" s="11"/>
      <c r="ADN162" s="11"/>
      <c r="ADO162" s="11"/>
      <c r="ADP162" s="11"/>
      <c r="ADQ162" s="11"/>
      <c r="ADR162" s="11"/>
      <c r="ADS162" s="11"/>
      <c r="ADT162" s="11"/>
      <c r="ADU162" s="11"/>
      <c r="ADV162" s="11"/>
      <c r="ADW162" s="11"/>
      <c r="ADX162" s="11"/>
      <c r="ADY162" s="11"/>
      <c r="ADZ162" s="11"/>
      <c r="AEA162" s="11"/>
      <c r="AEB162" s="11"/>
      <c r="AEC162" s="11"/>
      <c r="AED162" s="11"/>
      <c r="AEE162" s="11"/>
      <c r="AEF162" s="11"/>
      <c r="AEG162" s="11"/>
      <c r="AEH162" s="11"/>
      <c r="AEI162" s="11"/>
      <c r="AEJ162" s="11"/>
      <c r="AEK162" s="11"/>
      <c r="AEL162" s="11"/>
      <c r="AEM162" s="11"/>
      <c r="AEN162" s="11"/>
      <c r="AEO162" s="11"/>
      <c r="AEP162" s="11"/>
      <c r="AEQ162" s="11"/>
      <c r="AER162" s="11"/>
      <c r="AES162" s="11"/>
      <c r="AET162" s="11"/>
      <c r="AEU162" s="11"/>
      <c r="AEV162" s="11"/>
      <c r="AEW162" s="11"/>
      <c r="AEX162" s="11"/>
      <c r="AEY162" s="11"/>
      <c r="AEZ162" s="11"/>
      <c r="AFA162" s="11"/>
      <c r="AFB162" s="11"/>
      <c r="AFC162" s="11"/>
      <c r="AFD162" s="11"/>
      <c r="AFE162" s="11"/>
      <c r="AFF162" s="11"/>
      <c r="AFG162" s="11"/>
      <c r="AFH162" s="11"/>
      <c r="AFI162" s="11"/>
    </row>
    <row r="163" spans="2:84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1"/>
      <c r="LV163" s="11"/>
      <c r="LW163" s="11"/>
      <c r="LX163" s="11"/>
      <c r="LY163" s="11"/>
      <c r="LZ163" s="11"/>
      <c r="MA163" s="11"/>
      <c r="MB163" s="11"/>
      <c r="MC163" s="11"/>
      <c r="MD163" s="11"/>
      <c r="ME163" s="11"/>
      <c r="MF163" s="11"/>
      <c r="MG163" s="11"/>
      <c r="MH163" s="11"/>
      <c r="MI163" s="11"/>
      <c r="MJ163" s="11"/>
      <c r="MK163" s="11"/>
      <c r="ML163" s="11"/>
      <c r="MM163" s="11"/>
      <c r="MN163" s="11"/>
      <c r="MO163" s="11"/>
      <c r="MP163" s="11"/>
      <c r="MQ163" s="11"/>
      <c r="MR163" s="11"/>
      <c r="MS163" s="11"/>
      <c r="MT163" s="11"/>
      <c r="MU163" s="11"/>
      <c r="MV163" s="11"/>
      <c r="MW163" s="11"/>
      <c r="MX163" s="11"/>
      <c r="MY163" s="11"/>
      <c r="MZ163" s="11"/>
      <c r="NA163" s="11"/>
      <c r="NB163" s="11"/>
      <c r="NC163" s="11"/>
      <c r="ND163" s="11"/>
      <c r="NE163" s="11"/>
      <c r="NF163" s="11"/>
      <c r="NG163" s="11"/>
      <c r="NH163" s="11"/>
      <c r="NI163" s="11"/>
      <c r="NJ163" s="11"/>
      <c r="NK163" s="11"/>
      <c r="NL163" s="11"/>
      <c r="NM163" s="11"/>
      <c r="NN163" s="11"/>
      <c r="NO163" s="11"/>
      <c r="NP163" s="11"/>
      <c r="NQ163" s="11"/>
      <c r="NR163" s="11"/>
      <c r="NS163" s="11"/>
      <c r="NT163" s="11"/>
      <c r="NU163" s="11"/>
      <c r="NV163" s="11"/>
      <c r="NW163" s="11"/>
      <c r="NX163" s="11"/>
      <c r="NY163" s="11"/>
      <c r="NZ163" s="11"/>
      <c r="OA163" s="11"/>
      <c r="OB163" s="11"/>
      <c r="OC163" s="11"/>
      <c r="OD163" s="11"/>
      <c r="OE163" s="11"/>
      <c r="OF163" s="11"/>
      <c r="OG163" s="11"/>
      <c r="OH163" s="11"/>
      <c r="OI163" s="11"/>
      <c r="OJ163" s="11"/>
      <c r="OK163" s="11"/>
      <c r="OL163" s="11"/>
      <c r="OM163" s="11"/>
      <c r="ON163" s="11"/>
      <c r="OO163" s="11"/>
      <c r="OP163" s="11"/>
      <c r="OQ163" s="11"/>
      <c r="OR163" s="11"/>
      <c r="OS163" s="11"/>
      <c r="OT163" s="11"/>
      <c r="OU163" s="11"/>
      <c r="OV163" s="11"/>
      <c r="OW163" s="11"/>
      <c r="OX163" s="11"/>
      <c r="OY163" s="11"/>
      <c r="OZ163" s="11"/>
      <c r="PA163" s="11"/>
      <c r="PB163" s="11"/>
      <c r="PC163" s="11"/>
      <c r="PD163" s="11"/>
      <c r="PE163" s="11"/>
      <c r="PF163" s="11"/>
      <c r="PG163" s="11"/>
      <c r="PH163" s="11"/>
      <c r="PI163" s="11"/>
      <c r="PJ163" s="11"/>
      <c r="PK163" s="11"/>
      <c r="PL163" s="11"/>
      <c r="PM163" s="11"/>
      <c r="PN163" s="11"/>
      <c r="PO163" s="11"/>
      <c r="PP163" s="11"/>
      <c r="PQ163" s="11"/>
      <c r="PR163" s="11"/>
      <c r="PS163" s="11"/>
      <c r="PT163" s="11"/>
      <c r="PU163" s="11"/>
      <c r="PV163" s="11"/>
      <c r="PW163" s="11"/>
      <c r="PX163" s="11"/>
      <c r="PY163" s="11"/>
      <c r="PZ163" s="11"/>
      <c r="QA163" s="11"/>
      <c r="QB163" s="11"/>
      <c r="QC163" s="11"/>
      <c r="QD163" s="11"/>
      <c r="QE163" s="11"/>
      <c r="QF163" s="11"/>
      <c r="QG163" s="11"/>
      <c r="QH163" s="11"/>
      <c r="QI163" s="11"/>
      <c r="QJ163" s="11"/>
      <c r="QK163" s="11"/>
      <c r="QL163" s="11"/>
      <c r="QM163" s="11"/>
      <c r="QN163" s="11"/>
      <c r="QO163" s="11"/>
      <c r="QP163" s="11"/>
      <c r="QQ163" s="11"/>
      <c r="QR163" s="11"/>
      <c r="QS163" s="11"/>
      <c r="QT163" s="11"/>
      <c r="QU163" s="11"/>
      <c r="QV163" s="11"/>
      <c r="QW163" s="11"/>
      <c r="QX163" s="11"/>
      <c r="QY163" s="11"/>
      <c r="QZ163" s="11"/>
      <c r="RA163" s="11"/>
      <c r="RB163" s="11"/>
      <c r="RC163" s="11"/>
      <c r="RD163" s="11"/>
      <c r="RE163" s="11"/>
      <c r="RF163" s="11"/>
      <c r="RG163" s="11"/>
      <c r="RH163" s="11"/>
      <c r="RI163" s="11"/>
      <c r="RJ163" s="11"/>
      <c r="RK163" s="11"/>
      <c r="RL163" s="11"/>
      <c r="RM163" s="11"/>
      <c r="RN163" s="11"/>
      <c r="RO163" s="11"/>
      <c r="RP163" s="11"/>
      <c r="RQ163" s="11"/>
      <c r="RR163" s="11"/>
      <c r="RS163" s="11"/>
      <c r="RT163" s="11"/>
      <c r="RU163" s="11"/>
      <c r="RV163" s="11"/>
      <c r="RW163" s="11"/>
      <c r="RX163" s="11"/>
      <c r="RY163" s="11"/>
      <c r="RZ163" s="11"/>
      <c r="SA163" s="11"/>
      <c r="SB163" s="11"/>
      <c r="SC163" s="11"/>
      <c r="SD163" s="11"/>
      <c r="SE163" s="11"/>
      <c r="SF163" s="11"/>
      <c r="SG163" s="11"/>
      <c r="SH163" s="11"/>
      <c r="SI163" s="11"/>
      <c r="SJ163" s="11"/>
      <c r="SK163" s="11"/>
      <c r="SL163" s="11"/>
      <c r="SM163" s="11"/>
      <c r="SN163" s="11"/>
      <c r="SO163" s="11"/>
      <c r="SP163" s="11"/>
      <c r="SQ163" s="11"/>
      <c r="SR163" s="11"/>
      <c r="SS163" s="11"/>
      <c r="ST163" s="11"/>
      <c r="SU163" s="11"/>
      <c r="SV163" s="11"/>
      <c r="SW163" s="11"/>
      <c r="SX163" s="11"/>
      <c r="SY163" s="11"/>
      <c r="SZ163" s="11"/>
      <c r="TA163" s="11"/>
      <c r="TB163" s="11"/>
      <c r="TC163" s="11"/>
      <c r="TD163" s="11"/>
      <c r="TE163" s="11"/>
      <c r="TF163" s="11"/>
      <c r="TG163" s="11"/>
      <c r="TH163" s="11"/>
      <c r="TI163" s="11"/>
      <c r="TJ163" s="11"/>
      <c r="TK163" s="11"/>
      <c r="TL163" s="11"/>
      <c r="TM163" s="11"/>
      <c r="TN163" s="11"/>
      <c r="TO163" s="11"/>
      <c r="TP163" s="11"/>
      <c r="TQ163" s="11"/>
      <c r="TR163" s="11"/>
      <c r="TS163" s="11"/>
      <c r="TT163" s="11"/>
      <c r="TU163" s="11"/>
      <c r="TV163" s="11"/>
      <c r="TW163" s="11"/>
      <c r="TX163" s="11"/>
      <c r="TY163" s="11"/>
      <c r="TZ163" s="11"/>
      <c r="UA163" s="11"/>
      <c r="UB163" s="11"/>
      <c r="UC163" s="11"/>
      <c r="UD163" s="11"/>
      <c r="UE163" s="11"/>
      <c r="UF163" s="11"/>
      <c r="UG163" s="11"/>
      <c r="UH163" s="11"/>
      <c r="UI163" s="11"/>
      <c r="UJ163" s="11"/>
      <c r="UK163" s="11"/>
      <c r="UL163" s="11"/>
      <c r="UM163" s="11"/>
      <c r="UN163" s="11"/>
      <c r="UO163" s="11"/>
      <c r="UP163" s="11"/>
      <c r="UQ163" s="11"/>
      <c r="UR163" s="11"/>
      <c r="US163" s="11"/>
      <c r="UT163" s="11"/>
      <c r="UU163" s="11"/>
      <c r="UV163" s="11"/>
      <c r="UW163" s="11"/>
      <c r="UX163" s="11"/>
      <c r="UY163" s="11"/>
      <c r="UZ163" s="11"/>
      <c r="VA163" s="11"/>
      <c r="VB163" s="11"/>
      <c r="VC163" s="11"/>
      <c r="VD163" s="11"/>
      <c r="VE163" s="11"/>
      <c r="VF163" s="11"/>
      <c r="VG163" s="11"/>
      <c r="VH163" s="11"/>
      <c r="VI163" s="11"/>
      <c r="VJ163" s="11"/>
      <c r="VK163" s="11"/>
      <c r="VL163" s="11"/>
      <c r="VM163" s="11"/>
      <c r="VN163" s="11"/>
      <c r="VO163" s="11"/>
      <c r="VP163" s="11"/>
      <c r="VQ163" s="11"/>
      <c r="VR163" s="11"/>
      <c r="VS163" s="11"/>
      <c r="VT163" s="11"/>
      <c r="VU163" s="11"/>
      <c r="VV163" s="11"/>
      <c r="VW163" s="11"/>
      <c r="VX163" s="11"/>
      <c r="VY163" s="11"/>
      <c r="VZ163" s="11"/>
      <c r="WA163" s="11"/>
      <c r="WB163" s="11"/>
      <c r="WC163" s="11"/>
      <c r="WD163" s="11"/>
      <c r="WE163" s="11"/>
      <c r="WF163" s="11"/>
      <c r="WG163" s="11"/>
      <c r="WH163" s="11"/>
      <c r="WI163" s="11"/>
      <c r="WJ163" s="11"/>
      <c r="WK163" s="11"/>
      <c r="WL163" s="11"/>
      <c r="WM163" s="11"/>
      <c r="WN163" s="11"/>
      <c r="WO163" s="11"/>
      <c r="WP163" s="11"/>
      <c r="WQ163" s="11"/>
      <c r="WR163" s="11"/>
      <c r="WS163" s="11"/>
      <c r="WT163" s="11"/>
      <c r="WU163" s="11"/>
      <c r="WV163" s="11"/>
      <c r="WW163" s="11"/>
      <c r="WX163" s="11"/>
      <c r="WY163" s="11"/>
      <c r="WZ163" s="11"/>
      <c r="XA163" s="11"/>
      <c r="XB163" s="11"/>
      <c r="XC163" s="11"/>
      <c r="XD163" s="11"/>
      <c r="XE163" s="11"/>
      <c r="XF163" s="11"/>
      <c r="XG163" s="11"/>
      <c r="XH163" s="11"/>
      <c r="XI163" s="11"/>
      <c r="XJ163" s="11"/>
      <c r="XK163" s="11"/>
      <c r="XL163" s="11"/>
      <c r="XM163" s="11"/>
      <c r="XN163" s="11"/>
      <c r="XO163" s="11"/>
      <c r="XP163" s="11"/>
      <c r="XQ163" s="11"/>
      <c r="XR163" s="11"/>
      <c r="XS163" s="11"/>
      <c r="XT163" s="11"/>
      <c r="XU163" s="11"/>
      <c r="XV163" s="11"/>
      <c r="XW163" s="11"/>
      <c r="XX163" s="11"/>
      <c r="XY163" s="11"/>
      <c r="XZ163" s="11"/>
      <c r="YA163" s="11"/>
      <c r="YB163" s="11"/>
      <c r="YC163" s="11"/>
      <c r="YD163" s="11"/>
      <c r="YE163" s="11"/>
      <c r="YF163" s="11"/>
      <c r="YG163" s="11"/>
      <c r="YH163" s="11"/>
      <c r="YI163" s="11"/>
      <c r="YJ163" s="11"/>
      <c r="YK163" s="11"/>
      <c r="YL163" s="11"/>
      <c r="YM163" s="11"/>
      <c r="YN163" s="11"/>
      <c r="YO163" s="11"/>
      <c r="YP163" s="11"/>
      <c r="YQ163" s="11"/>
      <c r="YR163" s="11"/>
      <c r="YS163" s="11"/>
      <c r="YT163" s="11"/>
      <c r="YU163" s="11"/>
      <c r="YV163" s="11"/>
      <c r="YW163" s="11"/>
      <c r="YX163" s="11"/>
      <c r="YY163" s="11"/>
      <c r="YZ163" s="11"/>
      <c r="ZA163" s="11"/>
      <c r="ZB163" s="11"/>
      <c r="ZC163" s="11"/>
      <c r="ZD163" s="11"/>
      <c r="ZE163" s="11"/>
      <c r="ZF163" s="11"/>
      <c r="ZG163" s="11"/>
      <c r="ZH163" s="11"/>
      <c r="ZI163" s="11"/>
      <c r="ZJ163" s="11"/>
      <c r="ZK163" s="11"/>
      <c r="ZL163" s="11"/>
      <c r="ZM163" s="11"/>
      <c r="ZN163" s="11"/>
      <c r="ZO163" s="11"/>
      <c r="ZP163" s="11"/>
      <c r="ZQ163" s="11"/>
      <c r="ZR163" s="11"/>
      <c r="ZS163" s="11"/>
      <c r="ZT163" s="11"/>
      <c r="ZU163" s="11"/>
      <c r="ZV163" s="11"/>
      <c r="ZW163" s="11"/>
      <c r="ZX163" s="11"/>
      <c r="ZY163" s="11"/>
      <c r="ZZ163" s="11"/>
      <c r="AAA163" s="11"/>
      <c r="AAB163" s="11"/>
      <c r="AAC163" s="11"/>
      <c r="AAD163" s="11"/>
      <c r="AAE163" s="11"/>
      <c r="AAF163" s="11"/>
      <c r="AAG163" s="11"/>
      <c r="AAH163" s="11"/>
      <c r="AAI163" s="11"/>
      <c r="AAJ163" s="11"/>
      <c r="AAK163" s="11"/>
      <c r="AAL163" s="11"/>
      <c r="AAM163" s="11"/>
      <c r="AAN163" s="11"/>
      <c r="AAO163" s="11"/>
      <c r="AAP163" s="11"/>
      <c r="AAQ163" s="11"/>
      <c r="AAR163" s="11"/>
      <c r="AAS163" s="11"/>
      <c r="AAT163" s="11"/>
      <c r="AAU163" s="11"/>
      <c r="AAV163" s="11"/>
      <c r="AAW163" s="11"/>
      <c r="AAX163" s="11"/>
      <c r="AAY163" s="11"/>
      <c r="AAZ163" s="11"/>
      <c r="ABA163" s="11"/>
      <c r="ABB163" s="11"/>
      <c r="ABC163" s="11"/>
      <c r="ABD163" s="11"/>
      <c r="ABE163" s="11"/>
      <c r="ABF163" s="11"/>
      <c r="ABG163" s="11"/>
      <c r="ABH163" s="11"/>
      <c r="ABI163" s="11"/>
      <c r="ABJ163" s="11"/>
      <c r="ABK163" s="11"/>
      <c r="ABL163" s="11"/>
      <c r="ABM163" s="11"/>
      <c r="ABN163" s="11"/>
      <c r="ABO163" s="11"/>
      <c r="ABP163" s="11"/>
      <c r="ABQ163" s="11"/>
      <c r="ABR163" s="11"/>
      <c r="ABS163" s="11"/>
      <c r="ABT163" s="11"/>
      <c r="ABU163" s="11"/>
      <c r="ABV163" s="11"/>
      <c r="ABW163" s="11"/>
      <c r="ABX163" s="11"/>
      <c r="ABY163" s="11"/>
      <c r="ABZ163" s="11"/>
      <c r="ACA163" s="11"/>
      <c r="ACB163" s="11"/>
      <c r="ACC163" s="11"/>
      <c r="ACD163" s="11"/>
      <c r="ACE163" s="11"/>
      <c r="ACF163" s="11"/>
      <c r="ACG163" s="11"/>
      <c r="ACH163" s="11"/>
      <c r="ACI163" s="11"/>
      <c r="ACJ163" s="11"/>
      <c r="ACK163" s="11"/>
      <c r="ACL163" s="11"/>
      <c r="ACM163" s="11"/>
      <c r="ACN163" s="11"/>
      <c r="ACO163" s="11"/>
      <c r="ACP163" s="11"/>
      <c r="ACQ163" s="11"/>
      <c r="ACR163" s="11"/>
      <c r="ACS163" s="11"/>
      <c r="ACT163" s="11"/>
      <c r="ACU163" s="11"/>
      <c r="ACV163" s="11"/>
      <c r="ACW163" s="11"/>
      <c r="ACX163" s="11"/>
      <c r="ACY163" s="11"/>
      <c r="ACZ163" s="11"/>
      <c r="ADA163" s="11"/>
      <c r="ADB163" s="11"/>
      <c r="ADC163" s="11"/>
      <c r="ADD163" s="11"/>
      <c r="ADE163" s="11"/>
      <c r="ADF163" s="11"/>
      <c r="ADG163" s="11"/>
      <c r="ADH163" s="11"/>
      <c r="ADI163" s="11"/>
      <c r="ADJ163" s="11"/>
      <c r="ADK163" s="11"/>
      <c r="ADL163" s="11"/>
      <c r="ADM163" s="11"/>
      <c r="ADN163" s="11"/>
      <c r="ADO163" s="11"/>
      <c r="ADP163" s="11"/>
      <c r="ADQ163" s="11"/>
      <c r="ADR163" s="11"/>
      <c r="ADS163" s="11"/>
      <c r="ADT163" s="11"/>
      <c r="ADU163" s="11"/>
      <c r="ADV163" s="11"/>
      <c r="ADW163" s="11"/>
      <c r="ADX163" s="11"/>
      <c r="ADY163" s="11"/>
      <c r="ADZ163" s="11"/>
      <c r="AEA163" s="11"/>
      <c r="AEB163" s="11"/>
      <c r="AEC163" s="11"/>
      <c r="AED163" s="11"/>
      <c r="AEE163" s="11"/>
      <c r="AEF163" s="11"/>
      <c r="AEG163" s="11"/>
      <c r="AEH163" s="11"/>
      <c r="AEI163" s="11"/>
      <c r="AEJ163" s="11"/>
      <c r="AEK163" s="11"/>
      <c r="AEL163" s="11"/>
      <c r="AEM163" s="11"/>
      <c r="AEN163" s="11"/>
      <c r="AEO163" s="11"/>
      <c r="AEP163" s="11"/>
      <c r="AEQ163" s="11"/>
      <c r="AER163" s="11"/>
      <c r="AES163" s="11"/>
      <c r="AET163" s="11"/>
      <c r="AEU163" s="11"/>
      <c r="AEV163" s="11"/>
      <c r="AEW163" s="11"/>
      <c r="AEX163" s="11"/>
      <c r="AEY163" s="11"/>
      <c r="AEZ163" s="11"/>
      <c r="AFA163" s="11"/>
      <c r="AFB163" s="11"/>
      <c r="AFC163" s="11"/>
      <c r="AFD163" s="11"/>
      <c r="AFE163" s="11"/>
      <c r="AFF163" s="11"/>
      <c r="AFG163" s="11"/>
      <c r="AFH163" s="11"/>
      <c r="AFI163" s="11"/>
    </row>
    <row r="164" spans="2:84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1"/>
      <c r="LV164" s="11"/>
      <c r="LW164" s="11"/>
      <c r="LX164" s="11"/>
      <c r="LY164" s="11"/>
      <c r="LZ164" s="11"/>
      <c r="MA164" s="11"/>
      <c r="MB164" s="11"/>
      <c r="MC164" s="11"/>
      <c r="MD164" s="11"/>
      <c r="ME164" s="11"/>
      <c r="MF164" s="11"/>
      <c r="MG164" s="11"/>
      <c r="MH164" s="11"/>
      <c r="MI164" s="11"/>
      <c r="MJ164" s="11"/>
      <c r="MK164" s="11"/>
      <c r="ML164" s="11"/>
      <c r="MM164" s="11"/>
      <c r="MN164" s="11"/>
      <c r="MO164" s="11"/>
      <c r="MP164" s="11"/>
      <c r="MQ164" s="11"/>
      <c r="MR164" s="11"/>
      <c r="MS164" s="11"/>
      <c r="MT164" s="11"/>
      <c r="MU164" s="11"/>
      <c r="MV164" s="11"/>
      <c r="MW164" s="11"/>
      <c r="MX164" s="11"/>
      <c r="MY164" s="11"/>
      <c r="MZ164" s="11"/>
      <c r="NA164" s="11"/>
      <c r="NB164" s="11"/>
      <c r="NC164" s="11"/>
      <c r="ND164" s="11"/>
      <c r="NE164" s="11"/>
      <c r="NF164" s="11"/>
      <c r="NG164" s="11"/>
      <c r="NH164" s="11"/>
      <c r="NI164" s="11"/>
      <c r="NJ164" s="11"/>
      <c r="NK164" s="11"/>
      <c r="NL164" s="11"/>
      <c r="NM164" s="11"/>
      <c r="NN164" s="11"/>
      <c r="NO164" s="11"/>
      <c r="NP164" s="11"/>
      <c r="NQ164" s="11"/>
      <c r="NR164" s="11"/>
      <c r="NS164" s="11"/>
      <c r="NT164" s="11"/>
      <c r="NU164" s="11"/>
      <c r="NV164" s="11"/>
      <c r="NW164" s="11"/>
      <c r="NX164" s="11"/>
      <c r="NY164" s="11"/>
      <c r="NZ164" s="11"/>
      <c r="OA164" s="11"/>
      <c r="OB164" s="11"/>
      <c r="OC164" s="11"/>
      <c r="OD164" s="11"/>
      <c r="OE164" s="11"/>
      <c r="OF164" s="11"/>
      <c r="OG164" s="11"/>
      <c r="OH164" s="11"/>
      <c r="OI164" s="11"/>
      <c r="OJ164" s="11"/>
      <c r="OK164" s="11"/>
      <c r="OL164" s="11"/>
      <c r="OM164" s="11"/>
      <c r="ON164" s="11"/>
      <c r="OO164" s="11"/>
      <c r="OP164" s="11"/>
      <c r="OQ164" s="11"/>
      <c r="OR164" s="11"/>
      <c r="OS164" s="11"/>
      <c r="OT164" s="11"/>
      <c r="OU164" s="11"/>
      <c r="OV164" s="11"/>
      <c r="OW164" s="11"/>
      <c r="OX164" s="11"/>
      <c r="OY164" s="11"/>
      <c r="OZ164" s="11"/>
      <c r="PA164" s="11"/>
      <c r="PB164" s="11"/>
      <c r="PC164" s="11"/>
      <c r="PD164" s="11"/>
      <c r="PE164" s="11"/>
      <c r="PF164" s="11"/>
      <c r="PG164" s="11"/>
      <c r="PH164" s="11"/>
      <c r="PI164" s="11"/>
      <c r="PJ164" s="11"/>
      <c r="PK164" s="11"/>
      <c r="PL164" s="11"/>
      <c r="PM164" s="11"/>
      <c r="PN164" s="11"/>
      <c r="PO164" s="11"/>
      <c r="PP164" s="11"/>
      <c r="PQ164" s="11"/>
      <c r="PR164" s="11"/>
      <c r="PS164" s="11"/>
      <c r="PT164" s="11"/>
      <c r="PU164" s="11"/>
      <c r="PV164" s="11"/>
      <c r="PW164" s="11"/>
      <c r="PX164" s="11"/>
      <c r="PY164" s="11"/>
      <c r="PZ164" s="11"/>
      <c r="QA164" s="11"/>
      <c r="QB164" s="11"/>
      <c r="QC164" s="11"/>
      <c r="QD164" s="11"/>
      <c r="QE164" s="11"/>
      <c r="QF164" s="11"/>
      <c r="QG164" s="11"/>
      <c r="QH164" s="11"/>
      <c r="QI164" s="11"/>
      <c r="QJ164" s="11"/>
      <c r="QK164" s="11"/>
      <c r="QL164" s="11"/>
      <c r="QM164" s="11"/>
      <c r="QN164" s="11"/>
      <c r="QO164" s="11"/>
      <c r="QP164" s="11"/>
      <c r="QQ164" s="11"/>
      <c r="QR164" s="11"/>
      <c r="QS164" s="11"/>
      <c r="QT164" s="11"/>
      <c r="QU164" s="11"/>
      <c r="QV164" s="11"/>
      <c r="QW164" s="11"/>
      <c r="QX164" s="11"/>
      <c r="QY164" s="11"/>
      <c r="QZ164" s="11"/>
      <c r="RA164" s="11"/>
      <c r="RB164" s="11"/>
      <c r="RC164" s="11"/>
      <c r="RD164" s="11"/>
      <c r="RE164" s="11"/>
      <c r="RF164" s="11"/>
      <c r="RG164" s="11"/>
      <c r="RH164" s="11"/>
      <c r="RI164" s="11"/>
      <c r="RJ164" s="11"/>
      <c r="RK164" s="11"/>
      <c r="RL164" s="11"/>
      <c r="RM164" s="11"/>
      <c r="RN164" s="11"/>
      <c r="RO164" s="11"/>
      <c r="RP164" s="11"/>
      <c r="RQ164" s="11"/>
      <c r="RR164" s="11"/>
      <c r="RS164" s="11"/>
      <c r="RT164" s="11"/>
      <c r="RU164" s="11"/>
      <c r="RV164" s="11"/>
      <c r="RW164" s="11"/>
      <c r="RX164" s="11"/>
      <c r="RY164" s="11"/>
      <c r="RZ164" s="11"/>
      <c r="SA164" s="11"/>
      <c r="SB164" s="11"/>
      <c r="SC164" s="11"/>
      <c r="SD164" s="11"/>
      <c r="SE164" s="11"/>
      <c r="SF164" s="11"/>
      <c r="SG164" s="11"/>
      <c r="SH164" s="11"/>
      <c r="SI164" s="11"/>
      <c r="SJ164" s="11"/>
      <c r="SK164" s="11"/>
      <c r="SL164" s="11"/>
      <c r="SM164" s="11"/>
      <c r="SN164" s="11"/>
      <c r="SO164" s="11"/>
      <c r="SP164" s="11"/>
      <c r="SQ164" s="11"/>
      <c r="SR164" s="11"/>
      <c r="SS164" s="11"/>
      <c r="ST164" s="11"/>
      <c r="SU164" s="11"/>
      <c r="SV164" s="11"/>
      <c r="SW164" s="11"/>
      <c r="SX164" s="11"/>
      <c r="SY164" s="11"/>
      <c r="SZ164" s="11"/>
      <c r="TA164" s="11"/>
      <c r="TB164" s="11"/>
      <c r="TC164" s="11"/>
      <c r="TD164" s="11"/>
      <c r="TE164" s="11"/>
      <c r="TF164" s="11"/>
      <c r="TG164" s="11"/>
      <c r="TH164" s="11"/>
      <c r="TI164" s="11"/>
      <c r="TJ164" s="11"/>
      <c r="TK164" s="11"/>
      <c r="TL164" s="11"/>
      <c r="TM164" s="11"/>
      <c r="TN164" s="11"/>
      <c r="TO164" s="11"/>
      <c r="TP164" s="11"/>
      <c r="TQ164" s="11"/>
      <c r="TR164" s="11"/>
      <c r="TS164" s="11"/>
      <c r="TT164" s="11"/>
      <c r="TU164" s="11"/>
      <c r="TV164" s="11"/>
      <c r="TW164" s="11"/>
      <c r="TX164" s="11"/>
      <c r="TY164" s="11"/>
      <c r="TZ164" s="11"/>
      <c r="UA164" s="11"/>
      <c r="UB164" s="11"/>
      <c r="UC164" s="11"/>
      <c r="UD164" s="11"/>
      <c r="UE164" s="11"/>
      <c r="UF164" s="11"/>
      <c r="UG164" s="11"/>
      <c r="UH164" s="11"/>
      <c r="UI164" s="11"/>
      <c r="UJ164" s="11"/>
      <c r="UK164" s="11"/>
      <c r="UL164" s="11"/>
      <c r="UM164" s="11"/>
      <c r="UN164" s="11"/>
      <c r="UO164" s="11"/>
      <c r="UP164" s="11"/>
      <c r="UQ164" s="11"/>
      <c r="UR164" s="11"/>
      <c r="US164" s="11"/>
      <c r="UT164" s="11"/>
      <c r="UU164" s="11"/>
      <c r="UV164" s="11"/>
      <c r="UW164" s="11"/>
      <c r="UX164" s="11"/>
      <c r="UY164" s="11"/>
      <c r="UZ164" s="11"/>
      <c r="VA164" s="11"/>
      <c r="VB164" s="11"/>
      <c r="VC164" s="11"/>
      <c r="VD164" s="11"/>
      <c r="VE164" s="11"/>
      <c r="VF164" s="11"/>
      <c r="VG164" s="11"/>
      <c r="VH164" s="11"/>
      <c r="VI164" s="11"/>
      <c r="VJ164" s="11"/>
      <c r="VK164" s="11"/>
      <c r="VL164" s="11"/>
      <c r="VM164" s="11"/>
      <c r="VN164" s="11"/>
      <c r="VO164" s="11"/>
      <c r="VP164" s="11"/>
      <c r="VQ164" s="11"/>
      <c r="VR164" s="11"/>
      <c r="VS164" s="11"/>
      <c r="VT164" s="11"/>
      <c r="VU164" s="11"/>
      <c r="VV164" s="11"/>
      <c r="VW164" s="11"/>
      <c r="VX164" s="11"/>
      <c r="VY164" s="11"/>
      <c r="VZ164" s="11"/>
      <c r="WA164" s="11"/>
      <c r="WB164" s="11"/>
      <c r="WC164" s="11"/>
      <c r="WD164" s="11"/>
      <c r="WE164" s="11"/>
      <c r="WF164" s="11"/>
      <c r="WG164" s="11"/>
      <c r="WH164" s="11"/>
      <c r="WI164" s="11"/>
      <c r="WJ164" s="11"/>
      <c r="WK164" s="11"/>
      <c r="WL164" s="11"/>
      <c r="WM164" s="11"/>
      <c r="WN164" s="11"/>
      <c r="WO164" s="11"/>
      <c r="WP164" s="11"/>
      <c r="WQ164" s="11"/>
      <c r="WR164" s="11"/>
      <c r="WS164" s="11"/>
      <c r="WT164" s="11"/>
      <c r="WU164" s="11"/>
      <c r="WV164" s="11"/>
      <c r="WW164" s="11"/>
      <c r="WX164" s="11"/>
      <c r="WY164" s="11"/>
      <c r="WZ164" s="11"/>
      <c r="XA164" s="11"/>
      <c r="XB164" s="11"/>
      <c r="XC164" s="11"/>
      <c r="XD164" s="11"/>
      <c r="XE164" s="11"/>
      <c r="XF164" s="11"/>
      <c r="XG164" s="11"/>
      <c r="XH164" s="11"/>
      <c r="XI164" s="11"/>
      <c r="XJ164" s="11"/>
      <c r="XK164" s="11"/>
      <c r="XL164" s="11"/>
      <c r="XM164" s="11"/>
      <c r="XN164" s="11"/>
      <c r="XO164" s="11"/>
      <c r="XP164" s="11"/>
      <c r="XQ164" s="11"/>
      <c r="XR164" s="11"/>
      <c r="XS164" s="11"/>
      <c r="XT164" s="11"/>
      <c r="XU164" s="11"/>
      <c r="XV164" s="11"/>
      <c r="XW164" s="11"/>
      <c r="XX164" s="11"/>
      <c r="XY164" s="11"/>
      <c r="XZ164" s="11"/>
      <c r="YA164" s="11"/>
      <c r="YB164" s="11"/>
      <c r="YC164" s="11"/>
      <c r="YD164" s="11"/>
      <c r="YE164" s="11"/>
      <c r="YF164" s="11"/>
      <c r="YG164" s="11"/>
      <c r="YH164" s="11"/>
      <c r="YI164" s="11"/>
      <c r="YJ164" s="11"/>
      <c r="YK164" s="11"/>
      <c r="YL164" s="11"/>
      <c r="YM164" s="11"/>
      <c r="YN164" s="11"/>
      <c r="YO164" s="11"/>
      <c r="YP164" s="11"/>
      <c r="YQ164" s="11"/>
      <c r="YR164" s="11"/>
      <c r="YS164" s="11"/>
      <c r="YT164" s="11"/>
      <c r="YU164" s="11"/>
      <c r="YV164" s="11"/>
      <c r="YW164" s="11"/>
      <c r="YX164" s="11"/>
      <c r="YY164" s="11"/>
      <c r="YZ164" s="11"/>
      <c r="ZA164" s="11"/>
      <c r="ZB164" s="11"/>
      <c r="ZC164" s="11"/>
      <c r="ZD164" s="11"/>
      <c r="ZE164" s="11"/>
      <c r="ZF164" s="11"/>
      <c r="ZG164" s="11"/>
      <c r="ZH164" s="11"/>
      <c r="ZI164" s="11"/>
      <c r="ZJ164" s="11"/>
      <c r="ZK164" s="11"/>
      <c r="ZL164" s="11"/>
      <c r="ZM164" s="11"/>
      <c r="ZN164" s="11"/>
      <c r="ZO164" s="11"/>
      <c r="ZP164" s="11"/>
      <c r="ZQ164" s="11"/>
      <c r="ZR164" s="11"/>
      <c r="ZS164" s="11"/>
      <c r="ZT164" s="11"/>
      <c r="ZU164" s="11"/>
      <c r="ZV164" s="11"/>
      <c r="ZW164" s="11"/>
      <c r="ZX164" s="11"/>
      <c r="ZY164" s="11"/>
      <c r="ZZ164" s="11"/>
      <c r="AAA164" s="11"/>
      <c r="AAB164" s="11"/>
      <c r="AAC164" s="11"/>
      <c r="AAD164" s="11"/>
      <c r="AAE164" s="11"/>
      <c r="AAF164" s="11"/>
      <c r="AAG164" s="11"/>
      <c r="AAH164" s="11"/>
      <c r="AAI164" s="11"/>
      <c r="AAJ164" s="11"/>
      <c r="AAK164" s="11"/>
      <c r="AAL164" s="11"/>
      <c r="AAM164" s="11"/>
      <c r="AAN164" s="11"/>
      <c r="AAO164" s="11"/>
      <c r="AAP164" s="11"/>
      <c r="AAQ164" s="11"/>
      <c r="AAR164" s="11"/>
      <c r="AAS164" s="11"/>
      <c r="AAT164" s="11"/>
      <c r="AAU164" s="11"/>
      <c r="AAV164" s="11"/>
      <c r="AAW164" s="11"/>
      <c r="AAX164" s="11"/>
      <c r="AAY164" s="11"/>
      <c r="AAZ164" s="11"/>
      <c r="ABA164" s="11"/>
      <c r="ABB164" s="11"/>
      <c r="ABC164" s="11"/>
      <c r="ABD164" s="11"/>
      <c r="ABE164" s="11"/>
      <c r="ABF164" s="11"/>
      <c r="ABG164" s="11"/>
      <c r="ABH164" s="11"/>
      <c r="ABI164" s="11"/>
      <c r="ABJ164" s="11"/>
      <c r="ABK164" s="11"/>
      <c r="ABL164" s="11"/>
      <c r="ABM164" s="11"/>
      <c r="ABN164" s="11"/>
      <c r="ABO164" s="11"/>
      <c r="ABP164" s="11"/>
      <c r="ABQ164" s="11"/>
      <c r="ABR164" s="11"/>
      <c r="ABS164" s="11"/>
      <c r="ABT164" s="11"/>
      <c r="ABU164" s="11"/>
      <c r="ABV164" s="11"/>
      <c r="ABW164" s="11"/>
      <c r="ABX164" s="11"/>
      <c r="ABY164" s="11"/>
      <c r="ABZ164" s="11"/>
      <c r="ACA164" s="11"/>
      <c r="ACB164" s="11"/>
      <c r="ACC164" s="11"/>
      <c r="ACD164" s="11"/>
      <c r="ACE164" s="11"/>
      <c r="ACF164" s="11"/>
      <c r="ACG164" s="11"/>
      <c r="ACH164" s="11"/>
      <c r="ACI164" s="11"/>
      <c r="ACJ164" s="11"/>
      <c r="ACK164" s="11"/>
      <c r="ACL164" s="11"/>
      <c r="ACM164" s="11"/>
      <c r="ACN164" s="11"/>
      <c r="ACO164" s="11"/>
      <c r="ACP164" s="11"/>
      <c r="ACQ164" s="11"/>
      <c r="ACR164" s="11"/>
      <c r="ACS164" s="11"/>
      <c r="ACT164" s="11"/>
      <c r="ACU164" s="11"/>
      <c r="ACV164" s="11"/>
      <c r="ACW164" s="11"/>
      <c r="ACX164" s="11"/>
      <c r="ACY164" s="11"/>
      <c r="ACZ164" s="11"/>
      <c r="ADA164" s="11"/>
      <c r="ADB164" s="11"/>
      <c r="ADC164" s="11"/>
      <c r="ADD164" s="11"/>
      <c r="ADE164" s="11"/>
      <c r="ADF164" s="11"/>
      <c r="ADG164" s="11"/>
      <c r="ADH164" s="11"/>
      <c r="ADI164" s="11"/>
      <c r="ADJ164" s="11"/>
      <c r="ADK164" s="11"/>
      <c r="ADL164" s="11"/>
      <c r="ADM164" s="11"/>
      <c r="ADN164" s="11"/>
      <c r="ADO164" s="11"/>
      <c r="ADP164" s="11"/>
      <c r="ADQ164" s="11"/>
      <c r="ADR164" s="11"/>
      <c r="ADS164" s="11"/>
      <c r="ADT164" s="11"/>
      <c r="ADU164" s="11"/>
      <c r="ADV164" s="11"/>
      <c r="ADW164" s="11"/>
      <c r="ADX164" s="11"/>
      <c r="ADY164" s="11"/>
      <c r="ADZ164" s="11"/>
      <c r="AEA164" s="11"/>
      <c r="AEB164" s="11"/>
      <c r="AEC164" s="11"/>
      <c r="AED164" s="11"/>
      <c r="AEE164" s="11"/>
      <c r="AEF164" s="11"/>
      <c r="AEG164" s="11"/>
      <c r="AEH164" s="11"/>
      <c r="AEI164" s="11"/>
      <c r="AEJ164" s="11"/>
      <c r="AEK164" s="11"/>
      <c r="AEL164" s="11"/>
      <c r="AEM164" s="11"/>
      <c r="AEN164" s="11"/>
      <c r="AEO164" s="11"/>
      <c r="AEP164" s="11"/>
      <c r="AEQ164" s="11"/>
      <c r="AER164" s="11"/>
      <c r="AES164" s="11"/>
      <c r="AET164" s="11"/>
      <c r="AEU164" s="11"/>
      <c r="AEV164" s="11"/>
      <c r="AEW164" s="11"/>
      <c r="AEX164" s="11"/>
      <c r="AEY164" s="11"/>
      <c r="AEZ164" s="11"/>
      <c r="AFA164" s="11"/>
      <c r="AFB164" s="11"/>
      <c r="AFC164" s="11"/>
      <c r="AFD164" s="11"/>
      <c r="AFE164" s="11"/>
      <c r="AFF164" s="11"/>
      <c r="AFG164" s="11"/>
      <c r="AFH164" s="11"/>
      <c r="AFI164" s="11"/>
    </row>
    <row r="165" spans="2:84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1"/>
      <c r="LV165" s="11"/>
      <c r="LW165" s="11"/>
      <c r="LX165" s="11"/>
      <c r="LY165" s="11"/>
      <c r="LZ165" s="11"/>
      <c r="MA165" s="11"/>
      <c r="MB165" s="11"/>
      <c r="MC165" s="11"/>
      <c r="MD165" s="11"/>
      <c r="ME165" s="11"/>
      <c r="MF165" s="11"/>
      <c r="MG165" s="11"/>
      <c r="MH165" s="11"/>
      <c r="MI165" s="11"/>
      <c r="MJ165" s="11"/>
      <c r="MK165" s="11"/>
      <c r="ML165" s="11"/>
      <c r="MM165" s="11"/>
      <c r="MN165" s="11"/>
      <c r="MO165" s="11"/>
      <c r="MP165" s="11"/>
      <c r="MQ165" s="11"/>
      <c r="MR165" s="11"/>
      <c r="MS165" s="11"/>
      <c r="MT165" s="11"/>
      <c r="MU165" s="11"/>
      <c r="MV165" s="11"/>
      <c r="MW165" s="11"/>
      <c r="MX165" s="11"/>
      <c r="MY165" s="11"/>
      <c r="MZ165" s="11"/>
      <c r="NA165" s="11"/>
      <c r="NB165" s="11"/>
      <c r="NC165" s="11"/>
      <c r="ND165" s="11"/>
      <c r="NE165" s="11"/>
      <c r="NF165" s="11"/>
      <c r="NG165" s="11"/>
      <c r="NH165" s="11"/>
      <c r="NI165" s="11"/>
      <c r="NJ165" s="11"/>
      <c r="NK165" s="11"/>
      <c r="NL165" s="11"/>
      <c r="NM165" s="11"/>
      <c r="NN165" s="11"/>
      <c r="NO165" s="11"/>
      <c r="NP165" s="11"/>
      <c r="NQ165" s="11"/>
      <c r="NR165" s="11"/>
      <c r="NS165" s="11"/>
      <c r="NT165" s="11"/>
      <c r="NU165" s="11"/>
      <c r="NV165" s="11"/>
      <c r="NW165" s="11"/>
      <c r="NX165" s="11"/>
      <c r="NY165" s="11"/>
      <c r="NZ165" s="11"/>
      <c r="OA165" s="11"/>
      <c r="OB165" s="11"/>
      <c r="OC165" s="11"/>
      <c r="OD165" s="11"/>
      <c r="OE165" s="11"/>
      <c r="OF165" s="11"/>
      <c r="OG165" s="11"/>
      <c r="OH165" s="11"/>
      <c r="OI165" s="11"/>
      <c r="OJ165" s="11"/>
      <c r="OK165" s="11"/>
      <c r="OL165" s="11"/>
      <c r="OM165" s="11"/>
      <c r="ON165" s="11"/>
      <c r="OO165" s="11"/>
      <c r="OP165" s="11"/>
      <c r="OQ165" s="11"/>
      <c r="OR165" s="11"/>
      <c r="OS165" s="11"/>
      <c r="OT165" s="11"/>
      <c r="OU165" s="11"/>
      <c r="OV165" s="11"/>
      <c r="OW165" s="11"/>
      <c r="OX165" s="11"/>
      <c r="OY165" s="11"/>
      <c r="OZ165" s="11"/>
      <c r="PA165" s="11"/>
      <c r="PB165" s="11"/>
      <c r="PC165" s="11"/>
      <c r="PD165" s="11"/>
      <c r="PE165" s="11"/>
      <c r="PF165" s="11"/>
      <c r="PG165" s="11"/>
      <c r="PH165" s="11"/>
      <c r="PI165" s="11"/>
      <c r="PJ165" s="11"/>
      <c r="PK165" s="11"/>
      <c r="PL165" s="11"/>
      <c r="PM165" s="11"/>
      <c r="PN165" s="11"/>
      <c r="PO165" s="11"/>
      <c r="PP165" s="11"/>
      <c r="PQ165" s="11"/>
      <c r="PR165" s="11"/>
      <c r="PS165" s="11"/>
      <c r="PT165" s="11"/>
      <c r="PU165" s="11"/>
      <c r="PV165" s="11"/>
      <c r="PW165" s="11"/>
      <c r="PX165" s="11"/>
      <c r="PY165" s="11"/>
      <c r="PZ165" s="11"/>
      <c r="QA165" s="11"/>
      <c r="QB165" s="11"/>
      <c r="QC165" s="11"/>
      <c r="QD165" s="11"/>
      <c r="QE165" s="11"/>
      <c r="QF165" s="11"/>
      <c r="QG165" s="11"/>
      <c r="QH165" s="11"/>
      <c r="QI165" s="11"/>
      <c r="QJ165" s="11"/>
      <c r="QK165" s="11"/>
      <c r="QL165" s="11"/>
      <c r="QM165" s="11"/>
      <c r="QN165" s="11"/>
      <c r="QO165" s="11"/>
      <c r="QP165" s="11"/>
      <c r="QQ165" s="11"/>
      <c r="QR165" s="11"/>
      <c r="QS165" s="11"/>
      <c r="QT165" s="11"/>
      <c r="QU165" s="11"/>
      <c r="QV165" s="11"/>
      <c r="QW165" s="11"/>
      <c r="QX165" s="11"/>
      <c r="QY165" s="11"/>
      <c r="QZ165" s="11"/>
      <c r="RA165" s="11"/>
      <c r="RB165" s="11"/>
      <c r="RC165" s="11"/>
      <c r="RD165" s="11"/>
      <c r="RE165" s="11"/>
      <c r="RF165" s="11"/>
      <c r="RG165" s="11"/>
      <c r="RH165" s="11"/>
      <c r="RI165" s="11"/>
      <c r="RJ165" s="11"/>
      <c r="RK165" s="11"/>
      <c r="RL165" s="11"/>
      <c r="RM165" s="11"/>
      <c r="RN165" s="11"/>
      <c r="RO165" s="11"/>
      <c r="RP165" s="11"/>
      <c r="RQ165" s="11"/>
      <c r="RR165" s="11"/>
      <c r="RS165" s="11"/>
      <c r="RT165" s="11"/>
      <c r="RU165" s="11"/>
      <c r="RV165" s="11"/>
      <c r="RW165" s="11"/>
      <c r="RX165" s="11"/>
      <c r="RY165" s="11"/>
      <c r="RZ165" s="11"/>
      <c r="SA165" s="11"/>
      <c r="SB165" s="11"/>
      <c r="SC165" s="11"/>
      <c r="SD165" s="11"/>
      <c r="SE165" s="11"/>
      <c r="SF165" s="11"/>
      <c r="SG165" s="11"/>
      <c r="SH165" s="11"/>
      <c r="SI165" s="11"/>
      <c r="SJ165" s="11"/>
      <c r="SK165" s="11"/>
      <c r="SL165" s="11"/>
      <c r="SM165" s="11"/>
      <c r="SN165" s="11"/>
      <c r="SO165" s="11"/>
      <c r="SP165" s="11"/>
      <c r="SQ165" s="11"/>
      <c r="SR165" s="11"/>
      <c r="SS165" s="11"/>
      <c r="ST165" s="11"/>
      <c r="SU165" s="11"/>
      <c r="SV165" s="11"/>
      <c r="SW165" s="11"/>
      <c r="SX165" s="11"/>
      <c r="SY165" s="11"/>
      <c r="SZ165" s="11"/>
      <c r="TA165" s="11"/>
      <c r="TB165" s="11"/>
      <c r="TC165" s="11"/>
      <c r="TD165" s="11"/>
      <c r="TE165" s="11"/>
      <c r="TF165" s="11"/>
      <c r="TG165" s="11"/>
      <c r="TH165" s="11"/>
      <c r="TI165" s="11"/>
      <c r="TJ165" s="11"/>
      <c r="TK165" s="11"/>
      <c r="TL165" s="11"/>
      <c r="TM165" s="11"/>
      <c r="TN165" s="11"/>
      <c r="TO165" s="11"/>
      <c r="TP165" s="11"/>
      <c r="TQ165" s="11"/>
      <c r="TR165" s="11"/>
      <c r="TS165" s="11"/>
      <c r="TT165" s="11"/>
      <c r="TU165" s="11"/>
      <c r="TV165" s="11"/>
      <c r="TW165" s="11"/>
      <c r="TX165" s="11"/>
      <c r="TY165" s="11"/>
      <c r="TZ165" s="11"/>
      <c r="UA165" s="11"/>
      <c r="UB165" s="11"/>
      <c r="UC165" s="11"/>
      <c r="UD165" s="11"/>
      <c r="UE165" s="11"/>
      <c r="UF165" s="11"/>
      <c r="UG165" s="11"/>
      <c r="UH165" s="11"/>
      <c r="UI165" s="11"/>
      <c r="UJ165" s="11"/>
      <c r="UK165" s="11"/>
      <c r="UL165" s="11"/>
      <c r="UM165" s="11"/>
      <c r="UN165" s="11"/>
      <c r="UO165" s="11"/>
      <c r="UP165" s="11"/>
      <c r="UQ165" s="11"/>
      <c r="UR165" s="11"/>
      <c r="US165" s="11"/>
      <c r="UT165" s="11"/>
      <c r="UU165" s="11"/>
      <c r="UV165" s="11"/>
      <c r="UW165" s="11"/>
      <c r="UX165" s="11"/>
      <c r="UY165" s="11"/>
      <c r="UZ165" s="11"/>
      <c r="VA165" s="11"/>
      <c r="VB165" s="11"/>
      <c r="VC165" s="11"/>
      <c r="VD165" s="11"/>
      <c r="VE165" s="11"/>
      <c r="VF165" s="11"/>
      <c r="VG165" s="11"/>
      <c r="VH165" s="11"/>
      <c r="VI165" s="11"/>
      <c r="VJ165" s="11"/>
      <c r="VK165" s="11"/>
      <c r="VL165" s="11"/>
      <c r="VM165" s="11"/>
      <c r="VN165" s="11"/>
      <c r="VO165" s="11"/>
      <c r="VP165" s="11"/>
      <c r="VQ165" s="11"/>
      <c r="VR165" s="11"/>
      <c r="VS165" s="11"/>
      <c r="VT165" s="11"/>
      <c r="VU165" s="11"/>
      <c r="VV165" s="11"/>
      <c r="VW165" s="11"/>
      <c r="VX165" s="11"/>
      <c r="VY165" s="11"/>
      <c r="VZ165" s="11"/>
      <c r="WA165" s="11"/>
      <c r="WB165" s="11"/>
      <c r="WC165" s="11"/>
      <c r="WD165" s="11"/>
      <c r="WE165" s="11"/>
      <c r="WF165" s="11"/>
      <c r="WG165" s="11"/>
      <c r="WH165" s="11"/>
      <c r="WI165" s="11"/>
      <c r="WJ165" s="11"/>
      <c r="WK165" s="11"/>
      <c r="WL165" s="11"/>
      <c r="WM165" s="11"/>
      <c r="WN165" s="11"/>
      <c r="WO165" s="11"/>
      <c r="WP165" s="11"/>
      <c r="WQ165" s="11"/>
      <c r="WR165" s="11"/>
      <c r="WS165" s="11"/>
      <c r="WT165" s="11"/>
      <c r="WU165" s="11"/>
      <c r="WV165" s="11"/>
      <c r="WW165" s="11"/>
      <c r="WX165" s="11"/>
      <c r="WY165" s="11"/>
      <c r="WZ165" s="11"/>
      <c r="XA165" s="11"/>
      <c r="XB165" s="11"/>
      <c r="XC165" s="11"/>
      <c r="XD165" s="11"/>
      <c r="XE165" s="11"/>
      <c r="XF165" s="11"/>
      <c r="XG165" s="11"/>
      <c r="XH165" s="11"/>
      <c r="XI165" s="11"/>
      <c r="XJ165" s="11"/>
      <c r="XK165" s="11"/>
      <c r="XL165" s="11"/>
      <c r="XM165" s="11"/>
      <c r="XN165" s="11"/>
      <c r="XO165" s="11"/>
      <c r="XP165" s="11"/>
      <c r="XQ165" s="11"/>
      <c r="XR165" s="11"/>
      <c r="XS165" s="11"/>
      <c r="XT165" s="11"/>
      <c r="XU165" s="11"/>
      <c r="XV165" s="11"/>
      <c r="XW165" s="11"/>
      <c r="XX165" s="11"/>
      <c r="XY165" s="11"/>
      <c r="XZ165" s="11"/>
      <c r="YA165" s="11"/>
      <c r="YB165" s="11"/>
      <c r="YC165" s="11"/>
      <c r="YD165" s="11"/>
      <c r="YE165" s="11"/>
      <c r="YF165" s="11"/>
      <c r="YG165" s="11"/>
      <c r="YH165" s="11"/>
      <c r="YI165" s="11"/>
      <c r="YJ165" s="11"/>
      <c r="YK165" s="11"/>
      <c r="YL165" s="11"/>
      <c r="YM165" s="11"/>
      <c r="YN165" s="11"/>
      <c r="YO165" s="11"/>
      <c r="YP165" s="11"/>
      <c r="YQ165" s="11"/>
      <c r="YR165" s="11"/>
      <c r="YS165" s="11"/>
      <c r="YT165" s="11"/>
      <c r="YU165" s="11"/>
      <c r="YV165" s="11"/>
      <c r="YW165" s="11"/>
      <c r="YX165" s="11"/>
      <c r="YY165" s="11"/>
      <c r="YZ165" s="11"/>
      <c r="ZA165" s="11"/>
      <c r="ZB165" s="11"/>
      <c r="ZC165" s="11"/>
      <c r="ZD165" s="11"/>
      <c r="ZE165" s="11"/>
      <c r="ZF165" s="11"/>
      <c r="ZG165" s="11"/>
      <c r="ZH165" s="11"/>
      <c r="ZI165" s="11"/>
      <c r="ZJ165" s="11"/>
      <c r="ZK165" s="11"/>
      <c r="ZL165" s="11"/>
      <c r="ZM165" s="11"/>
      <c r="ZN165" s="11"/>
      <c r="ZO165" s="11"/>
      <c r="ZP165" s="11"/>
      <c r="ZQ165" s="11"/>
      <c r="ZR165" s="11"/>
      <c r="ZS165" s="11"/>
      <c r="ZT165" s="11"/>
      <c r="ZU165" s="11"/>
      <c r="ZV165" s="11"/>
      <c r="ZW165" s="11"/>
      <c r="ZX165" s="11"/>
      <c r="ZY165" s="11"/>
      <c r="ZZ165" s="11"/>
      <c r="AAA165" s="11"/>
      <c r="AAB165" s="11"/>
      <c r="AAC165" s="11"/>
      <c r="AAD165" s="11"/>
      <c r="AAE165" s="11"/>
      <c r="AAF165" s="11"/>
      <c r="AAG165" s="11"/>
      <c r="AAH165" s="11"/>
      <c r="AAI165" s="11"/>
      <c r="AAJ165" s="11"/>
      <c r="AAK165" s="11"/>
      <c r="AAL165" s="11"/>
      <c r="AAM165" s="11"/>
      <c r="AAN165" s="11"/>
      <c r="AAO165" s="11"/>
      <c r="AAP165" s="11"/>
      <c r="AAQ165" s="11"/>
      <c r="AAR165" s="11"/>
      <c r="AAS165" s="11"/>
      <c r="AAT165" s="11"/>
      <c r="AAU165" s="11"/>
      <c r="AAV165" s="11"/>
      <c r="AAW165" s="11"/>
      <c r="AAX165" s="11"/>
      <c r="AAY165" s="11"/>
      <c r="AAZ165" s="11"/>
      <c r="ABA165" s="11"/>
      <c r="ABB165" s="11"/>
      <c r="ABC165" s="11"/>
      <c r="ABD165" s="11"/>
      <c r="ABE165" s="11"/>
      <c r="ABF165" s="11"/>
      <c r="ABG165" s="11"/>
      <c r="ABH165" s="11"/>
      <c r="ABI165" s="11"/>
      <c r="ABJ165" s="11"/>
      <c r="ABK165" s="11"/>
      <c r="ABL165" s="11"/>
      <c r="ABM165" s="11"/>
      <c r="ABN165" s="11"/>
      <c r="ABO165" s="11"/>
      <c r="ABP165" s="11"/>
      <c r="ABQ165" s="11"/>
      <c r="ABR165" s="11"/>
      <c r="ABS165" s="11"/>
      <c r="ABT165" s="11"/>
      <c r="ABU165" s="11"/>
      <c r="ABV165" s="11"/>
      <c r="ABW165" s="11"/>
      <c r="ABX165" s="11"/>
      <c r="ABY165" s="11"/>
      <c r="ABZ165" s="11"/>
      <c r="ACA165" s="11"/>
      <c r="ACB165" s="11"/>
      <c r="ACC165" s="11"/>
      <c r="ACD165" s="11"/>
      <c r="ACE165" s="11"/>
      <c r="ACF165" s="11"/>
      <c r="ACG165" s="11"/>
      <c r="ACH165" s="11"/>
      <c r="ACI165" s="11"/>
      <c r="ACJ165" s="11"/>
      <c r="ACK165" s="11"/>
      <c r="ACL165" s="11"/>
      <c r="ACM165" s="11"/>
      <c r="ACN165" s="11"/>
      <c r="ACO165" s="11"/>
      <c r="ACP165" s="11"/>
      <c r="ACQ165" s="11"/>
      <c r="ACR165" s="11"/>
      <c r="ACS165" s="11"/>
      <c r="ACT165" s="11"/>
      <c r="ACU165" s="11"/>
      <c r="ACV165" s="11"/>
      <c r="ACW165" s="11"/>
      <c r="ACX165" s="11"/>
      <c r="ACY165" s="11"/>
      <c r="ACZ165" s="11"/>
      <c r="ADA165" s="11"/>
      <c r="ADB165" s="11"/>
      <c r="ADC165" s="11"/>
      <c r="ADD165" s="11"/>
      <c r="ADE165" s="11"/>
      <c r="ADF165" s="11"/>
      <c r="ADG165" s="11"/>
      <c r="ADH165" s="11"/>
      <c r="ADI165" s="11"/>
      <c r="ADJ165" s="11"/>
      <c r="ADK165" s="11"/>
      <c r="ADL165" s="11"/>
      <c r="ADM165" s="11"/>
      <c r="ADN165" s="11"/>
      <c r="ADO165" s="11"/>
      <c r="ADP165" s="11"/>
      <c r="ADQ165" s="11"/>
      <c r="ADR165" s="11"/>
      <c r="ADS165" s="11"/>
      <c r="ADT165" s="11"/>
      <c r="ADU165" s="11"/>
      <c r="ADV165" s="11"/>
      <c r="ADW165" s="11"/>
      <c r="ADX165" s="11"/>
      <c r="ADY165" s="11"/>
      <c r="ADZ165" s="11"/>
      <c r="AEA165" s="11"/>
      <c r="AEB165" s="11"/>
      <c r="AEC165" s="11"/>
      <c r="AED165" s="11"/>
      <c r="AEE165" s="11"/>
      <c r="AEF165" s="11"/>
      <c r="AEG165" s="11"/>
      <c r="AEH165" s="11"/>
      <c r="AEI165" s="11"/>
      <c r="AEJ165" s="11"/>
      <c r="AEK165" s="11"/>
      <c r="AEL165" s="11"/>
      <c r="AEM165" s="11"/>
      <c r="AEN165" s="11"/>
      <c r="AEO165" s="11"/>
      <c r="AEP165" s="11"/>
      <c r="AEQ165" s="11"/>
      <c r="AER165" s="11"/>
      <c r="AES165" s="11"/>
      <c r="AET165" s="11"/>
      <c r="AEU165" s="11"/>
      <c r="AEV165" s="11"/>
      <c r="AEW165" s="11"/>
      <c r="AEX165" s="11"/>
      <c r="AEY165" s="11"/>
      <c r="AEZ165" s="11"/>
      <c r="AFA165" s="11"/>
      <c r="AFB165" s="11"/>
      <c r="AFC165" s="11"/>
      <c r="AFD165" s="11"/>
      <c r="AFE165" s="11"/>
      <c r="AFF165" s="11"/>
      <c r="AFG165" s="11"/>
      <c r="AFH165" s="11"/>
      <c r="AFI165" s="11"/>
    </row>
    <row r="166" spans="2:84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1"/>
      <c r="LV166" s="11"/>
      <c r="LW166" s="11"/>
      <c r="LX166" s="11"/>
      <c r="LY166" s="11"/>
      <c r="LZ166" s="11"/>
      <c r="MA166" s="11"/>
      <c r="MB166" s="11"/>
      <c r="MC166" s="11"/>
      <c r="MD166" s="11"/>
      <c r="ME166" s="11"/>
      <c r="MF166" s="11"/>
      <c r="MG166" s="11"/>
      <c r="MH166" s="11"/>
      <c r="MI166" s="11"/>
      <c r="MJ166" s="11"/>
      <c r="MK166" s="11"/>
      <c r="ML166" s="11"/>
      <c r="MM166" s="11"/>
      <c r="MN166" s="11"/>
      <c r="MO166" s="11"/>
      <c r="MP166" s="11"/>
      <c r="MQ166" s="11"/>
      <c r="MR166" s="11"/>
      <c r="MS166" s="11"/>
      <c r="MT166" s="11"/>
      <c r="MU166" s="11"/>
      <c r="MV166" s="11"/>
      <c r="MW166" s="11"/>
      <c r="MX166" s="11"/>
      <c r="MY166" s="11"/>
      <c r="MZ166" s="11"/>
      <c r="NA166" s="11"/>
      <c r="NB166" s="11"/>
      <c r="NC166" s="11"/>
      <c r="ND166" s="11"/>
      <c r="NE166" s="11"/>
      <c r="NF166" s="11"/>
      <c r="NG166" s="11"/>
      <c r="NH166" s="11"/>
      <c r="NI166" s="11"/>
      <c r="NJ166" s="11"/>
      <c r="NK166" s="11"/>
      <c r="NL166" s="11"/>
      <c r="NM166" s="11"/>
      <c r="NN166" s="11"/>
      <c r="NO166" s="11"/>
      <c r="NP166" s="11"/>
      <c r="NQ166" s="11"/>
      <c r="NR166" s="11"/>
      <c r="NS166" s="11"/>
      <c r="NT166" s="11"/>
      <c r="NU166" s="11"/>
      <c r="NV166" s="11"/>
      <c r="NW166" s="11"/>
      <c r="NX166" s="11"/>
      <c r="NY166" s="11"/>
      <c r="NZ166" s="11"/>
      <c r="OA166" s="11"/>
      <c r="OB166" s="11"/>
      <c r="OC166" s="11"/>
      <c r="OD166" s="11"/>
      <c r="OE166" s="11"/>
      <c r="OF166" s="11"/>
      <c r="OG166" s="11"/>
      <c r="OH166" s="11"/>
      <c r="OI166" s="11"/>
      <c r="OJ166" s="11"/>
      <c r="OK166" s="11"/>
      <c r="OL166" s="11"/>
      <c r="OM166" s="11"/>
      <c r="ON166" s="11"/>
      <c r="OO166" s="11"/>
      <c r="OP166" s="11"/>
      <c r="OQ166" s="11"/>
      <c r="OR166" s="11"/>
      <c r="OS166" s="11"/>
      <c r="OT166" s="11"/>
      <c r="OU166" s="11"/>
      <c r="OV166" s="11"/>
      <c r="OW166" s="11"/>
      <c r="OX166" s="11"/>
      <c r="OY166" s="11"/>
      <c r="OZ166" s="11"/>
      <c r="PA166" s="11"/>
      <c r="PB166" s="11"/>
      <c r="PC166" s="11"/>
      <c r="PD166" s="11"/>
      <c r="PE166" s="11"/>
      <c r="PF166" s="11"/>
      <c r="PG166" s="11"/>
      <c r="PH166" s="11"/>
      <c r="PI166" s="11"/>
      <c r="PJ166" s="11"/>
      <c r="PK166" s="11"/>
      <c r="PL166" s="11"/>
      <c r="PM166" s="11"/>
      <c r="PN166" s="11"/>
      <c r="PO166" s="11"/>
      <c r="PP166" s="11"/>
      <c r="PQ166" s="11"/>
      <c r="PR166" s="11"/>
      <c r="PS166" s="11"/>
      <c r="PT166" s="11"/>
      <c r="PU166" s="11"/>
      <c r="PV166" s="11"/>
      <c r="PW166" s="11"/>
      <c r="PX166" s="11"/>
      <c r="PY166" s="11"/>
      <c r="PZ166" s="11"/>
      <c r="QA166" s="11"/>
      <c r="QB166" s="11"/>
      <c r="QC166" s="11"/>
      <c r="QD166" s="11"/>
      <c r="QE166" s="11"/>
      <c r="QF166" s="11"/>
      <c r="QG166" s="11"/>
      <c r="QH166" s="11"/>
      <c r="QI166" s="11"/>
      <c r="QJ166" s="11"/>
      <c r="QK166" s="11"/>
      <c r="QL166" s="11"/>
      <c r="QM166" s="11"/>
      <c r="QN166" s="11"/>
      <c r="QO166" s="11"/>
      <c r="QP166" s="11"/>
      <c r="QQ166" s="11"/>
      <c r="QR166" s="11"/>
      <c r="QS166" s="11"/>
      <c r="QT166" s="11"/>
      <c r="QU166" s="11"/>
      <c r="QV166" s="11"/>
      <c r="QW166" s="11"/>
      <c r="QX166" s="11"/>
      <c r="QY166" s="11"/>
      <c r="QZ166" s="11"/>
      <c r="RA166" s="11"/>
      <c r="RB166" s="11"/>
      <c r="RC166" s="11"/>
      <c r="RD166" s="11"/>
      <c r="RE166" s="11"/>
      <c r="RF166" s="11"/>
      <c r="RG166" s="11"/>
      <c r="RH166" s="11"/>
      <c r="RI166" s="11"/>
      <c r="RJ166" s="11"/>
      <c r="RK166" s="11"/>
      <c r="RL166" s="11"/>
      <c r="RM166" s="11"/>
      <c r="RN166" s="11"/>
      <c r="RO166" s="11"/>
      <c r="RP166" s="11"/>
      <c r="RQ166" s="11"/>
      <c r="RR166" s="11"/>
      <c r="RS166" s="11"/>
      <c r="RT166" s="11"/>
      <c r="RU166" s="11"/>
      <c r="RV166" s="11"/>
      <c r="RW166" s="11"/>
      <c r="RX166" s="11"/>
      <c r="RY166" s="11"/>
      <c r="RZ166" s="11"/>
      <c r="SA166" s="11"/>
      <c r="SB166" s="11"/>
      <c r="SC166" s="11"/>
      <c r="SD166" s="11"/>
      <c r="SE166" s="11"/>
      <c r="SF166" s="11"/>
      <c r="SG166" s="11"/>
      <c r="SH166" s="11"/>
      <c r="SI166" s="11"/>
      <c r="SJ166" s="11"/>
      <c r="SK166" s="11"/>
      <c r="SL166" s="11"/>
      <c r="SM166" s="11"/>
      <c r="SN166" s="11"/>
      <c r="SO166" s="11"/>
      <c r="SP166" s="11"/>
      <c r="SQ166" s="11"/>
      <c r="SR166" s="11"/>
      <c r="SS166" s="11"/>
      <c r="ST166" s="11"/>
      <c r="SU166" s="11"/>
      <c r="SV166" s="11"/>
      <c r="SW166" s="11"/>
      <c r="SX166" s="11"/>
      <c r="SY166" s="11"/>
      <c r="SZ166" s="11"/>
      <c r="TA166" s="11"/>
      <c r="TB166" s="11"/>
      <c r="TC166" s="11"/>
      <c r="TD166" s="11"/>
      <c r="TE166" s="11"/>
      <c r="TF166" s="11"/>
      <c r="TG166" s="11"/>
      <c r="TH166" s="11"/>
      <c r="TI166" s="11"/>
      <c r="TJ166" s="11"/>
      <c r="TK166" s="11"/>
      <c r="TL166" s="11"/>
      <c r="TM166" s="11"/>
      <c r="TN166" s="11"/>
      <c r="TO166" s="11"/>
      <c r="TP166" s="11"/>
      <c r="TQ166" s="11"/>
      <c r="TR166" s="11"/>
      <c r="TS166" s="11"/>
      <c r="TT166" s="11"/>
      <c r="TU166" s="11"/>
      <c r="TV166" s="11"/>
      <c r="TW166" s="11"/>
      <c r="TX166" s="11"/>
      <c r="TY166" s="11"/>
      <c r="TZ166" s="11"/>
      <c r="UA166" s="11"/>
      <c r="UB166" s="11"/>
      <c r="UC166" s="11"/>
      <c r="UD166" s="11"/>
      <c r="UE166" s="11"/>
      <c r="UF166" s="11"/>
      <c r="UG166" s="11"/>
      <c r="UH166" s="11"/>
      <c r="UI166" s="11"/>
      <c r="UJ166" s="11"/>
      <c r="UK166" s="11"/>
      <c r="UL166" s="11"/>
      <c r="UM166" s="11"/>
      <c r="UN166" s="11"/>
      <c r="UO166" s="11"/>
      <c r="UP166" s="11"/>
      <c r="UQ166" s="11"/>
      <c r="UR166" s="11"/>
      <c r="US166" s="11"/>
      <c r="UT166" s="11"/>
      <c r="UU166" s="11"/>
      <c r="UV166" s="11"/>
      <c r="UW166" s="11"/>
      <c r="UX166" s="11"/>
      <c r="UY166" s="11"/>
      <c r="UZ166" s="11"/>
      <c r="VA166" s="11"/>
      <c r="VB166" s="11"/>
      <c r="VC166" s="11"/>
      <c r="VD166" s="11"/>
      <c r="VE166" s="11"/>
      <c r="VF166" s="11"/>
      <c r="VG166" s="11"/>
      <c r="VH166" s="11"/>
      <c r="VI166" s="11"/>
      <c r="VJ166" s="11"/>
      <c r="VK166" s="11"/>
      <c r="VL166" s="11"/>
      <c r="VM166" s="11"/>
      <c r="VN166" s="11"/>
      <c r="VO166" s="11"/>
      <c r="VP166" s="11"/>
      <c r="VQ166" s="11"/>
      <c r="VR166" s="11"/>
      <c r="VS166" s="11"/>
      <c r="VT166" s="11"/>
      <c r="VU166" s="11"/>
      <c r="VV166" s="11"/>
      <c r="VW166" s="11"/>
      <c r="VX166" s="11"/>
      <c r="VY166" s="11"/>
      <c r="VZ166" s="11"/>
      <c r="WA166" s="11"/>
      <c r="WB166" s="11"/>
      <c r="WC166" s="11"/>
      <c r="WD166" s="11"/>
      <c r="WE166" s="11"/>
      <c r="WF166" s="11"/>
      <c r="WG166" s="11"/>
      <c r="WH166" s="11"/>
      <c r="WI166" s="11"/>
      <c r="WJ166" s="11"/>
      <c r="WK166" s="11"/>
      <c r="WL166" s="11"/>
      <c r="WM166" s="11"/>
      <c r="WN166" s="11"/>
      <c r="WO166" s="11"/>
      <c r="WP166" s="11"/>
      <c r="WQ166" s="11"/>
      <c r="WR166" s="11"/>
      <c r="WS166" s="11"/>
      <c r="WT166" s="11"/>
      <c r="WU166" s="11"/>
      <c r="WV166" s="11"/>
      <c r="WW166" s="11"/>
      <c r="WX166" s="11"/>
      <c r="WY166" s="11"/>
      <c r="WZ166" s="11"/>
      <c r="XA166" s="11"/>
      <c r="XB166" s="11"/>
      <c r="XC166" s="11"/>
      <c r="XD166" s="11"/>
      <c r="XE166" s="11"/>
      <c r="XF166" s="11"/>
      <c r="XG166" s="11"/>
      <c r="XH166" s="11"/>
      <c r="XI166" s="11"/>
      <c r="XJ166" s="11"/>
      <c r="XK166" s="11"/>
      <c r="XL166" s="11"/>
      <c r="XM166" s="11"/>
      <c r="XN166" s="11"/>
      <c r="XO166" s="11"/>
      <c r="XP166" s="11"/>
      <c r="XQ166" s="11"/>
      <c r="XR166" s="11"/>
      <c r="XS166" s="11"/>
      <c r="XT166" s="11"/>
      <c r="XU166" s="11"/>
      <c r="XV166" s="11"/>
      <c r="XW166" s="11"/>
      <c r="XX166" s="11"/>
      <c r="XY166" s="11"/>
      <c r="XZ166" s="11"/>
      <c r="YA166" s="11"/>
      <c r="YB166" s="11"/>
      <c r="YC166" s="11"/>
      <c r="YD166" s="11"/>
      <c r="YE166" s="11"/>
      <c r="YF166" s="11"/>
      <c r="YG166" s="11"/>
      <c r="YH166" s="11"/>
      <c r="YI166" s="11"/>
      <c r="YJ166" s="11"/>
      <c r="YK166" s="11"/>
      <c r="YL166" s="11"/>
      <c r="YM166" s="11"/>
      <c r="YN166" s="11"/>
      <c r="YO166" s="11"/>
      <c r="YP166" s="11"/>
      <c r="YQ166" s="11"/>
      <c r="YR166" s="11"/>
      <c r="YS166" s="11"/>
      <c r="YT166" s="11"/>
      <c r="YU166" s="11"/>
      <c r="YV166" s="11"/>
      <c r="YW166" s="11"/>
      <c r="YX166" s="11"/>
      <c r="YY166" s="11"/>
      <c r="YZ166" s="11"/>
      <c r="ZA166" s="11"/>
      <c r="ZB166" s="11"/>
      <c r="ZC166" s="11"/>
      <c r="ZD166" s="11"/>
      <c r="ZE166" s="11"/>
      <c r="ZF166" s="11"/>
      <c r="ZG166" s="11"/>
      <c r="ZH166" s="11"/>
      <c r="ZI166" s="11"/>
      <c r="ZJ166" s="11"/>
      <c r="ZK166" s="11"/>
      <c r="ZL166" s="11"/>
      <c r="ZM166" s="11"/>
      <c r="ZN166" s="11"/>
      <c r="ZO166" s="11"/>
      <c r="ZP166" s="11"/>
      <c r="ZQ166" s="11"/>
      <c r="ZR166" s="11"/>
      <c r="ZS166" s="11"/>
      <c r="ZT166" s="11"/>
      <c r="ZU166" s="11"/>
      <c r="ZV166" s="11"/>
      <c r="ZW166" s="11"/>
      <c r="ZX166" s="11"/>
      <c r="ZY166" s="11"/>
      <c r="ZZ166" s="11"/>
      <c r="AAA166" s="11"/>
      <c r="AAB166" s="11"/>
      <c r="AAC166" s="11"/>
      <c r="AAD166" s="11"/>
      <c r="AAE166" s="11"/>
      <c r="AAF166" s="11"/>
      <c r="AAG166" s="11"/>
      <c r="AAH166" s="11"/>
      <c r="AAI166" s="11"/>
      <c r="AAJ166" s="11"/>
      <c r="AAK166" s="11"/>
      <c r="AAL166" s="11"/>
      <c r="AAM166" s="11"/>
      <c r="AAN166" s="11"/>
      <c r="AAO166" s="11"/>
      <c r="AAP166" s="11"/>
      <c r="AAQ166" s="11"/>
      <c r="AAR166" s="11"/>
      <c r="AAS166" s="11"/>
      <c r="AAT166" s="11"/>
      <c r="AAU166" s="11"/>
      <c r="AAV166" s="11"/>
      <c r="AAW166" s="11"/>
      <c r="AAX166" s="11"/>
      <c r="AAY166" s="11"/>
      <c r="AAZ166" s="11"/>
      <c r="ABA166" s="11"/>
      <c r="ABB166" s="11"/>
      <c r="ABC166" s="11"/>
      <c r="ABD166" s="11"/>
      <c r="ABE166" s="11"/>
      <c r="ABF166" s="11"/>
      <c r="ABG166" s="11"/>
      <c r="ABH166" s="11"/>
      <c r="ABI166" s="11"/>
      <c r="ABJ166" s="11"/>
      <c r="ABK166" s="11"/>
      <c r="ABL166" s="11"/>
      <c r="ABM166" s="11"/>
      <c r="ABN166" s="11"/>
      <c r="ABO166" s="11"/>
      <c r="ABP166" s="11"/>
      <c r="ABQ166" s="11"/>
      <c r="ABR166" s="11"/>
      <c r="ABS166" s="11"/>
      <c r="ABT166" s="11"/>
      <c r="ABU166" s="11"/>
      <c r="ABV166" s="11"/>
      <c r="ABW166" s="11"/>
      <c r="ABX166" s="11"/>
      <c r="ABY166" s="11"/>
      <c r="ABZ166" s="11"/>
      <c r="ACA166" s="11"/>
      <c r="ACB166" s="11"/>
      <c r="ACC166" s="11"/>
      <c r="ACD166" s="11"/>
      <c r="ACE166" s="11"/>
      <c r="ACF166" s="11"/>
      <c r="ACG166" s="11"/>
      <c r="ACH166" s="11"/>
      <c r="ACI166" s="11"/>
      <c r="ACJ166" s="11"/>
      <c r="ACK166" s="11"/>
      <c r="ACL166" s="11"/>
      <c r="ACM166" s="11"/>
      <c r="ACN166" s="11"/>
      <c r="ACO166" s="11"/>
      <c r="ACP166" s="11"/>
      <c r="ACQ166" s="11"/>
      <c r="ACR166" s="11"/>
      <c r="ACS166" s="11"/>
      <c r="ACT166" s="11"/>
      <c r="ACU166" s="11"/>
      <c r="ACV166" s="11"/>
      <c r="ACW166" s="11"/>
      <c r="ACX166" s="11"/>
      <c r="ACY166" s="11"/>
      <c r="ACZ166" s="11"/>
      <c r="ADA166" s="11"/>
      <c r="ADB166" s="11"/>
      <c r="ADC166" s="11"/>
      <c r="ADD166" s="11"/>
      <c r="ADE166" s="11"/>
      <c r="ADF166" s="11"/>
      <c r="ADG166" s="11"/>
      <c r="ADH166" s="11"/>
      <c r="ADI166" s="11"/>
      <c r="ADJ166" s="11"/>
      <c r="ADK166" s="11"/>
      <c r="ADL166" s="11"/>
      <c r="ADM166" s="11"/>
      <c r="ADN166" s="11"/>
      <c r="ADO166" s="11"/>
      <c r="ADP166" s="11"/>
      <c r="ADQ166" s="11"/>
      <c r="ADR166" s="11"/>
      <c r="ADS166" s="11"/>
      <c r="ADT166" s="11"/>
      <c r="ADU166" s="11"/>
      <c r="ADV166" s="11"/>
      <c r="ADW166" s="11"/>
      <c r="ADX166" s="11"/>
      <c r="ADY166" s="11"/>
      <c r="ADZ166" s="11"/>
      <c r="AEA166" s="11"/>
      <c r="AEB166" s="11"/>
      <c r="AEC166" s="11"/>
      <c r="AED166" s="11"/>
      <c r="AEE166" s="11"/>
      <c r="AEF166" s="11"/>
      <c r="AEG166" s="11"/>
      <c r="AEH166" s="11"/>
      <c r="AEI166" s="11"/>
      <c r="AEJ166" s="11"/>
      <c r="AEK166" s="11"/>
      <c r="AEL166" s="11"/>
      <c r="AEM166" s="11"/>
      <c r="AEN166" s="11"/>
      <c r="AEO166" s="11"/>
      <c r="AEP166" s="11"/>
      <c r="AEQ166" s="11"/>
      <c r="AER166" s="11"/>
      <c r="AES166" s="11"/>
      <c r="AET166" s="11"/>
      <c r="AEU166" s="11"/>
      <c r="AEV166" s="11"/>
      <c r="AEW166" s="11"/>
      <c r="AEX166" s="11"/>
      <c r="AEY166" s="11"/>
      <c r="AEZ166" s="11"/>
      <c r="AFA166" s="11"/>
      <c r="AFB166" s="11"/>
      <c r="AFC166" s="11"/>
      <c r="AFD166" s="11"/>
      <c r="AFE166" s="11"/>
      <c r="AFF166" s="11"/>
      <c r="AFG166" s="11"/>
      <c r="AFH166" s="11"/>
      <c r="AFI166" s="11"/>
    </row>
    <row r="167" spans="2:84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1"/>
      <c r="NH167" s="11"/>
      <c r="NI167" s="11"/>
      <c r="NJ167" s="11"/>
      <c r="NK167" s="11"/>
      <c r="NL167" s="11"/>
      <c r="NM167" s="11"/>
      <c r="NN167" s="11"/>
      <c r="NO167" s="11"/>
      <c r="NP167" s="11"/>
      <c r="NQ167" s="11"/>
      <c r="NR167" s="11"/>
      <c r="NS167" s="11"/>
      <c r="NT167" s="11"/>
      <c r="NU167" s="11"/>
      <c r="NV167" s="11"/>
      <c r="NW167" s="11"/>
      <c r="NX167" s="11"/>
      <c r="NY167" s="11"/>
      <c r="NZ167" s="11"/>
      <c r="OA167" s="11"/>
      <c r="OB167" s="11"/>
      <c r="OC167" s="11"/>
      <c r="OD167" s="11"/>
      <c r="OE167" s="11"/>
      <c r="OF167" s="11"/>
      <c r="OG167" s="11"/>
      <c r="OH167" s="11"/>
      <c r="OI167" s="11"/>
      <c r="OJ167" s="11"/>
      <c r="OK167" s="11"/>
      <c r="OL167" s="11"/>
      <c r="OM167" s="11"/>
      <c r="ON167" s="11"/>
      <c r="OO167" s="11"/>
      <c r="OP167" s="11"/>
      <c r="OQ167" s="11"/>
      <c r="OR167" s="11"/>
      <c r="OS167" s="11"/>
      <c r="OT167" s="11"/>
      <c r="OU167" s="11"/>
      <c r="OV167" s="11"/>
      <c r="OW167" s="11"/>
      <c r="OX167" s="11"/>
      <c r="OY167" s="11"/>
      <c r="OZ167" s="11"/>
      <c r="PA167" s="11"/>
      <c r="PB167" s="11"/>
      <c r="PC167" s="11"/>
      <c r="PD167" s="11"/>
      <c r="PE167" s="11"/>
      <c r="PF167" s="11"/>
      <c r="PG167" s="11"/>
      <c r="PH167" s="11"/>
      <c r="PI167" s="11"/>
      <c r="PJ167" s="11"/>
      <c r="PK167" s="11"/>
      <c r="PL167" s="11"/>
      <c r="PM167" s="11"/>
      <c r="PN167" s="11"/>
      <c r="PO167" s="11"/>
      <c r="PP167" s="11"/>
      <c r="PQ167" s="11"/>
      <c r="PR167" s="11"/>
      <c r="PS167" s="11"/>
      <c r="PT167" s="11"/>
      <c r="PU167" s="11"/>
      <c r="PV167" s="11"/>
      <c r="PW167" s="11"/>
      <c r="PX167" s="11"/>
      <c r="PY167" s="11"/>
      <c r="PZ167" s="11"/>
      <c r="QA167" s="11"/>
      <c r="QB167" s="11"/>
      <c r="QC167" s="11"/>
      <c r="QD167" s="11"/>
      <c r="QE167" s="11"/>
      <c r="QF167" s="11"/>
      <c r="QG167" s="11"/>
      <c r="QH167" s="11"/>
      <c r="QI167" s="11"/>
      <c r="QJ167" s="11"/>
      <c r="QK167" s="11"/>
      <c r="QL167" s="11"/>
      <c r="QM167" s="11"/>
      <c r="QN167" s="11"/>
      <c r="QO167" s="11"/>
      <c r="QP167" s="11"/>
      <c r="QQ167" s="11"/>
      <c r="QR167" s="11"/>
      <c r="QS167" s="11"/>
      <c r="QT167" s="11"/>
      <c r="QU167" s="11"/>
      <c r="QV167" s="11"/>
      <c r="QW167" s="11"/>
      <c r="QX167" s="11"/>
      <c r="QY167" s="11"/>
      <c r="QZ167" s="11"/>
      <c r="RA167" s="11"/>
      <c r="RB167" s="11"/>
      <c r="RC167" s="11"/>
      <c r="RD167" s="11"/>
      <c r="RE167" s="11"/>
      <c r="RF167" s="11"/>
      <c r="RG167" s="11"/>
      <c r="RH167" s="11"/>
      <c r="RI167" s="11"/>
      <c r="RJ167" s="11"/>
      <c r="RK167" s="11"/>
      <c r="RL167" s="11"/>
      <c r="RM167" s="11"/>
      <c r="RN167" s="11"/>
      <c r="RO167" s="11"/>
      <c r="RP167" s="11"/>
      <c r="RQ167" s="11"/>
      <c r="RR167" s="11"/>
      <c r="RS167" s="11"/>
      <c r="RT167" s="11"/>
      <c r="RU167" s="11"/>
      <c r="RV167" s="11"/>
      <c r="RW167" s="11"/>
      <c r="RX167" s="11"/>
      <c r="RY167" s="11"/>
      <c r="RZ167" s="11"/>
      <c r="SA167" s="11"/>
      <c r="SB167" s="11"/>
      <c r="SC167" s="11"/>
      <c r="SD167" s="11"/>
      <c r="SE167" s="11"/>
      <c r="SF167" s="11"/>
      <c r="SG167" s="11"/>
      <c r="SH167" s="11"/>
      <c r="SI167" s="11"/>
      <c r="SJ167" s="11"/>
      <c r="SK167" s="11"/>
      <c r="SL167" s="11"/>
      <c r="SM167" s="11"/>
      <c r="SN167" s="11"/>
      <c r="SO167" s="11"/>
      <c r="SP167" s="11"/>
      <c r="SQ167" s="11"/>
      <c r="SR167" s="11"/>
      <c r="SS167" s="11"/>
      <c r="ST167" s="11"/>
      <c r="SU167" s="11"/>
      <c r="SV167" s="11"/>
      <c r="SW167" s="11"/>
      <c r="SX167" s="11"/>
      <c r="SY167" s="11"/>
      <c r="SZ167" s="11"/>
      <c r="TA167" s="11"/>
      <c r="TB167" s="11"/>
      <c r="TC167" s="11"/>
      <c r="TD167" s="11"/>
      <c r="TE167" s="11"/>
      <c r="TF167" s="11"/>
      <c r="TG167" s="11"/>
      <c r="TH167" s="11"/>
      <c r="TI167" s="11"/>
      <c r="TJ167" s="11"/>
      <c r="TK167" s="11"/>
      <c r="TL167" s="11"/>
      <c r="TM167" s="11"/>
      <c r="TN167" s="11"/>
      <c r="TO167" s="11"/>
      <c r="TP167" s="11"/>
      <c r="TQ167" s="11"/>
      <c r="TR167" s="11"/>
      <c r="TS167" s="11"/>
      <c r="TT167" s="11"/>
      <c r="TU167" s="11"/>
      <c r="TV167" s="11"/>
      <c r="TW167" s="11"/>
      <c r="TX167" s="11"/>
      <c r="TY167" s="11"/>
      <c r="TZ167" s="11"/>
      <c r="UA167" s="11"/>
      <c r="UB167" s="11"/>
      <c r="UC167" s="11"/>
      <c r="UD167" s="11"/>
      <c r="UE167" s="11"/>
      <c r="UF167" s="11"/>
      <c r="UG167" s="11"/>
      <c r="UH167" s="11"/>
      <c r="UI167" s="11"/>
      <c r="UJ167" s="11"/>
      <c r="UK167" s="11"/>
      <c r="UL167" s="11"/>
      <c r="UM167" s="11"/>
      <c r="UN167" s="11"/>
      <c r="UO167" s="11"/>
      <c r="UP167" s="11"/>
      <c r="UQ167" s="11"/>
      <c r="UR167" s="11"/>
      <c r="US167" s="11"/>
      <c r="UT167" s="11"/>
      <c r="UU167" s="11"/>
      <c r="UV167" s="11"/>
      <c r="UW167" s="11"/>
      <c r="UX167" s="11"/>
      <c r="UY167" s="11"/>
      <c r="UZ167" s="11"/>
      <c r="VA167" s="11"/>
      <c r="VB167" s="11"/>
      <c r="VC167" s="11"/>
      <c r="VD167" s="11"/>
      <c r="VE167" s="11"/>
      <c r="VF167" s="11"/>
      <c r="VG167" s="11"/>
      <c r="VH167" s="11"/>
      <c r="VI167" s="11"/>
      <c r="VJ167" s="11"/>
      <c r="VK167" s="11"/>
      <c r="VL167" s="11"/>
      <c r="VM167" s="11"/>
      <c r="VN167" s="11"/>
      <c r="VO167" s="11"/>
      <c r="VP167" s="11"/>
      <c r="VQ167" s="11"/>
      <c r="VR167" s="11"/>
      <c r="VS167" s="11"/>
      <c r="VT167" s="11"/>
      <c r="VU167" s="11"/>
      <c r="VV167" s="11"/>
      <c r="VW167" s="11"/>
      <c r="VX167" s="11"/>
      <c r="VY167" s="11"/>
      <c r="VZ167" s="11"/>
      <c r="WA167" s="11"/>
      <c r="WB167" s="11"/>
      <c r="WC167" s="11"/>
      <c r="WD167" s="11"/>
      <c r="WE167" s="11"/>
      <c r="WF167" s="11"/>
      <c r="WG167" s="11"/>
      <c r="WH167" s="11"/>
      <c r="WI167" s="11"/>
      <c r="WJ167" s="11"/>
      <c r="WK167" s="11"/>
      <c r="WL167" s="11"/>
      <c r="WM167" s="11"/>
      <c r="WN167" s="11"/>
      <c r="WO167" s="11"/>
      <c r="WP167" s="11"/>
      <c r="WQ167" s="11"/>
      <c r="WR167" s="11"/>
      <c r="WS167" s="11"/>
      <c r="WT167" s="11"/>
      <c r="WU167" s="11"/>
      <c r="WV167" s="11"/>
      <c r="WW167" s="11"/>
      <c r="WX167" s="11"/>
      <c r="WY167" s="11"/>
      <c r="WZ167" s="11"/>
      <c r="XA167" s="11"/>
      <c r="XB167" s="11"/>
      <c r="XC167" s="11"/>
      <c r="XD167" s="11"/>
      <c r="XE167" s="11"/>
      <c r="XF167" s="11"/>
      <c r="XG167" s="11"/>
      <c r="XH167" s="11"/>
      <c r="XI167" s="11"/>
      <c r="XJ167" s="11"/>
      <c r="XK167" s="11"/>
      <c r="XL167" s="11"/>
      <c r="XM167" s="11"/>
      <c r="XN167" s="11"/>
      <c r="XO167" s="11"/>
      <c r="XP167" s="11"/>
      <c r="XQ167" s="11"/>
      <c r="XR167" s="11"/>
      <c r="XS167" s="11"/>
      <c r="XT167" s="11"/>
      <c r="XU167" s="11"/>
      <c r="XV167" s="11"/>
      <c r="XW167" s="11"/>
      <c r="XX167" s="11"/>
      <c r="XY167" s="11"/>
      <c r="XZ167" s="11"/>
      <c r="YA167" s="11"/>
      <c r="YB167" s="11"/>
      <c r="YC167" s="11"/>
      <c r="YD167" s="11"/>
      <c r="YE167" s="11"/>
      <c r="YF167" s="11"/>
      <c r="YG167" s="11"/>
      <c r="YH167" s="11"/>
      <c r="YI167" s="11"/>
      <c r="YJ167" s="11"/>
      <c r="YK167" s="11"/>
      <c r="YL167" s="11"/>
      <c r="YM167" s="11"/>
      <c r="YN167" s="11"/>
      <c r="YO167" s="11"/>
      <c r="YP167" s="11"/>
      <c r="YQ167" s="11"/>
      <c r="YR167" s="11"/>
      <c r="YS167" s="11"/>
      <c r="YT167" s="11"/>
      <c r="YU167" s="11"/>
      <c r="YV167" s="11"/>
      <c r="YW167" s="11"/>
      <c r="YX167" s="11"/>
      <c r="YY167" s="11"/>
      <c r="YZ167" s="11"/>
      <c r="ZA167" s="11"/>
      <c r="ZB167" s="11"/>
      <c r="ZC167" s="11"/>
      <c r="ZD167" s="11"/>
      <c r="ZE167" s="11"/>
      <c r="ZF167" s="11"/>
      <c r="ZG167" s="11"/>
      <c r="ZH167" s="11"/>
      <c r="ZI167" s="11"/>
      <c r="ZJ167" s="11"/>
      <c r="ZK167" s="11"/>
      <c r="ZL167" s="11"/>
      <c r="ZM167" s="11"/>
      <c r="ZN167" s="11"/>
      <c r="ZO167" s="11"/>
      <c r="ZP167" s="11"/>
      <c r="ZQ167" s="11"/>
      <c r="ZR167" s="11"/>
      <c r="ZS167" s="11"/>
      <c r="ZT167" s="11"/>
      <c r="ZU167" s="11"/>
      <c r="ZV167" s="11"/>
      <c r="ZW167" s="11"/>
      <c r="ZX167" s="11"/>
      <c r="ZY167" s="11"/>
      <c r="ZZ167" s="11"/>
      <c r="AAA167" s="11"/>
      <c r="AAB167" s="11"/>
      <c r="AAC167" s="11"/>
      <c r="AAD167" s="11"/>
      <c r="AAE167" s="11"/>
      <c r="AAF167" s="11"/>
      <c r="AAG167" s="11"/>
      <c r="AAH167" s="11"/>
      <c r="AAI167" s="11"/>
      <c r="AAJ167" s="11"/>
      <c r="AAK167" s="11"/>
      <c r="AAL167" s="11"/>
      <c r="AAM167" s="11"/>
      <c r="AAN167" s="11"/>
      <c r="AAO167" s="11"/>
      <c r="AAP167" s="11"/>
      <c r="AAQ167" s="11"/>
      <c r="AAR167" s="11"/>
      <c r="AAS167" s="11"/>
      <c r="AAT167" s="11"/>
      <c r="AAU167" s="11"/>
      <c r="AAV167" s="11"/>
      <c r="AAW167" s="11"/>
      <c r="AAX167" s="11"/>
      <c r="AAY167" s="11"/>
      <c r="AAZ167" s="11"/>
      <c r="ABA167" s="11"/>
      <c r="ABB167" s="11"/>
      <c r="ABC167" s="11"/>
      <c r="ABD167" s="11"/>
      <c r="ABE167" s="11"/>
      <c r="ABF167" s="11"/>
      <c r="ABG167" s="11"/>
      <c r="ABH167" s="11"/>
      <c r="ABI167" s="11"/>
      <c r="ABJ167" s="11"/>
      <c r="ABK167" s="11"/>
      <c r="ABL167" s="11"/>
      <c r="ABM167" s="11"/>
      <c r="ABN167" s="11"/>
      <c r="ABO167" s="11"/>
      <c r="ABP167" s="11"/>
      <c r="ABQ167" s="11"/>
      <c r="ABR167" s="11"/>
      <c r="ABS167" s="11"/>
      <c r="ABT167" s="11"/>
      <c r="ABU167" s="11"/>
      <c r="ABV167" s="11"/>
      <c r="ABW167" s="11"/>
      <c r="ABX167" s="11"/>
      <c r="ABY167" s="11"/>
      <c r="ABZ167" s="11"/>
      <c r="ACA167" s="11"/>
      <c r="ACB167" s="11"/>
      <c r="ACC167" s="11"/>
      <c r="ACD167" s="11"/>
      <c r="ACE167" s="11"/>
      <c r="ACF167" s="11"/>
      <c r="ACG167" s="11"/>
      <c r="ACH167" s="11"/>
      <c r="ACI167" s="11"/>
      <c r="ACJ167" s="11"/>
      <c r="ACK167" s="11"/>
      <c r="ACL167" s="11"/>
      <c r="ACM167" s="11"/>
      <c r="ACN167" s="11"/>
      <c r="ACO167" s="11"/>
      <c r="ACP167" s="11"/>
      <c r="ACQ167" s="11"/>
      <c r="ACR167" s="11"/>
      <c r="ACS167" s="11"/>
      <c r="ACT167" s="11"/>
      <c r="ACU167" s="11"/>
      <c r="ACV167" s="11"/>
      <c r="ACW167" s="11"/>
      <c r="ACX167" s="11"/>
      <c r="ACY167" s="11"/>
      <c r="ACZ167" s="11"/>
      <c r="ADA167" s="11"/>
      <c r="ADB167" s="11"/>
      <c r="ADC167" s="11"/>
      <c r="ADD167" s="11"/>
      <c r="ADE167" s="11"/>
      <c r="ADF167" s="11"/>
      <c r="ADG167" s="11"/>
      <c r="ADH167" s="11"/>
      <c r="ADI167" s="11"/>
      <c r="ADJ167" s="11"/>
      <c r="ADK167" s="11"/>
      <c r="ADL167" s="11"/>
      <c r="ADM167" s="11"/>
      <c r="ADN167" s="11"/>
      <c r="ADO167" s="11"/>
      <c r="ADP167" s="11"/>
      <c r="ADQ167" s="11"/>
      <c r="ADR167" s="11"/>
      <c r="ADS167" s="11"/>
      <c r="ADT167" s="11"/>
      <c r="ADU167" s="11"/>
      <c r="ADV167" s="11"/>
      <c r="ADW167" s="11"/>
      <c r="ADX167" s="11"/>
      <c r="ADY167" s="11"/>
      <c r="ADZ167" s="11"/>
      <c r="AEA167" s="11"/>
      <c r="AEB167" s="11"/>
      <c r="AEC167" s="11"/>
      <c r="AED167" s="11"/>
      <c r="AEE167" s="11"/>
      <c r="AEF167" s="11"/>
      <c r="AEG167" s="11"/>
      <c r="AEH167" s="11"/>
      <c r="AEI167" s="11"/>
      <c r="AEJ167" s="11"/>
      <c r="AEK167" s="11"/>
      <c r="AEL167" s="11"/>
      <c r="AEM167" s="11"/>
      <c r="AEN167" s="11"/>
      <c r="AEO167" s="11"/>
      <c r="AEP167" s="11"/>
      <c r="AEQ167" s="11"/>
      <c r="AER167" s="11"/>
      <c r="AES167" s="11"/>
      <c r="AET167" s="11"/>
      <c r="AEU167" s="11"/>
      <c r="AEV167" s="11"/>
      <c r="AEW167" s="11"/>
      <c r="AEX167" s="11"/>
      <c r="AEY167" s="11"/>
      <c r="AEZ167" s="11"/>
      <c r="AFA167" s="11"/>
      <c r="AFB167" s="11"/>
      <c r="AFC167" s="11"/>
      <c r="AFD167" s="11"/>
      <c r="AFE167" s="11"/>
      <c r="AFF167" s="11"/>
      <c r="AFG167" s="11"/>
      <c r="AFH167" s="11"/>
      <c r="AFI167" s="11"/>
    </row>
    <row r="168" spans="2:84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1"/>
      <c r="LV168" s="11"/>
      <c r="LW168" s="11"/>
      <c r="LX168" s="11"/>
      <c r="LY168" s="11"/>
      <c r="LZ168" s="11"/>
      <c r="MA168" s="11"/>
      <c r="MB168" s="11"/>
      <c r="MC168" s="11"/>
      <c r="MD168" s="11"/>
      <c r="ME168" s="11"/>
      <c r="MF168" s="11"/>
      <c r="MG168" s="11"/>
      <c r="MH168" s="11"/>
      <c r="MI168" s="11"/>
      <c r="MJ168" s="11"/>
      <c r="MK168" s="11"/>
      <c r="ML168" s="11"/>
      <c r="MM168" s="11"/>
      <c r="MN168" s="11"/>
      <c r="MO168" s="11"/>
      <c r="MP168" s="11"/>
      <c r="MQ168" s="11"/>
      <c r="MR168" s="11"/>
      <c r="MS168" s="11"/>
      <c r="MT168" s="11"/>
      <c r="MU168" s="11"/>
      <c r="MV168" s="11"/>
      <c r="MW168" s="11"/>
      <c r="MX168" s="11"/>
      <c r="MY168" s="11"/>
      <c r="MZ168" s="11"/>
      <c r="NA168" s="11"/>
      <c r="NB168" s="11"/>
      <c r="NC168" s="11"/>
      <c r="ND168" s="11"/>
      <c r="NE168" s="11"/>
      <c r="NF168" s="11"/>
      <c r="NG168" s="11"/>
      <c r="NH168" s="11"/>
      <c r="NI168" s="11"/>
      <c r="NJ168" s="11"/>
      <c r="NK168" s="11"/>
      <c r="NL168" s="11"/>
      <c r="NM168" s="11"/>
      <c r="NN168" s="11"/>
      <c r="NO168" s="11"/>
      <c r="NP168" s="11"/>
      <c r="NQ168" s="11"/>
      <c r="NR168" s="11"/>
      <c r="NS168" s="11"/>
      <c r="NT168" s="11"/>
      <c r="NU168" s="11"/>
      <c r="NV168" s="11"/>
      <c r="NW168" s="11"/>
      <c r="NX168" s="11"/>
      <c r="NY168" s="11"/>
      <c r="NZ168" s="11"/>
      <c r="OA168" s="11"/>
      <c r="OB168" s="11"/>
      <c r="OC168" s="11"/>
      <c r="OD168" s="11"/>
      <c r="OE168" s="11"/>
      <c r="OF168" s="11"/>
      <c r="OG168" s="11"/>
      <c r="OH168" s="11"/>
      <c r="OI168" s="11"/>
      <c r="OJ168" s="11"/>
      <c r="OK168" s="11"/>
      <c r="OL168" s="11"/>
      <c r="OM168" s="11"/>
      <c r="ON168" s="11"/>
      <c r="OO168" s="11"/>
      <c r="OP168" s="11"/>
      <c r="OQ168" s="11"/>
      <c r="OR168" s="11"/>
      <c r="OS168" s="11"/>
      <c r="OT168" s="11"/>
      <c r="OU168" s="11"/>
      <c r="OV168" s="11"/>
      <c r="OW168" s="11"/>
      <c r="OX168" s="11"/>
      <c r="OY168" s="11"/>
      <c r="OZ168" s="11"/>
      <c r="PA168" s="11"/>
      <c r="PB168" s="11"/>
      <c r="PC168" s="11"/>
      <c r="PD168" s="11"/>
      <c r="PE168" s="11"/>
      <c r="PF168" s="11"/>
      <c r="PG168" s="11"/>
      <c r="PH168" s="11"/>
      <c r="PI168" s="11"/>
      <c r="PJ168" s="11"/>
      <c r="PK168" s="11"/>
      <c r="PL168" s="11"/>
      <c r="PM168" s="11"/>
      <c r="PN168" s="11"/>
      <c r="PO168" s="11"/>
      <c r="PP168" s="11"/>
      <c r="PQ168" s="11"/>
      <c r="PR168" s="11"/>
      <c r="PS168" s="11"/>
      <c r="PT168" s="11"/>
      <c r="PU168" s="11"/>
      <c r="PV168" s="11"/>
      <c r="PW168" s="11"/>
      <c r="PX168" s="11"/>
      <c r="PY168" s="11"/>
      <c r="PZ168" s="11"/>
      <c r="QA168" s="11"/>
      <c r="QB168" s="11"/>
      <c r="QC168" s="11"/>
      <c r="QD168" s="11"/>
      <c r="QE168" s="11"/>
      <c r="QF168" s="11"/>
      <c r="QG168" s="11"/>
      <c r="QH168" s="11"/>
      <c r="QI168" s="11"/>
      <c r="QJ168" s="11"/>
      <c r="QK168" s="11"/>
      <c r="QL168" s="11"/>
      <c r="QM168" s="11"/>
      <c r="QN168" s="11"/>
      <c r="QO168" s="11"/>
      <c r="QP168" s="11"/>
      <c r="QQ168" s="11"/>
      <c r="QR168" s="11"/>
      <c r="QS168" s="11"/>
      <c r="QT168" s="11"/>
      <c r="QU168" s="11"/>
      <c r="QV168" s="11"/>
      <c r="QW168" s="11"/>
      <c r="QX168" s="11"/>
      <c r="QY168" s="11"/>
      <c r="QZ168" s="11"/>
      <c r="RA168" s="11"/>
      <c r="RB168" s="11"/>
      <c r="RC168" s="11"/>
      <c r="RD168" s="11"/>
      <c r="RE168" s="11"/>
      <c r="RF168" s="11"/>
      <c r="RG168" s="11"/>
      <c r="RH168" s="11"/>
      <c r="RI168" s="11"/>
      <c r="RJ168" s="11"/>
      <c r="RK168" s="11"/>
      <c r="RL168" s="11"/>
      <c r="RM168" s="11"/>
      <c r="RN168" s="11"/>
      <c r="RO168" s="11"/>
      <c r="RP168" s="11"/>
      <c r="RQ168" s="11"/>
      <c r="RR168" s="11"/>
      <c r="RS168" s="11"/>
      <c r="RT168" s="11"/>
      <c r="RU168" s="11"/>
      <c r="RV168" s="11"/>
      <c r="RW168" s="11"/>
      <c r="RX168" s="11"/>
      <c r="RY168" s="11"/>
      <c r="RZ168" s="11"/>
      <c r="SA168" s="11"/>
      <c r="SB168" s="11"/>
      <c r="SC168" s="11"/>
      <c r="SD168" s="11"/>
      <c r="SE168" s="11"/>
      <c r="SF168" s="11"/>
      <c r="SG168" s="11"/>
      <c r="SH168" s="11"/>
      <c r="SI168" s="11"/>
      <c r="SJ168" s="11"/>
      <c r="SK168" s="11"/>
      <c r="SL168" s="11"/>
      <c r="SM168" s="11"/>
      <c r="SN168" s="11"/>
      <c r="SO168" s="11"/>
      <c r="SP168" s="11"/>
      <c r="SQ168" s="11"/>
      <c r="SR168" s="11"/>
      <c r="SS168" s="11"/>
      <c r="ST168" s="11"/>
      <c r="SU168" s="11"/>
      <c r="SV168" s="11"/>
      <c r="SW168" s="11"/>
      <c r="SX168" s="11"/>
      <c r="SY168" s="11"/>
      <c r="SZ168" s="11"/>
      <c r="TA168" s="11"/>
      <c r="TB168" s="11"/>
      <c r="TC168" s="11"/>
      <c r="TD168" s="11"/>
      <c r="TE168" s="11"/>
      <c r="TF168" s="11"/>
      <c r="TG168" s="11"/>
      <c r="TH168" s="11"/>
      <c r="TI168" s="11"/>
      <c r="TJ168" s="11"/>
      <c r="TK168" s="11"/>
      <c r="TL168" s="11"/>
      <c r="TM168" s="11"/>
      <c r="TN168" s="11"/>
      <c r="TO168" s="11"/>
      <c r="TP168" s="11"/>
      <c r="TQ168" s="11"/>
      <c r="TR168" s="11"/>
      <c r="TS168" s="11"/>
      <c r="TT168" s="11"/>
      <c r="TU168" s="11"/>
      <c r="TV168" s="11"/>
      <c r="TW168" s="11"/>
      <c r="TX168" s="11"/>
      <c r="TY168" s="11"/>
      <c r="TZ168" s="11"/>
      <c r="UA168" s="11"/>
      <c r="UB168" s="11"/>
      <c r="UC168" s="11"/>
      <c r="UD168" s="11"/>
      <c r="UE168" s="11"/>
      <c r="UF168" s="11"/>
      <c r="UG168" s="11"/>
      <c r="UH168" s="11"/>
      <c r="UI168" s="11"/>
      <c r="UJ168" s="11"/>
      <c r="UK168" s="11"/>
      <c r="UL168" s="11"/>
      <c r="UM168" s="11"/>
      <c r="UN168" s="11"/>
      <c r="UO168" s="11"/>
      <c r="UP168" s="11"/>
      <c r="UQ168" s="11"/>
      <c r="UR168" s="11"/>
      <c r="US168" s="11"/>
      <c r="UT168" s="11"/>
      <c r="UU168" s="11"/>
      <c r="UV168" s="11"/>
      <c r="UW168" s="11"/>
      <c r="UX168" s="11"/>
      <c r="UY168" s="11"/>
      <c r="UZ168" s="11"/>
      <c r="VA168" s="11"/>
      <c r="VB168" s="11"/>
      <c r="VC168" s="11"/>
      <c r="VD168" s="11"/>
      <c r="VE168" s="11"/>
      <c r="VF168" s="11"/>
      <c r="VG168" s="11"/>
      <c r="VH168" s="11"/>
      <c r="VI168" s="11"/>
      <c r="VJ168" s="11"/>
      <c r="VK168" s="11"/>
      <c r="VL168" s="11"/>
      <c r="VM168" s="11"/>
      <c r="VN168" s="11"/>
      <c r="VO168" s="11"/>
      <c r="VP168" s="11"/>
      <c r="VQ168" s="11"/>
      <c r="VR168" s="11"/>
      <c r="VS168" s="11"/>
      <c r="VT168" s="11"/>
      <c r="VU168" s="11"/>
      <c r="VV168" s="11"/>
      <c r="VW168" s="11"/>
      <c r="VX168" s="11"/>
      <c r="VY168" s="11"/>
      <c r="VZ168" s="11"/>
      <c r="WA168" s="11"/>
      <c r="WB168" s="11"/>
      <c r="WC168" s="11"/>
      <c r="WD168" s="11"/>
      <c r="WE168" s="11"/>
      <c r="WF168" s="11"/>
      <c r="WG168" s="11"/>
      <c r="WH168" s="11"/>
      <c r="WI168" s="11"/>
      <c r="WJ168" s="11"/>
      <c r="WK168" s="11"/>
      <c r="WL168" s="11"/>
      <c r="WM168" s="11"/>
      <c r="WN168" s="11"/>
      <c r="WO168" s="11"/>
      <c r="WP168" s="11"/>
      <c r="WQ168" s="11"/>
      <c r="WR168" s="11"/>
      <c r="WS168" s="11"/>
      <c r="WT168" s="11"/>
      <c r="WU168" s="11"/>
      <c r="WV168" s="11"/>
      <c r="WW168" s="11"/>
      <c r="WX168" s="11"/>
      <c r="WY168" s="11"/>
      <c r="WZ168" s="11"/>
      <c r="XA168" s="11"/>
      <c r="XB168" s="11"/>
      <c r="XC168" s="11"/>
      <c r="XD168" s="11"/>
      <c r="XE168" s="11"/>
      <c r="XF168" s="11"/>
      <c r="XG168" s="11"/>
      <c r="XH168" s="11"/>
      <c r="XI168" s="11"/>
      <c r="XJ168" s="11"/>
      <c r="XK168" s="11"/>
      <c r="XL168" s="11"/>
      <c r="XM168" s="11"/>
      <c r="XN168" s="11"/>
      <c r="XO168" s="11"/>
      <c r="XP168" s="11"/>
      <c r="XQ168" s="11"/>
      <c r="XR168" s="11"/>
      <c r="XS168" s="11"/>
      <c r="XT168" s="11"/>
      <c r="XU168" s="11"/>
      <c r="XV168" s="11"/>
      <c r="XW168" s="11"/>
      <c r="XX168" s="11"/>
      <c r="XY168" s="11"/>
      <c r="XZ168" s="11"/>
      <c r="YA168" s="11"/>
      <c r="YB168" s="11"/>
      <c r="YC168" s="11"/>
      <c r="YD168" s="11"/>
      <c r="YE168" s="11"/>
      <c r="YF168" s="11"/>
      <c r="YG168" s="11"/>
      <c r="YH168" s="11"/>
      <c r="YI168" s="11"/>
      <c r="YJ168" s="11"/>
      <c r="YK168" s="11"/>
      <c r="YL168" s="11"/>
      <c r="YM168" s="11"/>
      <c r="YN168" s="11"/>
      <c r="YO168" s="11"/>
      <c r="YP168" s="11"/>
      <c r="YQ168" s="11"/>
      <c r="YR168" s="11"/>
      <c r="YS168" s="11"/>
      <c r="YT168" s="11"/>
      <c r="YU168" s="11"/>
      <c r="YV168" s="11"/>
      <c r="YW168" s="11"/>
      <c r="YX168" s="11"/>
      <c r="YY168" s="11"/>
      <c r="YZ168" s="11"/>
      <c r="ZA168" s="11"/>
      <c r="ZB168" s="11"/>
      <c r="ZC168" s="11"/>
      <c r="ZD168" s="11"/>
      <c r="ZE168" s="11"/>
      <c r="ZF168" s="11"/>
      <c r="ZG168" s="11"/>
      <c r="ZH168" s="11"/>
      <c r="ZI168" s="11"/>
      <c r="ZJ168" s="11"/>
      <c r="ZK168" s="11"/>
      <c r="ZL168" s="11"/>
      <c r="ZM168" s="11"/>
      <c r="ZN168" s="11"/>
      <c r="ZO168" s="11"/>
      <c r="ZP168" s="11"/>
      <c r="ZQ168" s="11"/>
      <c r="ZR168" s="11"/>
      <c r="ZS168" s="11"/>
      <c r="ZT168" s="11"/>
      <c r="ZU168" s="11"/>
      <c r="ZV168" s="11"/>
      <c r="ZW168" s="11"/>
      <c r="ZX168" s="11"/>
      <c r="ZY168" s="11"/>
      <c r="ZZ168" s="11"/>
      <c r="AAA168" s="11"/>
      <c r="AAB168" s="11"/>
      <c r="AAC168" s="11"/>
      <c r="AAD168" s="11"/>
      <c r="AAE168" s="11"/>
      <c r="AAF168" s="11"/>
      <c r="AAG168" s="11"/>
      <c r="AAH168" s="11"/>
      <c r="AAI168" s="11"/>
      <c r="AAJ168" s="11"/>
      <c r="AAK168" s="11"/>
      <c r="AAL168" s="11"/>
      <c r="AAM168" s="11"/>
      <c r="AAN168" s="11"/>
      <c r="AAO168" s="11"/>
      <c r="AAP168" s="11"/>
      <c r="AAQ168" s="11"/>
      <c r="AAR168" s="11"/>
      <c r="AAS168" s="11"/>
      <c r="AAT168" s="11"/>
      <c r="AAU168" s="11"/>
      <c r="AAV168" s="11"/>
      <c r="AAW168" s="11"/>
      <c r="AAX168" s="11"/>
      <c r="AAY168" s="11"/>
      <c r="AAZ168" s="11"/>
      <c r="ABA168" s="11"/>
      <c r="ABB168" s="11"/>
      <c r="ABC168" s="11"/>
      <c r="ABD168" s="11"/>
      <c r="ABE168" s="11"/>
      <c r="ABF168" s="11"/>
      <c r="ABG168" s="11"/>
      <c r="ABH168" s="11"/>
      <c r="ABI168" s="11"/>
      <c r="ABJ168" s="11"/>
      <c r="ABK168" s="11"/>
      <c r="ABL168" s="11"/>
      <c r="ABM168" s="11"/>
      <c r="ABN168" s="11"/>
      <c r="ABO168" s="11"/>
      <c r="ABP168" s="11"/>
      <c r="ABQ168" s="11"/>
      <c r="ABR168" s="11"/>
      <c r="ABS168" s="11"/>
      <c r="ABT168" s="11"/>
      <c r="ABU168" s="11"/>
      <c r="ABV168" s="11"/>
      <c r="ABW168" s="11"/>
      <c r="ABX168" s="11"/>
      <c r="ABY168" s="11"/>
      <c r="ABZ168" s="11"/>
      <c r="ACA168" s="11"/>
      <c r="ACB168" s="11"/>
      <c r="ACC168" s="11"/>
      <c r="ACD168" s="11"/>
      <c r="ACE168" s="11"/>
      <c r="ACF168" s="11"/>
      <c r="ACG168" s="11"/>
      <c r="ACH168" s="11"/>
      <c r="ACI168" s="11"/>
      <c r="ACJ168" s="11"/>
      <c r="ACK168" s="11"/>
      <c r="ACL168" s="11"/>
      <c r="ACM168" s="11"/>
      <c r="ACN168" s="11"/>
      <c r="ACO168" s="11"/>
      <c r="ACP168" s="11"/>
      <c r="ACQ168" s="11"/>
      <c r="ACR168" s="11"/>
      <c r="ACS168" s="11"/>
      <c r="ACT168" s="11"/>
      <c r="ACU168" s="11"/>
      <c r="ACV168" s="11"/>
      <c r="ACW168" s="11"/>
      <c r="ACX168" s="11"/>
      <c r="ACY168" s="11"/>
      <c r="ACZ168" s="11"/>
      <c r="ADA168" s="11"/>
      <c r="ADB168" s="11"/>
      <c r="ADC168" s="11"/>
      <c r="ADD168" s="11"/>
      <c r="ADE168" s="11"/>
      <c r="ADF168" s="11"/>
      <c r="ADG168" s="11"/>
      <c r="ADH168" s="11"/>
      <c r="ADI168" s="11"/>
      <c r="ADJ168" s="11"/>
      <c r="ADK168" s="11"/>
      <c r="ADL168" s="11"/>
      <c r="ADM168" s="11"/>
      <c r="ADN168" s="11"/>
      <c r="ADO168" s="11"/>
      <c r="ADP168" s="11"/>
      <c r="ADQ168" s="11"/>
      <c r="ADR168" s="11"/>
      <c r="ADS168" s="11"/>
      <c r="ADT168" s="11"/>
      <c r="ADU168" s="11"/>
      <c r="ADV168" s="11"/>
      <c r="ADW168" s="11"/>
      <c r="ADX168" s="11"/>
      <c r="ADY168" s="11"/>
      <c r="ADZ168" s="11"/>
      <c r="AEA168" s="11"/>
      <c r="AEB168" s="11"/>
      <c r="AEC168" s="11"/>
      <c r="AED168" s="11"/>
      <c r="AEE168" s="11"/>
      <c r="AEF168" s="11"/>
      <c r="AEG168" s="11"/>
      <c r="AEH168" s="11"/>
      <c r="AEI168" s="11"/>
      <c r="AEJ168" s="11"/>
      <c r="AEK168" s="11"/>
      <c r="AEL168" s="11"/>
      <c r="AEM168" s="11"/>
      <c r="AEN168" s="11"/>
      <c r="AEO168" s="11"/>
      <c r="AEP168" s="11"/>
      <c r="AEQ168" s="11"/>
      <c r="AER168" s="11"/>
      <c r="AES168" s="11"/>
      <c r="AET168" s="11"/>
      <c r="AEU168" s="11"/>
      <c r="AEV168" s="11"/>
      <c r="AEW168" s="11"/>
      <c r="AEX168" s="11"/>
      <c r="AEY168" s="11"/>
      <c r="AEZ168" s="11"/>
      <c r="AFA168" s="11"/>
      <c r="AFB168" s="11"/>
      <c r="AFC168" s="11"/>
      <c r="AFD168" s="11"/>
      <c r="AFE168" s="11"/>
      <c r="AFF168" s="11"/>
      <c r="AFG168" s="11"/>
      <c r="AFH168" s="11"/>
      <c r="AFI168" s="11"/>
    </row>
    <row r="169" spans="2:84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1"/>
      <c r="LV169" s="11"/>
      <c r="LW169" s="11"/>
      <c r="LX169" s="11"/>
      <c r="LY169" s="11"/>
      <c r="LZ169" s="11"/>
      <c r="MA169" s="11"/>
      <c r="MB169" s="11"/>
      <c r="MC169" s="11"/>
      <c r="MD169" s="11"/>
      <c r="ME169" s="11"/>
      <c r="MF169" s="11"/>
      <c r="MG169" s="11"/>
      <c r="MH169" s="11"/>
      <c r="MI169" s="11"/>
      <c r="MJ169" s="11"/>
      <c r="MK169" s="11"/>
      <c r="ML169" s="11"/>
      <c r="MM169" s="11"/>
      <c r="MN169" s="11"/>
      <c r="MO169" s="11"/>
      <c r="MP169" s="11"/>
      <c r="MQ169" s="11"/>
      <c r="MR169" s="11"/>
      <c r="MS169" s="11"/>
      <c r="MT169" s="11"/>
      <c r="MU169" s="11"/>
      <c r="MV169" s="11"/>
      <c r="MW169" s="11"/>
      <c r="MX169" s="11"/>
      <c r="MY169" s="11"/>
      <c r="MZ169" s="11"/>
      <c r="NA169" s="11"/>
      <c r="NB169" s="11"/>
      <c r="NC169" s="11"/>
      <c r="ND169" s="11"/>
      <c r="NE169" s="11"/>
      <c r="NF169" s="11"/>
      <c r="NG169" s="11"/>
      <c r="NH169" s="11"/>
      <c r="NI169" s="11"/>
      <c r="NJ169" s="11"/>
      <c r="NK169" s="11"/>
      <c r="NL169" s="11"/>
      <c r="NM169" s="11"/>
      <c r="NN169" s="11"/>
      <c r="NO169" s="11"/>
      <c r="NP169" s="11"/>
      <c r="NQ169" s="11"/>
      <c r="NR169" s="11"/>
      <c r="NS169" s="11"/>
      <c r="NT169" s="11"/>
      <c r="NU169" s="11"/>
      <c r="NV169" s="11"/>
      <c r="NW169" s="11"/>
      <c r="NX169" s="11"/>
      <c r="NY169" s="11"/>
      <c r="NZ169" s="11"/>
      <c r="OA169" s="11"/>
      <c r="OB169" s="11"/>
      <c r="OC169" s="11"/>
      <c r="OD169" s="11"/>
      <c r="OE169" s="11"/>
      <c r="OF169" s="11"/>
      <c r="OG169" s="11"/>
      <c r="OH169" s="11"/>
      <c r="OI169" s="11"/>
      <c r="OJ169" s="11"/>
      <c r="OK169" s="11"/>
      <c r="OL169" s="11"/>
      <c r="OM169" s="11"/>
      <c r="ON169" s="11"/>
      <c r="OO169" s="11"/>
      <c r="OP169" s="11"/>
      <c r="OQ169" s="11"/>
      <c r="OR169" s="11"/>
      <c r="OS169" s="11"/>
      <c r="OT169" s="11"/>
      <c r="OU169" s="11"/>
      <c r="OV169" s="11"/>
      <c r="OW169" s="11"/>
      <c r="OX169" s="11"/>
      <c r="OY169" s="11"/>
      <c r="OZ169" s="11"/>
      <c r="PA169" s="11"/>
      <c r="PB169" s="11"/>
      <c r="PC169" s="11"/>
      <c r="PD169" s="11"/>
      <c r="PE169" s="11"/>
      <c r="PF169" s="11"/>
      <c r="PG169" s="11"/>
      <c r="PH169" s="11"/>
      <c r="PI169" s="11"/>
      <c r="PJ169" s="11"/>
      <c r="PK169" s="11"/>
      <c r="PL169" s="11"/>
      <c r="PM169" s="11"/>
      <c r="PN169" s="11"/>
      <c r="PO169" s="11"/>
      <c r="PP169" s="11"/>
      <c r="PQ169" s="11"/>
      <c r="PR169" s="11"/>
      <c r="PS169" s="11"/>
      <c r="PT169" s="11"/>
      <c r="PU169" s="11"/>
      <c r="PV169" s="11"/>
      <c r="PW169" s="11"/>
      <c r="PX169" s="11"/>
      <c r="PY169" s="11"/>
      <c r="PZ169" s="11"/>
      <c r="QA169" s="11"/>
      <c r="QB169" s="11"/>
      <c r="QC169" s="11"/>
      <c r="QD169" s="11"/>
      <c r="QE169" s="11"/>
      <c r="QF169" s="11"/>
      <c r="QG169" s="11"/>
      <c r="QH169" s="11"/>
      <c r="QI169" s="11"/>
      <c r="QJ169" s="11"/>
      <c r="QK169" s="11"/>
      <c r="QL169" s="11"/>
      <c r="QM169" s="11"/>
      <c r="QN169" s="11"/>
      <c r="QO169" s="11"/>
      <c r="QP169" s="11"/>
      <c r="QQ169" s="11"/>
      <c r="QR169" s="11"/>
      <c r="QS169" s="11"/>
      <c r="QT169" s="11"/>
      <c r="QU169" s="11"/>
      <c r="QV169" s="11"/>
      <c r="QW169" s="11"/>
      <c r="QX169" s="11"/>
      <c r="QY169" s="11"/>
      <c r="QZ169" s="11"/>
      <c r="RA169" s="11"/>
      <c r="RB169" s="11"/>
      <c r="RC169" s="11"/>
      <c r="RD169" s="11"/>
      <c r="RE169" s="11"/>
      <c r="RF169" s="11"/>
      <c r="RG169" s="11"/>
      <c r="RH169" s="11"/>
      <c r="RI169" s="11"/>
      <c r="RJ169" s="11"/>
      <c r="RK169" s="11"/>
      <c r="RL169" s="11"/>
      <c r="RM169" s="11"/>
      <c r="RN169" s="11"/>
      <c r="RO169" s="11"/>
      <c r="RP169" s="11"/>
      <c r="RQ169" s="11"/>
      <c r="RR169" s="11"/>
      <c r="RS169" s="11"/>
      <c r="RT169" s="11"/>
      <c r="RU169" s="11"/>
      <c r="RV169" s="11"/>
      <c r="RW169" s="11"/>
      <c r="RX169" s="11"/>
      <c r="RY169" s="11"/>
      <c r="RZ169" s="11"/>
      <c r="SA169" s="11"/>
      <c r="SB169" s="11"/>
      <c r="SC169" s="11"/>
      <c r="SD169" s="11"/>
      <c r="SE169" s="11"/>
      <c r="SF169" s="11"/>
      <c r="SG169" s="11"/>
      <c r="SH169" s="11"/>
      <c r="SI169" s="11"/>
      <c r="SJ169" s="11"/>
      <c r="SK169" s="11"/>
      <c r="SL169" s="11"/>
      <c r="SM169" s="11"/>
      <c r="SN169" s="11"/>
      <c r="SO169" s="11"/>
      <c r="SP169" s="11"/>
      <c r="SQ169" s="11"/>
      <c r="SR169" s="11"/>
      <c r="SS169" s="11"/>
      <c r="ST169" s="11"/>
      <c r="SU169" s="11"/>
      <c r="SV169" s="11"/>
      <c r="SW169" s="11"/>
      <c r="SX169" s="11"/>
      <c r="SY169" s="11"/>
      <c r="SZ169" s="11"/>
      <c r="TA169" s="11"/>
      <c r="TB169" s="11"/>
      <c r="TC169" s="11"/>
      <c r="TD169" s="11"/>
      <c r="TE169" s="11"/>
      <c r="TF169" s="11"/>
      <c r="TG169" s="11"/>
      <c r="TH169" s="11"/>
      <c r="TI169" s="11"/>
      <c r="TJ169" s="11"/>
      <c r="TK169" s="11"/>
      <c r="TL169" s="11"/>
      <c r="TM169" s="11"/>
      <c r="TN169" s="11"/>
      <c r="TO169" s="11"/>
      <c r="TP169" s="11"/>
      <c r="TQ169" s="11"/>
      <c r="TR169" s="11"/>
      <c r="TS169" s="11"/>
      <c r="TT169" s="11"/>
      <c r="TU169" s="11"/>
      <c r="TV169" s="11"/>
      <c r="TW169" s="11"/>
      <c r="TX169" s="11"/>
      <c r="TY169" s="11"/>
      <c r="TZ169" s="11"/>
      <c r="UA169" s="11"/>
      <c r="UB169" s="11"/>
      <c r="UC169" s="11"/>
      <c r="UD169" s="11"/>
      <c r="UE169" s="11"/>
      <c r="UF169" s="11"/>
      <c r="UG169" s="11"/>
      <c r="UH169" s="11"/>
      <c r="UI169" s="11"/>
      <c r="UJ169" s="11"/>
      <c r="UK169" s="11"/>
      <c r="UL169" s="11"/>
      <c r="UM169" s="11"/>
      <c r="UN169" s="11"/>
      <c r="UO169" s="11"/>
      <c r="UP169" s="11"/>
      <c r="UQ169" s="11"/>
      <c r="UR169" s="11"/>
      <c r="US169" s="11"/>
      <c r="UT169" s="11"/>
      <c r="UU169" s="11"/>
      <c r="UV169" s="11"/>
      <c r="UW169" s="11"/>
      <c r="UX169" s="11"/>
      <c r="UY169" s="11"/>
      <c r="UZ169" s="11"/>
      <c r="VA169" s="11"/>
      <c r="VB169" s="11"/>
      <c r="VC169" s="11"/>
      <c r="VD169" s="11"/>
      <c r="VE169" s="11"/>
      <c r="VF169" s="11"/>
      <c r="VG169" s="11"/>
      <c r="VH169" s="11"/>
      <c r="VI169" s="11"/>
      <c r="VJ169" s="11"/>
      <c r="VK169" s="11"/>
      <c r="VL169" s="11"/>
      <c r="VM169" s="11"/>
      <c r="VN169" s="11"/>
      <c r="VO169" s="11"/>
      <c r="VP169" s="11"/>
      <c r="VQ169" s="11"/>
      <c r="VR169" s="11"/>
      <c r="VS169" s="11"/>
      <c r="VT169" s="11"/>
      <c r="VU169" s="11"/>
      <c r="VV169" s="11"/>
      <c r="VW169" s="11"/>
      <c r="VX169" s="11"/>
      <c r="VY169" s="11"/>
      <c r="VZ169" s="11"/>
      <c r="WA169" s="11"/>
      <c r="WB169" s="11"/>
      <c r="WC169" s="11"/>
      <c r="WD169" s="11"/>
      <c r="WE169" s="11"/>
      <c r="WF169" s="11"/>
      <c r="WG169" s="11"/>
      <c r="WH169" s="11"/>
      <c r="WI169" s="11"/>
      <c r="WJ169" s="11"/>
      <c r="WK169" s="11"/>
      <c r="WL169" s="11"/>
      <c r="WM169" s="11"/>
      <c r="WN169" s="11"/>
      <c r="WO169" s="11"/>
      <c r="WP169" s="11"/>
      <c r="WQ169" s="11"/>
      <c r="WR169" s="11"/>
      <c r="WS169" s="11"/>
      <c r="WT169" s="11"/>
      <c r="WU169" s="11"/>
      <c r="WV169" s="11"/>
      <c r="WW169" s="11"/>
      <c r="WX169" s="11"/>
      <c r="WY169" s="11"/>
      <c r="WZ169" s="11"/>
      <c r="XA169" s="11"/>
      <c r="XB169" s="11"/>
      <c r="XC169" s="11"/>
      <c r="XD169" s="11"/>
      <c r="XE169" s="11"/>
      <c r="XF169" s="11"/>
      <c r="XG169" s="11"/>
      <c r="XH169" s="11"/>
      <c r="XI169" s="11"/>
      <c r="XJ169" s="11"/>
      <c r="XK169" s="11"/>
      <c r="XL169" s="11"/>
      <c r="XM169" s="11"/>
      <c r="XN169" s="11"/>
      <c r="XO169" s="11"/>
      <c r="XP169" s="11"/>
      <c r="XQ169" s="11"/>
      <c r="XR169" s="11"/>
      <c r="XS169" s="11"/>
      <c r="XT169" s="11"/>
      <c r="XU169" s="11"/>
      <c r="XV169" s="11"/>
      <c r="XW169" s="11"/>
      <c r="XX169" s="11"/>
      <c r="XY169" s="11"/>
      <c r="XZ169" s="11"/>
      <c r="YA169" s="11"/>
      <c r="YB169" s="11"/>
      <c r="YC169" s="11"/>
      <c r="YD169" s="11"/>
      <c r="YE169" s="11"/>
      <c r="YF169" s="11"/>
      <c r="YG169" s="11"/>
      <c r="YH169" s="11"/>
      <c r="YI169" s="11"/>
      <c r="YJ169" s="11"/>
      <c r="YK169" s="11"/>
      <c r="YL169" s="11"/>
      <c r="YM169" s="11"/>
      <c r="YN169" s="11"/>
      <c r="YO169" s="11"/>
      <c r="YP169" s="11"/>
      <c r="YQ169" s="11"/>
      <c r="YR169" s="11"/>
      <c r="YS169" s="11"/>
      <c r="YT169" s="11"/>
      <c r="YU169" s="11"/>
      <c r="YV169" s="11"/>
      <c r="YW169" s="11"/>
      <c r="YX169" s="11"/>
      <c r="YY169" s="11"/>
      <c r="YZ169" s="11"/>
      <c r="ZA169" s="11"/>
      <c r="ZB169" s="11"/>
      <c r="ZC169" s="11"/>
      <c r="ZD169" s="11"/>
      <c r="ZE169" s="11"/>
      <c r="ZF169" s="11"/>
      <c r="ZG169" s="11"/>
      <c r="ZH169" s="11"/>
      <c r="ZI169" s="11"/>
      <c r="ZJ169" s="11"/>
      <c r="ZK169" s="11"/>
      <c r="ZL169" s="11"/>
      <c r="ZM169" s="11"/>
      <c r="ZN169" s="11"/>
      <c r="ZO169" s="11"/>
      <c r="ZP169" s="11"/>
      <c r="ZQ169" s="11"/>
      <c r="ZR169" s="11"/>
      <c r="ZS169" s="11"/>
      <c r="ZT169" s="11"/>
      <c r="ZU169" s="11"/>
      <c r="ZV169" s="11"/>
      <c r="ZW169" s="11"/>
      <c r="ZX169" s="11"/>
      <c r="ZY169" s="11"/>
      <c r="ZZ169" s="11"/>
      <c r="AAA169" s="11"/>
      <c r="AAB169" s="11"/>
      <c r="AAC169" s="11"/>
      <c r="AAD169" s="11"/>
      <c r="AAE169" s="11"/>
      <c r="AAF169" s="11"/>
      <c r="AAG169" s="11"/>
      <c r="AAH169" s="11"/>
      <c r="AAI169" s="11"/>
      <c r="AAJ169" s="11"/>
      <c r="AAK169" s="11"/>
      <c r="AAL169" s="11"/>
      <c r="AAM169" s="11"/>
      <c r="AAN169" s="11"/>
      <c r="AAO169" s="11"/>
      <c r="AAP169" s="11"/>
      <c r="AAQ169" s="11"/>
      <c r="AAR169" s="11"/>
      <c r="AAS169" s="11"/>
      <c r="AAT169" s="11"/>
      <c r="AAU169" s="11"/>
      <c r="AAV169" s="11"/>
      <c r="AAW169" s="11"/>
      <c r="AAX169" s="11"/>
      <c r="AAY169" s="11"/>
      <c r="AAZ169" s="11"/>
      <c r="ABA169" s="11"/>
      <c r="ABB169" s="11"/>
      <c r="ABC169" s="11"/>
      <c r="ABD169" s="11"/>
      <c r="ABE169" s="11"/>
      <c r="ABF169" s="11"/>
      <c r="ABG169" s="11"/>
      <c r="ABH169" s="11"/>
      <c r="ABI169" s="11"/>
      <c r="ABJ169" s="11"/>
      <c r="ABK169" s="11"/>
      <c r="ABL169" s="11"/>
      <c r="ABM169" s="11"/>
      <c r="ABN169" s="11"/>
      <c r="ABO169" s="11"/>
      <c r="ABP169" s="11"/>
      <c r="ABQ169" s="11"/>
      <c r="ABR169" s="11"/>
      <c r="ABS169" s="11"/>
      <c r="ABT169" s="11"/>
      <c r="ABU169" s="11"/>
      <c r="ABV169" s="11"/>
      <c r="ABW169" s="11"/>
      <c r="ABX169" s="11"/>
      <c r="ABY169" s="11"/>
      <c r="ABZ169" s="11"/>
      <c r="ACA169" s="11"/>
      <c r="ACB169" s="11"/>
      <c r="ACC169" s="11"/>
      <c r="ACD169" s="11"/>
      <c r="ACE169" s="11"/>
      <c r="ACF169" s="11"/>
      <c r="ACG169" s="11"/>
      <c r="ACH169" s="11"/>
      <c r="ACI169" s="11"/>
      <c r="ACJ169" s="11"/>
      <c r="ACK169" s="11"/>
      <c r="ACL169" s="11"/>
      <c r="ACM169" s="11"/>
      <c r="ACN169" s="11"/>
      <c r="ACO169" s="11"/>
      <c r="ACP169" s="11"/>
      <c r="ACQ169" s="11"/>
      <c r="ACR169" s="11"/>
      <c r="ACS169" s="11"/>
      <c r="ACT169" s="11"/>
      <c r="ACU169" s="11"/>
      <c r="ACV169" s="11"/>
      <c r="ACW169" s="11"/>
      <c r="ACX169" s="11"/>
      <c r="ACY169" s="11"/>
      <c r="ACZ169" s="11"/>
      <c r="ADA169" s="11"/>
      <c r="ADB169" s="11"/>
      <c r="ADC169" s="11"/>
      <c r="ADD169" s="11"/>
      <c r="ADE169" s="11"/>
      <c r="ADF169" s="11"/>
      <c r="ADG169" s="11"/>
      <c r="ADH169" s="11"/>
      <c r="ADI169" s="11"/>
      <c r="ADJ169" s="11"/>
      <c r="ADK169" s="11"/>
      <c r="ADL169" s="11"/>
      <c r="ADM169" s="11"/>
      <c r="ADN169" s="11"/>
      <c r="ADO169" s="11"/>
      <c r="ADP169" s="11"/>
      <c r="ADQ169" s="11"/>
      <c r="ADR169" s="11"/>
      <c r="ADS169" s="11"/>
      <c r="ADT169" s="11"/>
      <c r="ADU169" s="11"/>
      <c r="ADV169" s="11"/>
      <c r="ADW169" s="11"/>
      <c r="ADX169" s="11"/>
      <c r="ADY169" s="11"/>
      <c r="ADZ169" s="11"/>
      <c r="AEA169" s="11"/>
      <c r="AEB169" s="11"/>
      <c r="AEC169" s="11"/>
      <c r="AED169" s="11"/>
      <c r="AEE169" s="11"/>
      <c r="AEF169" s="11"/>
      <c r="AEG169" s="11"/>
      <c r="AEH169" s="11"/>
      <c r="AEI169" s="11"/>
      <c r="AEJ169" s="11"/>
      <c r="AEK169" s="11"/>
      <c r="AEL169" s="11"/>
      <c r="AEM169" s="11"/>
      <c r="AEN169" s="11"/>
      <c r="AEO169" s="11"/>
      <c r="AEP169" s="11"/>
      <c r="AEQ169" s="11"/>
      <c r="AER169" s="11"/>
      <c r="AES169" s="11"/>
      <c r="AET169" s="11"/>
      <c r="AEU169" s="11"/>
      <c r="AEV169" s="11"/>
      <c r="AEW169" s="11"/>
      <c r="AEX169" s="11"/>
      <c r="AEY169" s="11"/>
      <c r="AEZ169" s="11"/>
      <c r="AFA169" s="11"/>
      <c r="AFB169" s="11"/>
      <c r="AFC169" s="11"/>
      <c r="AFD169" s="11"/>
      <c r="AFE169" s="11"/>
      <c r="AFF169" s="11"/>
      <c r="AFG169" s="11"/>
      <c r="AFH169" s="11"/>
      <c r="AFI169" s="11"/>
    </row>
    <row r="170" spans="2:84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1"/>
      <c r="LV170" s="11"/>
      <c r="LW170" s="11"/>
      <c r="LX170" s="11"/>
      <c r="LY170" s="11"/>
      <c r="LZ170" s="11"/>
      <c r="MA170" s="11"/>
      <c r="MB170" s="11"/>
      <c r="MC170" s="11"/>
      <c r="MD170" s="11"/>
      <c r="ME170" s="11"/>
      <c r="MF170" s="11"/>
      <c r="MG170" s="11"/>
      <c r="MH170" s="11"/>
      <c r="MI170" s="11"/>
      <c r="MJ170" s="11"/>
      <c r="MK170" s="11"/>
      <c r="ML170" s="11"/>
      <c r="MM170" s="11"/>
      <c r="MN170" s="11"/>
      <c r="MO170" s="11"/>
      <c r="MP170" s="11"/>
      <c r="MQ170" s="11"/>
      <c r="MR170" s="11"/>
      <c r="MS170" s="11"/>
      <c r="MT170" s="11"/>
      <c r="MU170" s="11"/>
      <c r="MV170" s="11"/>
      <c r="MW170" s="11"/>
      <c r="MX170" s="11"/>
      <c r="MY170" s="11"/>
      <c r="MZ170" s="11"/>
      <c r="NA170" s="11"/>
      <c r="NB170" s="11"/>
      <c r="NC170" s="11"/>
      <c r="ND170" s="11"/>
      <c r="NE170" s="11"/>
      <c r="NF170" s="11"/>
      <c r="NG170" s="11"/>
      <c r="NH170" s="11"/>
      <c r="NI170" s="11"/>
      <c r="NJ170" s="11"/>
      <c r="NK170" s="11"/>
      <c r="NL170" s="11"/>
      <c r="NM170" s="11"/>
      <c r="NN170" s="11"/>
      <c r="NO170" s="11"/>
      <c r="NP170" s="11"/>
      <c r="NQ170" s="11"/>
      <c r="NR170" s="11"/>
      <c r="NS170" s="11"/>
      <c r="NT170" s="11"/>
      <c r="NU170" s="11"/>
      <c r="NV170" s="11"/>
      <c r="NW170" s="11"/>
      <c r="NX170" s="11"/>
      <c r="NY170" s="11"/>
      <c r="NZ170" s="11"/>
      <c r="OA170" s="11"/>
      <c r="OB170" s="11"/>
      <c r="OC170" s="11"/>
      <c r="OD170" s="11"/>
      <c r="OE170" s="11"/>
      <c r="OF170" s="11"/>
      <c r="OG170" s="11"/>
      <c r="OH170" s="11"/>
      <c r="OI170" s="11"/>
      <c r="OJ170" s="11"/>
      <c r="OK170" s="11"/>
      <c r="OL170" s="11"/>
      <c r="OM170" s="11"/>
      <c r="ON170" s="11"/>
      <c r="OO170" s="11"/>
      <c r="OP170" s="11"/>
      <c r="OQ170" s="11"/>
      <c r="OR170" s="11"/>
      <c r="OS170" s="11"/>
      <c r="OT170" s="11"/>
      <c r="OU170" s="11"/>
      <c r="OV170" s="11"/>
      <c r="OW170" s="11"/>
      <c r="OX170" s="11"/>
      <c r="OY170" s="11"/>
      <c r="OZ170" s="11"/>
      <c r="PA170" s="11"/>
      <c r="PB170" s="11"/>
      <c r="PC170" s="11"/>
      <c r="PD170" s="11"/>
      <c r="PE170" s="11"/>
      <c r="PF170" s="11"/>
      <c r="PG170" s="11"/>
      <c r="PH170" s="11"/>
      <c r="PI170" s="11"/>
      <c r="PJ170" s="11"/>
      <c r="PK170" s="11"/>
      <c r="PL170" s="11"/>
      <c r="PM170" s="11"/>
      <c r="PN170" s="11"/>
      <c r="PO170" s="11"/>
      <c r="PP170" s="11"/>
      <c r="PQ170" s="11"/>
      <c r="PR170" s="11"/>
      <c r="PS170" s="11"/>
      <c r="PT170" s="11"/>
      <c r="PU170" s="11"/>
      <c r="PV170" s="11"/>
      <c r="PW170" s="11"/>
      <c r="PX170" s="11"/>
      <c r="PY170" s="11"/>
      <c r="PZ170" s="11"/>
      <c r="QA170" s="11"/>
      <c r="QB170" s="11"/>
      <c r="QC170" s="11"/>
      <c r="QD170" s="11"/>
      <c r="QE170" s="11"/>
      <c r="QF170" s="11"/>
      <c r="QG170" s="11"/>
      <c r="QH170" s="11"/>
      <c r="QI170" s="11"/>
      <c r="QJ170" s="11"/>
      <c r="QK170" s="11"/>
      <c r="QL170" s="11"/>
      <c r="QM170" s="11"/>
      <c r="QN170" s="11"/>
      <c r="QO170" s="11"/>
      <c r="QP170" s="11"/>
      <c r="QQ170" s="11"/>
      <c r="QR170" s="11"/>
      <c r="QS170" s="11"/>
      <c r="QT170" s="11"/>
      <c r="QU170" s="11"/>
      <c r="QV170" s="11"/>
      <c r="QW170" s="11"/>
      <c r="QX170" s="11"/>
      <c r="QY170" s="11"/>
      <c r="QZ170" s="11"/>
      <c r="RA170" s="11"/>
      <c r="RB170" s="11"/>
      <c r="RC170" s="11"/>
      <c r="RD170" s="11"/>
      <c r="RE170" s="11"/>
      <c r="RF170" s="11"/>
      <c r="RG170" s="11"/>
      <c r="RH170" s="11"/>
      <c r="RI170" s="11"/>
      <c r="RJ170" s="11"/>
      <c r="RK170" s="11"/>
      <c r="RL170" s="11"/>
      <c r="RM170" s="11"/>
      <c r="RN170" s="11"/>
      <c r="RO170" s="11"/>
      <c r="RP170" s="11"/>
      <c r="RQ170" s="11"/>
      <c r="RR170" s="11"/>
      <c r="RS170" s="11"/>
      <c r="RT170" s="11"/>
      <c r="RU170" s="11"/>
      <c r="RV170" s="11"/>
      <c r="RW170" s="11"/>
      <c r="RX170" s="11"/>
      <c r="RY170" s="11"/>
      <c r="RZ170" s="11"/>
      <c r="SA170" s="11"/>
      <c r="SB170" s="11"/>
      <c r="SC170" s="11"/>
      <c r="SD170" s="11"/>
      <c r="SE170" s="11"/>
      <c r="SF170" s="11"/>
      <c r="SG170" s="11"/>
      <c r="SH170" s="11"/>
      <c r="SI170" s="11"/>
      <c r="SJ170" s="11"/>
      <c r="SK170" s="11"/>
      <c r="SL170" s="11"/>
      <c r="SM170" s="11"/>
      <c r="SN170" s="11"/>
      <c r="SO170" s="11"/>
      <c r="SP170" s="11"/>
      <c r="SQ170" s="11"/>
      <c r="SR170" s="11"/>
      <c r="SS170" s="11"/>
      <c r="ST170" s="11"/>
      <c r="SU170" s="11"/>
      <c r="SV170" s="11"/>
      <c r="SW170" s="11"/>
      <c r="SX170" s="11"/>
      <c r="SY170" s="11"/>
      <c r="SZ170" s="11"/>
      <c r="TA170" s="11"/>
      <c r="TB170" s="11"/>
      <c r="TC170" s="11"/>
      <c r="TD170" s="11"/>
      <c r="TE170" s="11"/>
      <c r="TF170" s="11"/>
      <c r="TG170" s="11"/>
      <c r="TH170" s="11"/>
      <c r="TI170" s="11"/>
      <c r="TJ170" s="11"/>
      <c r="TK170" s="11"/>
      <c r="TL170" s="11"/>
      <c r="TM170" s="11"/>
      <c r="TN170" s="11"/>
      <c r="TO170" s="11"/>
      <c r="TP170" s="11"/>
      <c r="TQ170" s="11"/>
      <c r="TR170" s="11"/>
      <c r="TS170" s="11"/>
      <c r="TT170" s="11"/>
      <c r="TU170" s="11"/>
      <c r="TV170" s="11"/>
      <c r="TW170" s="11"/>
      <c r="TX170" s="11"/>
      <c r="TY170" s="11"/>
      <c r="TZ170" s="11"/>
      <c r="UA170" s="11"/>
      <c r="UB170" s="11"/>
      <c r="UC170" s="11"/>
      <c r="UD170" s="11"/>
      <c r="UE170" s="11"/>
      <c r="UF170" s="11"/>
      <c r="UG170" s="11"/>
      <c r="UH170" s="11"/>
      <c r="UI170" s="11"/>
      <c r="UJ170" s="11"/>
      <c r="UK170" s="11"/>
      <c r="UL170" s="11"/>
      <c r="UM170" s="11"/>
      <c r="UN170" s="11"/>
      <c r="UO170" s="11"/>
      <c r="UP170" s="11"/>
      <c r="UQ170" s="11"/>
      <c r="UR170" s="11"/>
      <c r="US170" s="11"/>
      <c r="UT170" s="11"/>
      <c r="UU170" s="11"/>
      <c r="UV170" s="11"/>
      <c r="UW170" s="11"/>
      <c r="UX170" s="11"/>
      <c r="UY170" s="11"/>
      <c r="UZ170" s="11"/>
      <c r="VA170" s="11"/>
      <c r="VB170" s="11"/>
      <c r="VC170" s="11"/>
      <c r="VD170" s="11"/>
      <c r="VE170" s="11"/>
      <c r="VF170" s="11"/>
      <c r="VG170" s="11"/>
      <c r="VH170" s="11"/>
      <c r="VI170" s="11"/>
      <c r="VJ170" s="11"/>
      <c r="VK170" s="11"/>
      <c r="VL170" s="11"/>
      <c r="VM170" s="11"/>
      <c r="VN170" s="11"/>
      <c r="VO170" s="11"/>
      <c r="VP170" s="11"/>
      <c r="VQ170" s="11"/>
      <c r="VR170" s="11"/>
      <c r="VS170" s="11"/>
      <c r="VT170" s="11"/>
      <c r="VU170" s="11"/>
      <c r="VV170" s="11"/>
      <c r="VW170" s="11"/>
      <c r="VX170" s="11"/>
      <c r="VY170" s="11"/>
      <c r="VZ170" s="11"/>
      <c r="WA170" s="11"/>
      <c r="WB170" s="11"/>
      <c r="WC170" s="11"/>
      <c r="WD170" s="11"/>
      <c r="WE170" s="11"/>
      <c r="WF170" s="11"/>
      <c r="WG170" s="11"/>
      <c r="WH170" s="11"/>
      <c r="WI170" s="11"/>
      <c r="WJ170" s="11"/>
      <c r="WK170" s="11"/>
      <c r="WL170" s="11"/>
      <c r="WM170" s="11"/>
      <c r="WN170" s="11"/>
      <c r="WO170" s="11"/>
      <c r="WP170" s="11"/>
      <c r="WQ170" s="11"/>
      <c r="WR170" s="11"/>
      <c r="WS170" s="11"/>
      <c r="WT170" s="11"/>
      <c r="WU170" s="11"/>
      <c r="WV170" s="11"/>
      <c r="WW170" s="11"/>
      <c r="WX170" s="11"/>
      <c r="WY170" s="11"/>
      <c r="WZ170" s="11"/>
      <c r="XA170" s="11"/>
      <c r="XB170" s="11"/>
      <c r="XC170" s="11"/>
      <c r="XD170" s="11"/>
      <c r="XE170" s="11"/>
      <c r="XF170" s="11"/>
      <c r="XG170" s="11"/>
      <c r="XH170" s="11"/>
      <c r="XI170" s="11"/>
      <c r="XJ170" s="11"/>
      <c r="XK170" s="11"/>
      <c r="XL170" s="11"/>
      <c r="XM170" s="11"/>
      <c r="XN170" s="11"/>
      <c r="XO170" s="11"/>
      <c r="XP170" s="11"/>
      <c r="XQ170" s="11"/>
      <c r="XR170" s="11"/>
      <c r="XS170" s="11"/>
      <c r="XT170" s="11"/>
      <c r="XU170" s="11"/>
      <c r="XV170" s="11"/>
      <c r="XW170" s="11"/>
      <c r="XX170" s="11"/>
      <c r="XY170" s="11"/>
      <c r="XZ170" s="11"/>
      <c r="YA170" s="11"/>
      <c r="YB170" s="11"/>
      <c r="YC170" s="11"/>
      <c r="YD170" s="11"/>
      <c r="YE170" s="11"/>
      <c r="YF170" s="11"/>
      <c r="YG170" s="11"/>
      <c r="YH170" s="11"/>
      <c r="YI170" s="11"/>
      <c r="YJ170" s="11"/>
      <c r="YK170" s="11"/>
      <c r="YL170" s="11"/>
      <c r="YM170" s="11"/>
      <c r="YN170" s="11"/>
      <c r="YO170" s="11"/>
      <c r="YP170" s="11"/>
      <c r="YQ170" s="11"/>
      <c r="YR170" s="11"/>
      <c r="YS170" s="11"/>
      <c r="YT170" s="11"/>
      <c r="YU170" s="11"/>
      <c r="YV170" s="11"/>
      <c r="YW170" s="11"/>
      <c r="YX170" s="11"/>
      <c r="YY170" s="11"/>
      <c r="YZ170" s="11"/>
      <c r="ZA170" s="11"/>
      <c r="ZB170" s="11"/>
      <c r="ZC170" s="11"/>
      <c r="ZD170" s="11"/>
      <c r="ZE170" s="11"/>
      <c r="ZF170" s="11"/>
      <c r="ZG170" s="11"/>
      <c r="ZH170" s="11"/>
      <c r="ZI170" s="11"/>
      <c r="ZJ170" s="11"/>
      <c r="ZK170" s="11"/>
      <c r="ZL170" s="11"/>
      <c r="ZM170" s="11"/>
      <c r="ZN170" s="11"/>
      <c r="ZO170" s="11"/>
      <c r="ZP170" s="11"/>
      <c r="ZQ170" s="11"/>
      <c r="ZR170" s="11"/>
      <c r="ZS170" s="11"/>
      <c r="ZT170" s="11"/>
      <c r="ZU170" s="11"/>
      <c r="ZV170" s="11"/>
      <c r="ZW170" s="11"/>
      <c r="ZX170" s="11"/>
      <c r="ZY170" s="11"/>
      <c r="ZZ170" s="11"/>
      <c r="AAA170" s="11"/>
      <c r="AAB170" s="11"/>
      <c r="AAC170" s="11"/>
      <c r="AAD170" s="11"/>
      <c r="AAE170" s="11"/>
      <c r="AAF170" s="11"/>
      <c r="AAG170" s="11"/>
      <c r="AAH170" s="11"/>
      <c r="AAI170" s="11"/>
      <c r="AAJ170" s="11"/>
      <c r="AAK170" s="11"/>
      <c r="AAL170" s="11"/>
      <c r="AAM170" s="11"/>
      <c r="AAN170" s="11"/>
      <c r="AAO170" s="11"/>
      <c r="AAP170" s="11"/>
      <c r="AAQ170" s="11"/>
      <c r="AAR170" s="11"/>
      <c r="AAS170" s="11"/>
      <c r="AAT170" s="11"/>
      <c r="AAU170" s="11"/>
      <c r="AAV170" s="11"/>
      <c r="AAW170" s="11"/>
      <c r="AAX170" s="11"/>
      <c r="AAY170" s="11"/>
      <c r="AAZ170" s="11"/>
      <c r="ABA170" s="11"/>
      <c r="ABB170" s="11"/>
      <c r="ABC170" s="11"/>
      <c r="ABD170" s="11"/>
      <c r="ABE170" s="11"/>
      <c r="ABF170" s="11"/>
      <c r="ABG170" s="11"/>
      <c r="ABH170" s="11"/>
      <c r="ABI170" s="11"/>
      <c r="ABJ170" s="11"/>
      <c r="ABK170" s="11"/>
      <c r="ABL170" s="11"/>
      <c r="ABM170" s="11"/>
      <c r="ABN170" s="11"/>
      <c r="ABO170" s="11"/>
      <c r="ABP170" s="11"/>
      <c r="ABQ170" s="11"/>
      <c r="ABR170" s="11"/>
      <c r="ABS170" s="11"/>
      <c r="ABT170" s="11"/>
      <c r="ABU170" s="11"/>
      <c r="ABV170" s="11"/>
      <c r="ABW170" s="11"/>
      <c r="ABX170" s="11"/>
      <c r="ABY170" s="11"/>
      <c r="ABZ170" s="11"/>
      <c r="ACA170" s="11"/>
      <c r="ACB170" s="11"/>
      <c r="ACC170" s="11"/>
      <c r="ACD170" s="11"/>
      <c r="ACE170" s="11"/>
      <c r="ACF170" s="11"/>
      <c r="ACG170" s="11"/>
      <c r="ACH170" s="11"/>
      <c r="ACI170" s="11"/>
      <c r="ACJ170" s="11"/>
      <c r="ACK170" s="11"/>
      <c r="ACL170" s="11"/>
      <c r="ACM170" s="11"/>
      <c r="ACN170" s="11"/>
      <c r="ACO170" s="11"/>
      <c r="ACP170" s="11"/>
      <c r="ACQ170" s="11"/>
      <c r="ACR170" s="11"/>
      <c r="ACS170" s="11"/>
      <c r="ACT170" s="11"/>
      <c r="ACU170" s="11"/>
      <c r="ACV170" s="11"/>
      <c r="ACW170" s="11"/>
      <c r="ACX170" s="11"/>
      <c r="ACY170" s="11"/>
      <c r="ACZ170" s="11"/>
      <c r="ADA170" s="11"/>
      <c r="ADB170" s="11"/>
      <c r="ADC170" s="11"/>
      <c r="ADD170" s="11"/>
      <c r="ADE170" s="11"/>
      <c r="ADF170" s="11"/>
      <c r="ADG170" s="11"/>
      <c r="ADH170" s="11"/>
      <c r="ADI170" s="11"/>
      <c r="ADJ170" s="11"/>
      <c r="ADK170" s="11"/>
      <c r="ADL170" s="11"/>
      <c r="ADM170" s="11"/>
      <c r="ADN170" s="11"/>
      <c r="ADO170" s="11"/>
      <c r="ADP170" s="11"/>
      <c r="ADQ170" s="11"/>
      <c r="ADR170" s="11"/>
      <c r="ADS170" s="11"/>
      <c r="ADT170" s="11"/>
      <c r="ADU170" s="11"/>
      <c r="ADV170" s="11"/>
      <c r="ADW170" s="11"/>
      <c r="ADX170" s="11"/>
      <c r="ADY170" s="11"/>
      <c r="ADZ170" s="11"/>
      <c r="AEA170" s="11"/>
      <c r="AEB170" s="11"/>
      <c r="AEC170" s="11"/>
      <c r="AED170" s="11"/>
      <c r="AEE170" s="11"/>
      <c r="AEF170" s="11"/>
      <c r="AEG170" s="11"/>
      <c r="AEH170" s="11"/>
      <c r="AEI170" s="11"/>
      <c r="AEJ170" s="11"/>
      <c r="AEK170" s="11"/>
      <c r="AEL170" s="11"/>
      <c r="AEM170" s="11"/>
      <c r="AEN170" s="11"/>
      <c r="AEO170" s="11"/>
      <c r="AEP170" s="11"/>
      <c r="AEQ170" s="11"/>
      <c r="AER170" s="11"/>
      <c r="AES170" s="11"/>
      <c r="AET170" s="11"/>
      <c r="AEU170" s="11"/>
      <c r="AEV170" s="11"/>
      <c r="AEW170" s="11"/>
      <c r="AEX170" s="11"/>
      <c r="AEY170" s="11"/>
      <c r="AEZ170" s="11"/>
      <c r="AFA170" s="11"/>
      <c r="AFB170" s="11"/>
      <c r="AFC170" s="11"/>
      <c r="AFD170" s="11"/>
      <c r="AFE170" s="11"/>
      <c r="AFF170" s="11"/>
      <c r="AFG170" s="11"/>
      <c r="AFH170" s="11"/>
      <c r="AFI170" s="11"/>
    </row>
    <row r="171" spans="2:84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1"/>
      <c r="LV171" s="11"/>
      <c r="LW171" s="11"/>
      <c r="LX171" s="11"/>
      <c r="LY171" s="11"/>
      <c r="LZ171" s="11"/>
      <c r="MA171" s="11"/>
      <c r="MB171" s="11"/>
      <c r="MC171" s="11"/>
      <c r="MD171" s="11"/>
      <c r="ME171" s="11"/>
      <c r="MF171" s="11"/>
      <c r="MG171" s="11"/>
      <c r="MH171" s="11"/>
      <c r="MI171" s="11"/>
      <c r="MJ171" s="11"/>
      <c r="MK171" s="11"/>
      <c r="ML171" s="11"/>
      <c r="MM171" s="11"/>
      <c r="MN171" s="11"/>
      <c r="MO171" s="11"/>
      <c r="MP171" s="11"/>
      <c r="MQ171" s="11"/>
      <c r="MR171" s="11"/>
      <c r="MS171" s="11"/>
      <c r="MT171" s="11"/>
      <c r="MU171" s="11"/>
      <c r="MV171" s="11"/>
      <c r="MW171" s="11"/>
      <c r="MX171" s="11"/>
      <c r="MY171" s="11"/>
      <c r="MZ171" s="11"/>
      <c r="NA171" s="11"/>
      <c r="NB171" s="11"/>
      <c r="NC171" s="11"/>
      <c r="ND171" s="11"/>
      <c r="NE171" s="11"/>
      <c r="NF171" s="11"/>
      <c r="NG171" s="11"/>
      <c r="NH171" s="11"/>
      <c r="NI171" s="11"/>
      <c r="NJ171" s="11"/>
      <c r="NK171" s="11"/>
      <c r="NL171" s="11"/>
      <c r="NM171" s="11"/>
      <c r="NN171" s="11"/>
      <c r="NO171" s="11"/>
      <c r="NP171" s="11"/>
      <c r="NQ171" s="11"/>
      <c r="NR171" s="11"/>
      <c r="NS171" s="11"/>
      <c r="NT171" s="11"/>
      <c r="NU171" s="11"/>
      <c r="NV171" s="11"/>
      <c r="NW171" s="11"/>
      <c r="NX171" s="11"/>
      <c r="NY171" s="11"/>
      <c r="NZ171" s="11"/>
      <c r="OA171" s="11"/>
      <c r="OB171" s="11"/>
      <c r="OC171" s="11"/>
      <c r="OD171" s="11"/>
      <c r="OE171" s="11"/>
      <c r="OF171" s="11"/>
      <c r="OG171" s="11"/>
      <c r="OH171" s="11"/>
      <c r="OI171" s="11"/>
      <c r="OJ171" s="11"/>
      <c r="OK171" s="11"/>
      <c r="OL171" s="11"/>
      <c r="OM171" s="11"/>
      <c r="ON171" s="11"/>
      <c r="OO171" s="11"/>
      <c r="OP171" s="11"/>
      <c r="OQ171" s="11"/>
      <c r="OR171" s="11"/>
      <c r="OS171" s="11"/>
      <c r="OT171" s="11"/>
      <c r="OU171" s="11"/>
      <c r="OV171" s="11"/>
      <c r="OW171" s="11"/>
      <c r="OX171" s="11"/>
      <c r="OY171" s="11"/>
      <c r="OZ171" s="11"/>
      <c r="PA171" s="11"/>
      <c r="PB171" s="11"/>
      <c r="PC171" s="11"/>
      <c r="PD171" s="11"/>
      <c r="PE171" s="11"/>
      <c r="PF171" s="11"/>
      <c r="PG171" s="11"/>
      <c r="PH171" s="11"/>
      <c r="PI171" s="11"/>
      <c r="PJ171" s="11"/>
      <c r="PK171" s="11"/>
      <c r="PL171" s="11"/>
      <c r="PM171" s="11"/>
      <c r="PN171" s="11"/>
      <c r="PO171" s="11"/>
      <c r="PP171" s="11"/>
      <c r="PQ171" s="11"/>
      <c r="PR171" s="11"/>
      <c r="PS171" s="11"/>
      <c r="PT171" s="11"/>
      <c r="PU171" s="11"/>
      <c r="PV171" s="11"/>
      <c r="PW171" s="11"/>
      <c r="PX171" s="11"/>
      <c r="PY171" s="11"/>
      <c r="PZ171" s="11"/>
      <c r="QA171" s="11"/>
      <c r="QB171" s="11"/>
      <c r="QC171" s="11"/>
      <c r="QD171" s="11"/>
      <c r="QE171" s="11"/>
      <c r="QF171" s="11"/>
      <c r="QG171" s="11"/>
      <c r="QH171" s="11"/>
      <c r="QI171" s="11"/>
      <c r="QJ171" s="11"/>
      <c r="QK171" s="11"/>
      <c r="QL171" s="11"/>
      <c r="QM171" s="11"/>
      <c r="QN171" s="11"/>
      <c r="QO171" s="11"/>
      <c r="QP171" s="11"/>
      <c r="QQ171" s="11"/>
      <c r="QR171" s="11"/>
      <c r="QS171" s="11"/>
      <c r="QT171" s="11"/>
      <c r="QU171" s="11"/>
      <c r="QV171" s="11"/>
      <c r="QW171" s="11"/>
      <c r="QX171" s="11"/>
      <c r="QY171" s="11"/>
      <c r="QZ171" s="11"/>
      <c r="RA171" s="11"/>
      <c r="RB171" s="11"/>
      <c r="RC171" s="11"/>
      <c r="RD171" s="11"/>
      <c r="RE171" s="11"/>
      <c r="RF171" s="11"/>
      <c r="RG171" s="11"/>
      <c r="RH171" s="11"/>
      <c r="RI171" s="11"/>
      <c r="RJ171" s="11"/>
      <c r="RK171" s="11"/>
      <c r="RL171" s="11"/>
      <c r="RM171" s="11"/>
      <c r="RN171" s="11"/>
      <c r="RO171" s="11"/>
      <c r="RP171" s="11"/>
      <c r="RQ171" s="11"/>
      <c r="RR171" s="11"/>
      <c r="RS171" s="11"/>
      <c r="RT171" s="11"/>
      <c r="RU171" s="11"/>
      <c r="RV171" s="11"/>
      <c r="RW171" s="11"/>
      <c r="RX171" s="11"/>
      <c r="RY171" s="11"/>
      <c r="RZ171" s="11"/>
      <c r="SA171" s="11"/>
      <c r="SB171" s="11"/>
      <c r="SC171" s="11"/>
      <c r="SD171" s="11"/>
      <c r="SE171" s="11"/>
      <c r="SF171" s="11"/>
      <c r="SG171" s="11"/>
      <c r="SH171" s="11"/>
      <c r="SI171" s="11"/>
      <c r="SJ171" s="11"/>
      <c r="SK171" s="11"/>
      <c r="SL171" s="11"/>
      <c r="SM171" s="11"/>
      <c r="SN171" s="11"/>
      <c r="SO171" s="11"/>
      <c r="SP171" s="11"/>
      <c r="SQ171" s="11"/>
      <c r="SR171" s="11"/>
      <c r="SS171" s="11"/>
      <c r="ST171" s="11"/>
      <c r="SU171" s="11"/>
      <c r="SV171" s="11"/>
      <c r="SW171" s="11"/>
      <c r="SX171" s="11"/>
      <c r="SY171" s="11"/>
      <c r="SZ171" s="11"/>
      <c r="TA171" s="11"/>
      <c r="TB171" s="11"/>
      <c r="TC171" s="11"/>
      <c r="TD171" s="11"/>
      <c r="TE171" s="11"/>
      <c r="TF171" s="11"/>
      <c r="TG171" s="11"/>
      <c r="TH171" s="11"/>
      <c r="TI171" s="11"/>
      <c r="TJ171" s="11"/>
      <c r="TK171" s="11"/>
      <c r="TL171" s="11"/>
      <c r="TM171" s="11"/>
      <c r="TN171" s="11"/>
      <c r="TO171" s="11"/>
      <c r="TP171" s="11"/>
      <c r="TQ171" s="11"/>
      <c r="TR171" s="11"/>
      <c r="TS171" s="11"/>
      <c r="TT171" s="11"/>
      <c r="TU171" s="11"/>
      <c r="TV171" s="11"/>
      <c r="TW171" s="11"/>
      <c r="TX171" s="11"/>
      <c r="TY171" s="11"/>
      <c r="TZ171" s="11"/>
      <c r="UA171" s="11"/>
      <c r="UB171" s="11"/>
      <c r="UC171" s="11"/>
      <c r="UD171" s="11"/>
      <c r="UE171" s="11"/>
      <c r="UF171" s="11"/>
      <c r="UG171" s="11"/>
      <c r="UH171" s="11"/>
      <c r="UI171" s="11"/>
      <c r="UJ171" s="11"/>
      <c r="UK171" s="11"/>
      <c r="UL171" s="11"/>
      <c r="UM171" s="11"/>
      <c r="UN171" s="11"/>
      <c r="UO171" s="11"/>
      <c r="UP171" s="11"/>
      <c r="UQ171" s="11"/>
      <c r="UR171" s="11"/>
      <c r="US171" s="11"/>
      <c r="UT171" s="11"/>
      <c r="UU171" s="11"/>
      <c r="UV171" s="11"/>
      <c r="UW171" s="11"/>
      <c r="UX171" s="11"/>
      <c r="UY171" s="11"/>
      <c r="UZ171" s="11"/>
      <c r="VA171" s="11"/>
      <c r="VB171" s="11"/>
      <c r="VC171" s="11"/>
      <c r="VD171" s="11"/>
      <c r="VE171" s="11"/>
      <c r="VF171" s="11"/>
      <c r="VG171" s="11"/>
      <c r="VH171" s="11"/>
      <c r="VI171" s="11"/>
      <c r="VJ171" s="11"/>
      <c r="VK171" s="11"/>
      <c r="VL171" s="11"/>
      <c r="VM171" s="11"/>
      <c r="VN171" s="11"/>
      <c r="VO171" s="11"/>
      <c r="VP171" s="11"/>
      <c r="VQ171" s="11"/>
      <c r="VR171" s="11"/>
      <c r="VS171" s="11"/>
      <c r="VT171" s="11"/>
      <c r="VU171" s="11"/>
      <c r="VV171" s="11"/>
      <c r="VW171" s="11"/>
      <c r="VX171" s="11"/>
      <c r="VY171" s="11"/>
      <c r="VZ171" s="11"/>
      <c r="WA171" s="11"/>
      <c r="WB171" s="11"/>
      <c r="WC171" s="11"/>
      <c r="WD171" s="11"/>
      <c r="WE171" s="11"/>
      <c r="WF171" s="11"/>
      <c r="WG171" s="11"/>
      <c r="WH171" s="11"/>
      <c r="WI171" s="11"/>
      <c r="WJ171" s="11"/>
      <c r="WK171" s="11"/>
      <c r="WL171" s="11"/>
      <c r="WM171" s="11"/>
      <c r="WN171" s="11"/>
      <c r="WO171" s="11"/>
      <c r="WP171" s="11"/>
      <c r="WQ171" s="11"/>
      <c r="WR171" s="11"/>
      <c r="WS171" s="11"/>
      <c r="WT171" s="11"/>
      <c r="WU171" s="11"/>
      <c r="WV171" s="11"/>
      <c r="WW171" s="11"/>
      <c r="WX171" s="11"/>
      <c r="WY171" s="11"/>
      <c r="WZ171" s="11"/>
      <c r="XA171" s="11"/>
      <c r="XB171" s="11"/>
      <c r="XC171" s="11"/>
      <c r="XD171" s="11"/>
      <c r="XE171" s="11"/>
      <c r="XF171" s="11"/>
      <c r="XG171" s="11"/>
      <c r="XH171" s="11"/>
      <c r="XI171" s="11"/>
      <c r="XJ171" s="11"/>
      <c r="XK171" s="11"/>
      <c r="XL171" s="11"/>
      <c r="XM171" s="11"/>
      <c r="XN171" s="11"/>
      <c r="XO171" s="11"/>
      <c r="XP171" s="11"/>
      <c r="XQ171" s="11"/>
      <c r="XR171" s="11"/>
      <c r="XS171" s="11"/>
      <c r="XT171" s="11"/>
      <c r="XU171" s="11"/>
      <c r="XV171" s="11"/>
      <c r="XW171" s="11"/>
      <c r="XX171" s="11"/>
      <c r="XY171" s="11"/>
      <c r="XZ171" s="11"/>
      <c r="YA171" s="11"/>
      <c r="YB171" s="11"/>
      <c r="YC171" s="11"/>
      <c r="YD171" s="11"/>
      <c r="YE171" s="11"/>
      <c r="YF171" s="11"/>
      <c r="YG171" s="11"/>
      <c r="YH171" s="11"/>
      <c r="YI171" s="11"/>
      <c r="YJ171" s="11"/>
      <c r="YK171" s="11"/>
      <c r="YL171" s="11"/>
      <c r="YM171" s="11"/>
      <c r="YN171" s="11"/>
      <c r="YO171" s="11"/>
      <c r="YP171" s="11"/>
      <c r="YQ171" s="11"/>
      <c r="YR171" s="11"/>
      <c r="YS171" s="11"/>
      <c r="YT171" s="11"/>
      <c r="YU171" s="11"/>
      <c r="YV171" s="11"/>
      <c r="YW171" s="11"/>
      <c r="YX171" s="11"/>
      <c r="YY171" s="11"/>
      <c r="YZ171" s="11"/>
      <c r="ZA171" s="11"/>
      <c r="ZB171" s="11"/>
      <c r="ZC171" s="11"/>
      <c r="ZD171" s="11"/>
      <c r="ZE171" s="11"/>
      <c r="ZF171" s="11"/>
      <c r="ZG171" s="11"/>
      <c r="ZH171" s="11"/>
      <c r="ZI171" s="11"/>
      <c r="ZJ171" s="11"/>
      <c r="ZK171" s="11"/>
      <c r="ZL171" s="11"/>
      <c r="ZM171" s="11"/>
      <c r="ZN171" s="11"/>
      <c r="ZO171" s="11"/>
      <c r="ZP171" s="11"/>
      <c r="ZQ171" s="11"/>
      <c r="ZR171" s="11"/>
      <c r="ZS171" s="11"/>
      <c r="ZT171" s="11"/>
      <c r="ZU171" s="11"/>
      <c r="ZV171" s="11"/>
      <c r="ZW171" s="11"/>
      <c r="ZX171" s="11"/>
      <c r="ZY171" s="11"/>
      <c r="ZZ171" s="11"/>
      <c r="AAA171" s="11"/>
      <c r="AAB171" s="11"/>
      <c r="AAC171" s="11"/>
      <c r="AAD171" s="11"/>
      <c r="AAE171" s="11"/>
      <c r="AAF171" s="11"/>
      <c r="AAG171" s="11"/>
      <c r="AAH171" s="11"/>
      <c r="AAI171" s="11"/>
      <c r="AAJ171" s="11"/>
      <c r="AAK171" s="11"/>
      <c r="AAL171" s="11"/>
      <c r="AAM171" s="11"/>
      <c r="AAN171" s="11"/>
      <c r="AAO171" s="11"/>
      <c r="AAP171" s="11"/>
      <c r="AAQ171" s="11"/>
      <c r="AAR171" s="11"/>
      <c r="AAS171" s="11"/>
      <c r="AAT171" s="11"/>
      <c r="AAU171" s="11"/>
      <c r="AAV171" s="11"/>
      <c r="AAW171" s="11"/>
      <c r="AAX171" s="11"/>
      <c r="AAY171" s="11"/>
      <c r="AAZ171" s="11"/>
      <c r="ABA171" s="11"/>
      <c r="ABB171" s="11"/>
      <c r="ABC171" s="11"/>
      <c r="ABD171" s="11"/>
      <c r="ABE171" s="11"/>
      <c r="ABF171" s="11"/>
      <c r="ABG171" s="11"/>
      <c r="ABH171" s="11"/>
      <c r="ABI171" s="11"/>
      <c r="ABJ171" s="11"/>
      <c r="ABK171" s="11"/>
      <c r="ABL171" s="11"/>
      <c r="ABM171" s="11"/>
      <c r="ABN171" s="11"/>
      <c r="ABO171" s="11"/>
      <c r="ABP171" s="11"/>
      <c r="ABQ171" s="11"/>
      <c r="ABR171" s="11"/>
      <c r="ABS171" s="11"/>
      <c r="ABT171" s="11"/>
      <c r="ABU171" s="11"/>
      <c r="ABV171" s="11"/>
      <c r="ABW171" s="11"/>
      <c r="ABX171" s="11"/>
      <c r="ABY171" s="11"/>
      <c r="ABZ171" s="11"/>
      <c r="ACA171" s="11"/>
      <c r="ACB171" s="11"/>
      <c r="ACC171" s="11"/>
      <c r="ACD171" s="11"/>
      <c r="ACE171" s="11"/>
      <c r="ACF171" s="11"/>
      <c r="ACG171" s="11"/>
      <c r="ACH171" s="11"/>
      <c r="ACI171" s="11"/>
      <c r="ACJ171" s="11"/>
      <c r="ACK171" s="11"/>
      <c r="ACL171" s="11"/>
      <c r="ACM171" s="11"/>
      <c r="ACN171" s="11"/>
      <c r="ACO171" s="11"/>
      <c r="ACP171" s="11"/>
      <c r="ACQ171" s="11"/>
      <c r="ACR171" s="11"/>
      <c r="ACS171" s="11"/>
      <c r="ACT171" s="11"/>
      <c r="ACU171" s="11"/>
      <c r="ACV171" s="11"/>
      <c r="ACW171" s="11"/>
      <c r="ACX171" s="11"/>
      <c r="ACY171" s="11"/>
      <c r="ACZ171" s="11"/>
      <c r="ADA171" s="11"/>
      <c r="ADB171" s="11"/>
      <c r="ADC171" s="11"/>
      <c r="ADD171" s="11"/>
      <c r="ADE171" s="11"/>
      <c r="ADF171" s="11"/>
      <c r="ADG171" s="11"/>
      <c r="ADH171" s="11"/>
      <c r="ADI171" s="11"/>
      <c r="ADJ171" s="11"/>
      <c r="ADK171" s="11"/>
      <c r="ADL171" s="11"/>
      <c r="ADM171" s="11"/>
      <c r="ADN171" s="11"/>
      <c r="ADO171" s="11"/>
      <c r="ADP171" s="11"/>
      <c r="ADQ171" s="11"/>
      <c r="ADR171" s="11"/>
      <c r="ADS171" s="11"/>
      <c r="ADT171" s="11"/>
      <c r="ADU171" s="11"/>
      <c r="ADV171" s="11"/>
      <c r="ADW171" s="11"/>
      <c r="ADX171" s="11"/>
      <c r="ADY171" s="11"/>
      <c r="ADZ171" s="11"/>
      <c r="AEA171" s="11"/>
      <c r="AEB171" s="11"/>
      <c r="AEC171" s="11"/>
      <c r="AED171" s="11"/>
      <c r="AEE171" s="11"/>
      <c r="AEF171" s="11"/>
      <c r="AEG171" s="11"/>
      <c r="AEH171" s="11"/>
      <c r="AEI171" s="11"/>
      <c r="AEJ171" s="11"/>
      <c r="AEK171" s="11"/>
      <c r="AEL171" s="11"/>
      <c r="AEM171" s="11"/>
      <c r="AEN171" s="11"/>
      <c r="AEO171" s="11"/>
      <c r="AEP171" s="11"/>
      <c r="AEQ171" s="11"/>
      <c r="AER171" s="11"/>
      <c r="AES171" s="11"/>
      <c r="AET171" s="11"/>
      <c r="AEU171" s="11"/>
      <c r="AEV171" s="11"/>
      <c r="AEW171" s="11"/>
      <c r="AEX171" s="11"/>
      <c r="AEY171" s="11"/>
      <c r="AEZ171" s="11"/>
      <c r="AFA171" s="11"/>
      <c r="AFB171" s="11"/>
      <c r="AFC171" s="11"/>
      <c r="AFD171" s="11"/>
      <c r="AFE171" s="11"/>
      <c r="AFF171" s="11"/>
      <c r="AFG171" s="11"/>
      <c r="AFH171" s="11"/>
      <c r="AFI171" s="11"/>
    </row>
    <row r="172" spans="2:84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1"/>
      <c r="LV172" s="11"/>
      <c r="LW172" s="11"/>
      <c r="LX172" s="11"/>
      <c r="LY172" s="11"/>
      <c r="LZ172" s="11"/>
      <c r="MA172" s="11"/>
      <c r="MB172" s="11"/>
      <c r="MC172" s="11"/>
      <c r="MD172" s="11"/>
      <c r="ME172" s="11"/>
      <c r="MF172" s="11"/>
      <c r="MG172" s="11"/>
      <c r="MH172" s="11"/>
      <c r="MI172" s="11"/>
      <c r="MJ172" s="11"/>
      <c r="MK172" s="11"/>
      <c r="ML172" s="11"/>
      <c r="MM172" s="11"/>
      <c r="MN172" s="11"/>
      <c r="MO172" s="11"/>
      <c r="MP172" s="11"/>
      <c r="MQ172" s="11"/>
      <c r="MR172" s="11"/>
      <c r="MS172" s="11"/>
      <c r="MT172" s="11"/>
      <c r="MU172" s="11"/>
      <c r="MV172" s="11"/>
      <c r="MW172" s="11"/>
      <c r="MX172" s="11"/>
      <c r="MY172" s="11"/>
      <c r="MZ172" s="11"/>
      <c r="NA172" s="11"/>
      <c r="NB172" s="11"/>
      <c r="NC172" s="11"/>
      <c r="ND172" s="11"/>
      <c r="NE172" s="11"/>
      <c r="NF172" s="11"/>
      <c r="NG172" s="11"/>
      <c r="NH172" s="11"/>
      <c r="NI172" s="11"/>
      <c r="NJ172" s="11"/>
      <c r="NK172" s="11"/>
      <c r="NL172" s="11"/>
      <c r="NM172" s="11"/>
      <c r="NN172" s="11"/>
      <c r="NO172" s="11"/>
      <c r="NP172" s="11"/>
      <c r="NQ172" s="11"/>
      <c r="NR172" s="11"/>
      <c r="NS172" s="11"/>
      <c r="NT172" s="11"/>
      <c r="NU172" s="11"/>
      <c r="NV172" s="11"/>
      <c r="NW172" s="11"/>
      <c r="NX172" s="11"/>
      <c r="NY172" s="11"/>
      <c r="NZ172" s="11"/>
      <c r="OA172" s="11"/>
      <c r="OB172" s="11"/>
      <c r="OC172" s="11"/>
      <c r="OD172" s="11"/>
      <c r="OE172" s="11"/>
      <c r="OF172" s="11"/>
      <c r="OG172" s="11"/>
      <c r="OH172" s="11"/>
      <c r="OI172" s="11"/>
      <c r="OJ172" s="11"/>
      <c r="OK172" s="11"/>
      <c r="OL172" s="11"/>
      <c r="OM172" s="11"/>
      <c r="ON172" s="11"/>
      <c r="OO172" s="11"/>
      <c r="OP172" s="11"/>
      <c r="OQ172" s="11"/>
      <c r="OR172" s="11"/>
      <c r="OS172" s="11"/>
      <c r="OT172" s="11"/>
      <c r="OU172" s="11"/>
      <c r="OV172" s="11"/>
      <c r="OW172" s="11"/>
      <c r="OX172" s="11"/>
      <c r="OY172" s="11"/>
      <c r="OZ172" s="11"/>
      <c r="PA172" s="11"/>
      <c r="PB172" s="11"/>
      <c r="PC172" s="11"/>
      <c r="PD172" s="11"/>
      <c r="PE172" s="11"/>
      <c r="PF172" s="11"/>
      <c r="PG172" s="11"/>
      <c r="PH172" s="11"/>
      <c r="PI172" s="11"/>
      <c r="PJ172" s="11"/>
      <c r="PK172" s="11"/>
      <c r="PL172" s="11"/>
      <c r="PM172" s="11"/>
      <c r="PN172" s="11"/>
      <c r="PO172" s="11"/>
      <c r="PP172" s="11"/>
      <c r="PQ172" s="11"/>
      <c r="PR172" s="11"/>
      <c r="PS172" s="11"/>
      <c r="PT172" s="11"/>
      <c r="PU172" s="11"/>
      <c r="PV172" s="11"/>
      <c r="PW172" s="11"/>
      <c r="PX172" s="11"/>
      <c r="PY172" s="11"/>
      <c r="PZ172" s="11"/>
      <c r="QA172" s="11"/>
      <c r="QB172" s="11"/>
      <c r="QC172" s="11"/>
      <c r="QD172" s="11"/>
      <c r="QE172" s="11"/>
      <c r="QF172" s="11"/>
      <c r="QG172" s="11"/>
      <c r="QH172" s="11"/>
      <c r="QI172" s="11"/>
      <c r="QJ172" s="11"/>
      <c r="QK172" s="11"/>
      <c r="QL172" s="11"/>
      <c r="QM172" s="11"/>
      <c r="QN172" s="11"/>
      <c r="QO172" s="11"/>
      <c r="QP172" s="11"/>
      <c r="QQ172" s="11"/>
      <c r="QR172" s="11"/>
      <c r="QS172" s="11"/>
      <c r="QT172" s="11"/>
      <c r="QU172" s="11"/>
      <c r="QV172" s="11"/>
      <c r="QW172" s="11"/>
      <c r="QX172" s="11"/>
      <c r="QY172" s="11"/>
      <c r="QZ172" s="11"/>
      <c r="RA172" s="11"/>
      <c r="RB172" s="11"/>
      <c r="RC172" s="11"/>
      <c r="RD172" s="11"/>
      <c r="RE172" s="11"/>
      <c r="RF172" s="11"/>
      <c r="RG172" s="11"/>
      <c r="RH172" s="11"/>
      <c r="RI172" s="11"/>
      <c r="RJ172" s="11"/>
      <c r="RK172" s="11"/>
      <c r="RL172" s="11"/>
      <c r="RM172" s="11"/>
      <c r="RN172" s="11"/>
      <c r="RO172" s="11"/>
      <c r="RP172" s="11"/>
      <c r="RQ172" s="11"/>
      <c r="RR172" s="11"/>
      <c r="RS172" s="11"/>
      <c r="RT172" s="11"/>
      <c r="RU172" s="11"/>
      <c r="RV172" s="11"/>
      <c r="RW172" s="11"/>
      <c r="RX172" s="11"/>
      <c r="RY172" s="11"/>
      <c r="RZ172" s="11"/>
      <c r="SA172" s="11"/>
      <c r="SB172" s="11"/>
      <c r="SC172" s="11"/>
      <c r="SD172" s="11"/>
      <c r="SE172" s="11"/>
      <c r="SF172" s="11"/>
      <c r="SG172" s="11"/>
      <c r="SH172" s="11"/>
      <c r="SI172" s="11"/>
      <c r="SJ172" s="11"/>
      <c r="SK172" s="11"/>
      <c r="SL172" s="11"/>
      <c r="SM172" s="11"/>
      <c r="SN172" s="11"/>
      <c r="SO172" s="11"/>
      <c r="SP172" s="11"/>
      <c r="SQ172" s="11"/>
      <c r="SR172" s="11"/>
      <c r="SS172" s="11"/>
      <c r="ST172" s="11"/>
      <c r="SU172" s="11"/>
      <c r="SV172" s="11"/>
      <c r="SW172" s="11"/>
      <c r="SX172" s="11"/>
      <c r="SY172" s="11"/>
      <c r="SZ172" s="11"/>
      <c r="TA172" s="11"/>
      <c r="TB172" s="11"/>
      <c r="TC172" s="11"/>
      <c r="TD172" s="11"/>
      <c r="TE172" s="11"/>
      <c r="TF172" s="11"/>
      <c r="TG172" s="11"/>
      <c r="TH172" s="11"/>
      <c r="TI172" s="11"/>
      <c r="TJ172" s="11"/>
      <c r="TK172" s="11"/>
      <c r="TL172" s="11"/>
      <c r="TM172" s="11"/>
      <c r="TN172" s="11"/>
      <c r="TO172" s="11"/>
      <c r="TP172" s="11"/>
      <c r="TQ172" s="11"/>
      <c r="TR172" s="11"/>
      <c r="TS172" s="11"/>
      <c r="TT172" s="11"/>
      <c r="TU172" s="11"/>
      <c r="TV172" s="11"/>
      <c r="TW172" s="11"/>
      <c r="TX172" s="11"/>
      <c r="TY172" s="11"/>
      <c r="TZ172" s="11"/>
      <c r="UA172" s="11"/>
      <c r="UB172" s="11"/>
      <c r="UC172" s="11"/>
      <c r="UD172" s="11"/>
      <c r="UE172" s="11"/>
      <c r="UF172" s="11"/>
      <c r="UG172" s="11"/>
      <c r="UH172" s="11"/>
      <c r="UI172" s="11"/>
      <c r="UJ172" s="11"/>
      <c r="UK172" s="11"/>
      <c r="UL172" s="11"/>
      <c r="UM172" s="11"/>
      <c r="UN172" s="11"/>
      <c r="UO172" s="11"/>
      <c r="UP172" s="11"/>
      <c r="UQ172" s="11"/>
      <c r="UR172" s="11"/>
      <c r="US172" s="11"/>
      <c r="UT172" s="11"/>
      <c r="UU172" s="11"/>
      <c r="UV172" s="11"/>
      <c r="UW172" s="11"/>
      <c r="UX172" s="11"/>
      <c r="UY172" s="11"/>
      <c r="UZ172" s="11"/>
      <c r="VA172" s="11"/>
      <c r="VB172" s="11"/>
      <c r="VC172" s="11"/>
      <c r="VD172" s="11"/>
      <c r="VE172" s="11"/>
      <c r="VF172" s="11"/>
      <c r="VG172" s="11"/>
      <c r="VH172" s="11"/>
      <c r="VI172" s="11"/>
      <c r="VJ172" s="11"/>
      <c r="VK172" s="11"/>
      <c r="VL172" s="11"/>
      <c r="VM172" s="11"/>
      <c r="VN172" s="11"/>
      <c r="VO172" s="11"/>
      <c r="VP172" s="11"/>
      <c r="VQ172" s="11"/>
      <c r="VR172" s="11"/>
      <c r="VS172" s="11"/>
      <c r="VT172" s="11"/>
      <c r="VU172" s="11"/>
      <c r="VV172" s="11"/>
      <c r="VW172" s="11"/>
      <c r="VX172" s="11"/>
      <c r="VY172" s="11"/>
      <c r="VZ172" s="11"/>
      <c r="WA172" s="11"/>
      <c r="WB172" s="11"/>
      <c r="WC172" s="11"/>
      <c r="WD172" s="11"/>
      <c r="WE172" s="11"/>
      <c r="WF172" s="11"/>
      <c r="WG172" s="11"/>
      <c r="WH172" s="11"/>
      <c r="WI172" s="11"/>
      <c r="WJ172" s="11"/>
      <c r="WK172" s="11"/>
      <c r="WL172" s="11"/>
      <c r="WM172" s="11"/>
      <c r="WN172" s="11"/>
      <c r="WO172" s="11"/>
      <c r="WP172" s="11"/>
      <c r="WQ172" s="11"/>
      <c r="WR172" s="11"/>
      <c r="WS172" s="11"/>
      <c r="WT172" s="11"/>
      <c r="WU172" s="11"/>
      <c r="WV172" s="11"/>
      <c r="WW172" s="11"/>
      <c r="WX172" s="11"/>
      <c r="WY172" s="11"/>
      <c r="WZ172" s="11"/>
      <c r="XA172" s="11"/>
      <c r="XB172" s="11"/>
      <c r="XC172" s="11"/>
      <c r="XD172" s="11"/>
      <c r="XE172" s="11"/>
      <c r="XF172" s="11"/>
      <c r="XG172" s="11"/>
      <c r="XH172" s="11"/>
      <c r="XI172" s="11"/>
      <c r="XJ172" s="11"/>
      <c r="XK172" s="11"/>
      <c r="XL172" s="11"/>
      <c r="XM172" s="11"/>
      <c r="XN172" s="11"/>
      <c r="XO172" s="11"/>
      <c r="XP172" s="11"/>
      <c r="XQ172" s="11"/>
      <c r="XR172" s="11"/>
      <c r="XS172" s="11"/>
      <c r="XT172" s="11"/>
      <c r="XU172" s="11"/>
      <c r="XV172" s="11"/>
      <c r="XW172" s="11"/>
      <c r="XX172" s="11"/>
      <c r="XY172" s="11"/>
      <c r="XZ172" s="11"/>
      <c r="YA172" s="11"/>
      <c r="YB172" s="11"/>
      <c r="YC172" s="11"/>
      <c r="YD172" s="11"/>
      <c r="YE172" s="11"/>
      <c r="YF172" s="11"/>
      <c r="YG172" s="11"/>
      <c r="YH172" s="11"/>
      <c r="YI172" s="11"/>
      <c r="YJ172" s="11"/>
      <c r="YK172" s="11"/>
      <c r="YL172" s="11"/>
      <c r="YM172" s="11"/>
      <c r="YN172" s="11"/>
      <c r="YO172" s="11"/>
      <c r="YP172" s="11"/>
      <c r="YQ172" s="11"/>
      <c r="YR172" s="11"/>
      <c r="YS172" s="11"/>
      <c r="YT172" s="11"/>
      <c r="YU172" s="11"/>
      <c r="YV172" s="11"/>
      <c r="YW172" s="11"/>
      <c r="YX172" s="11"/>
      <c r="YY172" s="11"/>
      <c r="YZ172" s="11"/>
      <c r="ZA172" s="11"/>
      <c r="ZB172" s="11"/>
      <c r="ZC172" s="11"/>
      <c r="ZD172" s="11"/>
      <c r="ZE172" s="11"/>
      <c r="ZF172" s="11"/>
      <c r="ZG172" s="11"/>
      <c r="ZH172" s="11"/>
      <c r="ZI172" s="11"/>
      <c r="ZJ172" s="11"/>
      <c r="ZK172" s="11"/>
      <c r="ZL172" s="11"/>
      <c r="ZM172" s="11"/>
      <c r="ZN172" s="11"/>
      <c r="ZO172" s="11"/>
      <c r="ZP172" s="11"/>
      <c r="ZQ172" s="11"/>
      <c r="ZR172" s="11"/>
      <c r="ZS172" s="11"/>
      <c r="ZT172" s="11"/>
      <c r="ZU172" s="11"/>
      <c r="ZV172" s="11"/>
      <c r="ZW172" s="11"/>
      <c r="ZX172" s="11"/>
      <c r="ZY172" s="11"/>
      <c r="ZZ172" s="11"/>
      <c r="AAA172" s="11"/>
      <c r="AAB172" s="11"/>
      <c r="AAC172" s="11"/>
      <c r="AAD172" s="11"/>
      <c r="AAE172" s="11"/>
      <c r="AAF172" s="11"/>
      <c r="AAG172" s="11"/>
      <c r="AAH172" s="11"/>
      <c r="AAI172" s="11"/>
      <c r="AAJ172" s="11"/>
      <c r="AAK172" s="11"/>
      <c r="AAL172" s="11"/>
      <c r="AAM172" s="11"/>
      <c r="AAN172" s="11"/>
      <c r="AAO172" s="11"/>
      <c r="AAP172" s="11"/>
      <c r="AAQ172" s="11"/>
      <c r="AAR172" s="11"/>
      <c r="AAS172" s="11"/>
      <c r="AAT172" s="11"/>
      <c r="AAU172" s="11"/>
      <c r="AAV172" s="11"/>
      <c r="AAW172" s="11"/>
      <c r="AAX172" s="11"/>
      <c r="AAY172" s="11"/>
      <c r="AAZ172" s="11"/>
      <c r="ABA172" s="11"/>
      <c r="ABB172" s="11"/>
      <c r="ABC172" s="11"/>
      <c r="ABD172" s="11"/>
      <c r="ABE172" s="11"/>
      <c r="ABF172" s="11"/>
      <c r="ABG172" s="11"/>
      <c r="ABH172" s="11"/>
      <c r="ABI172" s="11"/>
      <c r="ABJ172" s="11"/>
      <c r="ABK172" s="11"/>
      <c r="ABL172" s="11"/>
      <c r="ABM172" s="11"/>
      <c r="ABN172" s="11"/>
      <c r="ABO172" s="11"/>
      <c r="ABP172" s="11"/>
      <c r="ABQ172" s="11"/>
      <c r="ABR172" s="11"/>
      <c r="ABS172" s="11"/>
      <c r="ABT172" s="11"/>
      <c r="ABU172" s="11"/>
      <c r="ABV172" s="11"/>
      <c r="ABW172" s="11"/>
      <c r="ABX172" s="11"/>
      <c r="ABY172" s="11"/>
      <c r="ABZ172" s="11"/>
      <c r="ACA172" s="11"/>
      <c r="ACB172" s="11"/>
      <c r="ACC172" s="11"/>
      <c r="ACD172" s="11"/>
      <c r="ACE172" s="11"/>
      <c r="ACF172" s="11"/>
      <c r="ACG172" s="11"/>
      <c r="ACH172" s="11"/>
      <c r="ACI172" s="11"/>
      <c r="ACJ172" s="11"/>
      <c r="ACK172" s="11"/>
      <c r="ACL172" s="11"/>
      <c r="ACM172" s="11"/>
      <c r="ACN172" s="11"/>
      <c r="ACO172" s="11"/>
      <c r="ACP172" s="11"/>
      <c r="ACQ172" s="11"/>
      <c r="ACR172" s="11"/>
      <c r="ACS172" s="11"/>
      <c r="ACT172" s="11"/>
      <c r="ACU172" s="11"/>
      <c r="ACV172" s="11"/>
      <c r="ACW172" s="11"/>
      <c r="ACX172" s="11"/>
      <c r="ACY172" s="11"/>
      <c r="ACZ172" s="11"/>
      <c r="ADA172" s="11"/>
      <c r="ADB172" s="11"/>
      <c r="ADC172" s="11"/>
      <c r="ADD172" s="11"/>
      <c r="ADE172" s="11"/>
      <c r="ADF172" s="11"/>
      <c r="ADG172" s="11"/>
      <c r="ADH172" s="11"/>
      <c r="ADI172" s="11"/>
      <c r="ADJ172" s="11"/>
      <c r="ADK172" s="11"/>
      <c r="ADL172" s="11"/>
      <c r="ADM172" s="11"/>
      <c r="ADN172" s="11"/>
      <c r="ADO172" s="11"/>
      <c r="ADP172" s="11"/>
      <c r="ADQ172" s="11"/>
      <c r="ADR172" s="11"/>
      <c r="ADS172" s="11"/>
      <c r="ADT172" s="11"/>
      <c r="ADU172" s="11"/>
      <c r="ADV172" s="11"/>
      <c r="ADW172" s="11"/>
      <c r="ADX172" s="11"/>
      <c r="ADY172" s="11"/>
      <c r="ADZ172" s="11"/>
      <c r="AEA172" s="11"/>
      <c r="AEB172" s="11"/>
      <c r="AEC172" s="11"/>
      <c r="AED172" s="11"/>
      <c r="AEE172" s="11"/>
      <c r="AEF172" s="11"/>
      <c r="AEG172" s="11"/>
      <c r="AEH172" s="11"/>
      <c r="AEI172" s="11"/>
      <c r="AEJ172" s="11"/>
      <c r="AEK172" s="11"/>
      <c r="AEL172" s="11"/>
      <c r="AEM172" s="11"/>
      <c r="AEN172" s="11"/>
      <c r="AEO172" s="11"/>
      <c r="AEP172" s="11"/>
      <c r="AEQ172" s="11"/>
      <c r="AER172" s="11"/>
      <c r="AES172" s="11"/>
      <c r="AET172" s="11"/>
      <c r="AEU172" s="11"/>
      <c r="AEV172" s="11"/>
      <c r="AEW172" s="11"/>
      <c r="AEX172" s="11"/>
      <c r="AEY172" s="11"/>
      <c r="AEZ172" s="11"/>
      <c r="AFA172" s="11"/>
      <c r="AFB172" s="11"/>
      <c r="AFC172" s="11"/>
      <c r="AFD172" s="11"/>
      <c r="AFE172" s="11"/>
      <c r="AFF172" s="11"/>
      <c r="AFG172" s="11"/>
      <c r="AFH172" s="11"/>
      <c r="AFI172" s="11"/>
    </row>
    <row r="173" spans="2:84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1"/>
      <c r="LV173" s="11"/>
      <c r="LW173" s="11"/>
      <c r="LX173" s="11"/>
      <c r="LY173" s="11"/>
      <c r="LZ173" s="11"/>
      <c r="MA173" s="11"/>
      <c r="MB173" s="11"/>
      <c r="MC173" s="11"/>
      <c r="MD173" s="11"/>
      <c r="ME173" s="11"/>
      <c r="MF173" s="11"/>
      <c r="MG173" s="11"/>
      <c r="MH173" s="11"/>
      <c r="MI173" s="11"/>
      <c r="MJ173" s="11"/>
      <c r="MK173" s="11"/>
      <c r="ML173" s="11"/>
      <c r="MM173" s="11"/>
      <c r="MN173" s="11"/>
      <c r="MO173" s="11"/>
      <c r="MP173" s="11"/>
      <c r="MQ173" s="11"/>
      <c r="MR173" s="11"/>
      <c r="MS173" s="11"/>
      <c r="MT173" s="11"/>
      <c r="MU173" s="11"/>
      <c r="MV173" s="11"/>
      <c r="MW173" s="11"/>
      <c r="MX173" s="11"/>
      <c r="MY173" s="11"/>
      <c r="MZ173" s="11"/>
      <c r="NA173" s="11"/>
      <c r="NB173" s="11"/>
      <c r="NC173" s="11"/>
      <c r="ND173" s="11"/>
      <c r="NE173" s="11"/>
      <c r="NF173" s="11"/>
      <c r="NG173" s="11"/>
      <c r="NH173" s="11"/>
      <c r="NI173" s="11"/>
      <c r="NJ173" s="11"/>
      <c r="NK173" s="11"/>
      <c r="NL173" s="11"/>
      <c r="NM173" s="11"/>
      <c r="NN173" s="11"/>
      <c r="NO173" s="11"/>
      <c r="NP173" s="11"/>
      <c r="NQ173" s="11"/>
      <c r="NR173" s="11"/>
      <c r="NS173" s="11"/>
      <c r="NT173" s="11"/>
      <c r="NU173" s="11"/>
      <c r="NV173" s="11"/>
      <c r="NW173" s="11"/>
      <c r="NX173" s="11"/>
      <c r="NY173" s="11"/>
      <c r="NZ173" s="11"/>
      <c r="OA173" s="11"/>
      <c r="OB173" s="11"/>
      <c r="OC173" s="11"/>
      <c r="OD173" s="11"/>
      <c r="OE173" s="11"/>
      <c r="OF173" s="11"/>
      <c r="OG173" s="11"/>
      <c r="OH173" s="11"/>
      <c r="OI173" s="11"/>
      <c r="OJ173" s="11"/>
      <c r="OK173" s="11"/>
      <c r="OL173" s="11"/>
      <c r="OM173" s="11"/>
      <c r="ON173" s="11"/>
      <c r="OO173" s="11"/>
      <c r="OP173" s="11"/>
      <c r="OQ173" s="11"/>
      <c r="OR173" s="11"/>
      <c r="OS173" s="11"/>
      <c r="OT173" s="11"/>
      <c r="OU173" s="11"/>
      <c r="OV173" s="11"/>
      <c r="OW173" s="11"/>
      <c r="OX173" s="11"/>
      <c r="OY173" s="11"/>
      <c r="OZ173" s="11"/>
      <c r="PA173" s="11"/>
      <c r="PB173" s="11"/>
      <c r="PC173" s="11"/>
      <c r="PD173" s="11"/>
      <c r="PE173" s="11"/>
      <c r="PF173" s="11"/>
      <c r="PG173" s="11"/>
      <c r="PH173" s="11"/>
      <c r="PI173" s="11"/>
      <c r="PJ173" s="11"/>
      <c r="PK173" s="11"/>
      <c r="PL173" s="11"/>
      <c r="PM173" s="11"/>
      <c r="PN173" s="11"/>
      <c r="PO173" s="11"/>
      <c r="PP173" s="11"/>
      <c r="PQ173" s="11"/>
      <c r="PR173" s="11"/>
      <c r="PS173" s="11"/>
      <c r="PT173" s="11"/>
      <c r="PU173" s="11"/>
      <c r="PV173" s="11"/>
      <c r="PW173" s="11"/>
      <c r="PX173" s="11"/>
      <c r="PY173" s="11"/>
      <c r="PZ173" s="11"/>
      <c r="QA173" s="11"/>
      <c r="QB173" s="11"/>
      <c r="QC173" s="11"/>
      <c r="QD173" s="11"/>
      <c r="QE173" s="11"/>
      <c r="QF173" s="11"/>
      <c r="QG173" s="11"/>
      <c r="QH173" s="11"/>
      <c r="QI173" s="11"/>
      <c r="QJ173" s="11"/>
      <c r="QK173" s="11"/>
      <c r="QL173" s="11"/>
      <c r="QM173" s="11"/>
      <c r="QN173" s="11"/>
      <c r="QO173" s="11"/>
      <c r="QP173" s="11"/>
      <c r="QQ173" s="11"/>
      <c r="QR173" s="11"/>
      <c r="QS173" s="11"/>
      <c r="QT173" s="11"/>
      <c r="QU173" s="11"/>
      <c r="QV173" s="11"/>
      <c r="QW173" s="11"/>
      <c r="QX173" s="11"/>
      <c r="QY173" s="11"/>
      <c r="QZ173" s="11"/>
      <c r="RA173" s="11"/>
      <c r="RB173" s="11"/>
      <c r="RC173" s="11"/>
      <c r="RD173" s="11"/>
      <c r="RE173" s="11"/>
      <c r="RF173" s="11"/>
      <c r="RG173" s="11"/>
      <c r="RH173" s="11"/>
      <c r="RI173" s="11"/>
      <c r="RJ173" s="11"/>
      <c r="RK173" s="11"/>
      <c r="RL173" s="11"/>
      <c r="RM173" s="11"/>
      <c r="RN173" s="11"/>
      <c r="RO173" s="11"/>
      <c r="RP173" s="11"/>
      <c r="RQ173" s="11"/>
      <c r="RR173" s="11"/>
      <c r="RS173" s="11"/>
      <c r="RT173" s="11"/>
      <c r="RU173" s="11"/>
      <c r="RV173" s="11"/>
      <c r="RW173" s="11"/>
      <c r="RX173" s="11"/>
      <c r="RY173" s="11"/>
      <c r="RZ173" s="11"/>
      <c r="SA173" s="11"/>
      <c r="SB173" s="11"/>
      <c r="SC173" s="11"/>
      <c r="SD173" s="11"/>
      <c r="SE173" s="11"/>
      <c r="SF173" s="11"/>
      <c r="SG173" s="11"/>
      <c r="SH173" s="11"/>
      <c r="SI173" s="11"/>
      <c r="SJ173" s="11"/>
      <c r="SK173" s="11"/>
      <c r="SL173" s="11"/>
      <c r="SM173" s="11"/>
      <c r="SN173" s="11"/>
      <c r="SO173" s="11"/>
      <c r="SP173" s="11"/>
      <c r="SQ173" s="11"/>
      <c r="SR173" s="11"/>
      <c r="SS173" s="11"/>
      <c r="ST173" s="11"/>
      <c r="SU173" s="11"/>
      <c r="SV173" s="11"/>
      <c r="SW173" s="11"/>
      <c r="SX173" s="11"/>
      <c r="SY173" s="11"/>
      <c r="SZ173" s="11"/>
      <c r="TA173" s="11"/>
      <c r="TB173" s="11"/>
      <c r="TC173" s="11"/>
      <c r="TD173" s="11"/>
      <c r="TE173" s="11"/>
      <c r="TF173" s="11"/>
      <c r="TG173" s="11"/>
      <c r="TH173" s="11"/>
      <c r="TI173" s="11"/>
      <c r="TJ173" s="11"/>
      <c r="TK173" s="11"/>
      <c r="TL173" s="11"/>
      <c r="TM173" s="11"/>
      <c r="TN173" s="11"/>
      <c r="TO173" s="11"/>
      <c r="TP173" s="11"/>
      <c r="TQ173" s="11"/>
      <c r="TR173" s="11"/>
      <c r="TS173" s="11"/>
      <c r="TT173" s="11"/>
      <c r="TU173" s="11"/>
      <c r="TV173" s="11"/>
      <c r="TW173" s="11"/>
      <c r="TX173" s="11"/>
      <c r="TY173" s="11"/>
      <c r="TZ173" s="11"/>
      <c r="UA173" s="11"/>
      <c r="UB173" s="11"/>
      <c r="UC173" s="11"/>
      <c r="UD173" s="11"/>
      <c r="UE173" s="11"/>
      <c r="UF173" s="11"/>
      <c r="UG173" s="11"/>
      <c r="UH173" s="11"/>
      <c r="UI173" s="11"/>
      <c r="UJ173" s="11"/>
      <c r="UK173" s="11"/>
      <c r="UL173" s="11"/>
      <c r="UM173" s="11"/>
      <c r="UN173" s="11"/>
      <c r="UO173" s="11"/>
      <c r="UP173" s="11"/>
      <c r="UQ173" s="11"/>
      <c r="UR173" s="11"/>
      <c r="US173" s="11"/>
      <c r="UT173" s="11"/>
      <c r="UU173" s="11"/>
      <c r="UV173" s="11"/>
      <c r="UW173" s="11"/>
      <c r="UX173" s="11"/>
      <c r="UY173" s="11"/>
      <c r="UZ173" s="11"/>
      <c r="VA173" s="11"/>
      <c r="VB173" s="11"/>
      <c r="VC173" s="11"/>
      <c r="VD173" s="11"/>
      <c r="VE173" s="11"/>
      <c r="VF173" s="11"/>
      <c r="VG173" s="11"/>
      <c r="VH173" s="11"/>
      <c r="VI173" s="11"/>
      <c r="VJ173" s="11"/>
      <c r="VK173" s="11"/>
      <c r="VL173" s="11"/>
      <c r="VM173" s="11"/>
      <c r="VN173" s="11"/>
      <c r="VO173" s="11"/>
      <c r="VP173" s="11"/>
      <c r="VQ173" s="11"/>
      <c r="VR173" s="11"/>
      <c r="VS173" s="11"/>
      <c r="VT173" s="11"/>
      <c r="VU173" s="11"/>
      <c r="VV173" s="11"/>
      <c r="VW173" s="11"/>
      <c r="VX173" s="11"/>
      <c r="VY173" s="11"/>
      <c r="VZ173" s="11"/>
      <c r="WA173" s="11"/>
      <c r="WB173" s="11"/>
      <c r="WC173" s="11"/>
      <c r="WD173" s="11"/>
      <c r="WE173" s="11"/>
      <c r="WF173" s="11"/>
      <c r="WG173" s="11"/>
      <c r="WH173" s="11"/>
      <c r="WI173" s="11"/>
      <c r="WJ173" s="11"/>
      <c r="WK173" s="11"/>
      <c r="WL173" s="11"/>
      <c r="WM173" s="11"/>
      <c r="WN173" s="11"/>
      <c r="WO173" s="11"/>
      <c r="WP173" s="11"/>
      <c r="WQ173" s="11"/>
      <c r="WR173" s="11"/>
      <c r="WS173" s="11"/>
      <c r="WT173" s="11"/>
      <c r="WU173" s="11"/>
      <c r="WV173" s="11"/>
      <c r="WW173" s="11"/>
      <c r="WX173" s="11"/>
      <c r="WY173" s="11"/>
      <c r="WZ173" s="11"/>
      <c r="XA173" s="11"/>
      <c r="XB173" s="11"/>
      <c r="XC173" s="11"/>
      <c r="XD173" s="11"/>
      <c r="XE173" s="11"/>
      <c r="XF173" s="11"/>
      <c r="XG173" s="11"/>
      <c r="XH173" s="11"/>
      <c r="XI173" s="11"/>
      <c r="XJ173" s="11"/>
      <c r="XK173" s="11"/>
      <c r="XL173" s="11"/>
      <c r="XM173" s="11"/>
      <c r="XN173" s="11"/>
      <c r="XO173" s="11"/>
      <c r="XP173" s="11"/>
      <c r="XQ173" s="11"/>
      <c r="XR173" s="11"/>
      <c r="XS173" s="11"/>
      <c r="XT173" s="11"/>
      <c r="XU173" s="11"/>
      <c r="XV173" s="11"/>
      <c r="XW173" s="11"/>
      <c r="XX173" s="11"/>
      <c r="XY173" s="11"/>
      <c r="XZ173" s="11"/>
      <c r="YA173" s="11"/>
      <c r="YB173" s="11"/>
      <c r="YC173" s="11"/>
      <c r="YD173" s="11"/>
      <c r="YE173" s="11"/>
      <c r="YF173" s="11"/>
      <c r="YG173" s="11"/>
      <c r="YH173" s="11"/>
      <c r="YI173" s="11"/>
      <c r="YJ173" s="11"/>
      <c r="YK173" s="11"/>
      <c r="YL173" s="11"/>
      <c r="YM173" s="11"/>
      <c r="YN173" s="11"/>
      <c r="YO173" s="11"/>
      <c r="YP173" s="11"/>
      <c r="YQ173" s="11"/>
      <c r="YR173" s="11"/>
      <c r="YS173" s="11"/>
      <c r="YT173" s="11"/>
      <c r="YU173" s="11"/>
      <c r="YV173" s="11"/>
      <c r="YW173" s="11"/>
      <c r="YX173" s="11"/>
      <c r="YY173" s="11"/>
      <c r="YZ173" s="11"/>
      <c r="ZA173" s="11"/>
      <c r="ZB173" s="11"/>
      <c r="ZC173" s="11"/>
      <c r="ZD173" s="11"/>
      <c r="ZE173" s="11"/>
      <c r="ZF173" s="11"/>
      <c r="ZG173" s="11"/>
      <c r="ZH173" s="11"/>
      <c r="ZI173" s="11"/>
      <c r="ZJ173" s="11"/>
      <c r="ZK173" s="11"/>
      <c r="ZL173" s="11"/>
      <c r="ZM173" s="11"/>
      <c r="ZN173" s="11"/>
      <c r="ZO173" s="11"/>
      <c r="ZP173" s="11"/>
      <c r="ZQ173" s="11"/>
      <c r="ZR173" s="11"/>
      <c r="ZS173" s="11"/>
      <c r="ZT173" s="11"/>
      <c r="ZU173" s="11"/>
      <c r="ZV173" s="11"/>
      <c r="ZW173" s="11"/>
      <c r="ZX173" s="11"/>
      <c r="ZY173" s="11"/>
      <c r="ZZ173" s="11"/>
      <c r="AAA173" s="11"/>
      <c r="AAB173" s="11"/>
      <c r="AAC173" s="11"/>
      <c r="AAD173" s="11"/>
      <c r="AAE173" s="11"/>
      <c r="AAF173" s="11"/>
      <c r="AAG173" s="11"/>
      <c r="AAH173" s="11"/>
      <c r="AAI173" s="11"/>
      <c r="AAJ173" s="11"/>
      <c r="AAK173" s="11"/>
      <c r="AAL173" s="11"/>
      <c r="AAM173" s="11"/>
      <c r="AAN173" s="11"/>
      <c r="AAO173" s="11"/>
      <c r="AAP173" s="11"/>
      <c r="AAQ173" s="11"/>
      <c r="AAR173" s="11"/>
      <c r="AAS173" s="11"/>
      <c r="AAT173" s="11"/>
      <c r="AAU173" s="11"/>
      <c r="AAV173" s="11"/>
      <c r="AAW173" s="11"/>
      <c r="AAX173" s="11"/>
      <c r="AAY173" s="11"/>
      <c r="AAZ173" s="11"/>
      <c r="ABA173" s="11"/>
      <c r="ABB173" s="11"/>
      <c r="ABC173" s="11"/>
      <c r="ABD173" s="11"/>
      <c r="ABE173" s="11"/>
      <c r="ABF173" s="11"/>
      <c r="ABG173" s="11"/>
      <c r="ABH173" s="11"/>
      <c r="ABI173" s="11"/>
      <c r="ABJ173" s="11"/>
      <c r="ABK173" s="11"/>
      <c r="ABL173" s="11"/>
      <c r="ABM173" s="11"/>
      <c r="ABN173" s="11"/>
      <c r="ABO173" s="11"/>
      <c r="ABP173" s="11"/>
      <c r="ABQ173" s="11"/>
      <c r="ABR173" s="11"/>
      <c r="ABS173" s="11"/>
      <c r="ABT173" s="11"/>
      <c r="ABU173" s="11"/>
      <c r="ABV173" s="11"/>
      <c r="ABW173" s="11"/>
      <c r="ABX173" s="11"/>
      <c r="ABY173" s="11"/>
      <c r="ABZ173" s="11"/>
      <c r="ACA173" s="11"/>
      <c r="ACB173" s="11"/>
      <c r="ACC173" s="11"/>
      <c r="ACD173" s="11"/>
      <c r="ACE173" s="11"/>
      <c r="ACF173" s="11"/>
      <c r="ACG173" s="11"/>
      <c r="ACH173" s="11"/>
      <c r="ACI173" s="11"/>
      <c r="ACJ173" s="11"/>
      <c r="ACK173" s="11"/>
      <c r="ACL173" s="11"/>
      <c r="ACM173" s="11"/>
      <c r="ACN173" s="11"/>
      <c r="ACO173" s="11"/>
      <c r="ACP173" s="11"/>
      <c r="ACQ173" s="11"/>
      <c r="ACR173" s="11"/>
      <c r="ACS173" s="11"/>
      <c r="ACT173" s="11"/>
      <c r="ACU173" s="11"/>
      <c r="ACV173" s="11"/>
      <c r="ACW173" s="11"/>
      <c r="ACX173" s="11"/>
      <c r="ACY173" s="11"/>
      <c r="ACZ173" s="11"/>
      <c r="ADA173" s="11"/>
      <c r="ADB173" s="11"/>
      <c r="ADC173" s="11"/>
      <c r="ADD173" s="11"/>
      <c r="ADE173" s="11"/>
      <c r="ADF173" s="11"/>
      <c r="ADG173" s="11"/>
      <c r="ADH173" s="11"/>
      <c r="ADI173" s="11"/>
      <c r="ADJ173" s="11"/>
      <c r="ADK173" s="11"/>
      <c r="ADL173" s="11"/>
      <c r="ADM173" s="11"/>
      <c r="ADN173" s="11"/>
      <c r="ADO173" s="11"/>
      <c r="ADP173" s="11"/>
      <c r="ADQ173" s="11"/>
      <c r="ADR173" s="11"/>
      <c r="ADS173" s="11"/>
      <c r="ADT173" s="11"/>
      <c r="ADU173" s="11"/>
      <c r="ADV173" s="11"/>
      <c r="ADW173" s="11"/>
      <c r="ADX173" s="11"/>
      <c r="ADY173" s="11"/>
      <c r="ADZ173" s="11"/>
      <c r="AEA173" s="11"/>
      <c r="AEB173" s="11"/>
      <c r="AEC173" s="11"/>
      <c r="AED173" s="11"/>
      <c r="AEE173" s="11"/>
      <c r="AEF173" s="11"/>
      <c r="AEG173" s="11"/>
      <c r="AEH173" s="11"/>
      <c r="AEI173" s="11"/>
      <c r="AEJ173" s="11"/>
      <c r="AEK173" s="11"/>
      <c r="AEL173" s="11"/>
      <c r="AEM173" s="11"/>
      <c r="AEN173" s="11"/>
      <c r="AEO173" s="11"/>
      <c r="AEP173" s="11"/>
      <c r="AEQ173" s="11"/>
      <c r="AER173" s="11"/>
      <c r="AES173" s="11"/>
      <c r="AET173" s="11"/>
      <c r="AEU173" s="11"/>
      <c r="AEV173" s="11"/>
      <c r="AEW173" s="11"/>
      <c r="AEX173" s="11"/>
      <c r="AEY173" s="11"/>
      <c r="AEZ173" s="11"/>
      <c r="AFA173" s="11"/>
      <c r="AFB173" s="11"/>
      <c r="AFC173" s="11"/>
      <c r="AFD173" s="11"/>
      <c r="AFE173" s="11"/>
      <c r="AFF173" s="11"/>
      <c r="AFG173" s="11"/>
      <c r="AFH173" s="11"/>
      <c r="AFI173" s="11"/>
    </row>
    <row r="174" spans="2:84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1"/>
      <c r="LV174" s="11"/>
      <c r="LW174" s="11"/>
      <c r="LX174" s="11"/>
      <c r="LY174" s="11"/>
      <c r="LZ174" s="11"/>
      <c r="MA174" s="11"/>
      <c r="MB174" s="11"/>
      <c r="MC174" s="11"/>
      <c r="MD174" s="11"/>
      <c r="ME174" s="11"/>
      <c r="MF174" s="11"/>
      <c r="MG174" s="11"/>
      <c r="MH174" s="11"/>
      <c r="MI174" s="11"/>
      <c r="MJ174" s="11"/>
      <c r="MK174" s="11"/>
      <c r="ML174" s="11"/>
      <c r="MM174" s="11"/>
      <c r="MN174" s="11"/>
      <c r="MO174" s="11"/>
      <c r="MP174" s="11"/>
      <c r="MQ174" s="11"/>
      <c r="MR174" s="11"/>
      <c r="MS174" s="11"/>
      <c r="MT174" s="11"/>
      <c r="MU174" s="11"/>
      <c r="MV174" s="11"/>
      <c r="MW174" s="11"/>
      <c r="MX174" s="11"/>
      <c r="MY174" s="11"/>
      <c r="MZ174" s="11"/>
      <c r="NA174" s="11"/>
      <c r="NB174" s="11"/>
      <c r="NC174" s="11"/>
      <c r="ND174" s="11"/>
      <c r="NE174" s="11"/>
      <c r="NF174" s="11"/>
      <c r="NG174" s="11"/>
      <c r="NH174" s="11"/>
      <c r="NI174" s="11"/>
      <c r="NJ174" s="11"/>
      <c r="NK174" s="11"/>
      <c r="NL174" s="11"/>
      <c r="NM174" s="11"/>
      <c r="NN174" s="11"/>
      <c r="NO174" s="11"/>
      <c r="NP174" s="11"/>
      <c r="NQ174" s="11"/>
      <c r="NR174" s="11"/>
      <c r="NS174" s="11"/>
      <c r="NT174" s="11"/>
      <c r="NU174" s="11"/>
      <c r="NV174" s="11"/>
      <c r="NW174" s="11"/>
      <c r="NX174" s="11"/>
      <c r="NY174" s="11"/>
      <c r="NZ174" s="11"/>
      <c r="OA174" s="11"/>
      <c r="OB174" s="11"/>
      <c r="OC174" s="11"/>
      <c r="OD174" s="11"/>
      <c r="OE174" s="11"/>
      <c r="OF174" s="11"/>
      <c r="OG174" s="11"/>
      <c r="OH174" s="11"/>
      <c r="OI174" s="11"/>
      <c r="OJ174" s="11"/>
      <c r="OK174" s="11"/>
      <c r="OL174" s="11"/>
      <c r="OM174" s="11"/>
      <c r="ON174" s="11"/>
      <c r="OO174" s="11"/>
      <c r="OP174" s="11"/>
      <c r="OQ174" s="11"/>
      <c r="OR174" s="11"/>
      <c r="OS174" s="11"/>
      <c r="OT174" s="11"/>
      <c r="OU174" s="11"/>
      <c r="OV174" s="11"/>
      <c r="OW174" s="11"/>
      <c r="OX174" s="11"/>
      <c r="OY174" s="11"/>
      <c r="OZ174" s="11"/>
      <c r="PA174" s="11"/>
      <c r="PB174" s="11"/>
      <c r="PC174" s="11"/>
      <c r="PD174" s="11"/>
      <c r="PE174" s="11"/>
      <c r="PF174" s="11"/>
      <c r="PG174" s="11"/>
      <c r="PH174" s="11"/>
      <c r="PI174" s="11"/>
      <c r="PJ174" s="11"/>
      <c r="PK174" s="11"/>
      <c r="PL174" s="11"/>
      <c r="PM174" s="11"/>
      <c r="PN174" s="11"/>
      <c r="PO174" s="11"/>
      <c r="PP174" s="11"/>
      <c r="PQ174" s="11"/>
      <c r="PR174" s="11"/>
      <c r="PS174" s="11"/>
      <c r="PT174" s="11"/>
      <c r="PU174" s="11"/>
      <c r="PV174" s="11"/>
      <c r="PW174" s="11"/>
      <c r="PX174" s="11"/>
      <c r="PY174" s="11"/>
      <c r="PZ174" s="11"/>
      <c r="QA174" s="11"/>
      <c r="QB174" s="11"/>
      <c r="QC174" s="11"/>
      <c r="QD174" s="11"/>
      <c r="QE174" s="11"/>
      <c r="QF174" s="11"/>
      <c r="QG174" s="11"/>
      <c r="QH174" s="11"/>
      <c r="QI174" s="11"/>
      <c r="QJ174" s="11"/>
      <c r="QK174" s="11"/>
      <c r="QL174" s="11"/>
      <c r="QM174" s="11"/>
      <c r="QN174" s="11"/>
      <c r="QO174" s="11"/>
      <c r="QP174" s="11"/>
      <c r="QQ174" s="11"/>
      <c r="QR174" s="11"/>
      <c r="QS174" s="11"/>
      <c r="QT174" s="11"/>
      <c r="QU174" s="11"/>
      <c r="QV174" s="11"/>
      <c r="QW174" s="11"/>
      <c r="QX174" s="11"/>
      <c r="QY174" s="11"/>
      <c r="QZ174" s="11"/>
      <c r="RA174" s="11"/>
      <c r="RB174" s="11"/>
      <c r="RC174" s="11"/>
      <c r="RD174" s="11"/>
      <c r="RE174" s="11"/>
      <c r="RF174" s="11"/>
      <c r="RG174" s="11"/>
      <c r="RH174" s="11"/>
      <c r="RI174" s="11"/>
      <c r="RJ174" s="11"/>
      <c r="RK174" s="11"/>
      <c r="RL174" s="11"/>
      <c r="RM174" s="11"/>
      <c r="RN174" s="11"/>
      <c r="RO174" s="11"/>
      <c r="RP174" s="11"/>
      <c r="RQ174" s="11"/>
      <c r="RR174" s="11"/>
      <c r="RS174" s="11"/>
      <c r="RT174" s="11"/>
      <c r="RU174" s="11"/>
      <c r="RV174" s="11"/>
      <c r="RW174" s="11"/>
      <c r="RX174" s="11"/>
      <c r="RY174" s="11"/>
      <c r="RZ174" s="11"/>
      <c r="SA174" s="11"/>
      <c r="SB174" s="11"/>
      <c r="SC174" s="11"/>
      <c r="SD174" s="11"/>
      <c r="SE174" s="11"/>
      <c r="SF174" s="11"/>
      <c r="SG174" s="11"/>
      <c r="SH174" s="11"/>
      <c r="SI174" s="11"/>
      <c r="SJ174" s="11"/>
      <c r="SK174" s="11"/>
      <c r="SL174" s="11"/>
      <c r="SM174" s="11"/>
      <c r="SN174" s="11"/>
      <c r="SO174" s="11"/>
      <c r="SP174" s="11"/>
      <c r="SQ174" s="11"/>
      <c r="SR174" s="11"/>
      <c r="SS174" s="11"/>
      <c r="ST174" s="11"/>
      <c r="SU174" s="11"/>
      <c r="SV174" s="11"/>
      <c r="SW174" s="11"/>
      <c r="SX174" s="11"/>
      <c r="SY174" s="11"/>
      <c r="SZ174" s="11"/>
      <c r="TA174" s="11"/>
      <c r="TB174" s="11"/>
      <c r="TC174" s="11"/>
      <c r="TD174" s="11"/>
      <c r="TE174" s="11"/>
      <c r="TF174" s="11"/>
      <c r="TG174" s="11"/>
      <c r="TH174" s="11"/>
      <c r="TI174" s="11"/>
      <c r="TJ174" s="11"/>
      <c r="TK174" s="11"/>
      <c r="TL174" s="11"/>
      <c r="TM174" s="11"/>
      <c r="TN174" s="11"/>
      <c r="TO174" s="11"/>
      <c r="TP174" s="11"/>
      <c r="TQ174" s="11"/>
      <c r="TR174" s="11"/>
      <c r="TS174" s="11"/>
      <c r="TT174" s="11"/>
      <c r="TU174" s="11"/>
      <c r="TV174" s="11"/>
      <c r="TW174" s="11"/>
      <c r="TX174" s="11"/>
      <c r="TY174" s="11"/>
      <c r="TZ174" s="11"/>
      <c r="UA174" s="11"/>
      <c r="UB174" s="11"/>
      <c r="UC174" s="11"/>
      <c r="UD174" s="11"/>
      <c r="UE174" s="11"/>
      <c r="UF174" s="11"/>
      <c r="UG174" s="11"/>
      <c r="UH174" s="11"/>
      <c r="UI174" s="11"/>
      <c r="UJ174" s="11"/>
      <c r="UK174" s="11"/>
      <c r="UL174" s="11"/>
      <c r="UM174" s="11"/>
      <c r="UN174" s="11"/>
      <c r="UO174" s="11"/>
      <c r="UP174" s="11"/>
      <c r="UQ174" s="11"/>
      <c r="UR174" s="11"/>
      <c r="US174" s="11"/>
      <c r="UT174" s="11"/>
      <c r="UU174" s="11"/>
      <c r="UV174" s="11"/>
      <c r="UW174" s="11"/>
      <c r="UX174" s="11"/>
      <c r="UY174" s="11"/>
      <c r="UZ174" s="11"/>
      <c r="VA174" s="11"/>
      <c r="VB174" s="11"/>
      <c r="VC174" s="11"/>
      <c r="VD174" s="11"/>
      <c r="VE174" s="11"/>
      <c r="VF174" s="11"/>
      <c r="VG174" s="11"/>
      <c r="VH174" s="11"/>
      <c r="VI174" s="11"/>
      <c r="VJ174" s="11"/>
      <c r="VK174" s="11"/>
      <c r="VL174" s="11"/>
      <c r="VM174" s="11"/>
      <c r="VN174" s="11"/>
      <c r="VO174" s="11"/>
      <c r="VP174" s="11"/>
      <c r="VQ174" s="11"/>
      <c r="VR174" s="11"/>
      <c r="VS174" s="11"/>
      <c r="VT174" s="11"/>
      <c r="VU174" s="11"/>
      <c r="VV174" s="11"/>
      <c r="VW174" s="11"/>
      <c r="VX174" s="11"/>
      <c r="VY174" s="11"/>
      <c r="VZ174" s="11"/>
      <c r="WA174" s="11"/>
      <c r="WB174" s="11"/>
      <c r="WC174" s="11"/>
      <c r="WD174" s="11"/>
      <c r="WE174" s="11"/>
      <c r="WF174" s="11"/>
      <c r="WG174" s="11"/>
      <c r="WH174" s="11"/>
      <c r="WI174" s="11"/>
      <c r="WJ174" s="11"/>
      <c r="WK174" s="11"/>
      <c r="WL174" s="11"/>
      <c r="WM174" s="11"/>
      <c r="WN174" s="11"/>
      <c r="WO174" s="11"/>
      <c r="WP174" s="11"/>
      <c r="WQ174" s="11"/>
      <c r="WR174" s="11"/>
      <c r="WS174" s="11"/>
      <c r="WT174" s="11"/>
      <c r="WU174" s="11"/>
      <c r="WV174" s="11"/>
      <c r="WW174" s="11"/>
      <c r="WX174" s="11"/>
      <c r="WY174" s="11"/>
      <c r="WZ174" s="11"/>
      <c r="XA174" s="11"/>
      <c r="XB174" s="11"/>
      <c r="XC174" s="11"/>
      <c r="XD174" s="11"/>
      <c r="XE174" s="11"/>
      <c r="XF174" s="11"/>
      <c r="XG174" s="11"/>
      <c r="XH174" s="11"/>
      <c r="XI174" s="11"/>
      <c r="XJ174" s="11"/>
      <c r="XK174" s="11"/>
      <c r="XL174" s="11"/>
      <c r="XM174" s="11"/>
      <c r="XN174" s="11"/>
      <c r="XO174" s="11"/>
      <c r="XP174" s="11"/>
      <c r="XQ174" s="11"/>
      <c r="XR174" s="11"/>
      <c r="XS174" s="11"/>
      <c r="XT174" s="11"/>
      <c r="XU174" s="11"/>
      <c r="XV174" s="11"/>
      <c r="XW174" s="11"/>
      <c r="XX174" s="11"/>
      <c r="XY174" s="11"/>
      <c r="XZ174" s="11"/>
      <c r="YA174" s="11"/>
      <c r="YB174" s="11"/>
      <c r="YC174" s="11"/>
      <c r="YD174" s="11"/>
      <c r="YE174" s="11"/>
      <c r="YF174" s="11"/>
      <c r="YG174" s="11"/>
      <c r="YH174" s="11"/>
      <c r="YI174" s="11"/>
      <c r="YJ174" s="11"/>
      <c r="YK174" s="11"/>
      <c r="YL174" s="11"/>
      <c r="YM174" s="11"/>
      <c r="YN174" s="11"/>
      <c r="YO174" s="11"/>
      <c r="YP174" s="11"/>
      <c r="YQ174" s="11"/>
      <c r="YR174" s="11"/>
      <c r="YS174" s="11"/>
      <c r="YT174" s="11"/>
      <c r="YU174" s="11"/>
      <c r="YV174" s="11"/>
      <c r="YW174" s="11"/>
      <c r="YX174" s="11"/>
      <c r="YY174" s="11"/>
      <c r="YZ174" s="11"/>
      <c r="ZA174" s="11"/>
      <c r="ZB174" s="11"/>
      <c r="ZC174" s="11"/>
      <c r="ZD174" s="11"/>
      <c r="ZE174" s="11"/>
      <c r="ZF174" s="11"/>
      <c r="ZG174" s="11"/>
      <c r="ZH174" s="11"/>
      <c r="ZI174" s="11"/>
      <c r="ZJ174" s="11"/>
      <c r="ZK174" s="11"/>
      <c r="ZL174" s="11"/>
      <c r="ZM174" s="11"/>
      <c r="ZN174" s="11"/>
      <c r="ZO174" s="11"/>
      <c r="ZP174" s="11"/>
      <c r="ZQ174" s="11"/>
      <c r="ZR174" s="11"/>
      <c r="ZS174" s="11"/>
      <c r="ZT174" s="11"/>
      <c r="ZU174" s="11"/>
      <c r="ZV174" s="11"/>
      <c r="ZW174" s="11"/>
      <c r="ZX174" s="11"/>
      <c r="ZY174" s="11"/>
      <c r="ZZ174" s="11"/>
      <c r="AAA174" s="11"/>
      <c r="AAB174" s="11"/>
      <c r="AAC174" s="11"/>
      <c r="AAD174" s="11"/>
      <c r="AAE174" s="11"/>
      <c r="AAF174" s="11"/>
      <c r="AAG174" s="11"/>
      <c r="AAH174" s="11"/>
      <c r="AAI174" s="11"/>
      <c r="AAJ174" s="11"/>
      <c r="AAK174" s="11"/>
      <c r="AAL174" s="11"/>
      <c r="AAM174" s="11"/>
      <c r="AAN174" s="11"/>
      <c r="AAO174" s="11"/>
      <c r="AAP174" s="11"/>
      <c r="AAQ174" s="11"/>
      <c r="AAR174" s="11"/>
      <c r="AAS174" s="11"/>
      <c r="AAT174" s="11"/>
      <c r="AAU174" s="11"/>
      <c r="AAV174" s="11"/>
      <c r="AAW174" s="11"/>
      <c r="AAX174" s="11"/>
      <c r="AAY174" s="11"/>
      <c r="AAZ174" s="11"/>
      <c r="ABA174" s="11"/>
      <c r="ABB174" s="11"/>
      <c r="ABC174" s="11"/>
      <c r="ABD174" s="11"/>
      <c r="ABE174" s="11"/>
      <c r="ABF174" s="11"/>
      <c r="ABG174" s="11"/>
      <c r="ABH174" s="11"/>
      <c r="ABI174" s="11"/>
      <c r="ABJ174" s="11"/>
      <c r="ABK174" s="11"/>
      <c r="ABL174" s="11"/>
      <c r="ABM174" s="11"/>
      <c r="ABN174" s="11"/>
      <c r="ABO174" s="11"/>
      <c r="ABP174" s="11"/>
      <c r="ABQ174" s="11"/>
      <c r="ABR174" s="11"/>
      <c r="ABS174" s="11"/>
      <c r="ABT174" s="11"/>
      <c r="ABU174" s="11"/>
      <c r="ABV174" s="11"/>
      <c r="ABW174" s="11"/>
      <c r="ABX174" s="11"/>
      <c r="ABY174" s="11"/>
      <c r="ABZ174" s="11"/>
      <c r="ACA174" s="11"/>
      <c r="ACB174" s="11"/>
      <c r="ACC174" s="11"/>
      <c r="ACD174" s="11"/>
      <c r="ACE174" s="11"/>
      <c r="ACF174" s="11"/>
      <c r="ACG174" s="11"/>
      <c r="ACH174" s="11"/>
      <c r="ACI174" s="11"/>
      <c r="ACJ174" s="11"/>
      <c r="ACK174" s="11"/>
      <c r="ACL174" s="11"/>
      <c r="ACM174" s="11"/>
      <c r="ACN174" s="11"/>
      <c r="ACO174" s="11"/>
      <c r="ACP174" s="11"/>
      <c r="ACQ174" s="11"/>
      <c r="ACR174" s="11"/>
      <c r="ACS174" s="11"/>
      <c r="ACT174" s="11"/>
      <c r="ACU174" s="11"/>
      <c r="ACV174" s="11"/>
      <c r="ACW174" s="11"/>
      <c r="ACX174" s="11"/>
      <c r="ACY174" s="11"/>
      <c r="ACZ174" s="11"/>
      <c r="ADA174" s="11"/>
      <c r="ADB174" s="11"/>
      <c r="ADC174" s="11"/>
      <c r="ADD174" s="11"/>
      <c r="ADE174" s="11"/>
      <c r="ADF174" s="11"/>
      <c r="ADG174" s="11"/>
      <c r="ADH174" s="11"/>
      <c r="ADI174" s="11"/>
      <c r="ADJ174" s="11"/>
      <c r="ADK174" s="11"/>
      <c r="ADL174" s="11"/>
      <c r="ADM174" s="11"/>
      <c r="ADN174" s="11"/>
      <c r="ADO174" s="11"/>
      <c r="ADP174" s="11"/>
      <c r="ADQ174" s="11"/>
      <c r="ADR174" s="11"/>
      <c r="ADS174" s="11"/>
      <c r="ADT174" s="11"/>
      <c r="ADU174" s="11"/>
      <c r="ADV174" s="11"/>
      <c r="ADW174" s="11"/>
      <c r="ADX174" s="11"/>
      <c r="ADY174" s="11"/>
      <c r="ADZ174" s="11"/>
      <c r="AEA174" s="11"/>
      <c r="AEB174" s="11"/>
      <c r="AEC174" s="11"/>
      <c r="AED174" s="11"/>
      <c r="AEE174" s="11"/>
      <c r="AEF174" s="11"/>
      <c r="AEG174" s="11"/>
      <c r="AEH174" s="11"/>
      <c r="AEI174" s="11"/>
      <c r="AEJ174" s="11"/>
      <c r="AEK174" s="11"/>
      <c r="AEL174" s="11"/>
      <c r="AEM174" s="11"/>
      <c r="AEN174" s="11"/>
      <c r="AEO174" s="11"/>
      <c r="AEP174" s="11"/>
      <c r="AEQ174" s="11"/>
      <c r="AER174" s="11"/>
      <c r="AES174" s="11"/>
      <c r="AET174" s="11"/>
      <c r="AEU174" s="11"/>
      <c r="AEV174" s="11"/>
      <c r="AEW174" s="11"/>
      <c r="AEX174" s="11"/>
      <c r="AEY174" s="11"/>
      <c r="AEZ174" s="11"/>
      <c r="AFA174" s="11"/>
      <c r="AFB174" s="11"/>
      <c r="AFC174" s="11"/>
      <c r="AFD174" s="11"/>
      <c r="AFE174" s="11"/>
      <c r="AFF174" s="11"/>
      <c r="AFG174" s="11"/>
      <c r="AFH174" s="11"/>
      <c r="AFI174" s="11"/>
    </row>
    <row r="175" spans="2:84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1"/>
      <c r="LV175" s="11"/>
      <c r="LW175" s="11"/>
      <c r="LX175" s="11"/>
      <c r="LY175" s="11"/>
      <c r="LZ175" s="11"/>
      <c r="MA175" s="11"/>
      <c r="MB175" s="11"/>
      <c r="MC175" s="11"/>
      <c r="MD175" s="11"/>
      <c r="ME175" s="11"/>
      <c r="MF175" s="11"/>
      <c r="MG175" s="11"/>
      <c r="MH175" s="11"/>
      <c r="MI175" s="11"/>
      <c r="MJ175" s="11"/>
      <c r="MK175" s="11"/>
      <c r="ML175" s="11"/>
      <c r="MM175" s="11"/>
      <c r="MN175" s="11"/>
      <c r="MO175" s="11"/>
      <c r="MP175" s="11"/>
      <c r="MQ175" s="11"/>
      <c r="MR175" s="11"/>
      <c r="MS175" s="11"/>
      <c r="MT175" s="11"/>
      <c r="MU175" s="11"/>
      <c r="MV175" s="11"/>
      <c r="MW175" s="11"/>
      <c r="MX175" s="11"/>
      <c r="MY175" s="11"/>
      <c r="MZ175" s="11"/>
      <c r="NA175" s="11"/>
      <c r="NB175" s="11"/>
      <c r="NC175" s="11"/>
      <c r="ND175" s="11"/>
      <c r="NE175" s="11"/>
      <c r="NF175" s="11"/>
      <c r="NG175" s="11"/>
      <c r="NH175" s="11"/>
      <c r="NI175" s="11"/>
      <c r="NJ175" s="11"/>
      <c r="NK175" s="11"/>
      <c r="NL175" s="11"/>
      <c r="NM175" s="11"/>
      <c r="NN175" s="11"/>
      <c r="NO175" s="11"/>
      <c r="NP175" s="11"/>
      <c r="NQ175" s="11"/>
      <c r="NR175" s="11"/>
      <c r="NS175" s="11"/>
      <c r="NT175" s="11"/>
      <c r="NU175" s="11"/>
      <c r="NV175" s="11"/>
      <c r="NW175" s="11"/>
      <c r="NX175" s="11"/>
      <c r="NY175" s="11"/>
      <c r="NZ175" s="11"/>
      <c r="OA175" s="11"/>
      <c r="OB175" s="11"/>
      <c r="OC175" s="11"/>
      <c r="OD175" s="11"/>
      <c r="OE175" s="11"/>
      <c r="OF175" s="11"/>
      <c r="OG175" s="11"/>
      <c r="OH175" s="11"/>
      <c r="OI175" s="11"/>
      <c r="OJ175" s="11"/>
      <c r="OK175" s="11"/>
      <c r="OL175" s="11"/>
      <c r="OM175" s="11"/>
      <c r="ON175" s="11"/>
      <c r="OO175" s="11"/>
      <c r="OP175" s="11"/>
      <c r="OQ175" s="11"/>
      <c r="OR175" s="11"/>
      <c r="OS175" s="11"/>
      <c r="OT175" s="11"/>
      <c r="OU175" s="11"/>
      <c r="OV175" s="11"/>
      <c r="OW175" s="11"/>
      <c r="OX175" s="11"/>
      <c r="OY175" s="11"/>
      <c r="OZ175" s="11"/>
      <c r="PA175" s="11"/>
      <c r="PB175" s="11"/>
      <c r="PC175" s="11"/>
      <c r="PD175" s="11"/>
      <c r="PE175" s="11"/>
      <c r="PF175" s="11"/>
      <c r="PG175" s="11"/>
      <c r="PH175" s="11"/>
      <c r="PI175" s="11"/>
      <c r="PJ175" s="11"/>
      <c r="PK175" s="11"/>
      <c r="PL175" s="11"/>
      <c r="PM175" s="11"/>
      <c r="PN175" s="11"/>
      <c r="PO175" s="11"/>
      <c r="PP175" s="11"/>
      <c r="PQ175" s="11"/>
      <c r="PR175" s="11"/>
      <c r="PS175" s="11"/>
      <c r="PT175" s="11"/>
      <c r="PU175" s="11"/>
      <c r="PV175" s="11"/>
      <c r="PW175" s="11"/>
      <c r="PX175" s="11"/>
      <c r="PY175" s="11"/>
      <c r="PZ175" s="11"/>
      <c r="QA175" s="11"/>
      <c r="QB175" s="11"/>
      <c r="QC175" s="11"/>
      <c r="QD175" s="11"/>
      <c r="QE175" s="11"/>
      <c r="QF175" s="11"/>
      <c r="QG175" s="11"/>
      <c r="QH175" s="11"/>
      <c r="QI175" s="11"/>
      <c r="QJ175" s="11"/>
      <c r="QK175" s="11"/>
      <c r="QL175" s="11"/>
      <c r="QM175" s="11"/>
      <c r="QN175" s="11"/>
      <c r="QO175" s="11"/>
      <c r="QP175" s="11"/>
      <c r="QQ175" s="11"/>
      <c r="QR175" s="11"/>
      <c r="QS175" s="11"/>
      <c r="QT175" s="11"/>
      <c r="QU175" s="11"/>
      <c r="QV175" s="11"/>
      <c r="QW175" s="11"/>
      <c r="QX175" s="11"/>
      <c r="QY175" s="11"/>
      <c r="QZ175" s="11"/>
      <c r="RA175" s="11"/>
      <c r="RB175" s="11"/>
      <c r="RC175" s="11"/>
      <c r="RD175" s="11"/>
      <c r="RE175" s="11"/>
      <c r="RF175" s="11"/>
      <c r="RG175" s="11"/>
      <c r="RH175" s="11"/>
      <c r="RI175" s="11"/>
      <c r="RJ175" s="11"/>
      <c r="RK175" s="11"/>
      <c r="RL175" s="11"/>
      <c r="RM175" s="11"/>
      <c r="RN175" s="11"/>
      <c r="RO175" s="11"/>
      <c r="RP175" s="11"/>
      <c r="RQ175" s="11"/>
      <c r="RR175" s="11"/>
      <c r="RS175" s="11"/>
      <c r="RT175" s="11"/>
      <c r="RU175" s="11"/>
      <c r="RV175" s="11"/>
      <c r="RW175" s="11"/>
      <c r="RX175" s="11"/>
      <c r="RY175" s="11"/>
      <c r="RZ175" s="11"/>
      <c r="SA175" s="11"/>
      <c r="SB175" s="11"/>
      <c r="SC175" s="11"/>
      <c r="SD175" s="11"/>
      <c r="SE175" s="11"/>
      <c r="SF175" s="11"/>
      <c r="SG175" s="11"/>
      <c r="SH175" s="11"/>
      <c r="SI175" s="11"/>
      <c r="SJ175" s="11"/>
      <c r="SK175" s="11"/>
      <c r="SL175" s="11"/>
      <c r="SM175" s="11"/>
      <c r="SN175" s="11"/>
      <c r="SO175" s="11"/>
      <c r="SP175" s="11"/>
      <c r="SQ175" s="11"/>
      <c r="SR175" s="11"/>
      <c r="SS175" s="11"/>
      <c r="ST175" s="11"/>
      <c r="SU175" s="11"/>
      <c r="SV175" s="11"/>
      <c r="SW175" s="11"/>
      <c r="SX175" s="11"/>
      <c r="SY175" s="11"/>
      <c r="SZ175" s="11"/>
      <c r="TA175" s="11"/>
      <c r="TB175" s="11"/>
      <c r="TC175" s="11"/>
      <c r="TD175" s="11"/>
      <c r="TE175" s="11"/>
      <c r="TF175" s="11"/>
      <c r="TG175" s="11"/>
      <c r="TH175" s="11"/>
      <c r="TI175" s="11"/>
      <c r="TJ175" s="11"/>
      <c r="TK175" s="11"/>
      <c r="TL175" s="11"/>
      <c r="TM175" s="11"/>
      <c r="TN175" s="11"/>
      <c r="TO175" s="11"/>
      <c r="TP175" s="11"/>
      <c r="TQ175" s="11"/>
      <c r="TR175" s="11"/>
      <c r="TS175" s="11"/>
      <c r="TT175" s="11"/>
      <c r="TU175" s="11"/>
      <c r="TV175" s="11"/>
      <c r="TW175" s="11"/>
      <c r="TX175" s="11"/>
      <c r="TY175" s="11"/>
      <c r="TZ175" s="11"/>
      <c r="UA175" s="11"/>
      <c r="UB175" s="11"/>
      <c r="UC175" s="11"/>
      <c r="UD175" s="11"/>
      <c r="UE175" s="11"/>
      <c r="UF175" s="11"/>
      <c r="UG175" s="11"/>
      <c r="UH175" s="11"/>
      <c r="UI175" s="11"/>
      <c r="UJ175" s="11"/>
      <c r="UK175" s="11"/>
      <c r="UL175" s="11"/>
      <c r="UM175" s="11"/>
      <c r="UN175" s="11"/>
      <c r="UO175" s="11"/>
      <c r="UP175" s="11"/>
      <c r="UQ175" s="11"/>
      <c r="UR175" s="11"/>
      <c r="US175" s="11"/>
      <c r="UT175" s="11"/>
      <c r="UU175" s="11"/>
      <c r="UV175" s="11"/>
      <c r="UW175" s="11"/>
      <c r="UX175" s="11"/>
      <c r="UY175" s="11"/>
      <c r="UZ175" s="11"/>
      <c r="VA175" s="11"/>
      <c r="VB175" s="11"/>
      <c r="VC175" s="11"/>
      <c r="VD175" s="11"/>
      <c r="VE175" s="11"/>
      <c r="VF175" s="11"/>
      <c r="VG175" s="11"/>
      <c r="VH175" s="11"/>
      <c r="VI175" s="11"/>
      <c r="VJ175" s="11"/>
      <c r="VK175" s="11"/>
      <c r="VL175" s="11"/>
      <c r="VM175" s="11"/>
      <c r="VN175" s="11"/>
      <c r="VO175" s="11"/>
      <c r="VP175" s="11"/>
      <c r="VQ175" s="11"/>
      <c r="VR175" s="11"/>
      <c r="VS175" s="11"/>
      <c r="VT175" s="11"/>
      <c r="VU175" s="11"/>
      <c r="VV175" s="11"/>
      <c r="VW175" s="11"/>
      <c r="VX175" s="11"/>
      <c r="VY175" s="11"/>
      <c r="VZ175" s="11"/>
      <c r="WA175" s="11"/>
      <c r="WB175" s="11"/>
      <c r="WC175" s="11"/>
      <c r="WD175" s="11"/>
      <c r="WE175" s="11"/>
      <c r="WF175" s="11"/>
      <c r="WG175" s="11"/>
      <c r="WH175" s="11"/>
      <c r="WI175" s="11"/>
      <c r="WJ175" s="11"/>
      <c r="WK175" s="11"/>
      <c r="WL175" s="11"/>
      <c r="WM175" s="11"/>
      <c r="WN175" s="11"/>
      <c r="WO175" s="11"/>
      <c r="WP175" s="11"/>
      <c r="WQ175" s="11"/>
      <c r="WR175" s="11"/>
      <c r="WS175" s="11"/>
      <c r="WT175" s="11"/>
      <c r="WU175" s="11"/>
      <c r="WV175" s="11"/>
      <c r="WW175" s="11"/>
      <c r="WX175" s="11"/>
      <c r="WY175" s="11"/>
      <c r="WZ175" s="11"/>
      <c r="XA175" s="11"/>
      <c r="XB175" s="11"/>
      <c r="XC175" s="11"/>
      <c r="XD175" s="11"/>
      <c r="XE175" s="11"/>
      <c r="XF175" s="11"/>
      <c r="XG175" s="11"/>
      <c r="XH175" s="11"/>
      <c r="XI175" s="11"/>
      <c r="XJ175" s="11"/>
      <c r="XK175" s="11"/>
      <c r="XL175" s="11"/>
      <c r="XM175" s="11"/>
      <c r="XN175" s="11"/>
      <c r="XO175" s="11"/>
      <c r="XP175" s="11"/>
      <c r="XQ175" s="11"/>
      <c r="XR175" s="11"/>
      <c r="XS175" s="11"/>
      <c r="XT175" s="11"/>
      <c r="XU175" s="11"/>
      <c r="XV175" s="11"/>
      <c r="XW175" s="11"/>
      <c r="XX175" s="11"/>
      <c r="XY175" s="11"/>
      <c r="XZ175" s="11"/>
      <c r="YA175" s="11"/>
      <c r="YB175" s="11"/>
      <c r="YC175" s="11"/>
      <c r="YD175" s="11"/>
      <c r="YE175" s="11"/>
      <c r="YF175" s="11"/>
      <c r="YG175" s="11"/>
      <c r="YH175" s="11"/>
      <c r="YI175" s="11"/>
      <c r="YJ175" s="11"/>
      <c r="YK175" s="11"/>
      <c r="YL175" s="11"/>
      <c r="YM175" s="11"/>
      <c r="YN175" s="11"/>
      <c r="YO175" s="11"/>
      <c r="YP175" s="11"/>
      <c r="YQ175" s="11"/>
      <c r="YR175" s="11"/>
      <c r="YS175" s="11"/>
      <c r="YT175" s="11"/>
      <c r="YU175" s="11"/>
      <c r="YV175" s="11"/>
      <c r="YW175" s="11"/>
      <c r="YX175" s="11"/>
      <c r="YY175" s="11"/>
      <c r="YZ175" s="11"/>
      <c r="ZA175" s="11"/>
      <c r="ZB175" s="11"/>
      <c r="ZC175" s="11"/>
      <c r="ZD175" s="11"/>
      <c r="ZE175" s="11"/>
      <c r="ZF175" s="11"/>
      <c r="ZG175" s="11"/>
      <c r="ZH175" s="11"/>
      <c r="ZI175" s="11"/>
      <c r="ZJ175" s="11"/>
      <c r="ZK175" s="11"/>
      <c r="ZL175" s="11"/>
      <c r="ZM175" s="11"/>
      <c r="ZN175" s="11"/>
      <c r="ZO175" s="11"/>
      <c r="ZP175" s="11"/>
      <c r="ZQ175" s="11"/>
      <c r="ZR175" s="11"/>
      <c r="ZS175" s="11"/>
      <c r="ZT175" s="11"/>
      <c r="ZU175" s="11"/>
      <c r="ZV175" s="11"/>
      <c r="ZW175" s="11"/>
      <c r="ZX175" s="11"/>
      <c r="ZY175" s="11"/>
      <c r="ZZ175" s="11"/>
      <c r="AAA175" s="11"/>
      <c r="AAB175" s="11"/>
      <c r="AAC175" s="11"/>
      <c r="AAD175" s="11"/>
      <c r="AAE175" s="11"/>
      <c r="AAF175" s="11"/>
      <c r="AAG175" s="11"/>
      <c r="AAH175" s="11"/>
      <c r="AAI175" s="11"/>
      <c r="AAJ175" s="11"/>
      <c r="AAK175" s="11"/>
      <c r="AAL175" s="11"/>
      <c r="AAM175" s="11"/>
      <c r="AAN175" s="11"/>
      <c r="AAO175" s="11"/>
      <c r="AAP175" s="11"/>
      <c r="AAQ175" s="11"/>
      <c r="AAR175" s="11"/>
      <c r="AAS175" s="11"/>
      <c r="AAT175" s="11"/>
      <c r="AAU175" s="11"/>
      <c r="AAV175" s="11"/>
      <c r="AAW175" s="11"/>
      <c r="AAX175" s="11"/>
      <c r="AAY175" s="11"/>
      <c r="AAZ175" s="11"/>
      <c r="ABA175" s="11"/>
      <c r="ABB175" s="11"/>
      <c r="ABC175" s="11"/>
      <c r="ABD175" s="11"/>
      <c r="ABE175" s="11"/>
      <c r="ABF175" s="11"/>
      <c r="ABG175" s="11"/>
      <c r="ABH175" s="11"/>
      <c r="ABI175" s="11"/>
      <c r="ABJ175" s="11"/>
      <c r="ABK175" s="11"/>
      <c r="ABL175" s="11"/>
      <c r="ABM175" s="11"/>
      <c r="ABN175" s="11"/>
      <c r="ABO175" s="11"/>
      <c r="ABP175" s="11"/>
      <c r="ABQ175" s="11"/>
      <c r="ABR175" s="11"/>
      <c r="ABS175" s="11"/>
      <c r="ABT175" s="11"/>
      <c r="ABU175" s="11"/>
      <c r="ABV175" s="11"/>
      <c r="ABW175" s="11"/>
      <c r="ABX175" s="11"/>
      <c r="ABY175" s="11"/>
      <c r="ABZ175" s="11"/>
      <c r="ACA175" s="11"/>
      <c r="ACB175" s="11"/>
      <c r="ACC175" s="11"/>
      <c r="ACD175" s="11"/>
      <c r="ACE175" s="11"/>
      <c r="ACF175" s="11"/>
      <c r="ACG175" s="11"/>
      <c r="ACH175" s="11"/>
      <c r="ACI175" s="11"/>
      <c r="ACJ175" s="11"/>
      <c r="ACK175" s="11"/>
      <c r="ACL175" s="11"/>
      <c r="ACM175" s="11"/>
      <c r="ACN175" s="11"/>
      <c r="ACO175" s="11"/>
      <c r="ACP175" s="11"/>
      <c r="ACQ175" s="11"/>
      <c r="ACR175" s="11"/>
      <c r="ACS175" s="11"/>
      <c r="ACT175" s="11"/>
      <c r="ACU175" s="11"/>
      <c r="ACV175" s="11"/>
      <c r="ACW175" s="11"/>
      <c r="ACX175" s="11"/>
      <c r="ACY175" s="11"/>
      <c r="ACZ175" s="11"/>
      <c r="ADA175" s="11"/>
      <c r="ADB175" s="11"/>
      <c r="ADC175" s="11"/>
      <c r="ADD175" s="11"/>
      <c r="ADE175" s="11"/>
      <c r="ADF175" s="11"/>
      <c r="ADG175" s="11"/>
      <c r="ADH175" s="11"/>
      <c r="ADI175" s="11"/>
      <c r="ADJ175" s="11"/>
      <c r="ADK175" s="11"/>
      <c r="ADL175" s="11"/>
      <c r="ADM175" s="11"/>
      <c r="ADN175" s="11"/>
      <c r="ADO175" s="11"/>
      <c r="ADP175" s="11"/>
      <c r="ADQ175" s="11"/>
      <c r="ADR175" s="11"/>
      <c r="ADS175" s="11"/>
      <c r="ADT175" s="11"/>
      <c r="ADU175" s="11"/>
      <c r="ADV175" s="11"/>
      <c r="ADW175" s="11"/>
      <c r="ADX175" s="11"/>
      <c r="ADY175" s="11"/>
      <c r="ADZ175" s="11"/>
      <c r="AEA175" s="11"/>
      <c r="AEB175" s="11"/>
      <c r="AEC175" s="11"/>
      <c r="AED175" s="11"/>
      <c r="AEE175" s="11"/>
      <c r="AEF175" s="11"/>
      <c r="AEG175" s="11"/>
      <c r="AEH175" s="11"/>
      <c r="AEI175" s="11"/>
      <c r="AEJ175" s="11"/>
      <c r="AEK175" s="11"/>
      <c r="AEL175" s="11"/>
      <c r="AEM175" s="11"/>
      <c r="AEN175" s="11"/>
      <c r="AEO175" s="11"/>
      <c r="AEP175" s="11"/>
      <c r="AEQ175" s="11"/>
      <c r="AER175" s="11"/>
      <c r="AES175" s="11"/>
      <c r="AET175" s="11"/>
      <c r="AEU175" s="11"/>
      <c r="AEV175" s="11"/>
      <c r="AEW175" s="11"/>
      <c r="AEX175" s="11"/>
      <c r="AEY175" s="11"/>
      <c r="AEZ175" s="11"/>
      <c r="AFA175" s="11"/>
      <c r="AFB175" s="11"/>
      <c r="AFC175" s="11"/>
      <c r="AFD175" s="11"/>
      <c r="AFE175" s="11"/>
      <c r="AFF175" s="11"/>
      <c r="AFG175" s="11"/>
      <c r="AFH175" s="11"/>
      <c r="AFI175" s="11"/>
    </row>
    <row r="176" spans="2:84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1"/>
      <c r="LV176" s="11"/>
      <c r="LW176" s="11"/>
      <c r="LX176" s="11"/>
      <c r="LY176" s="11"/>
      <c r="LZ176" s="11"/>
      <c r="MA176" s="11"/>
      <c r="MB176" s="11"/>
      <c r="MC176" s="11"/>
      <c r="MD176" s="11"/>
      <c r="ME176" s="11"/>
      <c r="MF176" s="11"/>
      <c r="MG176" s="11"/>
      <c r="MH176" s="11"/>
      <c r="MI176" s="11"/>
      <c r="MJ176" s="11"/>
      <c r="MK176" s="11"/>
      <c r="ML176" s="11"/>
      <c r="MM176" s="11"/>
      <c r="MN176" s="11"/>
      <c r="MO176" s="11"/>
      <c r="MP176" s="11"/>
      <c r="MQ176" s="11"/>
      <c r="MR176" s="11"/>
      <c r="MS176" s="11"/>
      <c r="MT176" s="11"/>
      <c r="MU176" s="11"/>
      <c r="MV176" s="11"/>
      <c r="MW176" s="11"/>
      <c r="MX176" s="11"/>
      <c r="MY176" s="11"/>
      <c r="MZ176" s="11"/>
      <c r="NA176" s="11"/>
      <c r="NB176" s="11"/>
      <c r="NC176" s="11"/>
      <c r="ND176" s="11"/>
      <c r="NE176" s="11"/>
      <c r="NF176" s="11"/>
      <c r="NG176" s="11"/>
      <c r="NH176" s="11"/>
      <c r="NI176" s="11"/>
      <c r="NJ176" s="11"/>
      <c r="NK176" s="11"/>
      <c r="NL176" s="11"/>
      <c r="NM176" s="11"/>
      <c r="NN176" s="11"/>
      <c r="NO176" s="11"/>
      <c r="NP176" s="11"/>
      <c r="NQ176" s="11"/>
      <c r="NR176" s="11"/>
      <c r="NS176" s="11"/>
      <c r="NT176" s="11"/>
      <c r="NU176" s="11"/>
      <c r="NV176" s="11"/>
      <c r="NW176" s="11"/>
      <c r="NX176" s="11"/>
      <c r="NY176" s="11"/>
      <c r="NZ176" s="11"/>
      <c r="OA176" s="11"/>
      <c r="OB176" s="11"/>
      <c r="OC176" s="11"/>
      <c r="OD176" s="11"/>
      <c r="OE176" s="11"/>
      <c r="OF176" s="11"/>
      <c r="OG176" s="11"/>
      <c r="OH176" s="11"/>
      <c r="OI176" s="11"/>
      <c r="OJ176" s="11"/>
      <c r="OK176" s="11"/>
      <c r="OL176" s="11"/>
      <c r="OM176" s="11"/>
      <c r="ON176" s="11"/>
      <c r="OO176" s="11"/>
      <c r="OP176" s="11"/>
      <c r="OQ176" s="11"/>
      <c r="OR176" s="11"/>
      <c r="OS176" s="11"/>
      <c r="OT176" s="11"/>
      <c r="OU176" s="11"/>
      <c r="OV176" s="11"/>
      <c r="OW176" s="11"/>
      <c r="OX176" s="11"/>
      <c r="OY176" s="11"/>
      <c r="OZ176" s="11"/>
      <c r="PA176" s="11"/>
      <c r="PB176" s="11"/>
      <c r="PC176" s="11"/>
      <c r="PD176" s="11"/>
      <c r="PE176" s="11"/>
      <c r="PF176" s="11"/>
      <c r="PG176" s="11"/>
      <c r="PH176" s="11"/>
      <c r="PI176" s="11"/>
      <c r="PJ176" s="11"/>
      <c r="PK176" s="11"/>
      <c r="PL176" s="11"/>
      <c r="PM176" s="11"/>
      <c r="PN176" s="11"/>
      <c r="PO176" s="11"/>
      <c r="PP176" s="11"/>
      <c r="PQ176" s="11"/>
      <c r="PR176" s="11"/>
      <c r="PS176" s="11"/>
      <c r="PT176" s="11"/>
      <c r="PU176" s="11"/>
      <c r="PV176" s="11"/>
      <c r="PW176" s="11"/>
      <c r="PX176" s="11"/>
      <c r="PY176" s="11"/>
      <c r="PZ176" s="11"/>
      <c r="QA176" s="11"/>
      <c r="QB176" s="11"/>
      <c r="QC176" s="11"/>
      <c r="QD176" s="11"/>
      <c r="QE176" s="11"/>
      <c r="QF176" s="11"/>
      <c r="QG176" s="11"/>
      <c r="QH176" s="11"/>
      <c r="QI176" s="11"/>
      <c r="QJ176" s="11"/>
      <c r="QK176" s="11"/>
      <c r="QL176" s="11"/>
      <c r="QM176" s="11"/>
      <c r="QN176" s="11"/>
      <c r="QO176" s="11"/>
      <c r="QP176" s="11"/>
      <c r="QQ176" s="11"/>
      <c r="QR176" s="11"/>
      <c r="QS176" s="11"/>
      <c r="QT176" s="11"/>
      <c r="QU176" s="11"/>
      <c r="QV176" s="11"/>
      <c r="QW176" s="11"/>
      <c r="QX176" s="11"/>
      <c r="QY176" s="11"/>
      <c r="QZ176" s="11"/>
      <c r="RA176" s="11"/>
      <c r="RB176" s="11"/>
      <c r="RC176" s="11"/>
      <c r="RD176" s="11"/>
      <c r="RE176" s="11"/>
      <c r="RF176" s="11"/>
      <c r="RG176" s="11"/>
      <c r="RH176" s="11"/>
      <c r="RI176" s="11"/>
      <c r="RJ176" s="11"/>
      <c r="RK176" s="11"/>
      <c r="RL176" s="11"/>
      <c r="RM176" s="11"/>
      <c r="RN176" s="11"/>
      <c r="RO176" s="11"/>
      <c r="RP176" s="11"/>
      <c r="RQ176" s="11"/>
      <c r="RR176" s="11"/>
      <c r="RS176" s="11"/>
      <c r="RT176" s="11"/>
      <c r="RU176" s="11"/>
      <c r="RV176" s="11"/>
      <c r="RW176" s="11"/>
      <c r="RX176" s="11"/>
      <c r="RY176" s="11"/>
      <c r="RZ176" s="11"/>
      <c r="SA176" s="11"/>
      <c r="SB176" s="11"/>
      <c r="SC176" s="11"/>
      <c r="SD176" s="11"/>
      <c r="SE176" s="11"/>
      <c r="SF176" s="11"/>
      <c r="SG176" s="11"/>
      <c r="SH176" s="11"/>
      <c r="SI176" s="11"/>
      <c r="SJ176" s="11"/>
      <c r="SK176" s="11"/>
      <c r="SL176" s="11"/>
      <c r="SM176" s="11"/>
      <c r="SN176" s="11"/>
      <c r="SO176" s="11"/>
      <c r="SP176" s="11"/>
      <c r="SQ176" s="11"/>
      <c r="SR176" s="11"/>
      <c r="SS176" s="11"/>
      <c r="ST176" s="11"/>
      <c r="SU176" s="11"/>
      <c r="SV176" s="11"/>
      <c r="SW176" s="11"/>
      <c r="SX176" s="11"/>
      <c r="SY176" s="11"/>
      <c r="SZ176" s="11"/>
      <c r="TA176" s="11"/>
      <c r="TB176" s="11"/>
      <c r="TC176" s="11"/>
      <c r="TD176" s="11"/>
      <c r="TE176" s="11"/>
      <c r="TF176" s="11"/>
      <c r="TG176" s="11"/>
      <c r="TH176" s="11"/>
      <c r="TI176" s="11"/>
      <c r="TJ176" s="11"/>
      <c r="TK176" s="11"/>
      <c r="TL176" s="11"/>
      <c r="TM176" s="11"/>
      <c r="TN176" s="11"/>
      <c r="TO176" s="11"/>
      <c r="TP176" s="11"/>
      <c r="TQ176" s="11"/>
      <c r="TR176" s="11"/>
      <c r="TS176" s="11"/>
      <c r="TT176" s="11"/>
      <c r="TU176" s="11"/>
      <c r="TV176" s="11"/>
      <c r="TW176" s="11"/>
      <c r="TX176" s="11"/>
      <c r="TY176" s="11"/>
      <c r="TZ176" s="11"/>
      <c r="UA176" s="11"/>
      <c r="UB176" s="11"/>
      <c r="UC176" s="11"/>
      <c r="UD176" s="11"/>
      <c r="UE176" s="11"/>
      <c r="UF176" s="11"/>
      <c r="UG176" s="11"/>
      <c r="UH176" s="11"/>
      <c r="UI176" s="11"/>
      <c r="UJ176" s="11"/>
      <c r="UK176" s="11"/>
      <c r="UL176" s="11"/>
      <c r="UM176" s="11"/>
      <c r="UN176" s="11"/>
      <c r="UO176" s="11"/>
      <c r="UP176" s="11"/>
      <c r="UQ176" s="11"/>
      <c r="UR176" s="11"/>
      <c r="US176" s="11"/>
      <c r="UT176" s="11"/>
      <c r="UU176" s="11"/>
      <c r="UV176" s="11"/>
      <c r="UW176" s="11"/>
      <c r="UX176" s="11"/>
      <c r="UY176" s="11"/>
      <c r="UZ176" s="11"/>
      <c r="VA176" s="11"/>
      <c r="VB176" s="11"/>
      <c r="VC176" s="11"/>
      <c r="VD176" s="11"/>
      <c r="VE176" s="11"/>
      <c r="VF176" s="11"/>
      <c r="VG176" s="11"/>
      <c r="VH176" s="11"/>
      <c r="VI176" s="11"/>
      <c r="VJ176" s="11"/>
      <c r="VK176" s="11"/>
      <c r="VL176" s="11"/>
      <c r="VM176" s="11"/>
      <c r="VN176" s="11"/>
      <c r="VO176" s="11"/>
      <c r="VP176" s="11"/>
      <c r="VQ176" s="11"/>
      <c r="VR176" s="11"/>
      <c r="VS176" s="11"/>
      <c r="VT176" s="11"/>
      <c r="VU176" s="11"/>
      <c r="VV176" s="11"/>
      <c r="VW176" s="11"/>
      <c r="VX176" s="11"/>
      <c r="VY176" s="11"/>
      <c r="VZ176" s="11"/>
      <c r="WA176" s="11"/>
      <c r="WB176" s="11"/>
      <c r="WC176" s="11"/>
      <c r="WD176" s="11"/>
      <c r="WE176" s="11"/>
      <c r="WF176" s="11"/>
      <c r="WG176" s="11"/>
      <c r="WH176" s="11"/>
      <c r="WI176" s="11"/>
      <c r="WJ176" s="11"/>
      <c r="WK176" s="11"/>
      <c r="WL176" s="11"/>
      <c r="WM176" s="11"/>
      <c r="WN176" s="11"/>
      <c r="WO176" s="11"/>
      <c r="WP176" s="11"/>
      <c r="WQ176" s="11"/>
      <c r="WR176" s="11"/>
      <c r="WS176" s="11"/>
      <c r="WT176" s="11"/>
      <c r="WU176" s="11"/>
      <c r="WV176" s="11"/>
      <c r="WW176" s="11"/>
      <c r="WX176" s="11"/>
      <c r="WY176" s="11"/>
      <c r="WZ176" s="11"/>
      <c r="XA176" s="11"/>
      <c r="XB176" s="11"/>
      <c r="XC176" s="11"/>
      <c r="XD176" s="11"/>
      <c r="XE176" s="11"/>
      <c r="XF176" s="11"/>
      <c r="XG176" s="11"/>
      <c r="XH176" s="11"/>
      <c r="XI176" s="11"/>
      <c r="XJ176" s="11"/>
      <c r="XK176" s="11"/>
      <c r="XL176" s="11"/>
      <c r="XM176" s="11"/>
      <c r="XN176" s="11"/>
      <c r="XO176" s="11"/>
      <c r="XP176" s="11"/>
      <c r="XQ176" s="11"/>
      <c r="XR176" s="11"/>
      <c r="XS176" s="11"/>
      <c r="XT176" s="11"/>
      <c r="XU176" s="11"/>
      <c r="XV176" s="11"/>
      <c r="XW176" s="11"/>
      <c r="XX176" s="11"/>
      <c r="XY176" s="11"/>
      <c r="XZ176" s="11"/>
      <c r="YA176" s="11"/>
      <c r="YB176" s="11"/>
      <c r="YC176" s="11"/>
      <c r="YD176" s="11"/>
      <c r="YE176" s="11"/>
      <c r="YF176" s="11"/>
      <c r="YG176" s="11"/>
      <c r="YH176" s="11"/>
      <c r="YI176" s="11"/>
      <c r="YJ176" s="11"/>
      <c r="YK176" s="11"/>
      <c r="YL176" s="11"/>
      <c r="YM176" s="11"/>
      <c r="YN176" s="11"/>
      <c r="YO176" s="11"/>
      <c r="YP176" s="11"/>
      <c r="YQ176" s="11"/>
      <c r="YR176" s="11"/>
      <c r="YS176" s="11"/>
      <c r="YT176" s="11"/>
      <c r="YU176" s="11"/>
      <c r="YV176" s="11"/>
      <c r="YW176" s="11"/>
      <c r="YX176" s="11"/>
      <c r="YY176" s="11"/>
      <c r="YZ176" s="11"/>
      <c r="ZA176" s="11"/>
      <c r="ZB176" s="11"/>
      <c r="ZC176" s="11"/>
      <c r="ZD176" s="11"/>
      <c r="ZE176" s="11"/>
      <c r="ZF176" s="11"/>
      <c r="ZG176" s="11"/>
      <c r="ZH176" s="11"/>
      <c r="ZI176" s="11"/>
      <c r="ZJ176" s="11"/>
      <c r="ZK176" s="11"/>
      <c r="ZL176" s="11"/>
      <c r="ZM176" s="11"/>
      <c r="ZN176" s="11"/>
      <c r="ZO176" s="11"/>
      <c r="ZP176" s="11"/>
      <c r="ZQ176" s="11"/>
      <c r="ZR176" s="11"/>
      <c r="ZS176" s="11"/>
      <c r="ZT176" s="11"/>
      <c r="ZU176" s="11"/>
      <c r="ZV176" s="11"/>
      <c r="ZW176" s="11"/>
      <c r="ZX176" s="11"/>
      <c r="ZY176" s="11"/>
      <c r="ZZ176" s="11"/>
      <c r="AAA176" s="11"/>
      <c r="AAB176" s="11"/>
      <c r="AAC176" s="11"/>
      <c r="AAD176" s="11"/>
      <c r="AAE176" s="11"/>
      <c r="AAF176" s="11"/>
      <c r="AAG176" s="11"/>
      <c r="AAH176" s="11"/>
      <c r="AAI176" s="11"/>
      <c r="AAJ176" s="11"/>
      <c r="AAK176" s="11"/>
      <c r="AAL176" s="11"/>
      <c r="AAM176" s="11"/>
      <c r="AAN176" s="11"/>
      <c r="AAO176" s="11"/>
      <c r="AAP176" s="11"/>
      <c r="AAQ176" s="11"/>
      <c r="AAR176" s="11"/>
      <c r="AAS176" s="11"/>
      <c r="AAT176" s="11"/>
      <c r="AAU176" s="11"/>
      <c r="AAV176" s="11"/>
      <c r="AAW176" s="11"/>
      <c r="AAX176" s="11"/>
      <c r="AAY176" s="11"/>
      <c r="AAZ176" s="11"/>
      <c r="ABA176" s="11"/>
      <c r="ABB176" s="11"/>
      <c r="ABC176" s="11"/>
      <c r="ABD176" s="11"/>
      <c r="ABE176" s="11"/>
      <c r="ABF176" s="11"/>
      <c r="ABG176" s="11"/>
      <c r="ABH176" s="11"/>
      <c r="ABI176" s="11"/>
      <c r="ABJ176" s="11"/>
      <c r="ABK176" s="11"/>
      <c r="ABL176" s="11"/>
      <c r="ABM176" s="11"/>
      <c r="ABN176" s="11"/>
      <c r="ABO176" s="11"/>
      <c r="ABP176" s="11"/>
      <c r="ABQ176" s="11"/>
      <c r="ABR176" s="11"/>
      <c r="ABS176" s="11"/>
      <c r="ABT176" s="11"/>
      <c r="ABU176" s="11"/>
      <c r="ABV176" s="11"/>
      <c r="ABW176" s="11"/>
      <c r="ABX176" s="11"/>
      <c r="ABY176" s="11"/>
      <c r="ABZ176" s="11"/>
      <c r="ACA176" s="11"/>
      <c r="ACB176" s="11"/>
      <c r="ACC176" s="11"/>
      <c r="ACD176" s="11"/>
      <c r="ACE176" s="11"/>
      <c r="ACF176" s="11"/>
      <c r="ACG176" s="11"/>
      <c r="ACH176" s="11"/>
      <c r="ACI176" s="11"/>
      <c r="ACJ176" s="11"/>
      <c r="ACK176" s="11"/>
      <c r="ACL176" s="11"/>
      <c r="ACM176" s="11"/>
      <c r="ACN176" s="11"/>
      <c r="ACO176" s="11"/>
      <c r="ACP176" s="11"/>
      <c r="ACQ176" s="11"/>
      <c r="ACR176" s="11"/>
      <c r="ACS176" s="11"/>
      <c r="ACT176" s="11"/>
      <c r="ACU176" s="11"/>
      <c r="ACV176" s="11"/>
      <c r="ACW176" s="11"/>
      <c r="ACX176" s="11"/>
      <c r="ACY176" s="11"/>
      <c r="ACZ176" s="11"/>
      <c r="ADA176" s="11"/>
      <c r="ADB176" s="11"/>
      <c r="ADC176" s="11"/>
      <c r="ADD176" s="11"/>
      <c r="ADE176" s="11"/>
      <c r="ADF176" s="11"/>
      <c r="ADG176" s="11"/>
      <c r="ADH176" s="11"/>
      <c r="ADI176" s="11"/>
      <c r="ADJ176" s="11"/>
      <c r="ADK176" s="11"/>
      <c r="ADL176" s="11"/>
      <c r="ADM176" s="11"/>
      <c r="ADN176" s="11"/>
      <c r="ADO176" s="11"/>
      <c r="ADP176" s="11"/>
      <c r="ADQ176" s="11"/>
      <c r="ADR176" s="11"/>
      <c r="ADS176" s="11"/>
      <c r="ADT176" s="11"/>
      <c r="ADU176" s="11"/>
      <c r="ADV176" s="11"/>
      <c r="ADW176" s="11"/>
      <c r="ADX176" s="11"/>
      <c r="ADY176" s="11"/>
      <c r="ADZ176" s="11"/>
      <c r="AEA176" s="11"/>
      <c r="AEB176" s="11"/>
      <c r="AEC176" s="11"/>
      <c r="AED176" s="11"/>
      <c r="AEE176" s="11"/>
      <c r="AEF176" s="11"/>
      <c r="AEG176" s="11"/>
      <c r="AEH176" s="11"/>
      <c r="AEI176" s="11"/>
      <c r="AEJ176" s="11"/>
      <c r="AEK176" s="11"/>
      <c r="AEL176" s="11"/>
      <c r="AEM176" s="11"/>
      <c r="AEN176" s="11"/>
      <c r="AEO176" s="11"/>
      <c r="AEP176" s="11"/>
      <c r="AEQ176" s="11"/>
      <c r="AER176" s="11"/>
      <c r="AES176" s="11"/>
      <c r="AET176" s="11"/>
      <c r="AEU176" s="11"/>
      <c r="AEV176" s="11"/>
      <c r="AEW176" s="11"/>
      <c r="AEX176" s="11"/>
      <c r="AEY176" s="11"/>
      <c r="AEZ176" s="11"/>
      <c r="AFA176" s="11"/>
      <c r="AFB176" s="11"/>
      <c r="AFC176" s="11"/>
      <c r="AFD176" s="11"/>
      <c r="AFE176" s="11"/>
      <c r="AFF176" s="11"/>
      <c r="AFG176" s="11"/>
      <c r="AFH176" s="11"/>
      <c r="AFI176" s="11"/>
    </row>
    <row r="177" spans="2:84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1"/>
      <c r="LV177" s="11"/>
      <c r="LW177" s="11"/>
      <c r="LX177" s="11"/>
      <c r="LY177" s="11"/>
      <c r="LZ177" s="11"/>
      <c r="MA177" s="11"/>
      <c r="MB177" s="11"/>
      <c r="MC177" s="11"/>
      <c r="MD177" s="11"/>
      <c r="ME177" s="11"/>
      <c r="MF177" s="11"/>
      <c r="MG177" s="11"/>
      <c r="MH177" s="11"/>
      <c r="MI177" s="11"/>
      <c r="MJ177" s="11"/>
      <c r="MK177" s="11"/>
      <c r="ML177" s="11"/>
      <c r="MM177" s="11"/>
      <c r="MN177" s="11"/>
      <c r="MO177" s="11"/>
      <c r="MP177" s="11"/>
      <c r="MQ177" s="11"/>
      <c r="MR177" s="11"/>
      <c r="MS177" s="11"/>
      <c r="MT177" s="11"/>
      <c r="MU177" s="11"/>
      <c r="MV177" s="11"/>
      <c r="MW177" s="11"/>
      <c r="MX177" s="11"/>
      <c r="MY177" s="11"/>
      <c r="MZ177" s="11"/>
      <c r="NA177" s="11"/>
      <c r="NB177" s="11"/>
      <c r="NC177" s="11"/>
      <c r="ND177" s="11"/>
      <c r="NE177" s="11"/>
      <c r="NF177" s="11"/>
      <c r="NG177" s="11"/>
      <c r="NH177" s="11"/>
      <c r="NI177" s="11"/>
      <c r="NJ177" s="11"/>
      <c r="NK177" s="11"/>
      <c r="NL177" s="11"/>
      <c r="NM177" s="11"/>
      <c r="NN177" s="11"/>
      <c r="NO177" s="11"/>
      <c r="NP177" s="11"/>
      <c r="NQ177" s="11"/>
      <c r="NR177" s="11"/>
      <c r="NS177" s="11"/>
      <c r="NT177" s="11"/>
      <c r="NU177" s="11"/>
      <c r="NV177" s="11"/>
      <c r="NW177" s="11"/>
      <c r="NX177" s="11"/>
      <c r="NY177" s="11"/>
      <c r="NZ177" s="11"/>
      <c r="OA177" s="11"/>
      <c r="OB177" s="11"/>
      <c r="OC177" s="11"/>
      <c r="OD177" s="11"/>
      <c r="OE177" s="11"/>
      <c r="OF177" s="11"/>
      <c r="OG177" s="11"/>
      <c r="OH177" s="11"/>
      <c r="OI177" s="11"/>
      <c r="OJ177" s="11"/>
      <c r="OK177" s="11"/>
      <c r="OL177" s="11"/>
      <c r="OM177" s="11"/>
      <c r="ON177" s="11"/>
      <c r="OO177" s="11"/>
      <c r="OP177" s="11"/>
      <c r="OQ177" s="11"/>
      <c r="OR177" s="11"/>
      <c r="OS177" s="11"/>
      <c r="OT177" s="11"/>
      <c r="OU177" s="11"/>
      <c r="OV177" s="11"/>
      <c r="OW177" s="11"/>
      <c r="OX177" s="11"/>
      <c r="OY177" s="11"/>
      <c r="OZ177" s="11"/>
      <c r="PA177" s="11"/>
      <c r="PB177" s="11"/>
      <c r="PC177" s="11"/>
      <c r="PD177" s="11"/>
      <c r="PE177" s="11"/>
      <c r="PF177" s="11"/>
      <c r="PG177" s="11"/>
      <c r="PH177" s="11"/>
      <c r="PI177" s="11"/>
      <c r="PJ177" s="11"/>
      <c r="PK177" s="11"/>
      <c r="PL177" s="11"/>
      <c r="PM177" s="11"/>
      <c r="PN177" s="11"/>
      <c r="PO177" s="11"/>
      <c r="PP177" s="11"/>
      <c r="PQ177" s="11"/>
      <c r="PR177" s="11"/>
      <c r="PS177" s="11"/>
      <c r="PT177" s="11"/>
      <c r="PU177" s="11"/>
      <c r="PV177" s="11"/>
      <c r="PW177" s="11"/>
      <c r="PX177" s="11"/>
      <c r="PY177" s="11"/>
      <c r="PZ177" s="11"/>
      <c r="QA177" s="11"/>
      <c r="QB177" s="11"/>
      <c r="QC177" s="11"/>
      <c r="QD177" s="11"/>
      <c r="QE177" s="11"/>
      <c r="QF177" s="11"/>
      <c r="QG177" s="11"/>
      <c r="QH177" s="11"/>
      <c r="QI177" s="11"/>
      <c r="QJ177" s="11"/>
      <c r="QK177" s="11"/>
      <c r="QL177" s="11"/>
      <c r="QM177" s="11"/>
      <c r="QN177" s="11"/>
      <c r="QO177" s="11"/>
      <c r="QP177" s="11"/>
      <c r="QQ177" s="11"/>
      <c r="QR177" s="11"/>
      <c r="QS177" s="11"/>
      <c r="QT177" s="11"/>
      <c r="QU177" s="11"/>
      <c r="QV177" s="11"/>
      <c r="QW177" s="11"/>
      <c r="QX177" s="11"/>
      <c r="QY177" s="11"/>
      <c r="QZ177" s="11"/>
      <c r="RA177" s="11"/>
      <c r="RB177" s="11"/>
      <c r="RC177" s="11"/>
      <c r="RD177" s="11"/>
      <c r="RE177" s="11"/>
      <c r="RF177" s="11"/>
      <c r="RG177" s="11"/>
      <c r="RH177" s="11"/>
      <c r="RI177" s="11"/>
      <c r="RJ177" s="11"/>
      <c r="RK177" s="11"/>
      <c r="RL177" s="11"/>
      <c r="RM177" s="11"/>
      <c r="RN177" s="11"/>
      <c r="RO177" s="11"/>
      <c r="RP177" s="11"/>
      <c r="RQ177" s="11"/>
      <c r="RR177" s="11"/>
      <c r="RS177" s="11"/>
      <c r="RT177" s="11"/>
      <c r="RU177" s="11"/>
      <c r="RV177" s="11"/>
      <c r="RW177" s="11"/>
      <c r="RX177" s="11"/>
      <c r="RY177" s="11"/>
      <c r="RZ177" s="11"/>
      <c r="SA177" s="11"/>
      <c r="SB177" s="11"/>
      <c r="SC177" s="11"/>
      <c r="SD177" s="11"/>
      <c r="SE177" s="11"/>
      <c r="SF177" s="11"/>
      <c r="SG177" s="11"/>
      <c r="SH177" s="11"/>
      <c r="SI177" s="11"/>
      <c r="SJ177" s="11"/>
      <c r="SK177" s="11"/>
      <c r="SL177" s="11"/>
      <c r="SM177" s="11"/>
      <c r="SN177" s="11"/>
      <c r="SO177" s="11"/>
      <c r="SP177" s="11"/>
      <c r="SQ177" s="11"/>
      <c r="SR177" s="11"/>
      <c r="SS177" s="11"/>
      <c r="ST177" s="11"/>
      <c r="SU177" s="11"/>
      <c r="SV177" s="11"/>
      <c r="SW177" s="11"/>
      <c r="SX177" s="11"/>
      <c r="SY177" s="11"/>
      <c r="SZ177" s="11"/>
      <c r="TA177" s="11"/>
      <c r="TB177" s="11"/>
      <c r="TC177" s="11"/>
      <c r="TD177" s="11"/>
      <c r="TE177" s="11"/>
      <c r="TF177" s="11"/>
      <c r="TG177" s="11"/>
      <c r="TH177" s="11"/>
      <c r="TI177" s="11"/>
      <c r="TJ177" s="11"/>
      <c r="TK177" s="11"/>
      <c r="TL177" s="11"/>
      <c r="TM177" s="11"/>
      <c r="TN177" s="11"/>
      <c r="TO177" s="11"/>
      <c r="TP177" s="11"/>
      <c r="TQ177" s="11"/>
      <c r="TR177" s="11"/>
      <c r="TS177" s="11"/>
      <c r="TT177" s="11"/>
      <c r="TU177" s="11"/>
      <c r="TV177" s="11"/>
      <c r="TW177" s="11"/>
      <c r="TX177" s="11"/>
      <c r="TY177" s="11"/>
      <c r="TZ177" s="11"/>
      <c r="UA177" s="11"/>
      <c r="UB177" s="11"/>
      <c r="UC177" s="11"/>
      <c r="UD177" s="11"/>
      <c r="UE177" s="11"/>
      <c r="UF177" s="11"/>
      <c r="UG177" s="11"/>
      <c r="UH177" s="11"/>
      <c r="UI177" s="11"/>
      <c r="UJ177" s="11"/>
      <c r="UK177" s="11"/>
      <c r="UL177" s="11"/>
      <c r="UM177" s="11"/>
      <c r="UN177" s="11"/>
      <c r="UO177" s="11"/>
      <c r="UP177" s="11"/>
      <c r="UQ177" s="11"/>
      <c r="UR177" s="11"/>
      <c r="US177" s="11"/>
      <c r="UT177" s="11"/>
      <c r="UU177" s="11"/>
      <c r="UV177" s="11"/>
      <c r="UW177" s="11"/>
      <c r="UX177" s="11"/>
      <c r="UY177" s="11"/>
      <c r="UZ177" s="11"/>
      <c r="VA177" s="11"/>
      <c r="VB177" s="11"/>
      <c r="VC177" s="11"/>
      <c r="VD177" s="11"/>
      <c r="VE177" s="11"/>
      <c r="VF177" s="11"/>
      <c r="VG177" s="11"/>
      <c r="VH177" s="11"/>
      <c r="VI177" s="11"/>
      <c r="VJ177" s="11"/>
      <c r="VK177" s="11"/>
      <c r="VL177" s="11"/>
      <c r="VM177" s="11"/>
      <c r="VN177" s="11"/>
      <c r="VO177" s="11"/>
      <c r="VP177" s="11"/>
      <c r="VQ177" s="11"/>
      <c r="VR177" s="11"/>
      <c r="VS177" s="11"/>
      <c r="VT177" s="11"/>
      <c r="VU177" s="11"/>
      <c r="VV177" s="11"/>
      <c r="VW177" s="11"/>
      <c r="VX177" s="11"/>
      <c r="VY177" s="11"/>
      <c r="VZ177" s="11"/>
      <c r="WA177" s="11"/>
      <c r="WB177" s="11"/>
      <c r="WC177" s="11"/>
      <c r="WD177" s="11"/>
      <c r="WE177" s="11"/>
      <c r="WF177" s="11"/>
      <c r="WG177" s="11"/>
      <c r="WH177" s="11"/>
      <c r="WI177" s="11"/>
      <c r="WJ177" s="11"/>
      <c r="WK177" s="11"/>
      <c r="WL177" s="11"/>
      <c r="WM177" s="11"/>
      <c r="WN177" s="11"/>
      <c r="WO177" s="11"/>
      <c r="WP177" s="11"/>
      <c r="WQ177" s="11"/>
      <c r="WR177" s="11"/>
      <c r="WS177" s="11"/>
      <c r="WT177" s="11"/>
      <c r="WU177" s="11"/>
      <c r="WV177" s="11"/>
      <c r="WW177" s="11"/>
      <c r="WX177" s="11"/>
      <c r="WY177" s="11"/>
      <c r="WZ177" s="11"/>
      <c r="XA177" s="11"/>
      <c r="XB177" s="11"/>
      <c r="XC177" s="11"/>
      <c r="XD177" s="11"/>
      <c r="XE177" s="11"/>
      <c r="XF177" s="11"/>
      <c r="XG177" s="11"/>
      <c r="XH177" s="11"/>
      <c r="XI177" s="11"/>
      <c r="XJ177" s="11"/>
      <c r="XK177" s="11"/>
      <c r="XL177" s="11"/>
      <c r="XM177" s="11"/>
      <c r="XN177" s="11"/>
      <c r="XO177" s="11"/>
      <c r="XP177" s="11"/>
      <c r="XQ177" s="11"/>
      <c r="XR177" s="11"/>
      <c r="XS177" s="11"/>
      <c r="XT177" s="11"/>
      <c r="XU177" s="11"/>
      <c r="XV177" s="11"/>
      <c r="XW177" s="11"/>
      <c r="XX177" s="11"/>
      <c r="XY177" s="11"/>
      <c r="XZ177" s="11"/>
      <c r="YA177" s="11"/>
      <c r="YB177" s="11"/>
      <c r="YC177" s="11"/>
      <c r="YD177" s="11"/>
      <c r="YE177" s="11"/>
      <c r="YF177" s="11"/>
      <c r="YG177" s="11"/>
      <c r="YH177" s="11"/>
      <c r="YI177" s="11"/>
      <c r="YJ177" s="11"/>
      <c r="YK177" s="11"/>
      <c r="YL177" s="11"/>
      <c r="YM177" s="11"/>
      <c r="YN177" s="11"/>
      <c r="YO177" s="11"/>
      <c r="YP177" s="11"/>
      <c r="YQ177" s="11"/>
      <c r="YR177" s="11"/>
      <c r="YS177" s="11"/>
      <c r="YT177" s="11"/>
      <c r="YU177" s="11"/>
      <c r="YV177" s="11"/>
      <c r="YW177" s="11"/>
      <c r="YX177" s="11"/>
      <c r="YY177" s="11"/>
      <c r="YZ177" s="11"/>
      <c r="ZA177" s="11"/>
      <c r="ZB177" s="11"/>
      <c r="ZC177" s="11"/>
      <c r="ZD177" s="11"/>
      <c r="ZE177" s="11"/>
      <c r="ZF177" s="11"/>
      <c r="ZG177" s="11"/>
      <c r="ZH177" s="11"/>
      <c r="ZI177" s="11"/>
      <c r="ZJ177" s="11"/>
      <c r="ZK177" s="11"/>
      <c r="ZL177" s="11"/>
      <c r="ZM177" s="11"/>
      <c r="ZN177" s="11"/>
      <c r="ZO177" s="11"/>
      <c r="ZP177" s="11"/>
      <c r="ZQ177" s="11"/>
      <c r="ZR177" s="11"/>
      <c r="ZS177" s="11"/>
      <c r="ZT177" s="11"/>
      <c r="ZU177" s="11"/>
      <c r="ZV177" s="11"/>
      <c r="ZW177" s="11"/>
      <c r="ZX177" s="11"/>
      <c r="ZY177" s="11"/>
      <c r="ZZ177" s="11"/>
      <c r="AAA177" s="11"/>
      <c r="AAB177" s="11"/>
      <c r="AAC177" s="11"/>
      <c r="AAD177" s="11"/>
      <c r="AAE177" s="11"/>
      <c r="AAF177" s="11"/>
      <c r="AAG177" s="11"/>
      <c r="AAH177" s="11"/>
      <c r="AAI177" s="11"/>
      <c r="AAJ177" s="11"/>
      <c r="AAK177" s="11"/>
      <c r="AAL177" s="11"/>
      <c r="AAM177" s="11"/>
      <c r="AAN177" s="11"/>
      <c r="AAO177" s="11"/>
      <c r="AAP177" s="11"/>
      <c r="AAQ177" s="11"/>
      <c r="AAR177" s="11"/>
      <c r="AAS177" s="11"/>
      <c r="AAT177" s="11"/>
      <c r="AAU177" s="11"/>
      <c r="AAV177" s="11"/>
      <c r="AAW177" s="11"/>
      <c r="AAX177" s="11"/>
      <c r="AAY177" s="11"/>
      <c r="AAZ177" s="11"/>
      <c r="ABA177" s="11"/>
      <c r="ABB177" s="11"/>
      <c r="ABC177" s="11"/>
      <c r="ABD177" s="11"/>
      <c r="ABE177" s="11"/>
      <c r="ABF177" s="11"/>
      <c r="ABG177" s="11"/>
      <c r="ABH177" s="11"/>
      <c r="ABI177" s="11"/>
      <c r="ABJ177" s="11"/>
      <c r="ABK177" s="11"/>
      <c r="ABL177" s="11"/>
      <c r="ABM177" s="11"/>
      <c r="ABN177" s="11"/>
      <c r="ABO177" s="11"/>
      <c r="ABP177" s="11"/>
      <c r="ABQ177" s="11"/>
      <c r="ABR177" s="11"/>
      <c r="ABS177" s="11"/>
      <c r="ABT177" s="11"/>
      <c r="ABU177" s="11"/>
      <c r="ABV177" s="11"/>
      <c r="ABW177" s="11"/>
      <c r="ABX177" s="11"/>
      <c r="ABY177" s="11"/>
      <c r="ABZ177" s="11"/>
      <c r="ACA177" s="11"/>
      <c r="ACB177" s="11"/>
      <c r="ACC177" s="11"/>
      <c r="ACD177" s="11"/>
      <c r="ACE177" s="11"/>
      <c r="ACF177" s="11"/>
      <c r="ACG177" s="11"/>
      <c r="ACH177" s="11"/>
      <c r="ACI177" s="11"/>
      <c r="ACJ177" s="11"/>
      <c r="ACK177" s="11"/>
      <c r="ACL177" s="11"/>
      <c r="ACM177" s="11"/>
      <c r="ACN177" s="11"/>
      <c r="ACO177" s="11"/>
      <c r="ACP177" s="11"/>
      <c r="ACQ177" s="11"/>
      <c r="ACR177" s="11"/>
      <c r="ACS177" s="11"/>
      <c r="ACT177" s="11"/>
      <c r="ACU177" s="11"/>
      <c r="ACV177" s="11"/>
      <c r="ACW177" s="11"/>
      <c r="ACX177" s="11"/>
      <c r="ACY177" s="11"/>
      <c r="ACZ177" s="11"/>
      <c r="ADA177" s="11"/>
      <c r="ADB177" s="11"/>
      <c r="ADC177" s="11"/>
      <c r="ADD177" s="11"/>
      <c r="ADE177" s="11"/>
      <c r="ADF177" s="11"/>
      <c r="ADG177" s="11"/>
      <c r="ADH177" s="11"/>
      <c r="ADI177" s="11"/>
      <c r="ADJ177" s="11"/>
      <c r="ADK177" s="11"/>
      <c r="ADL177" s="11"/>
      <c r="ADM177" s="11"/>
      <c r="ADN177" s="11"/>
      <c r="ADO177" s="11"/>
      <c r="ADP177" s="11"/>
      <c r="ADQ177" s="11"/>
      <c r="ADR177" s="11"/>
      <c r="ADS177" s="11"/>
      <c r="ADT177" s="11"/>
      <c r="ADU177" s="11"/>
      <c r="ADV177" s="11"/>
      <c r="ADW177" s="11"/>
      <c r="ADX177" s="11"/>
      <c r="ADY177" s="11"/>
      <c r="ADZ177" s="11"/>
      <c r="AEA177" s="11"/>
      <c r="AEB177" s="11"/>
      <c r="AEC177" s="11"/>
      <c r="AED177" s="11"/>
      <c r="AEE177" s="11"/>
      <c r="AEF177" s="11"/>
      <c r="AEG177" s="11"/>
      <c r="AEH177" s="11"/>
      <c r="AEI177" s="11"/>
      <c r="AEJ177" s="11"/>
      <c r="AEK177" s="11"/>
      <c r="AEL177" s="11"/>
      <c r="AEM177" s="11"/>
      <c r="AEN177" s="11"/>
      <c r="AEO177" s="11"/>
      <c r="AEP177" s="11"/>
      <c r="AEQ177" s="11"/>
      <c r="AER177" s="11"/>
      <c r="AES177" s="11"/>
      <c r="AET177" s="11"/>
      <c r="AEU177" s="11"/>
      <c r="AEV177" s="11"/>
      <c r="AEW177" s="11"/>
      <c r="AEX177" s="11"/>
      <c r="AEY177" s="11"/>
      <c r="AEZ177" s="11"/>
      <c r="AFA177" s="11"/>
      <c r="AFB177" s="11"/>
      <c r="AFC177" s="11"/>
      <c r="AFD177" s="11"/>
      <c r="AFE177" s="11"/>
      <c r="AFF177" s="11"/>
      <c r="AFG177" s="11"/>
      <c r="AFH177" s="11"/>
      <c r="AFI177" s="11"/>
    </row>
    <row r="178" spans="2:84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1"/>
      <c r="LV178" s="11"/>
      <c r="LW178" s="11"/>
      <c r="LX178" s="11"/>
      <c r="LY178" s="11"/>
      <c r="LZ178" s="11"/>
      <c r="MA178" s="11"/>
      <c r="MB178" s="11"/>
      <c r="MC178" s="11"/>
      <c r="MD178" s="11"/>
      <c r="ME178" s="11"/>
      <c r="MF178" s="11"/>
      <c r="MG178" s="11"/>
      <c r="MH178" s="11"/>
      <c r="MI178" s="11"/>
      <c r="MJ178" s="11"/>
      <c r="MK178" s="11"/>
      <c r="ML178" s="11"/>
      <c r="MM178" s="11"/>
      <c r="MN178" s="11"/>
      <c r="MO178" s="11"/>
      <c r="MP178" s="11"/>
      <c r="MQ178" s="11"/>
      <c r="MR178" s="11"/>
      <c r="MS178" s="11"/>
      <c r="MT178" s="11"/>
      <c r="MU178" s="11"/>
      <c r="MV178" s="11"/>
      <c r="MW178" s="11"/>
      <c r="MX178" s="11"/>
      <c r="MY178" s="11"/>
      <c r="MZ178" s="11"/>
      <c r="NA178" s="11"/>
      <c r="NB178" s="11"/>
      <c r="NC178" s="11"/>
      <c r="ND178" s="11"/>
      <c r="NE178" s="11"/>
      <c r="NF178" s="11"/>
      <c r="NG178" s="11"/>
      <c r="NH178" s="11"/>
      <c r="NI178" s="11"/>
      <c r="NJ178" s="11"/>
      <c r="NK178" s="11"/>
      <c r="NL178" s="11"/>
      <c r="NM178" s="11"/>
      <c r="NN178" s="11"/>
      <c r="NO178" s="11"/>
      <c r="NP178" s="11"/>
      <c r="NQ178" s="11"/>
      <c r="NR178" s="11"/>
      <c r="NS178" s="11"/>
      <c r="NT178" s="11"/>
      <c r="NU178" s="11"/>
      <c r="NV178" s="11"/>
      <c r="NW178" s="11"/>
      <c r="NX178" s="11"/>
      <c r="NY178" s="11"/>
      <c r="NZ178" s="11"/>
      <c r="OA178" s="11"/>
      <c r="OB178" s="11"/>
      <c r="OC178" s="11"/>
      <c r="OD178" s="11"/>
      <c r="OE178" s="11"/>
      <c r="OF178" s="11"/>
      <c r="OG178" s="11"/>
      <c r="OH178" s="11"/>
      <c r="OI178" s="11"/>
      <c r="OJ178" s="11"/>
      <c r="OK178" s="11"/>
      <c r="OL178" s="11"/>
      <c r="OM178" s="11"/>
      <c r="ON178" s="11"/>
      <c r="OO178" s="11"/>
      <c r="OP178" s="11"/>
      <c r="OQ178" s="11"/>
      <c r="OR178" s="11"/>
      <c r="OS178" s="11"/>
      <c r="OT178" s="11"/>
      <c r="OU178" s="11"/>
      <c r="OV178" s="11"/>
      <c r="OW178" s="11"/>
      <c r="OX178" s="11"/>
      <c r="OY178" s="11"/>
      <c r="OZ178" s="11"/>
      <c r="PA178" s="11"/>
      <c r="PB178" s="11"/>
      <c r="PC178" s="11"/>
      <c r="PD178" s="11"/>
      <c r="PE178" s="11"/>
      <c r="PF178" s="11"/>
      <c r="PG178" s="11"/>
      <c r="PH178" s="11"/>
      <c r="PI178" s="11"/>
      <c r="PJ178" s="11"/>
      <c r="PK178" s="11"/>
      <c r="PL178" s="11"/>
      <c r="PM178" s="11"/>
      <c r="PN178" s="11"/>
      <c r="PO178" s="11"/>
      <c r="PP178" s="11"/>
      <c r="PQ178" s="11"/>
      <c r="PR178" s="11"/>
      <c r="PS178" s="11"/>
      <c r="PT178" s="11"/>
      <c r="PU178" s="11"/>
      <c r="PV178" s="11"/>
      <c r="PW178" s="11"/>
      <c r="PX178" s="11"/>
      <c r="PY178" s="11"/>
      <c r="PZ178" s="11"/>
      <c r="QA178" s="11"/>
      <c r="QB178" s="11"/>
      <c r="QC178" s="11"/>
      <c r="QD178" s="11"/>
      <c r="QE178" s="11"/>
      <c r="QF178" s="11"/>
      <c r="QG178" s="11"/>
      <c r="QH178" s="11"/>
      <c r="QI178" s="11"/>
      <c r="QJ178" s="11"/>
      <c r="QK178" s="11"/>
      <c r="QL178" s="11"/>
      <c r="QM178" s="11"/>
      <c r="QN178" s="11"/>
      <c r="QO178" s="11"/>
      <c r="QP178" s="11"/>
      <c r="QQ178" s="11"/>
      <c r="QR178" s="11"/>
      <c r="QS178" s="11"/>
      <c r="QT178" s="11"/>
      <c r="QU178" s="11"/>
      <c r="QV178" s="11"/>
      <c r="QW178" s="11"/>
      <c r="QX178" s="11"/>
      <c r="QY178" s="11"/>
      <c r="QZ178" s="11"/>
      <c r="RA178" s="11"/>
      <c r="RB178" s="11"/>
      <c r="RC178" s="11"/>
      <c r="RD178" s="11"/>
      <c r="RE178" s="11"/>
      <c r="RF178" s="11"/>
      <c r="RG178" s="11"/>
      <c r="RH178" s="11"/>
      <c r="RI178" s="11"/>
      <c r="RJ178" s="11"/>
      <c r="RK178" s="11"/>
      <c r="RL178" s="11"/>
      <c r="RM178" s="11"/>
      <c r="RN178" s="11"/>
      <c r="RO178" s="11"/>
      <c r="RP178" s="11"/>
      <c r="RQ178" s="11"/>
      <c r="RR178" s="11"/>
      <c r="RS178" s="11"/>
      <c r="RT178" s="11"/>
      <c r="RU178" s="11"/>
      <c r="RV178" s="11"/>
      <c r="RW178" s="11"/>
      <c r="RX178" s="11"/>
      <c r="RY178" s="11"/>
      <c r="RZ178" s="11"/>
      <c r="SA178" s="11"/>
      <c r="SB178" s="11"/>
      <c r="SC178" s="11"/>
      <c r="SD178" s="11"/>
      <c r="SE178" s="11"/>
      <c r="SF178" s="11"/>
      <c r="SG178" s="11"/>
      <c r="SH178" s="11"/>
      <c r="SI178" s="11"/>
      <c r="SJ178" s="11"/>
      <c r="SK178" s="11"/>
      <c r="SL178" s="11"/>
      <c r="SM178" s="11"/>
      <c r="SN178" s="11"/>
      <c r="SO178" s="11"/>
      <c r="SP178" s="11"/>
      <c r="SQ178" s="11"/>
      <c r="SR178" s="11"/>
      <c r="SS178" s="11"/>
      <c r="ST178" s="11"/>
      <c r="SU178" s="11"/>
      <c r="SV178" s="11"/>
      <c r="SW178" s="11"/>
      <c r="SX178" s="11"/>
      <c r="SY178" s="11"/>
      <c r="SZ178" s="11"/>
      <c r="TA178" s="11"/>
      <c r="TB178" s="11"/>
      <c r="TC178" s="11"/>
      <c r="TD178" s="11"/>
      <c r="TE178" s="11"/>
      <c r="TF178" s="11"/>
      <c r="TG178" s="11"/>
      <c r="TH178" s="11"/>
      <c r="TI178" s="11"/>
      <c r="TJ178" s="11"/>
      <c r="TK178" s="11"/>
      <c r="TL178" s="11"/>
      <c r="TM178" s="11"/>
      <c r="TN178" s="11"/>
      <c r="TO178" s="11"/>
      <c r="TP178" s="11"/>
      <c r="TQ178" s="11"/>
      <c r="TR178" s="11"/>
      <c r="TS178" s="11"/>
      <c r="TT178" s="11"/>
      <c r="TU178" s="11"/>
      <c r="TV178" s="11"/>
      <c r="TW178" s="11"/>
      <c r="TX178" s="11"/>
      <c r="TY178" s="11"/>
      <c r="TZ178" s="11"/>
      <c r="UA178" s="11"/>
      <c r="UB178" s="11"/>
      <c r="UC178" s="11"/>
      <c r="UD178" s="11"/>
      <c r="UE178" s="11"/>
      <c r="UF178" s="11"/>
      <c r="UG178" s="11"/>
      <c r="UH178" s="11"/>
      <c r="UI178" s="11"/>
      <c r="UJ178" s="11"/>
      <c r="UK178" s="11"/>
      <c r="UL178" s="11"/>
      <c r="UM178" s="11"/>
      <c r="UN178" s="11"/>
      <c r="UO178" s="11"/>
      <c r="UP178" s="11"/>
      <c r="UQ178" s="11"/>
      <c r="UR178" s="11"/>
      <c r="US178" s="11"/>
      <c r="UT178" s="11"/>
      <c r="UU178" s="11"/>
      <c r="UV178" s="11"/>
      <c r="UW178" s="11"/>
      <c r="UX178" s="11"/>
      <c r="UY178" s="11"/>
      <c r="UZ178" s="11"/>
      <c r="VA178" s="11"/>
      <c r="VB178" s="11"/>
      <c r="VC178" s="11"/>
      <c r="VD178" s="11"/>
      <c r="VE178" s="11"/>
      <c r="VF178" s="11"/>
      <c r="VG178" s="11"/>
      <c r="VH178" s="11"/>
      <c r="VI178" s="11"/>
      <c r="VJ178" s="11"/>
      <c r="VK178" s="11"/>
      <c r="VL178" s="11"/>
      <c r="VM178" s="11"/>
      <c r="VN178" s="11"/>
      <c r="VO178" s="11"/>
      <c r="VP178" s="11"/>
      <c r="VQ178" s="11"/>
      <c r="VR178" s="11"/>
      <c r="VS178" s="11"/>
      <c r="VT178" s="11"/>
      <c r="VU178" s="11"/>
      <c r="VV178" s="11"/>
      <c r="VW178" s="11"/>
      <c r="VX178" s="11"/>
      <c r="VY178" s="11"/>
      <c r="VZ178" s="11"/>
      <c r="WA178" s="11"/>
      <c r="WB178" s="11"/>
      <c r="WC178" s="11"/>
      <c r="WD178" s="11"/>
      <c r="WE178" s="11"/>
      <c r="WF178" s="11"/>
      <c r="WG178" s="11"/>
      <c r="WH178" s="11"/>
      <c r="WI178" s="11"/>
      <c r="WJ178" s="11"/>
      <c r="WK178" s="11"/>
      <c r="WL178" s="11"/>
      <c r="WM178" s="11"/>
      <c r="WN178" s="11"/>
      <c r="WO178" s="11"/>
      <c r="WP178" s="11"/>
      <c r="WQ178" s="11"/>
      <c r="WR178" s="11"/>
      <c r="WS178" s="11"/>
      <c r="WT178" s="11"/>
      <c r="WU178" s="11"/>
      <c r="WV178" s="11"/>
      <c r="WW178" s="11"/>
      <c r="WX178" s="11"/>
      <c r="WY178" s="11"/>
      <c r="WZ178" s="11"/>
      <c r="XA178" s="11"/>
      <c r="XB178" s="11"/>
      <c r="XC178" s="11"/>
      <c r="XD178" s="11"/>
      <c r="XE178" s="11"/>
      <c r="XF178" s="11"/>
      <c r="XG178" s="11"/>
      <c r="XH178" s="11"/>
      <c r="XI178" s="11"/>
      <c r="XJ178" s="11"/>
      <c r="XK178" s="11"/>
      <c r="XL178" s="11"/>
      <c r="XM178" s="11"/>
      <c r="XN178" s="11"/>
      <c r="XO178" s="11"/>
      <c r="XP178" s="11"/>
      <c r="XQ178" s="11"/>
      <c r="XR178" s="11"/>
      <c r="XS178" s="11"/>
      <c r="XT178" s="11"/>
      <c r="XU178" s="11"/>
      <c r="XV178" s="11"/>
      <c r="XW178" s="11"/>
      <c r="XX178" s="11"/>
      <c r="XY178" s="11"/>
      <c r="XZ178" s="11"/>
      <c r="YA178" s="11"/>
      <c r="YB178" s="11"/>
      <c r="YC178" s="11"/>
      <c r="YD178" s="11"/>
      <c r="YE178" s="11"/>
      <c r="YF178" s="11"/>
      <c r="YG178" s="11"/>
      <c r="YH178" s="11"/>
      <c r="YI178" s="11"/>
      <c r="YJ178" s="11"/>
      <c r="YK178" s="11"/>
      <c r="YL178" s="11"/>
      <c r="YM178" s="11"/>
      <c r="YN178" s="11"/>
      <c r="YO178" s="11"/>
      <c r="YP178" s="11"/>
      <c r="YQ178" s="11"/>
      <c r="YR178" s="11"/>
      <c r="YS178" s="11"/>
      <c r="YT178" s="11"/>
      <c r="YU178" s="11"/>
      <c r="YV178" s="11"/>
      <c r="YW178" s="11"/>
      <c r="YX178" s="11"/>
      <c r="YY178" s="11"/>
      <c r="YZ178" s="11"/>
      <c r="ZA178" s="11"/>
      <c r="ZB178" s="11"/>
      <c r="ZC178" s="11"/>
      <c r="ZD178" s="11"/>
      <c r="ZE178" s="11"/>
      <c r="ZF178" s="11"/>
      <c r="ZG178" s="11"/>
      <c r="ZH178" s="11"/>
      <c r="ZI178" s="11"/>
      <c r="ZJ178" s="11"/>
      <c r="ZK178" s="11"/>
      <c r="ZL178" s="11"/>
      <c r="ZM178" s="11"/>
      <c r="ZN178" s="11"/>
      <c r="ZO178" s="11"/>
      <c r="ZP178" s="11"/>
      <c r="ZQ178" s="11"/>
      <c r="ZR178" s="11"/>
      <c r="ZS178" s="11"/>
      <c r="ZT178" s="11"/>
      <c r="ZU178" s="11"/>
      <c r="ZV178" s="11"/>
      <c r="ZW178" s="11"/>
      <c r="ZX178" s="11"/>
      <c r="ZY178" s="11"/>
      <c r="ZZ178" s="11"/>
      <c r="AAA178" s="11"/>
      <c r="AAB178" s="11"/>
      <c r="AAC178" s="11"/>
      <c r="AAD178" s="11"/>
      <c r="AAE178" s="11"/>
      <c r="AAF178" s="11"/>
      <c r="AAG178" s="11"/>
      <c r="AAH178" s="11"/>
      <c r="AAI178" s="11"/>
      <c r="AAJ178" s="11"/>
      <c r="AAK178" s="11"/>
      <c r="AAL178" s="11"/>
      <c r="AAM178" s="11"/>
      <c r="AAN178" s="11"/>
      <c r="AAO178" s="11"/>
      <c r="AAP178" s="11"/>
      <c r="AAQ178" s="11"/>
      <c r="AAR178" s="11"/>
      <c r="AAS178" s="11"/>
      <c r="AAT178" s="11"/>
      <c r="AAU178" s="11"/>
      <c r="AAV178" s="11"/>
      <c r="AAW178" s="11"/>
      <c r="AAX178" s="11"/>
      <c r="AAY178" s="11"/>
      <c r="AAZ178" s="11"/>
      <c r="ABA178" s="11"/>
      <c r="ABB178" s="11"/>
      <c r="ABC178" s="11"/>
      <c r="ABD178" s="11"/>
      <c r="ABE178" s="11"/>
      <c r="ABF178" s="11"/>
      <c r="ABG178" s="11"/>
      <c r="ABH178" s="11"/>
      <c r="ABI178" s="11"/>
      <c r="ABJ178" s="11"/>
      <c r="ABK178" s="11"/>
      <c r="ABL178" s="11"/>
      <c r="ABM178" s="11"/>
      <c r="ABN178" s="11"/>
      <c r="ABO178" s="11"/>
      <c r="ABP178" s="11"/>
      <c r="ABQ178" s="11"/>
      <c r="ABR178" s="11"/>
      <c r="ABS178" s="11"/>
      <c r="ABT178" s="11"/>
      <c r="ABU178" s="11"/>
      <c r="ABV178" s="11"/>
      <c r="ABW178" s="11"/>
      <c r="ABX178" s="11"/>
      <c r="ABY178" s="11"/>
      <c r="ABZ178" s="11"/>
      <c r="ACA178" s="11"/>
      <c r="ACB178" s="11"/>
      <c r="ACC178" s="11"/>
      <c r="ACD178" s="11"/>
      <c r="ACE178" s="11"/>
      <c r="ACF178" s="11"/>
      <c r="ACG178" s="11"/>
      <c r="ACH178" s="11"/>
      <c r="ACI178" s="11"/>
      <c r="ACJ178" s="11"/>
      <c r="ACK178" s="11"/>
      <c r="ACL178" s="11"/>
      <c r="ACM178" s="11"/>
      <c r="ACN178" s="11"/>
      <c r="ACO178" s="11"/>
      <c r="ACP178" s="11"/>
      <c r="ACQ178" s="11"/>
      <c r="ACR178" s="11"/>
      <c r="ACS178" s="11"/>
      <c r="ACT178" s="11"/>
      <c r="ACU178" s="11"/>
      <c r="ACV178" s="11"/>
      <c r="ACW178" s="11"/>
      <c r="ACX178" s="11"/>
      <c r="ACY178" s="11"/>
      <c r="ACZ178" s="11"/>
      <c r="ADA178" s="11"/>
      <c r="ADB178" s="11"/>
      <c r="ADC178" s="11"/>
      <c r="ADD178" s="11"/>
      <c r="ADE178" s="11"/>
      <c r="ADF178" s="11"/>
      <c r="ADG178" s="11"/>
      <c r="ADH178" s="11"/>
      <c r="ADI178" s="11"/>
      <c r="ADJ178" s="11"/>
      <c r="ADK178" s="11"/>
      <c r="ADL178" s="11"/>
      <c r="ADM178" s="11"/>
      <c r="ADN178" s="11"/>
      <c r="ADO178" s="11"/>
      <c r="ADP178" s="11"/>
      <c r="ADQ178" s="11"/>
      <c r="ADR178" s="11"/>
      <c r="ADS178" s="11"/>
      <c r="ADT178" s="11"/>
      <c r="ADU178" s="11"/>
      <c r="ADV178" s="11"/>
      <c r="ADW178" s="11"/>
      <c r="ADX178" s="11"/>
      <c r="ADY178" s="11"/>
      <c r="ADZ178" s="11"/>
      <c r="AEA178" s="11"/>
      <c r="AEB178" s="11"/>
      <c r="AEC178" s="11"/>
      <c r="AED178" s="11"/>
      <c r="AEE178" s="11"/>
      <c r="AEF178" s="11"/>
      <c r="AEG178" s="11"/>
      <c r="AEH178" s="11"/>
      <c r="AEI178" s="11"/>
      <c r="AEJ178" s="11"/>
      <c r="AEK178" s="11"/>
      <c r="AEL178" s="11"/>
      <c r="AEM178" s="11"/>
      <c r="AEN178" s="11"/>
      <c r="AEO178" s="11"/>
      <c r="AEP178" s="11"/>
      <c r="AEQ178" s="11"/>
      <c r="AER178" s="11"/>
      <c r="AES178" s="11"/>
      <c r="AET178" s="11"/>
      <c r="AEU178" s="11"/>
      <c r="AEV178" s="11"/>
      <c r="AEW178" s="11"/>
      <c r="AEX178" s="11"/>
      <c r="AEY178" s="11"/>
      <c r="AEZ178" s="11"/>
      <c r="AFA178" s="11"/>
      <c r="AFB178" s="11"/>
      <c r="AFC178" s="11"/>
      <c r="AFD178" s="11"/>
      <c r="AFE178" s="11"/>
      <c r="AFF178" s="11"/>
      <c r="AFG178" s="11"/>
      <c r="AFH178" s="11"/>
      <c r="AFI178" s="11"/>
    </row>
    <row r="179" spans="2:84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1"/>
      <c r="LV179" s="11"/>
      <c r="LW179" s="11"/>
      <c r="LX179" s="11"/>
      <c r="LY179" s="11"/>
      <c r="LZ179" s="11"/>
      <c r="MA179" s="11"/>
      <c r="MB179" s="11"/>
      <c r="MC179" s="11"/>
      <c r="MD179" s="11"/>
      <c r="ME179" s="11"/>
      <c r="MF179" s="11"/>
      <c r="MG179" s="11"/>
      <c r="MH179" s="11"/>
      <c r="MI179" s="11"/>
      <c r="MJ179" s="11"/>
      <c r="MK179" s="11"/>
      <c r="ML179" s="11"/>
      <c r="MM179" s="11"/>
      <c r="MN179" s="11"/>
      <c r="MO179" s="11"/>
      <c r="MP179" s="11"/>
      <c r="MQ179" s="11"/>
      <c r="MR179" s="11"/>
      <c r="MS179" s="11"/>
      <c r="MT179" s="11"/>
      <c r="MU179" s="11"/>
      <c r="MV179" s="11"/>
      <c r="MW179" s="11"/>
      <c r="MX179" s="11"/>
      <c r="MY179" s="11"/>
      <c r="MZ179" s="11"/>
      <c r="NA179" s="11"/>
      <c r="NB179" s="11"/>
      <c r="NC179" s="11"/>
      <c r="ND179" s="11"/>
      <c r="NE179" s="11"/>
      <c r="NF179" s="11"/>
      <c r="NG179" s="11"/>
      <c r="NH179" s="11"/>
      <c r="NI179" s="11"/>
      <c r="NJ179" s="11"/>
      <c r="NK179" s="11"/>
      <c r="NL179" s="11"/>
      <c r="NM179" s="11"/>
      <c r="NN179" s="11"/>
      <c r="NO179" s="11"/>
      <c r="NP179" s="11"/>
      <c r="NQ179" s="11"/>
      <c r="NR179" s="11"/>
      <c r="NS179" s="11"/>
      <c r="NT179" s="11"/>
      <c r="NU179" s="11"/>
      <c r="NV179" s="11"/>
      <c r="NW179" s="11"/>
      <c r="NX179" s="11"/>
      <c r="NY179" s="11"/>
      <c r="NZ179" s="11"/>
      <c r="OA179" s="11"/>
      <c r="OB179" s="11"/>
      <c r="OC179" s="11"/>
      <c r="OD179" s="11"/>
      <c r="OE179" s="11"/>
      <c r="OF179" s="11"/>
      <c r="OG179" s="11"/>
      <c r="OH179" s="11"/>
      <c r="OI179" s="11"/>
      <c r="OJ179" s="11"/>
      <c r="OK179" s="11"/>
      <c r="OL179" s="11"/>
      <c r="OM179" s="11"/>
      <c r="ON179" s="11"/>
      <c r="OO179" s="11"/>
      <c r="OP179" s="11"/>
      <c r="OQ179" s="11"/>
      <c r="OR179" s="11"/>
      <c r="OS179" s="11"/>
      <c r="OT179" s="11"/>
      <c r="OU179" s="11"/>
      <c r="OV179" s="11"/>
      <c r="OW179" s="11"/>
      <c r="OX179" s="11"/>
      <c r="OY179" s="11"/>
      <c r="OZ179" s="11"/>
      <c r="PA179" s="11"/>
      <c r="PB179" s="11"/>
      <c r="PC179" s="11"/>
      <c r="PD179" s="11"/>
      <c r="PE179" s="11"/>
      <c r="PF179" s="11"/>
      <c r="PG179" s="11"/>
      <c r="PH179" s="11"/>
      <c r="PI179" s="11"/>
      <c r="PJ179" s="11"/>
      <c r="PK179" s="11"/>
      <c r="PL179" s="11"/>
      <c r="PM179" s="11"/>
      <c r="PN179" s="11"/>
      <c r="PO179" s="11"/>
      <c r="PP179" s="11"/>
      <c r="PQ179" s="11"/>
      <c r="PR179" s="11"/>
      <c r="PS179" s="11"/>
      <c r="PT179" s="11"/>
      <c r="PU179" s="11"/>
      <c r="PV179" s="11"/>
      <c r="PW179" s="11"/>
      <c r="PX179" s="11"/>
      <c r="PY179" s="11"/>
      <c r="PZ179" s="11"/>
      <c r="QA179" s="11"/>
      <c r="QB179" s="11"/>
      <c r="QC179" s="11"/>
      <c r="QD179" s="11"/>
      <c r="QE179" s="11"/>
      <c r="QF179" s="11"/>
      <c r="QG179" s="11"/>
      <c r="QH179" s="11"/>
      <c r="QI179" s="11"/>
      <c r="QJ179" s="11"/>
      <c r="QK179" s="11"/>
      <c r="QL179" s="11"/>
      <c r="QM179" s="11"/>
      <c r="QN179" s="11"/>
      <c r="QO179" s="11"/>
      <c r="QP179" s="11"/>
      <c r="QQ179" s="11"/>
      <c r="QR179" s="11"/>
      <c r="QS179" s="11"/>
      <c r="QT179" s="11"/>
      <c r="QU179" s="11"/>
      <c r="QV179" s="11"/>
      <c r="QW179" s="11"/>
      <c r="QX179" s="11"/>
      <c r="QY179" s="11"/>
      <c r="QZ179" s="11"/>
      <c r="RA179" s="11"/>
      <c r="RB179" s="11"/>
      <c r="RC179" s="11"/>
      <c r="RD179" s="11"/>
      <c r="RE179" s="11"/>
      <c r="RF179" s="11"/>
      <c r="RG179" s="11"/>
      <c r="RH179" s="11"/>
      <c r="RI179" s="11"/>
      <c r="RJ179" s="11"/>
      <c r="RK179" s="11"/>
      <c r="RL179" s="11"/>
      <c r="RM179" s="11"/>
      <c r="RN179" s="11"/>
      <c r="RO179" s="11"/>
      <c r="RP179" s="11"/>
      <c r="RQ179" s="11"/>
      <c r="RR179" s="11"/>
      <c r="RS179" s="11"/>
      <c r="RT179" s="11"/>
      <c r="RU179" s="11"/>
      <c r="RV179" s="11"/>
      <c r="RW179" s="11"/>
      <c r="RX179" s="11"/>
      <c r="RY179" s="11"/>
      <c r="RZ179" s="11"/>
      <c r="SA179" s="11"/>
      <c r="SB179" s="11"/>
      <c r="SC179" s="11"/>
      <c r="SD179" s="11"/>
      <c r="SE179" s="11"/>
      <c r="SF179" s="11"/>
      <c r="SG179" s="11"/>
      <c r="SH179" s="11"/>
      <c r="SI179" s="11"/>
      <c r="SJ179" s="11"/>
      <c r="SK179" s="11"/>
      <c r="SL179" s="11"/>
      <c r="SM179" s="11"/>
      <c r="SN179" s="11"/>
      <c r="SO179" s="11"/>
      <c r="SP179" s="11"/>
      <c r="SQ179" s="11"/>
      <c r="SR179" s="11"/>
      <c r="SS179" s="11"/>
      <c r="ST179" s="11"/>
      <c r="SU179" s="11"/>
      <c r="SV179" s="11"/>
      <c r="SW179" s="11"/>
      <c r="SX179" s="11"/>
      <c r="SY179" s="11"/>
      <c r="SZ179" s="11"/>
      <c r="TA179" s="11"/>
      <c r="TB179" s="11"/>
      <c r="TC179" s="11"/>
      <c r="TD179" s="11"/>
      <c r="TE179" s="11"/>
      <c r="TF179" s="11"/>
      <c r="TG179" s="11"/>
      <c r="TH179" s="11"/>
      <c r="TI179" s="11"/>
      <c r="TJ179" s="11"/>
      <c r="TK179" s="11"/>
      <c r="TL179" s="11"/>
      <c r="TM179" s="11"/>
      <c r="TN179" s="11"/>
      <c r="TO179" s="11"/>
      <c r="TP179" s="11"/>
      <c r="TQ179" s="11"/>
      <c r="TR179" s="11"/>
      <c r="TS179" s="11"/>
      <c r="TT179" s="11"/>
      <c r="TU179" s="11"/>
      <c r="TV179" s="11"/>
      <c r="TW179" s="11"/>
      <c r="TX179" s="11"/>
      <c r="TY179" s="11"/>
      <c r="TZ179" s="11"/>
      <c r="UA179" s="11"/>
      <c r="UB179" s="11"/>
      <c r="UC179" s="11"/>
      <c r="UD179" s="11"/>
      <c r="UE179" s="11"/>
      <c r="UF179" s="11"/>
      <c r="UG179" s="11"/>
      <c r="UH179" s="11"/>
      <c r="UI179" s="11"/>
      <c r="UJ179" s="11"/>
      <c r="UK179" s="11"/>
      <c r="UL179" s="11"/>
      <c r="UM179" s="11"/>
      <c r="UN179" s="11"/>
      <c r="UO179" s="11"/>
      <c r="UP179" s="11"/>
      <c r="UQ179" s="11"/>
      <c r="UR179" s="11"/>
      <c r="US179" s="11"/>
      <c r="UT179" s="11"/>
      <c r="UU179" s="11"/>
      <c r="UV179" s="11"/>
      <c r="UW179" s="11"/>
      <c r="UX179" s="11"/>
      <c r="UY179" s="11"/>
      <c r="UZ179" s="11"/>
      <c r="VA179" s="11"/>
      <c r="VB179" s="11"/>
      <c r="VC179" s="11"/>
      <c r="VD179" s="11"/>
      <c r="VE179" s="11"/>
      <c r="VF179" s="11"/>
      <c r="VG179" s="11"/>
      <c r="VH179" s="11"/>
      <c r="VI179" s="11"/>
      <c r="VJ179" s="11"/>
      <c r="VK179" s="11"/>
      <c r="VL179" s="11"/>
      <c r="VM179" s="11"/>
      <c r="VN179" s="11"/>
      <c r="VO179" s="11"/>
      <c r="VP179" s="11"/>
      <c r="VQ179" s="11"/>
      <c r="VR179" s="11"/>
      <c r="VS179" s="11"/>
      <c r="VT179" s="11"/>
      <c r="VU179" s="11"/>
      <c r="VV179" s="11"/>
      <c r="VW179" s="11"/>
      <c r="VX179" s="11"/>
      <c r="VY179" s="11"/>
      <c r="VZ179" s="11"/>
      <c r="WA179" s="11"/>
      <c r="WB179" s="11"/>
      <c r="WC179" s="11"/>
      <c r="WD179" s="11"/>
      <c r="WE179" s="11"/>
      <c r="WF179" s="11"/>
      <c r="WG179" s="11"/>
      <c r="WH179" s="11"/>
      <c r="WI179" s="11"/>
      <c r="WJ179" s="11"/>
      <c r="WK179" s="11"/>
      <c r="WL179" s="11"/>
      <c r="WM179" s="11"/>
      <c r="WN179" s="11"/>
      <c r="WO179" s="11"/>
      <c r="WP179" s="11"/>
      <c r="WQ179" s="11"/>
      <c r="WR179" s="11"/>
      <c r="WS179" s="11"/>
      <c r="WT179" s="11"/>
      <c r="WU179" s="11"/>
      <c r="WV179" s="11"/>
      <c r="WW179" s="11"/>
      <c r="WX179" s="11"/>
      <c r="WY179" s="11"/>
      <c r="WZ179" s="11"/>
      <c r="XA179" s="11"/>
      <c r="XB179" s="11"/>
      <c r="XC179" s="11"/>
      <c r="XD179" s="11"/>
      <c r="XE179" s="11"/>
      <c r="XF179" s="11"/>
      <c r="XG179" s="11"/>
      <c r="XH179" s="11"/>
      <c r="XI179" s="11"/>
      <c r="XJ179" s="11"/>
      <c r="XK179" s="11"/>
      <c r="XL179" s="11"/>
      <c r="XM179" s="11"/>
      <c r="XN179" s="11"/>
      <c r="XO179" s="11"/>
      <c r="XP179" s="11"/>
      <c r="XQ179" s="11"/>
      <c r="XR179" s="11"/>
      <c r="XS179" s="11"/>
      <c r="XT179" s="11"/>
      <c r="XU179" s="11"/>
      <c r="XV179" s="11"/>
      <c r="XW179" s="11"/>
      <c r="XX179" s="11"/>
      <c r="XY179" s="11"/>
      <c r="XZ179" s="11"/>
      <c r="YA179" s="11"/>
      <c r="YB179" s="11"/>
      <c r="YC179" s="11"/>
      <c r="YD179" s="11"/>
      <c r="YE179" s="11"/>
      <c r="YF179" s="11"/>
      <c r="YG179" s="11"/>
      <c r="YH179" s="11"/>
      <c r="YI179" s="11"/>
      <c r="YJ179" s="11"/>
      <c r="YK179" s="11"/>
      <c r="YL179" s="11"/>
      <c r="YM179" s="11"/>
      <c r="YN179" s="11"/>
      <c r="YO179" s="11"/>
      <c r="YP179" s="11"/>
      <c r="YQ179" s="11"/>
      <c r="YR179" s="11"/>
      <c r="YS179" s="11"/>
      <c r="YT179" s="11"/>
      <c r="YU179" s="11"/>
      <c r="YV179" s="11"/>
      <c r="YW179" s="11"/>
      <c r="YX179" s="11"/>
      <c r="YY179" s="11"/>
      <c r="YZ179" s="11"/>
      <c r="ZA179" s="11"/>
      <c r="ZB179" s="11"/>
      <c r="ZC179" s="11"/>
      <c r="ZD179" s="11"/>
      <c r="ZE179" s="11"/>
      <c r="ZF179" s="11"/>
      <c r="ZG179" s="11"/>
      <c r="ZH179" s="11"/>
      <c r="ZI179" s="11"/>
      <c r="ZJ179" s="11"/>
      <c r="ZK179" s="11"/>
      <c r="ZL179" s="11"/>
      <c r="ZM179" s="11"/>
      <c r="ZN179" s="11"/>
      <c r="ZO179" s="11"/>
      <c r="ZP179" s="11"/>
      <c r="ZQ179" s="11"/>
      <c r="ZR179" s="11"/>
      <c r="ZS179" s="11"/>
      <c r="ZT179" s="11"/>
      <c r="ZU179" s="11"/>
      <c r="ZV179" s="11"/>
      <c r="ZW179" s="11"/>
      <c r="ZX179" s="11"/>
      <c r="ZY179" s="11"/>
      <c r="ZZ179" s="11"/>
      <c r="AAA179" s="11"/>
      <c r="AAB179" s="11"/>
      <c r="AAC179" s="11"/>
      <c r="AAD179" s="11"/>
      <c r="AAE179" s="11"/>
      <c r="AAF179" s="11"/>
      <c r="AAG179" s="11"/>
      <c r="AAH179" s="11"/>
      <c r="AAI179" s="11"/>
      <c r="AAJ179" s="11"/>
      <c r="AAK179" s="11"/>
      <c r="AAL179" s="11"/>
      <c r="AAM179" s="11"/>
      <c r="AAN179" s="11"/>
      <c r="AAO179" s="11"/>
      <c r="AAP179" s="11"/>
      <c r="AAQ179" s="11"/>
      <c r="AAR179" s="11"/>
      <c r="AAS179" s="11"/>
      <c r="AAT179" s="11"/>
      <c r="AAU179" s="11"/>
      <c r="AAV179" s="11"/>
      <c r="AAW179" s="11"/>
      <c r="AAX179" s="11"/>
      <c r="AAY179" s="11"/>
      <c r="AAZ179" s="11"/>
      <c r="ABA179" s="11"/>
      <c r="ABB179" s="11"/>
      <c r="ABC179" s="11"/>
      <c r="ABD179" s="11"/>
      <c r="ABE179" s="11"/>
      <c r="ABF179" s="11"/>
      <c r="ABG179" s="11"/>
      <c r="ABH179" s="11"/>
      <c r="ABI179" s="11"/>
      <c r="ABJ179" s="11"/>
      <c r="ABK179" s="11"/>
      <c r="ABL179" s="11"/>
      <c r="ABM179" s="11"/>
      <c r="ABN179" s="11"/>
      <c r="ABO179" s="11"/>
      <c r="ABP179" s="11"/>
      <c r="ABQ179" s="11"/>
      <c r="ABR179" s="11"/>
      <c r="ABS179" s="11"/>
      <c r="ABT179" s="11"/>
      <c r="ABU179" s="11"/>
      <c r="ABV179" s="11"/>
      <c r="ABW179" s="11"/>
      <c r="ABX179" s="11"/>
      <c r="ABY179" s="11"/>
      <c r="ABZ179" s="11"/>
      <c r="ACA179" s="11"/>
      <c r="ACB179" s="11"/>
      <c r="ACC179" s="11"/>
      <c r="ACD179" s="11"/>
      <c r="ACE179" s="11"/>
      <c r="ACF179" s="11"/>
      <c r="ACG179" s="11"/>
      <c r="ACH179" s="11"/>
      <c r="ACI179" s="11"/>
      <c r="ACJ179" s="11"/>
      <c r="ACK179" s="11"/>
      <c r="ACL179" s="11"/>
      <c r="ACM179" s="11"/>
      <c r="ACN179" s="11"/>
      <c r="ACO179" s="11"/>
      <c r="ACP179" s="11"/>
      <c r="ACQ179" s="11"/>
      <c r="ACR179" s="11"/>
      <c r="ACS179" s="11"/>
      <c r="ACT179" s="11"/>
      <c r="ACU179" s="11"/>
      <c r="ACV179" s="11"/>
      <c r="ACW179" s="11"/>
      <c r="ACX179" s="11"/>
      <c r="ACY179" s="11"/>
      <c r="ACZ179" s="11"/>
      <c r="ADA179" s="11"/>
      <c r="ADB179" s="11"/>
      <c r="ADC179" s="11"/>
      <c r="ADD179" s="11"/>
      <c r="ADE179" s="11"/>
      <c r="ADF179" s="11"/>
      <c r="ADG179" s="11"/>
      <c r="ADH179" s="11"/>
      <c r="ADI179" s="11"/>
      <c r="ADJ179" s="11"/>
      <c r="ADK179" s="11"/>
      <c r="ADL179" s="11"/>
      <c r="ADM179" s="11"/>
      <c r="ADN179" s="11"/>
      <c r="ADO179" s="11"/>
      <c r="ADP179" s="11"/>
      <c r="ADQ179" s="11"/>
      <c r="ADR179" s="11"/>
      <c r="ADS179" s="11"/>
      <c r="ADT179" s="11"/>
      <c r="ADU179" s="11"/>
      <c r="ADV179" s="11"/>
      <c r="ADW179" s="11"/>
      <c r="ADX179" s="11"/>
      <c r="ADY179" s="11"/>
      <c r="ADZ179" s="11"/>
      <c r="AEA179" s="11"/>
      <c r="AEB179" s="11"/>
      <c r="AEC179" s="11"/>
      <c r="AED179" s="11"/>
      <c r="AEE179" s="11"/>
      <c r="AEF179" s="11"/>
      <c r="AEG179" s="11"/>
      <c r="AEH179" s="11"/>
      <c r="AEI179" s="11"/>
      <c r="AEJ179" s="11"/>
      <c r="AEK179" s="11"/>
      <c r="AEL179" s="11"/>
      <c r="AEM179" s="11"/>
      <c r="AEN179" s="11"/>
      <c r="AEO179" s="11"/>
      <c r="AEP179" s="11"/>
      <c r="AEQ179" s="11"/>
      <c r="AER179" s="11"/>
      <c r="AES179" s="11"/>
      <c r="AET179" s="11"/>
      <c r="AEU179" s="11"/>
      <c r="AEV179" s="11"/>
      <c r="AEW179" s="11"/>
      <c r="AEX179" s="11"/>
      <c r="AEY179" s="11"/>
      <c r="AEZ179" s="11"/>
      <c r="AFA179" s="11"/>
      <c r="AFB179" s="11"/>
      <c r="AFC179" s="11"/>
      <c r="AFD179" s="11"/>
      <c r="AFE179" s="11"/>
      <c r="AFF179" s="11"/>
      <c r="AFG179" s="11"/>
      <c r="AFH179" s="11"/>
      <c r="AFI179" s="11"/>
    </row>
    <row r="180" spans="2:84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1"/>
      <c r="LV180" s="11"/>
      <c r="LW180" s="11"/>
      <c r="LX180" s="11"/>
      <c r="LY180" s="11"/>
      <c r="LZ180" s="11"/>
      <c r="MA180" s="11"/>
      <c r="MB180" s="11"/>
      <c r="MC180" s="11"/>
      <c r="MD180" s="11"/>
      <c r="ME180" s="11"/>
      <c r="MF180" s="11"/>
      <c r="MG180" s="11"/>
      <c r="MH180" s="11"/>
      <c r="MI180" s="11"/>
      <c r="MJ180" s="11"/>
      <c r="MK180" s="11"/>
      <c r="ML180" s="11"/>
      <c r="MM180" s="11"/>
      <c r="MN180" s="11"/>
      <c r="MO180" s="11"/>
      <c r="MP180" s="11"/>
      <c r="MQ180" s="11"/>
      <c r="MR180" s="11"/>
      <c r="MS180" s="11"/>
      <c r="MT180" s="11"/>
      <c r="MU180" s="11"/>
      <c r="MV180" s="11"/>
      <c r="MW180" s="11"/>
      <c r="MX180" s="11"/>
      <c r="MY180" s="11"/>
      <c r="MZ180" s="11"/>
      <c r="NA180" s="11"/>
      <c r="NB180" s="11"/>
      <c r="NC180" s="11"/>
      <c r="ND180" s="11"/>
      <c r="NE180" s="11"/>
      <c r="NF180" s="11"/>
      <c r="NG180" s="11"/>
      <c r="NH180" s="11"/>
      <c r="NI180" s="11"/>
      <c r="NJ180" s="11"/>
      <c r="NK180" s="11"/>
      <c r="NL180" s="11"/>
      <c r="NM180" s="11"/>
      <c r="NN180" s="11"/>
      <c r="NO180" s="11"/>
      <c r="NP180" s="11"/>
      <c r="NQ180" s="11"/>
      <c r="NR180" s="11"/>
      <c r="NS180" s="11"/>
      <c r="NT180" s="11"/>
      <c r="NU180" s="11"/>
      <c r="NV180" s="11"/>
      <c r="NW180" s="11"/>
      <c r="NX180" s="11"/>
      <c r="NY180" s="11"/>
      <c r="NZ180" s="11"/>
      <c r="OA180" s="11"/>
      <c r="OB180" s="11"/>
      <c r="OC180" s="11"/>
      <c r="OD180" s="11"/>
      <c r="OE180" s="11"/>
      <c r="OF180" s="11"/>
      <c r="OG180" s="11"/>
      <c r="OH180" s="11"/>
      <c r="OI180" s="11"/>
      <c r="OJ180" s="11"/>
      <c r="OK180" s="11"/>
      <c r="OL180" s="11"/>
      <c r="OM180" s="11"/>
      <c r="ON180" s="11"/>
      <c r="OO180" s="11"/>
      <c r="OP180" s="11"/>
      <c r="OQ180" s="11"/>
      <c r="OR180" s="11"/>
      <c r="OS180" s="11"/>
      <c r="OT180" s="11"/>
      <c r="OU180" s="11"/>
      <c r="OV180" s="11"/>
      <c r="OW180" s="11"/>
      <c r="OX180" s="11"/>
      <c r="OY180" s="11"/>
      <c r="OZ180" s="11"/>
      <c r="PA180" s="11"/>
      <c r="PB180" s="11"/>
      <c r="PC180" s="11"/>
      <c r="PD180" s="11"/>
      <c r="PE180" s="11"/>
      <c r="PF180" s="11"/>
      <c r="PG180" s="11"/>
      <c r="PH180" s="11"/>
      <c r="PI180" s="11"/>
      <c r="PJ180" s="11"/>
      <c r="PK180" s="11"/>
      <c r="PL180" s="11"/>
      <c r="PM180" s="11"/>
      <c r="PN180" s="11"/>
      <c r="PO180" s="11"/>
      <c r="PP180" s="11"/>
      <c r="PQ180" s="11"/>
      <c r="PR180" s="11"/>
      <c r="PS180" s="11"/>
      <c r="PT180" s="11"/>
      <c r="PU180" s="11"/>
      <c r="PV180" s="11"/>
      <c r="PW180" s="11"/>
      <c r="PX180" s="11"/>
      <c r="PY180" s="11"/>
      <c r="PZ180" s="11"/>
      <c r="QA180" s="11"/>
      <c r="QB180" s="11"/>
      <c r="QC180" s="11"/>
      <c r="QD180" s="11"/>
      <c r="QE180" s="11"/>
      <c r="QF180" s="11"/>
      <c r="QG180" s="11"/>
      <c r="QH180" s="11"/>
      <c r="QI180" s="11"/>
      <c r="QJ180" s="11"/>
      <c r="QK180" s="11"/>
      <c r="QL180" s="11"/>
      <c r="QM180" s="11"/>
      <c r="QN180" s="11"/>
      <c r="QO180" s="11"/>
      <c r="QP180" s="11"/>
      <c r="QQ180" s="11"/>
      <c r="QR180" s="11"/>
      <c r="QS180" s="11"/>
      <c r="QT180" s="11"/>
      <c r="QU180" s="11"/>
      <c r="QV180" s="11"/>
      <c r="QW180" s="11"/>
      <c r="QX180" s="11"/>
      <c r="QY180" s="11"/>
      <c r="QZ180" s="11"/>
      <c r="RA180" s="11"/>
      <c r="RB180" s="11"/>
      <c r="RC180" s="11"/>
      <c r="RD180" s="11"/>
      <c r="RE180" s="11"/>
      <c r="RF180" s="11"/>
      <c r="RG180" s="11"/>
      <c r="RH180" s="11"/>
      <c r="RI180" s="11"/>
      <c r="RJ180" s="11"/>
      <c r="RK180" s="11"/>
      <c r="RL180" s="11"/>
      <c r="RM180" s="11"/>
      <c r="RN180" s="11"/>
      <c r="RO180" s="11"/>
      <c r="RP180" s="11"/>
      <c r="RQ180" s="11"/>
      <c r="RR180" s="11"/>
      <c r="RS180" s="11"/>
      <c r="RT180" s="11"/>
      <c r="RU180" s="11"/>
      <c r="RV180" s="11"/>
      <c r="RW180" s="11"/>
      <c r="RX180" s="11"/>
      <c r="RY180" s="11"/>
      <c r="RZ180" s="11"/>
      <c r="SA180" s="11"/>
      <c r="SB180" s="11"/>
      <c r="SC180" s="11"/>
      <c r="SD180" s="11"/>
      <c r="SE180" s="11"/>
      <c r="SF180" s="11"/>
      <c r="SG180" s="11"/>
      <c r="SH180" s="11"/>
      <c r="SI180" s="11"/>
      <c r="SJ180" s="11"/>
      <c r="SK180" s="11"/>
      <c r="SL180" s="11"/>
      <c r="SM180" s="11"/>
      <c r="SN180" s="11"/>
      <c r="SO180" s="11"/>
      <c r="SP180" s="11"/>
      <c r="SQ180" s="11"/>
      <c r="SR180" s="11"/>
      <c r="SS180" s="11"/>
      <c r="ST180" s="11"/>
      <c r="SU180" s="11"/>
      <c r="SV180" s="11"/>
      <c r="SW180" s="11"/>
      <c r="SX180" s="11"/>
      <c r="SY180" s="11"/>
      <c r="SZ180" s="11"/>
      <c r="TA180" s="11"/>
      <c r="TB180" s="11"/>
      <c r="TC180" s="11"/>
      <c r="TD180" s="11"/>
      <c r="TE180" s="11"/>
      <c r="TF180" s="11"/>
      <c r="TG180" s="11"/>
      <c r="TH180" s="11"/>
      <c r="TI180" s="11"/>
      <c r="TJ180" s="11"/>
      <c r="TK180" s="11"/>
      <c r="TL180" s="11"/>
      <c r="TM180" s="11"/>
      <c r="TN180" s="11"/>
      <c r="TO180" s="11"/>
      <c r="TP180" s="11"/>
      <c r="TQ180" s="11"/>
      <c r="TR180" s="11"/>
      <c r="TS180" s="11"/>
      <c r="TT180" s="11"/>
      <c r="TU180" s="11"/>
      <c r="TV180" s="11"/>
      <c r="TW180" s="11"/>
      <c r="TX180" s="11"/>
      <c r="TY180" s="11"/>
      <c r="TZ180" s="11"/>
      <c r="UA180" s="11"/>
      <c r="UB180" s="11"/>
      <c r="UC180" s="11"/>
      <c r="UD180" s="11"/>
      <c r="UE180" s="11"/>
      <c r="UF180" s="11"/>
      <c r="UG180" s="11"/>
      <c r="UH180" s="11"/>
      <c r="UI180" s="11"/>
      <c r="UJ180" s="11"/>
      <c r="UK180" s="11"/>
      <c r="UL180" s="11"/>
      <c r="UM180" s="11"/>
      <c r="UN180" s="11"/>
      <c r="UO180" s="11"/>
      <c r="UP180" s="11"/>
      <c r="UQ180" s="11"/>
      <c r="UR180" s="11"/>
      <c r="US180" s="11"/>
      <c r="UT180" s="11"/>
      <c r="UU180" s="11"/>
      <c r="UV180" s="11"/>
      <c r="UW180" s="11"/>
      <c r="UX180" s="11"/>
      <c r="UY180" s="11"/>
      <c r="UZ180" s="11"/>
      <c r="VA180" s="11"/>
      <c r="VB180" s="11"/>
      <c r="VC180" s="11"/>
      <c r="VD180" s="11"/>
      <c r="VE180" s="11"/>
      <c r="VF180" s="11"/>
      <c r="VG180" s="11"/>
      <c r="VH180" s="11"/>
      <c r="VI180" s="11"/>
      <c r="VJ180" s="11"/>
      <c r="VK180" s="11"/>
      <c r="VL180" s="11"/>
      <c r="VM180" s="11"/>
      <c r="VN180" s="11"/>
      <c r="VO180" s="11"/>
      <c r="VP180" s="11"/>
      <c r="VQ180" s="11"/>
      <c r="VR180" s="11"/>
      <c r="VS180" s="11"/>
      <c r="VT180" s="11"/>
      <c r="VU180" s="11"/>
      <c r="VV180" s="11"/>
      <c r="VW180" s="11"/>
      <c r="VX180" s="11"/>
      <c r="VY180" s="11"/>
      <c r="VZ180" s="11"/>
      <c r="WA180" s="11"/>
      <c r="WB180" s="11"/>
      <c r="WC180" s="11"/>
      <c r="WD180" s="11"/>
      <c r="WE180" s="11"/>
      <c r="WF180" s="11"/>
      <c r="WG180" s="11"/>
      <c r="WH180" s="11"/>
      <c r="WI180" s="11"/>
      <c r="WJ180" s="11"/>
      <c r="WK180" s="11"/>
      <c r="WL180" s="11"/>
      <c r="WM180" s="11"/>
      <c r="WN180" s="11"/>
      <c r="WO180" s="11"/>
      <c r="WP180" s="11"/>
      <c r="WQ180" s="11"/>
      <c r="WR180" s="11"/>
      <c r="WS180" s="11"/>
      <c r="WT180" s="11"/>
      <c r="WU180" s="11"/>
      <c r="WV180" s="11"/>
      <c r="WW180" s="11"/>
      <c r="WX180" s="11"/>
      <c r="WY180" s="11"/>
      <c r="WZ180" s="11"/>
      <c r="XA180" s="11"/>
      <c r="XB180" s="11"/>
      <c r="XC180" s="11"/>
      <c r="XD180" s="11"/>
      <c r="XE180" s="11"/>
      <c r="XF180" s="11"/>
      <c r="XG180" s="11"/>
      <c r="XH180" s="11"/>
      <c r="XI180" s="11"/>
      <c r="XJ180" s="11"/>
      <c r="XK180" s="11"/>
      <c r="XL180" s="11"/>
      <c r="XM180" s="11"/>
      <c r="XN180" s="11"/>
      <c r="XO180" s="11"/>
      <c r="XP180" s="11"/>
      <c r="XQ180" s="11"/>
      <c r="XR180" s="11"/>
      <c r="XS180" s="11"/>
      <c r="XT180" s="11"/>
      <c r="XU180" s="11"/>
      <c r="XV180" s="11"/>
      <c r="XW180" s="11"/>
      <c r="XX180" s="11"/>
      <c r="XY180" s="11"/>
      <c r="XZ180" s="11"/>
      <c r="YA180" s="11"/>
      <c r="YB180" s="11"/>
      <c r="YC180" s="11"/>
      <c r="YD180" s="11"/>
      <c r="YE180" s="11"/>
      <c r="YF180" s="11"/>
      <c r="YG180" s="11"/>
      <c r="YH180" s="11"/>
      <c r="YI180" s="11"/>
      <c r="YJ180" s="11"/>
      <c r="YK180" s="11"/>
      <c r="YL180" s="11"/>
      <c r="YM180" s="11"/>
      <c r="YN180" s="11"/>
      <c r="YO180" s="11"/>
      <c r="YP180" s="11"/>
      <c r="YQ180" s="11"/>
      <c r="YR180" s="11"/>
      <c r="YS180" s="11"/>
      <c r="YT180" s="11"/>
      <c r="YU180" s="11"/>
      <c r="YV180" s="11"/>
      <c r="YW180" s="11"/>
      <c r="YX180" s="11"/>
      <c r="YY180" s="11"/>
      <c r="YZ180" s="11"/>
      <c r="ZA180" s="11"/>
      <c r="ZB180" s="11"/>
      <c r="ZC180" s="11"/>
      <c r="ZD180" s="11"/>
      <c r="ZE180" s="11"/>
      <c r="ZF180" s="11"/>
      <c r="ZG180" s="11"/>
      <c r="ZH180" s="11"/>
      <c r="ZI180" s="11"/>
      <c r="ZJ180" s="11"/>
      <c r="ZK180" s="11"/>
      <c r="ZL180" s="11"/>
      <c r="ZM180" s="11"/>
      <c r="ZN180" s="11"/>
      <c r="ZO180" s="11"/>
      <c r="ZP180" s="11"/>
      <c r="ZQ180" s="11"/>
      <c r="ZR180" s="11"/>
      <c r="ZS180" s="11"/>
      <c r="ZT180" s="11"/>
      <c r="ZU180" s="11"/>
      <c r="ZV180" s="11"/>
      <c r="ZW180" s="11"/>
      <c r="ZX180" s="11"/>
      <c r="ZY180" s="11"/>
      <c r="ZZ180" s="11"/>
      <c r="AAA180" s="11"/>
      <c r="AAB180" s="11"/>
      <c r="AAC180" s="11"/>
      <c r="AAD180" s="11"/>
      <c r="AAE180" s="11"/>
      <c r="AAF180" s="11"/>
      <c r="AAG180" s="11"/>
      <c r="AAH180" s="11"/>
      <c r="AAI180" s="11"/>
      <c r="AAJ180" s="11"/>
      <c r="AAK180" s="11"/>
      <c r="AAL180" s="11"/>
      <c r="AAM180" s="11"/>
      <c r="AAN180" s="11"/>
      <c r="AAO180" s="11"/>
      <c r="AAP180" s="11"/>
      <c r="AAQ180" s="11"/>
      <c r="AAR180" s="11"/>
      <c r="AAS180" s="11"/>
      <c r="AAT180" s="11"/>
      <c r="AAU180" s="11"/>
      <c r="AAV180" s="11"/>
      <c r="AAW180" s="11"/>
      <c r="AAX180" s="11"/>
      <c r="AAY180" s="11"/>
      <c r="AAZ180" s="11"/>
      <c r="ABA180" s="11"/>
      <c r="ABB180" s="11"/>
      <c r="ABC180" s="11"/>
      <c r="ABD180" s="11"/>
      <c r="ABE180" s="11"/>
      <c r="ABF180" s="11"/>
      <c r="ABG180" s="11"/>
      <c r="ABH180" s="11"/>
      <c r="ABI180" s="11"/>
      <c r="ABJ180" s="11"/>
      <c r="ABK180" s="11"/>
      <c r="ABL180" s="11"/>
      <c r="ABM180" s="11"/>
      <c r="ABN180" s="11"/>
      <c r="ABO180" s="11"/>
      <c r="ABP180" s="11"/>
      <c r="ABQ180" s="11"/>
      <c r="ABR180" s="11"/>
      <c r="ABS180" s="11"/>
      <c r="ABT180" s="11"/>
      <c r="ABU180" s="11"/>
      <c r="ABV180" s="11"/>
      <c r="ABW180" s="11"/>
      <c r="ABX180" s="11"/>
      <c r="ABY180" s="11"/>
      <c r="ABZ180" s="11"/>
      <c r="ACA180" s="11"/>
      <c r="ACB180" s="11"/>
      <c r="ACC180" s="11"/>
      <c r="ACD180" s="11"/>
      <c r="ACE180" s="11"/>
      <c r="ACF180" s="11"/>
      <c r="ACG180" s="11"/>
      <c r="ACH180" s="11"/>
      <c r="ACI180" s="11"/>
      <c r="ACJ180" s="11"/>
      <c r="ACK180" s="11"/>
      <c r="ACL180" s="11"/>
      <c r="ACM180" s="11"/>
      <c r="ACN180" s="11"/>
      <c r="ACO180" s="11"/>
      <c r="ACP180" s="11"/>
      <c r="ACQ180" s="11"/>
      <c r="ACR180" s="11"/>
      <c r="ACS180" s="11"/>
      <c r="ACT180" s="11"/>
      <c r="ACU180" s="11"/>
      <c r="ACV180" s="11"/>
      <c r="ACW180" s="11"/>
      <c r="ACX180" s="11"/>
      <c r="ACY180" s="11"/>
      <c r="ACZ180" s="11"/>
      <c r="ADA180" s="11"/>
      <c r="ADB180" s="11"/>
      <c r="ADC180" s="11"/>
      <c r="ADD180" s="11"/>
      <c r="ADE180" s="11"/>
      <c r="ADF180" s="11"/>
      <c r="ADG180" s="11"/>
      <c r="ADH180" s="11"/>
      <c r="ADI180" s="11"/>
      <c r="ADJ180" s="11"/>
      <c r="ADK180" s="11"/>
      <c r="ADL180" s="11"/>
      <c r="ADM180" s="11"/>
      <c r="ADN180" s="11"/>
      <c r="ADO180" s="11"/>
      <c r="ADP180" s="11"/>
      <c r="ADQ180" s="11"/>
      <c r="ADR180" s="11"/>
      <c r="ADS180" s="11"/>
      <c r="ADT180" s="11"/>
      <c r="ADU180" s="11"/>
      <c r="ADV180" s="11"/>
      <c r="ADW180" s="11"/>
      <c r="ADX180" s="11"/>
      <c r="ADY180" s="11"/>
      <c r="ADZ180" s="11"/>
      <c r="AEA180" s="11"/>
      <c r="AEB180" s="11"/>
      <c r="AEC180" s="11"/>
      <c r="AED180" s="11"/>
      <c r="AEE180" s="11"/>
      <c r="AEF180" s="11"/>
      <c r="AEG180" s="11"/>
      <c r="AEH180" s="11"/>
      <c r="AEI180" s="11"/>
      <c r="AEJ180" s="11"/>
      <c r="AEK180" s="11"/>
      <c r="AEL180" s="11"/>
      <c r="AEM180" s="11"/>
      <c r="AEN180" s="11"/>
      <c r="AEO180" s="11"/>
      <c r="AEP180" s="11"/>
      <c r="AEQ180" s="11"/>
      <c r="AER180" s="11"/>
      <c r="AES180" s="11"/>
      <c r="AET180" s="11"/>
      <c r="AEU180" s="11"/>
      <c r="AEV180" s="11"/>
      <c r="AEW180" s="11"/>
      <c r="AEX180" s="11"/>
      <c r="AEY180" s="11"/>
      <c r="AEZ180" s="11"/>
      <c r="AFA180" s="11"/>
      <c r="AFB180" s="11"/>
      <c r="AFC180" s="11"/>
      <c r="AFD180" s="11"/>
      <c r="AFE180" s="11"/>
      <c r="AFF180" s="11"/>
      <c r="AFG180" s="11"/>
      <c r="AFH180" s="11"/>
      <c r="AFI180" s="11"/>
    </row>
    <row r="181" spans="2:84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1"/>
      <c r="LV181" s="11"/>
      <c r="LW181" s="11"/>
      <c r="LX181" s="11"/>
      <c r="LY181" s="11"/>
      <c r="LZ181" s="11"/>
      <c r="MA181" s="11"/>
      <c r="MB181" s="11"/>
      <c r="MC181" s="11"/>
      <c r="MD181" s="11"/>
      <c r="ME181" s="11"/>
      <c r="MF181" s="11"/>
      <c r="MG181" s="11"/>
      <c r="MH181" s="11"/>
      <c r="MI181" s="11"/>
      <c r="MJ181" s="11"/>
      <c r="MK181" s="11"/>
      <c r="ML181" s="11"/>
      <c r="MM181" s="11"/>
      <c r="MN181" s="11"/>
      <c r="MO181" s="11"/>
      <c r="MP181" s="11"/>
      <c r="MQ181" s="11"/>
      <c r="MR181" s="11"/>
      <c r="MS181" s="11"/>
      <c r="MT181" s="11"/>
      <c r="MU181" s="11"/>
      <c r="MV181" s="11"/>
      <c r="MW181" s="11"/>
      <c r="MX181" s="11"/>
      <c r="MY181" s="11"/>
      <c r="MZ181" s="11"/>
      <c r="NA181" s="11"/>
      <c r="NB181" s="11"/>
      <c r="NC181" s="11"/>
      <c r="ND181" s="11"/>
      <c r="NE181" s="11"/>
      <c r="NF181" s="11"/>
      <c r="NG181" s="11"/>
      <c r="NH181" s="11"/>
      <c r="NI181" s="11"/>
      <c r="NJ181" s="11"/>
      <c r="NK181" s="11"/>
      <c r="NL181" s="11"/>
      <c r="NM181" s="11"/>
      <c r="NN181" s="11"/>
      <c r="NO181" s="11"/>
      <c r="NP181" s="11"/>
      <c r="NQ181" s="11"/>
      <c r="NR181" s="11"/>
      <c r="NS181" s="11"/>
      <c r="NT181" s="11"/>
      <c r="NU181" s="11"/>
      <c r="NV181" s="11"/>
      <c r="NW181" s="11"/>
      <c r="NX181" s="11"/>
      <c r="NY181" s="11"/>
      <c r="NZ181" s="11"/>
      <c r="OA181" s="11"/>
      <c r="OB181" s="11"/>
      <c r="OC181" s="11"/>
      <c r="OD181" s="11"/>
      <c r="OE181" s="11"/>
      <c r="OF181" s="11"/>
      <c r="OG181" s="11"/>
      <c r="OH181" s="11"/>
      <c r="OI181" s="11"/>
      <c r="OJ181" s="11"/>
      <c r="OK181" s="11"/>
      <c r="OL181" s="11"/>
      <c r="OM181" s="11"/>
      <c r="ON181" s="11"/>
      <c r="OO181" s="11"/>
      <c r="OP181" s="11"/>
      <c r="OQ181" s="11"/>
      <c r="OR181" s="11"/>
      <c r="OS181" s="11"/>
      <c r="OT181" s="11"/>
      <c r="OU181" s="11"/>
      <c r="OV181" s="11"/>
      <c r="OW181" s="11"/>
      <c r="OX181" s="11"/>
      <c r="OY181" s="11"/>
      <c r="OZ181" s="11"/>
      <c r="PA181" s="11"/>
      <c r="PB181" s="11"/>
      <c r="PC181" s="11"/>
      <c r="PD181" s="11"/>
      <c r="PE181" s="11"/>
      <c r="PF181" s="11"/>
      <c r="PG181" s="11"/>
      <c r="PH181" s="11"/>
      <c r="PI181" s="11"/>
      <c r="PJ181" s="11"/>
      <c r="PK181" s="11"/>
      <c r="PL181" s="11"/>
      <c r="PM181" s="11"/>
      <c r="PN181" s="11"/>
      <c r="PO181" s="11"/>
      <c r="PP181" s="11"/>
      <c r="PQ181" s="11"/>
      <c r="PR181" s="11"/>
      <c r="PS181" s="11"/>
      <c r="PT181" s="11"/>
      <c r="PU181" s="11"/>
      <c r="PV181" s="11"/>
      <c r="PW181" s="11"/>
      <c r="PX181" s="11"/>
      <c r="PY181" s="11"/>
      <c r="PZ181" s="11"/>
      <c r="QA181" s="11"/>
      <c r="QB181" s="11"/>
      <c r="QC181" s="11"/>
      <c r="QD181" s="11"/>
      <c r="QE181" s="11"/>
      <c r="QF181" s="11"/>
      <c r="QG181" s="11"/>
      <c r="QH181" s="11"/>
      <c r="QI181" s="11"/>
      <c r="QJ181" s="11"/>
      <c r="QK181" s="11"/>
      <c r="QL181" s="11"/>
      <c r="QM181" s="11"/>
      <c r="QN181" s="11"/>
      <c r="QO181" s="11"/>
      <c r="QP181" s="11"/>
      <c r="QQ181" s="11"/>
      <c r="QR181" s="11"/>
      <c r="QS181" s="11"/>
      <c r="QT181" s="11"/>
      <c r="QU181" s="11"/>
      <c r="QV181" s="11"/>
      <c r="QW181" s="11"/>
      <c r="QX181" s="11"/>
      <c r="QY181" s="11"/>
      <c r="QZ181" s="11"/>
      <c r="RA181" s="11"/>
      <c r="RB181" s="11"/>
      <c r="RC181" s="11"/>
      <c r="RD181" s="11"/>
      <c r="RE181" s="11"/>
      <c r="RF181" s="11"/>
      <c r="RG181" s="11"/>
      <c r="RH181" s="11"/>
      <c r="RI181" s="11"/>
      <c r="RJ181" s="11"/>
      <c r="RK181" s="11"/>
      <c r="RL181" s="11"/>
      <c r="RM181" s="11"/>
      <c r="RN181" s="11"/>
      <c r="RO181" s="11"/>
      <c r="RP181" s="11"/>
      <c r="RQ181" s="11"/>
      <c r="RR181" s="11"/>
      <c r="RS181" s="11"/>
      <c r="RT181" s="11"/>
      <c r="RU181" s="11"/>
      <c r="RV181" s="11"/>
      <c r="RW181" s="11"/>
      <c r="RX181" s="11"/>
      <c r="RY181" s="11"/>
      <c r="RZ181" s="11"/>
      <c r="SA181" s="11"/>
      <c r="SB181" s="11"/>
      <c r="SC181" s="11"/>
      <c r="SD181" s="11"/>
      <c r="SE181" s="11"/>
      <c r="SF181" s="11"/>
      <c r="SG181" s="11"/>
      <c r="SH181" s="11"/>
      <c r="SI181" s="11"/>
      <c r="SJ181" s="11"/>
      <c r="SK181" s="11"/>
      <c r="SL181" s="11"/>
      <c r="SM181" s="11"/>
      <c r="SN181" s="11"/>
      <c r="SO181" s="11"/>
      <c r="SP181" s="11"/>
      <c r="SQ181" s="11"/>
      <c r="SR181" s="11"/>
      <c r="SS181" s="11"/>
      <c r="ST181" s="11"/>
      <c r="SU181" s="11"/>
      <c r="SV181" s="11"/>
      <c r="SW181" s="11"/>
      <c r="SX181" s="11"/>
      <c r="SY181" s="11"/>
      <c r="SZ181" s="11"/>
      <c r="TA181" s="11"/>
      <c r="TB181" s="11"/>
      <c r="TC181" s="11"/>
      <c r="TD181" s="11"/>
      <c r="TE181" s="11"/>
      <c r="TF181" s="11"/>
      <c r="TG181" s="11"/>
      <c r="TH181" s="11"/>
      <c r="TI181" s="11"/>
      <c r="TJ181" s="11"/>
      <c r="TK181" s="11"/>
      <c r="TL181" s="11"/>
      <c r="TM181" s="11"/>
      <c r="TN181" s="11"/>
      <c r="TO181" s="11"/>
      <c r="TP181" s="11"/>
      <c r="TQ181" s="11"/>
      <c r="TR181" s="11"/>
      <c r="TS181" s="11"/>
      <c r="TT181" s="11"/>
      <c r="TU181" s="11"/>
      <c r="TV181" s="11"/>
      <c r="TW181" s="11"/>
      <c r="TX181" s="11"/>
      <c r="TY181" s="11"/>
      <c r="TZ181" s="11"/>
      <c r="UA181" s="11"/>
      <c r="UB181" s="11"/>
      <c r="UC181" s="11"/>
      <c r="UD181" s="11"/>
      <c r="UE181" s="11"/>
      <c r="UF181" s="11"/>
      <c r="UG181" s="11"/>
      <c r="UH181" s="11"/>
      <c r="UI181" s="11"/>
      <c r="UJ181" s="11"/>
      <c r="UK181" s="11"/>
      <c r="UL181" s="11"/>
      <c r="UM181" s="11"/>
      <c r="UN181" s="11"/>
      <c r="UO181" s="11"/>
      <c r="UP181" s="11"/>
      <c r="UQ181" s="11"/>
      <c r="UR181" s="11"/>
      <c r="US181" s="11"/>
      <c r="UT181" s="11"/>
      <c r="UU181" s="11"/>
      <c r="UV181" s="11"/>
      <c r="UW181" s="11"/>
      <c r="UX181" s="11"/>
      <c r="UY181" s="11"/>
      <c r="UZ181" s="11"/>
      <c r="VA181" s="11"/>
      <c r="VB181" s="11"/>
      <c r="VC181" s="11"/>
      <c r="VD181" s="11"/>
      <c r="VE181" s="11"/>
      <c r="VF181" s="11"/>
      <c r="VG181" s="11"/>
      <c r="VH181" s="11"/>
      <c r="VI181" s="11"/>
      <c r="VJ181" s="11"/>
      <c r="VK181" s="11"/>
      <c r="VL181" s="11"/>
      <c r="VM181" s="11"/>
      <c r="VN181" s="11"/>
      <c r="VO181" s="11"/>
      <c r="VP181" s="11"/>
      <c r="VQ181" s="11"/>
      <c r="VR181" s="11"/>
      <c r="VS181" s="11"/>
      <c r="VT181" s="11"/>
      <c r="VU181" s="11"/>
      <c r="VV181" s="11"/>
      <c r="VW181" s="11"/>
      <c r="VX181" s="11"/>
      <c r="VY181" s="11"/>
      <c r="VZ181" s="11"/>
      <c r="WA181" s="11"/>
      <c r="WB181" s="11"/>
      <c r="WC181" s="11"/>
      <c r="WD181" s="11"/>
      <c r="WE181" s="11"/>
      <c r="WF181" s="11"/>
      <c r="WG181" s="11"/>
      <c r="WH181" s="11"/>
      <c r="WI181" s="11"/>
      <c r="WJ181" s="11"/>
      <c r="WK181" s="11"/>
      <c r="WL181" s="11"/>
      <c r="WM181" s="11"/>
      <c r="WN181" s="11"/>
      <c r="WO181" s="11"/>
      <c r="WP181" s="11"/>
      <c r="WQ181" s="11"/>
      <c r="WR181" s="11"/>
      <c r="WS181" s="11"/>
      <c r="WT181" s="11"/>
      <c r="WU181" s="11"/>
      <c r="WV181" s="11"/>
      <c r="WW181" s="11"/>
      <c r="WX181" s="11"/>
      <c r="WY181" s="11"/>
      <c r="WZ181" s="11"/>
      <c r="XA181" s="11"/>
      <c r="XB181" s="11"/>
      <c r="XC181" s="11"/>
      <c r="XD181" s="11"/>
      <c r="XE181" s="11"/>
      <c r="XF181" s="11"/>
      <c r="XG181" s="11"/>
      <c r="XH181" s="11"/>
      <c r="XI181" s="11"/>
      <c r="XJ181" s="11"/>
      <c r="XK181" s="11"/>
      <c r="XL181" s="11"/>
      <c r="XM181" s="11"/>
      <c r="XN181" s="11"/>
      <c r="XO181" s="11"/>
      <c r="XP181" s="11"/>
      <c r="XQ181" s="11"/>
      <c r="XR181" s="11"/>
      <c r="XS181" s="11"/>
      <c r="XT181" s="11"/>
      <c r="XU181" s="11"/>
      <c r="XV181" s="11"/>
      <c r="XW181" s="11"/>
      <c r="XX181" s="11"/>
      <c r="XY181" s="11"/>
      <c r="XZ181" s="11"/>
      <c r="YA181" s="11"/>
      <c r="YB181" s="11"/>
      <c r="YC181" s="11"/>
      <c r="YD181" s="11"/>
      <c r="YE181" s="11"/>
      <c r="YF181" s="11"/>
      <c r="YG181" s="11"/>
      <c r="YH181" s="11"/>
      <c r="YI181" s="11"/>
      <c r="YJ181" s="11"/>
      <c r="YK181" s="11"/>
      <c r="YL181" s="11"/>
      <c r="YM181" s="11"/>
      <c r="YN181" s="11"/>
      <c r="YO181" s="11"/>
      <c r="YP181" s="11"/>
      <c r="YQ181" s="11"/>
      <c r="YR181" s="11"/>
      <c r="YS181" s="11"/>
      <c r="YT181" s="11"/>
      <c r="YU181" s="11"/>
      <c r="YV181" s="11"/>
      <c r="YW181" s="11"/>
      <c r="YX181" s="11"/>
      <c r="YY181" s="11"/>
      <c r="YZ181" s="11"/>
      <c r="ZA181" s="11"/>
      <c r="ZB181" s="11"/>
      <c r="ZC181" s="11"/>
      <c r="ZD181" s="11"/>
      <c r="ZE181" s="11"/>
      <c r="ZF181" s="11"/>
      <c r="ZG181" s="11"/>
      <c r="ZH181" s="11"/>
      <c r="ZI181" s="11"/>
      <c r="ZJ181" s="11"/>
      <c r="ZK181" s="11"/>
      <c r="ZL181" s="11"/>
      <c r="ZM181" s="11"/>
      <c r="ZN181" s="11"/>
      <c r="ZO181" s="11"/>
      <c r="ZP181" s="11"/>
      <c r="ZQ181" s="11"/>
      <c r="ZR181" s="11"/>
      <c r="ZS181" s="11"/>
      <c r="ZT181" s="11"/>
      <c r="ZU181" s="11"/>
      <c r="ZV181" s="11"/>
      <c r="ZW181" s="11"/>
      <c r="ZX181" s="11"/>
      <c r="ZY181" s="11"/>
      <c r="ZZ181" s="11"/>
      <c r="AAA181" s="11"/>
      <c r="AAB181" s="11"/>
      <c r="AAC181" s="11"/>
      <c r="AAD181" s="11"/>
      <c r="AAE181" s="11"/>
      <c r="AAF181" s="11"/>
      <c r="AAG181" s="11"/>
      <c r="AAH181" s="11"/>
      <c r="AAI181" s="11"/>
      <c r="AAJ181" s="11"/>
      <c r="AAK181" s="11"/>
      <c r="AAL181" s="11"/>
      <c r="AAM181" s="11"/>
      <c r="AAN181" s="11"/>
      <c r="AAO181" s="11"/>
      <c r="AAP181" s="11"/>
      <c r="AAQ181" s="11"/>
      <c r="AAR181" s="11"/>
      <c r="AAS181" s="11"/>
      <c r="AAT181" s="11"/>
      <c r="AAU181" s="11"/>
      <c r="AAV181" s="11"/>
      <c r="AAW181" s="11"/>
      <c r="AAX181" s="11"/>
      <c r="AAY181" s="11"/>
      <c r="AAZ181" s="11"/>
      <c r="ABA181" s="11"/>
      <c r="ABB181" s="11"/>
      <c r="ABC181" s="11"/>
      <c r="ABD181" s="11"/>
      <c r="ABE181" s="11"/>
      <c r="ABF181" s="11"/>
      <c r="ABG181" s="11"/>
      <c r="ABH181" s="11"/>
      <c r="ABI181" s="11"/>
      <c r="ABJ181" s="11"/>
      <c r="ABK181" s="11"/>
      <c r="ABL181" s="11"/>
      <c r="ABM181" s="11"/>
      <c r="ABN181" s="11"/>
      <c r="ABO181" s="11"/>
      <c r="ABP181" s="11"/>
      <c r="ABQ181" s="11"/>
      <c r="ABR181" s="11"/>
      <c r="ABS181" s="11"/>
      <c r="ABT181" s="11"/>
      <c r="ABU181" s="11"/>
      <c r="ABV181" s="11"/>
      <c r="ABW181" s="11"/>
      <c r="ABX181" s="11"/>
      <c r="ABY181" s="11"/>
      <c r="ABZ181" s="11"/>
      <c r="ACA181" s="11"/>
      <c r="ACB181" s="11"/>
      <c r="ACC181" s="11"/>
      <c r="ACD181" s="11"/>
      <c r="ACE181" s="11"/>
      <c r="ACF181" s="11"/>
      <c r="ACG181" s="11"/>
      <c r="ACH181" s="11"/>
      <c r="ACI181" s="11"/>
      <c r="ACJ181" s="11"/>
      <c r="ACK181" s="11"/>
      <c r="ACL181" s="11"/>
      <c r="ACM181" s="11"/>
      <c r="ACN181" s="11"/>
      <c r="ACO181" s="11"/>
      <c r="ACP181" s="11"/>
      <c r="ACQ181" s="11"/>
      <c r="ACR181" s="11"/>
      <c r="ACS181" s="11"/>
      <c r="ACT181" s="11"/>
      <c r="ACU181" s="11"/>
      <c r="ACV181" s="11"/>
      <c r="ACW181" s="11"/>
      <c r="ACX181" s="11"/>
      <c r="ACY181" s="11"/>
      <c r="ACZ181" s="11"/>
      <c r="ADA181" s="11"/>
      <c r="ADB181" s="11"/>
      <c r="ADC181" s="11"/>
      <c r="ADD181" s="11"/>
      <c r="ADE181" s="11"/>
      <c r="ADF181" s="11"/>
      <c r="ADG181" s="11"/>
      <c r="ADH181" s="11"/>
      <c r="ADI181" s="11"/>
      <c r="ADJ181" s="11"/>
      <c r="ADK181" s="11"/>
      <c r="ADL181" s="11"/>
      <c r="ADM181" s="11"/>
      <c r="ADN181" s="11"/>
      <c r="ADO181" s="11"/>
      <c r="ADP181" s="11"/>
      <c r="ADQ181" s="11"/>
      <c r="ADR181" s="11"/>
      <c r="ADS181" s="11"/>
      <c r="ADT181" s="11"/>
      <c r="ADU181" s="11"/>
      <c r="ADV181" s="11"/>
      <c r="ADW181" s="11"/>
      <c r="ADX181" s="11"/>
      <c r="ADY181" s="11"/>
      <c r="ADZ181" s="11"/>
      <c r="AEA181" s="11"/>
      <c r="AEB181" s="11"/>
      <c r="AEC181" s="11"/>
      <c r="AED181" s="11"/>
      <c r="AEE181" s="11"/>
      <c r="AEF181" s="11"/>
      <c r="AEG181" s="11"/>
      <c r="AEH181" s="11"/>
      <c r="AEI181" s="11"/>
      <c r="AEJ181" s="11"/>
      <c r="AEK181" s="11"/>
      <c r="AEL181" s="11"/>
      <c r="AEM181" s="11"/>
      <c r="AEN181" s="11"/>
      <c r="AEO181" s="11"/>
      <c r="AEP181" s="11"/>
      <c r="AEQ181" s="11"/>
      <c r="AER181" s="11"/>
      <c r="AES181" s="11"/>
      <c r="AET181" s="11"/>
      <c r="AEU181" s="11"/>
      <c r="AEV181" s="11"/>
      <c r="AEW181" s="11"/>
      <c r="AEX181" s="11"/>
      <c r="AEY181" s="11"/>
      <c r="AEZ181" s="11"/>
      <c r="AFA181" s="11"/>
      <c r="AFB181" s="11"/>
      <c r="AFC181" s="11"/>
      <c r="AFD181" s="11"/>
      <c r="AFE181" s="11"/>
      <c r="AFF181" s="11"/>
      <c r="AFG181" s="11"/>
      <c r="AFH181" s="11"/>
      <c r="AFI181" s="11"/>
    </row>
    <row r="182" spans="2:84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1"/>
      <c r="LV182" s="11"/>
      <c r="LW182" s="11"/>
      <c r="LX182" s="11"/>
      <c r="LY182" s="11"/>
      <c r="LZ182" s="11"/>
      <c r="MA182" s="11"/>
      <c r="MB182" s="11"/>
      <c r="MC182" s="11"/>
      <c r="MD182" s="11"/>
      <c r="ME182" s="11"/>
      <c r="MF182" s="11"/>
      <c r="MG182" s="11"/>
      <c r="MH182" s="11"/>
      <c r="MI182" s="11"/>
      <c r="MJ182" s="11"/>
      <c r="MK182" s="11"/>
      <c r="ML182" s="11"/>
      <c r="MM182" s="11"/>
      <c r="MN182" s="11"/>
      <c r="MO182" s="11"/>
      <c r="MP182" s="11"/>
      <c r="MQ182" s="11"/>
      <c r="MR182" s="11"/>
      <c r="MS182" s="11"/>
      <c r="MT182" s="11"/>
      <c r="MU182" s="11"/>
      <c r="MV182" s="11"/>
      <c r="MW182" s="11"/>
      <c r="MX182" s="11"/>
      <c r="MY182" s="11"/>
      <c r="MZ182" s="11"/>
      <c r="NA182" s="11"/>
      <c r="NB182" s="11"/>
      <c r="NC182" s="11"/>
      <c r="ND182" s="11"/>
      <c r="NE182" s="11"/>
      <c r="NF182" s="11"/>
      <c r="NG182" s="11"/>
      <c r="NH182" s="11"/>
      <c r="NI182" s="11"/>
      <c r="NJ182" s="11"/>
      <c r="NK182" s="11"/>
      <c r="NL182" s="11"/>
      <c r="NM182" s="11"/>
      <c r="NN182" s="11"/>
      <c r="NO182" s="11"/>
      <c r="NP182" s="11"/>
      <c r="NQ182" s="11"/>
      <c r="NR182" s="11"/>
      <c r="NS182" s="11"/>
      <c r="NT182" s="11"/>
      <c r="NU182" s="11"/>
      <c r="NV182" s="11"/>
      <c r="NW182" s="11"/>
      <c r="NX182" s="11"/>
      <c r="NY182" s="11"/>
      <c r="NZ182" s="11"/>
      <c r="OA182" s="11"/>
      <c r="OB182" s="11"/>
      <c r="OC182" s="11"/>
      <c r="OD182" s="11"/>
      <c r="OE182" s="11"/>
      <c r="OF182" s="11"/>
      <c r="OG182" s="11"/>
      <c r="OH182" s="11"/>
      <c r="OI182" s="11"/>
      <c r="OJ182" s="11"/>
      <c r="OK182" s="11"/>
      <c r="OL182" s="11"/>
      <c r="OM182" s="11"/>
      <c r="ON182" s="11"/>
      <c r="OO182" s="11"/>
      <c r="OP182" s="11"/>
      <c r="OQ182" s="11"/>
      <c r="OR182" s="11"/>
      <c r="OS182" s="11"/>
      <c r="OT182" s="11"/>
      <c r="OU182" s="11"/>
      <c r="OV182" s="11"/>
      <c r="OW182" s="11"/>
      <c r="OX182" s="11"/>
      <c r="OY182" s="11"/>
      <c r="OZ182" s="11"/>
      <c r="PA182" s="11"/>
      <c r="PB182" s="11"/>
      <c r="PC182" s="11"/>
      <c r="PD182" s="11"/>
      <c r="PE182" s="11"/>
      <c r="PF182" s="11"/>
      <c r="PG182" s="11"/>
      <c r="PH182" s="11"/>
      <c r="PI182" s="11"/>
      <c r="PJ182" s="11"/>
      <c r="PK182" s="11"/>
      <c r="PL182" s="11"/>
      <c r="PM182" s="11"/>
      <c r="PN182" s="11"/>
      <c r="PO182" s="11"/>
      <c r="PP182" s="11"/>
      <c r="PQ182" s="11"/>
      <c r="PR182" s="11"/>
      <c r="PS182" s="11"/>
      <c r="PT182" s="11"/>
      <c r="PU182" s="11"/>
      <c r="PV182" s="11"/>
      <c r="PW182" s="11"/>
      <c r="PX182" s="11"/>
      <c r="PY182" s="11"/>
      <c r="PZ182" s="11"/>
      <c r="QA182" s="11"/>
      <c r="QB182" s="11"/>
      <c r="QC182" s="11"/>
      <c r="QD182" s="11"/>
      <c r="QE182" s="11"/>
      <c r="QF182" s="11"/>
      <c r="QG182" s="11"/>
      <c r="QH182" s="11"/>
      <c r="QI182" s="11"/>
      <c r="QJ182" s="11"/>
      <c r="QK182" s="11"/>
      <c r="QL182" s="11"/>
      <c r="QM182" s="11"/>
      <c r="QN182" s="11"/>
      <c r="QO182" s="11"/>
      <c r="QP182" s="11"/>
      <c r="QQ182" s="11"/>
      <c r="QR182" s="11"/>
      <c r="QS182" s="11"/>
      <c r="QT182" s="11"/>
      <c r="QU182" s="11"/>
      <c r="QV182" s="11"/>
      <c r="QW182" s="11"/>
      <c r="QX182" s="11"/>
      <c r="QY182" s="11"/>
      <c r="QZ182" s="11"/>
      <c r="RA182" s="11"/>
      <c r="RB182" s="11"/>
      <c r="RC182" s="11"/>
      <c r="RD182" s="11"/>
      <c r="RE182" s="11"/>
      <c r="RF182" s="11"/>
      <c r="RG182" s="11"/>
      <c r="RH182" s="11"/>
      <c r="RI182" s="11"/>
      <c r="RJ182" s="11"/>
      <c r="RK182" s="11"/>
      <c r="RL182" s="11"/>
      <c r="RM182" s="11"/>
      <c r="RN182" s="11"/>
      <c r="RO182" s="11"/>
      <c r="RP182" s="11"/>
      <c r="RQ182" s="11"/>
      <c r="RR182" s="11"/>
      <c r="RS182" s="11"/>
      <c r="RT182" s="11"/>
      <c r="RU182" s="11"/>
      <c r="RV182" s="11"/>
      <c r="RW182" s="11"/>
      <c r="RX182" s="11"/>
      <c r="RY182" s="11"/>
      <c r="RZ182" s="11"/>
      <c r="SA182" s="11"/>
      <c r="SB182" s="11"/>
      <c r="SC182" s="11"/>
      <c r="SD182" s="11"/>
      <c r="SE182" s="11"/>
      <c r="SF182" s="11"/>
      <c r="SG182" s="11"/>
      <c r="SH182" s="11"/>
      <c r="SI182" s="11"/>
      <c r="SJ182" s="11"/>
      <c r="SK182" s="11"/>
      <c r="SL182" s="11"/>
      <c r="SM182" s="11"/>
      <c r="SN182" s="11"/>
      <c r="SO182" s="11"/>
      <c r="SP182" s="11"/>
      <c r="SQ182" s="11"/>
      <c r="SR182" s="11"/>
      <c r="SS182" s="11"/>
      <c r="ST182" s="11"/>
      <c r="SU182" s="11"/>
      <c r="SV182" s="11"/>
      <c r="SW182" s="11"/>
      <c r="SX182" s="11"/>
      <c r="SY182" s="11"/>
      <c r="SZ182" s="11"/>
      <c r="TA182" s="11"/>
      <c r="TB182" s="11"/>
      <c r="TC182" s="11"/>
      <c r="TD182" s="11"/>
      <c r="TE182" s="11"/>
      <c r="TF182" s="11"/>
      <c r="TG182" s="11"/>
      <c r="TH182" s="11"/>
      <c r="TI182" s="11"/>
      <c r="TJ182" s="11"/>
      <c r="TK182" s="11"/>
      <c r="TL182" s="11"/>
      <c r="TM182" s="11"/>
      <c r="TN182" s="11"/>
      <c r="TO182" s="11"/>
      <c r="TP182" s="11"/>
      <c r="TQ182" s="11"/>
      <c r="TR182" s="11"/>
      <c r="TS182" s="11"/>
      <c r="TT182" s="11"/>
      <c r="TU182" s="11"/>
      <c r="TV182" s="11"/>
      <c r="TW182" s="11"/>
      <c r="TX182" s="11"/>
      <c r="TY182" s="11"/>
      <c r="TZ182" s="11"/>
      <c r="UA182" s="11"/>
      <c r="UB182" s="11"/>
      <c r="UC182" s="11"/>
      <c r="UD182" s="11"/>
      <c r="UE182" s="11"/>
      <c r="UF182" s="11"/>
      <c r="UG182" s="11"/>
      <c r="UH182" s="11"/>
      <c r="UI182" s="11"/>
      <c r="UJ182" s="11"/>
      <c r="UK182" s="11"/>
      <c r="UL182" s="11"/>
      <c r="UM182" s="11"/>
      <c r="UN182" s="11"/>
      <c r="UO182" s="11"/>
      <c r="UP182" s="11"/>
      <c r="UQ182" s="11"/>
      <c r="UR182" s="11"/>
      <c r="US182" s="11"/>
      <c r="UT182" s="11"/>
      <c r="UU182" s="11"/>
      <c r="UV182" s="11"/>
      <c r="UW182" s="11"/>
      <c r="UX182" s="11"/>
      <c r="UY182" s="11"/>
      <c r="UZ182" s="11"/>
      <c r="VA182" s="11"/>
      <c r="VB182" s="11"/>
      <c r="VC182" s="11"/>
      <c r="VD182" s="11"/>
      <c r="VE182" s="11"/>
      <c r="VF182" s="11"/>
      <c r="VG182" s="11"/>
      <c r="VH182" s="11"/>
      <c r="VI182" s="11"/>
      <c r="VJ182" s="11"/>
      <c r="VK182" s="11"/>
      <c r="VL182" s="11"/>
      <c r="VM182" s="11"/>
      <c r="VN182" s="11"/>
      <c r="VO182" s="11"/>
      <c r="VP182" s="11"/>
      <c r="VQ182" s="11"/>
      <c r="VR182" s="11"/>
      <c r="VS182" s="11"/>
      <c r="VT182" s="11"/>
      <c r="VU182" s="11"/>
      <c r="VV182" s="11"/>
      <c r="VW182" s="11"/>
      <c r="VX182" s="11"/>
      <c r="VY182" s="11"/>
      <c r="VZ182" s="11"/>
      <c r="WA182" s="11"/>
      <c r="WB182" s="11"/>
      <c r="WC182" s="11"/>
      <c r="WD182" s="11"/>
      <c r="WE182" s="11"/>
      <c r="WF182" s="11"/>
      <c r="WG182" s="11"/>
      <c r="WH182" s="11"/>
      <c r="WI182" s="11"/>
      <c r="WJ182" s="11"/>
      <c r="WK182" s="11"/>
      <c r="WL182" s="11"/>
      <c r="WM182" s="11"/>
      <c r="WN182" s="11"/>
      <c r="WO182" s="11"/>
      <c r="WP182" s="11"/>
      <c r="WQ182" s="11"/>
      <c r="WR182" s="11"/>
      <c r="WS182" s="11"/>
      <c r="WT182" s="11"/>
      <c r="WU182" s="11"/>
      <c r="WV182" s="11"/>
      <c r="WW182" s="11"/>
      <c r="WX182" s="11"/>
      <c r="WY182" s="11"/>
      <c r="WZ182" s="11"/>
      <c r="XA182" s="11"/>
      <c r="XB182" s="11"/>
      <c r="XC182" s="11"/>
      <c r="XD182" s="11"/>
      <c r="XE182" s="11"/>
      <c r="XF182" s="11"/>
      <c r="XG182" s="11"/>
      <c r="XH182" s="11"/>
      <c r="XI182" s="11"/>
      <c r="XJ182" s="11"/>
      <c r="XK182" s="11"/>
      <c r="XL182" s="11"/>
      <c r="XM182" s="11"/>
      <c r="XN182" s="11"/>
      <c r="XO182" s="11"/>
      <c r="XP182" s="11"/>
      <c r="XQ182" s="11"/>
      <c r="XR182" s="11"/>
      <c r="XS182" s="11"/>
      <c r="XT182" s="11"/>
      <c r="XU182" s="11"/>
      <c r="XV182" s="11"/>
      <c r="XW182" s="11"/>
      <c r="XX182" s="11"/>
      <c r="XY182" s="11"/>
      <c r="XZ182" s="11"/>
      <c r="YA182" s="11"/>
      <c r="YB182" s="11"/>
      <c r="YC182" s="11"/>
      <c r="YD182" s="11"/>
      <c r="YE182" s="11"/>
      <c r="YF182" s="11"/>
      <c r="YG182" s="11"/>
      <c r="YH182" s="11"/>
      <c r="YI182" s="11"/>
      <c r="YJ182" s="11"/>
      <c r="YK182" s="11"/>
      <c r="YL182" s="11"/>
      <c r="YM182" s="11"/>
      <c r="YN182" s="11"/>
      <c r="YO182" s="11"/>
      <c r="YP182" s="11"/>
      <c r="YQ182" s="11"/>
      <c r="YR182" s="11"/>
      <c r="YS182" s="11"/>
      <c r="YT182" s="11"/>
      <c r="YU182" s="11"/>
      <c r="YV182" s="11"/>
      <c r="YW182" s="11"/>
      <c r="YX182" s="11"/>
      <c r="YY182" s="11"/>
      <c r="YZ182" s="11"/>
      <c r="ZA182" s="11"/>
      <c r="ZB182" s="11"/>
      <c r="ZC182" s="11"/>
      <c r="ZD182" s="11"/>
      <c r="ZE182" s="11"/>
      <c r="ZF182" s="11"/>
      <c r="ZG182" s="11"/>
      <c r="ZH182" s="11"/>
      <c r="ZI182" s="11"/>
      <c r="ZJ182" s="11"/>
      <c r="ZK182" s="11"/>
      <c r="ZL182" s="11"/>
      <c r="ZM182" s="11"/>
      <c r="ZN182" s="11"/>
      <c r="ZO182" s="11"/>
      <c r="ZP182" s="11"/>
      <c r="ZQ182" s="11"/>
      <c r="ZR182" s="11"/>
      <c r="ZS182" s="11"/>
      <c r="ZT182" s="11"/>
      <c r="ZU182" s="11"/>
      <c r="ZV182" s="11"/>
      <c r="ZW182" s="11"/>
      <c r="ZX182" s="11"/>
      <c r="ZY182" s="11"/>
      <c r="ZZ182" s="11"/>
      <c r="AAA182" s="11"/>
      <c r="AAB182" s="11"/>
      <c r="AAC182" s="11"/>
      <c r="AAD182" s="11"/>
      <c r="AAE182" s="11"/>
      <c r="AAF182" s="11"/>
      <c r="AAG182" s="11"/>
      <c r="AAH182" s="11"/>
      <c r="AAI182" s="11"/>
      <c r="AAJ182" s="11"/>
      <c r="AAK182" s="11"/>
      <c r="AAL182" s="11"/>
      <c r="AAM182" s="11"/>
      <c r="AAN182" s="11"/>
      <c r="AAO182" s="11"/>
      <c r="AAP182" s="11"/>
      <c r="AAQ182" s="11"/>
      <c r="AAR182" s="11"/>
      <c r="AAS182" s="11"/>
      <c r="AAT182" s="11"/>
      <c r="AAU182" s="11"/>
      <c r="AAV182" s="11"/>
      <c r="AAW182" s="11"/>
      <c r="AAX182" s="11"/>
      <c r="AAY182" s="11"/>
      <c r="AAZ182" s="11"/>
      <c r="ABA182" s="11"/>
      <c r="ABB182" s="11"/>
      <c r="ABC182" s="11"/>
      <c r="ABD182" s="11"/>
      <c r="ABE182" s="11"/>
      <c r="ABF182" s="11"/>
      <c r="ABG182" s="11"/>
      <c r="ABH182" s="11"/>
      <c r="ABI182" s="11"/>
      <c r="ABJ182" s="11"/>
      <c r="ABK182" s="11"/>
      <c r="ABL182" s="11"/>
      <c r="ABM182" s="11"/>
      <c r="ABN182" s="11"/>
      <c r="ABO182" s="11"/>
      <c r="ABP182" s="11"/>
      <c r="ABQ182" s="11"/>
      <c r="ABR182" s="11"/>
      <c r="ABS182" s="11"/>
      <c r="ABT182" s="11"/>
      <c r="ABU182" s="11"/>
      <c r="ABV182" s="11"/>
      <c r="ABW182" s="11"/>
      <c r="ABX182" s="11"/>
      <c r="ABY182" s="11"/>
      <c r="ABZ182" s="11"/>
      <c r="ACA182" s="11"/>
      <c r="ACB182" s="11"/>
      <c r="ACC182" s="11"/>
      <c r="ACD182" s="11"/>
      <c r="ACE182" s="11"/>
      <c r="ACF182" s="11"/>
      <c r="ACG182" s="11"/>
      <c r="ACH182" s="11"/>
      <c r="ACI182" s="11"/>
      <c r="ACJ182" s="11"/>
      <c r="ACK182" s="11"/>
      <c r="ACL182" s="11"/>
      <c r="ACM182" s="11"/>
      <c r="ACN182" s="11"/>
      <c r="ACO182" s="11"/>
      <c r="ACP182" s="11"/>
      <c r="ACQ182" s="11"/>
      <c r="ACR182" s="11"/>
      <c r="ACS182" s="11"/>
      <c r="ACT182" s="11"/>
      <c r="ACU182" s="11"/>
      <c r="ACV182" s="11"/>
      <c r="ACW182" s="11"/>
      <c r="ACX182" s="11"/>
      <c r="ACY182" s="11"/>
      <c r="ACZ182" s="11"/>
      <c r="ADA182" s="11"/>
      <c r="ADB182" s="11"/>
      <c r="ADC182" s="11"/>
      <c r="ADD182" s="11"/>
      <c r="ADE182" s="11"/>
      <c r="ADF182" s="11"/>
      <c r="ADG182" s="11"/>
      <c r="ADH182" s="11"/>
      <c r="ADI182" s="11"/>
      <c r="ADJ182" s="11"/>
      <c r="ADK182" s="11"/>
      <c r="ADL182" s="11"/>
      <c r="ADM182" s="11"/>
      <c r="ADN182" s="11"/>
      <c r="ADO182" s="11"/>
      <c r="ADP182" s="11"/>
      <c r="ADQ182" s="11"/>
      <c r="ADR182" s="11"/>
      <c r="ADS182" s="11"/>
      <c r="ADT182" s="11"/>
      <c r="ADU182" s="11"/>
      <c r="ADV182" s="11"/>
      <c r="ADW182" s="11"/>
      <c r="ADX182" s="11"/>
      <c r="ADY182" s="11"/>
      <c r="ADZ182" s="11"/>
      <c r="AEA182" s="11"/>
      <c r="AEB182" s="11"/>
      <c r="AEC182" s="11"/>
      <c r="AED182" s="11"/>
      <c r="AEE182" s="11"/>
      <c r="AEF182" s="11"/>
      <c r="AEG182" s="11"/>
      <c r="AEH182" s="11"/>
      <c r="AEI182" s="11"/>
      <c r="AEJ182" s="11"/>
      <c r="AEK182" s="11"/>
      <c r="AEL182" s="11"/>
      <c r="AEM182" s="11"/>
      <c r="AEN182" s="11"/>
      <c r="AEO182" s="11"/>
      <c r="AEP182" s="11"/>
      <c r="AEQ182" s="11"/>
      <c r="AER182" s="11"/>
      <c r="AES182" s="11"/>
      <c r="AET182" s="11"/>
      <c r="AEU182" s="11"/>
      <c r="AEV182" s="11"/>
      <c r="AEW182" s="11"/>
      <c r="AEX182" s="11"/>
      <c r="AEY182" s="11"/>
      <c r="AEZ182" s="11"/>
      <c r="AFA182" s="11"/>
      <c r="AFB182" s="11"/>
      <c r="AFC182" s="11"/>
      <c r="AFD182" s="11"/>
      <c r="AFE182" s="11"/>
      <c r="AFF182" s="11"/>
      <c r="AFG182" s="11"/>
      <c r="AFH182" s="11"/>
      <c r="AFI182" s="11"/>
    </row>
    <row r="183" spans="2:84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1"/>
      <c r="LV183" s="11"/>
      <c r="LW183" s="11"/>
      <c r="LX183" s="11"/>
      <c r="LY183" s="11"/>
      <c r="LZ183" s="11"/>
      <c r="MA183" s="11"/>
      <c r="MB183" s="11"/>
      <c r="MC183" s="11"/>
      <c r="MD183" s="11"/>
      <c r="ME183" s="11"/>
      <c r="MF183" s="11"/>
      <c r="MG183" s="11"/>
      <c r="MH183" s="11"/>
      <c r="MI183" s="11"/>
      <c r="MJ183" s="11"/>
      <c r="MK183" s="11"/>
      <c r="ML183" s="11"/>
      <c r="MM183" s="11"/>
      <c r="MN183" s="11"/>
      <c r="MO183" s="11"/>
      <c r="MP183" s="11"/>
      <c r="MQ183" s="11"/>
      <c r="MR183" s="11"/>
      <c r="MS183" s="11"/>
      <c r="MT183" s="11"/>
      <c r="MU183" s="11"/>
      <c r="MV183" s="11"/>
      <c r="MW183" s="11"/>
      <c r="MX183" s="11"/>
      <c r="MY183" s="11"/>
      <c r="MZ183" s="11"/>
      <c r="NA183" s="11"/>
      <c r="NB183" s="11"/>
      <c r="NC183" s="11"/>
      <c r="ND183" s="11"/>
      <c r="NE183" s="11"/>
      <c r="NF183" s="11"/>
      <c r="NG183" s="11"/>
      <c r="NH183" s="11"/>
      <c r="NI183" s="11"/>
      <c r="NJ183" s="11"/>
      <c r="NK183" s="11"/>
      <c r="NL183" s="11"/>
      <c r="NM183" s="11"/>
      <c r="NN183" s="11"/>
      <c r="NO183" s="11"/>
      <c r="NP183" s="11"/>
      <c r="NQ183" s="11"/>
      <c r="NR183" s="11"/>
      <c r="NS183" s="11"/>
      <c r="NT183" s="11"/>
      <c r="NU183" s="11"/>
      <c r="NV183" s="11"/>
      <c r="NW183" s="11"/>
      <c r="NX183" s="11"/>
      <c r="NY183" s="11"/>
      <c r="NZ183" s="11"/>
      <c r="OA183" s="11"/>
      <c r="OB183" s="11"/>
      <c r="OC183" s="11"/>
      <c r="OD183" s="11"/>
      <c r="OE183" s="11"/>
      <c r="OF183" s="11"/>
      <c r="OG183" s="11"/>
      <c r="OH183" s="11"/>
      <c r="OI183" s="11"/>
      <c r="OJ183" s="11"/>
      <c r="OK183" s="11"/>
      <c r="OL183" s="11"/>
      <c r="OM183" s="11"/>
      <c r="ON183" s="11"/>
      <c r="OO183" s="11"/>
      <c r="OP183" s="11"/>
      <c r="OQ183" s="11"/>
      <c r="OR183" s="11"/>
      <c r="OS183" s="11"/>
      <c r="OT183" s="11"/>
      <c r="OU183" s="11"/>
      <c r="OV183" s="11"/>
      <c r="OW183" s="11"/>
      <c r="OX183" s="11"/>
      <c r="OY183" s="11"/>
      <c r="OZ183" s="11"/>
      <c r="PA183" s="11"/>
      <c r="PB183" s="11"/>
      <c r="PC183" s="11"/>
      <c r="PD183" s="11"/>
      <c r="PE183" s="11"/>
      <c r="PF183" s="11"/>
      <c r="PG183" s="11"/>
      <c r="PH183" s="11"/>
      <c r="PI183" s="11"/>
      <c r="PJ183" s="11"/>
      <c r="PK183" s="11"/>
      <c r="PL183" s="11"/>
      <c r="PM183" s="11"/>
      <c r="PN183" s="11"/>
      <c r="PO183" s="11"/>
      <c r="PP183" s="11"/>
      <c r="PQ183" s="11"/>
      <c r="PR183" s="11"/>
      <c r="PS183" s="11"/>
      <c r="PT183" s="11"/>
      <c r="PU183" s="11"/>
      <c r="PV183" s="11"/>
      <c r="PW183" s="11"/>
      <c r="PX183" s="11"/>
      <c r="PY183" s="11"/>
      <c r="PZ183" s="11"/>
      <c r="QA183" s="11"/>
      <c r="QB183" s="11"/>
      <c r="QC183" s="11"/>
      <c r="QD183" s="11"/>
      <c r="QE183" s="11"/>
      <c r="QF183" s="11"/>
      <c r="QG183" s="11"/>
      <c r="QH183" s="11"/>
      <c r="QI183" s="11"/>
      <c r="QJ183" s="11"/>
      <c r="QK183" s="11"/>
      <c r="QL183" s="11"/>
      <c r="QM183" s="11"/>
      <c r="QN183" s="11"/>
      <c r="QO183" s="11"/>
      <c r="QP183" s="11"/>
      <c r="QQ183" s="11"/>
      <c r="QR183" s="11"/>
      <c r="QS183" s="11"/>
      <c r="QT183" s="11"/>
      <c r="QU183" s="11"/>
      <c r="QV183" s="11"/>
      <c r="QW183" s="11"/>
      <c r="QX183" s="11"/>
      <c r="QY183" s="11"/>
      <c r="QZ183" s="11"/>
      <c r="RA183" s="11"/>
      <c r="RB183" s="11"/>
      <c r="RC183" s="11"/>
      <c r="RD183" s="11"/>
      <c r="RE183" s="11"/>
      <c r="RF183" s="11"/>
      <c r="RG183" s="11"/>
      <c r="RH183" s="11"/>
      <c r="RI183" s="11"/>
      <c r="RJ183" s="11"/>
      <c r="RK183" s="11"/>
      <c r="RL183" s="11"/>
      <c r="RM183" s="11"/>
      <c r="RN183" s="11"/>
      <c r="RO183" s="11"/>
      <c r="RP183" s="11"/>
      <c r="RQ183" s="11"/>
      <c r="RR183" s="11"/>
      <c r="RS183" s="11"/>
      <c r="RT183" s="11"/>
      <c r="RU183" s="11"/>
      <c r="RV183" s="11"/>
      <c r="RW183" s="11"/>
      <c r="RX183" s="11"/>
      <c r="RY183" s="11"/>
      <c r="RZ183" s="11"/>
      <c r="SA183" s="11"/>
      <c r="SB183" s="11"/>
      <c r="SC183" s="11"/>
      <c r="SD183" s="11"/>
      <c r="SE183" s="11"/>
      <c r="SF183" s="11"/>
      <c r="SG183" s="11"/>
      <c r="SH183" s="11"/>
      <c r="SI183" s="11"/>
      <c r="SJ183" s="11"/>
      <c r="SK183" s="11"/>
      <c r="SL183" s="11"/>
      <c r="SM183" s="11"/>
      <c r="SN183" s="11"/>
      <c r="SO183" s="11"/>
      <c r="SP183" s="11"/>
      <c r="SQ183" s="11"/>
      <c r="SR183" s="11"/>
      <c r="SS183" s="11"/>
      <c r="ST183" s="11"/>
      <c r="SU183" s="11"/>
      <c r="SV183" s="11"/>
      <c r="SW183" s="11"/>
      <c r="SX183" s="11"/>
      <c r="SY183" s="11"/>
      <c r="SZ183" s="11"/>
      <c r="TA183" s="11"/>
      <c r="TB183" s="11"/>
      <c r="TC183" s="11"/>
      <c r="TD183" s="11"/>
      <c r="TE183" s="11"/>
      <c r="TF183" s="11"/>
      <c r="TG183" s="11"/>
      <c r="TH183" s="11"/>
      <c r="TI183" s="11"/>
      <c r="TJ183" s="11"/>
      <c r="TK183" s="11"/>
      <c r="TL183" s="11"/>
      <c r="TM183" s="11"/>
      <c r="TN183" s="11"/>
      <c r="TO183" s="11"/>
      <c r="TP183" s="11"/>
      <c r="TQ183" s="11"/>
      <c r="TR183" s="11"/>
      <c r="TS183" s="11"/>
      <c r="TT183" s="11"/>
      <c r="TU183" s="11"/>
      <c r="TV183" s="11"/>
      <c r="TW183" s="11"/>
      <c r="TX183" s="11"/>
      <c r="TY183" s="11"/>
      <c r="TZ183" s="11"/>
      <c r="UA183" s="11"/>
      <c r="UB183" s="11"/>
      <c r="UC183" s="11"/>
      <c r="UD183" s="11"/>
      <c r="UE183" s="11"/>
      <c r="UF183" s="11"/>
      <c r="UG183" s="11"/>
      <c r="UH183" s="11"/>
      <c r="UI183" s="11"/>
      <c r="UJ183" s="11"/>
      <c r="UK183" s="11"/>
      <c r="UL183" s="11"/>
      <c r="UM183" s="11"/>
      <c r="UN183" s="11"/>
      <c r="UO183" s="11"/>
      <c r="UP183" s="11"/>
      <c r="UQ183" s="11"/>
      <c r="UR183" s="11"/>
      <c r="US183" s="11"/>
      <c r="UT183" s="11"/>
      <c r="UU183" s="11"/>
      <c r="UV183" s="11"/>
      <c r="UW183" s="11"/>
      <c r="UX183" s="11"/>
      <c r="UY183" s="11"/>
      <c r="UZ183" s="11"/>
      <c r="VA183" s="11"/>
      <c r="VB183" s="11"/>
      <c r="VC183" s="11"/>
      <c r="VD183" s="11"/>
      <c r="VE183" s="11"/>
      <c r="VF183" s="11"/>
      <c r="VG183" s="11"/>
      <c r="VH183" s="11"/>
      <c r="VI183" s="11"/>
      <c r="VJ183" s="11"/>
      <c r="VK183" s="11"/>
      <c r="VL183" s="11"/>
      <c r="VM183" s="11"/>
      <c r="VN183" s="11"/>
      <c r="VO183" s="11"/>
      <c r="VP183" s="11"/>
      <c r="VQ183" s="11"/>
      <c r="VR183" s="11"/>
      <c r="VS183" s="11"/>
      <c r="VT183" s="11"/>
      <c r="VU183" s="11"/>
      <c r="VV183" s="11"/>
      <c r="VW183" s="11"/>
      <c r="VX183" s="11"/>
      <c r="VY183" s="11"/>
      <c r="VZ183" s="11"/>
      <c r="WA183" s="11"/>
      <c r="WB183" s="11"/>
      <c r="WC183" s="11"/>
      <c r="WD183" s="11"/>
      <c r="WE183" s="11"/>
      <c r="WF183" s="11"/>
      <c r="WG183" s="11"/>
      <c r="WH183" s="11"/>
      <c r="WI183" s="11"/>
      <c r="WJ183" s="11"/>
      <c r="WK183" s="11"/>
      <c r="WL183" s="11"/>
      <c r="WM183" s="11"/>
      <c r="WN183" s="11"/>
      <c r="WO183" s="11"/>
      <c r="WP183" s="11"/>
      <c r="WQ183" s="11"/>
      <c r="WR183" s="11"/>
      <c r="WS183" s="11"/>
      <c r="WT183" s="11"/>
      <c r="WU183" s="11"/>
      <c r="WV183" s="11"/>
      <c r="WW183" s="11"/>
      <c r="WX183" s="11"/>
      <c r="WY183" s="11"/>
      <c r="WZ183" s="11"/>
      <c r="XA183" s="11"/>
      <c r="XB183" s="11"/>
      <c r="XC183" s="11"/>
      <c r="XD183" s="11"/>
      <c r="XE183" s="11"/>
      <c r="XF183" s="11"/>
      <c r="XG183" s="11"/>
      <c r="XH183" s="11"/>
      <c r="XI183" s="11"/>
      <c r="XJ183" s="11"/>
      <c r="XK183" s="11"/>
      <c r="XL183" s="11"/>
      <c r="XM183" s="11"/>
      <c r="XN183" s="11"/>
      <c r="XO183" s="11"/>
      <c r="XP183" s="11"/>
      <c r="XQ183" s="11"/>
      <c r="XR183" s="11"/>
      <c r="XS183" s="11"/>
      <c r="XT183" s="11"/>
      <c r="XU183" s="11"/>
      <c r="XV183" s="11"/>
      <c r="XW183" s="11"/>
      <c r="XX183" s="11"/>
      <c r="XY183" s="11"/>
      <c r="XZ183" s="11"/>
      <c r="YA183" s="11"/>
      <c r="YB183" s="11"/>
      <c r="YC183" s="11"/>
      <c r="YD183" s="11"/>
      <c r="YE183" s="11"/>
      <c r="YF183" s="11"/>
      <c r="YG183" s="11"/>
      <c r="YH183" s="11"/>
      <c r="YI183" s="11"/>
      <c r="YJ183" s="11"/>
      <c r="YK183" s="11"/>
      <c r="YL183" s="11"/>
      <c r="YM183" s="11"/>
      <c r="YN183" s="11"/>
      <c r="YO183" s="11"/>
      <c r="YP183" s="11"/>
      <c r="YQ183" s="11"/>
      <c r="YR183" s="11"/>
      <c r="YS183" s="11"/>
      <c r="YT183" s="11"/>
      <c r="YU183" s="11"/>
      <c r="YV183" s="11"/>
      <c r="YW183" s="11"/>
      <c r="YX183" s="11"/>
      <c r="YY183" s="11"/>
      <c r="YZ183" s="11"/>
      <c r="ZA183" s="11"/>
      <c r="ZB183" s="11"/>
      <c r="ZC183" s="11"/>
      <c r="ZD183" s="11"/>
      <c r="ZE183" s="11"/>
      <c r="ZF183" s="11"/>
      <c r="ZG183" s="11"/>
      <c r="ZH183" s="11"/>
      <c r="ZI183" s="11"/>
      <c r="ZJ183" s="11"/>
      <c r="ZK183" s="11"/>
      <c r="ZL183" s="11"/>
      <c r="ZM183" s="11"/>
      <c r="ZN183" s="11"/>
      <c r="ZO183" s="11"/>
      <c r="ZP183" s="11"/>
      <c r="ZQ183" s="11"/>
      <c r="ZR183" s="11"/>
      <c r="ZS183" s="11"/>
      <c r="ZT183" s="11"/>
      <c r="ZU183" s="11"/>
      <c r="ZV183" s="11"/>
      <c r="ZW183" s="11"/>
      <c r="ZX183" s="11"/>
      <c r="ZY183" s="11"/>
      <c r="ZZ183" s="11"/>
      <c r="AAA183" s="11"/>
      <c r="AAB183" s="11"/>
      <c r="AAC183" s="11"/>
      <c r="AAD183" s="11"/>
      <c r="AAE183" s="11"/>
      <c r="AAF183" s="11"/>
      <c r="AAG183" s="11"/>
      <c r="AAH183" s="11"/>
      <c r="AAI183" s="11"/>
      <c r="AAJ183" s="11"/>
      <c r="AAK183" s="11"/>
      <c r="AAL183" s="11"/>
      <c r="AAM183" s="11"/>
      <c r="AAN183" s="11"/>
      <c r="AAO183" s="11"/>
      <c r="AAP183" s="11"/>
      <c r="AAQ183" s="11"/>
      <c r="AAR183" s="11"/>
      <c r="AAS183" s="11"/>
      <c r="AAT183" s="11"/>
      <c r="AAU183" s="11"/>
      <c r="AAV183" s="11"/>
      <c r="AAW183" s="11"/>
      <c r="AAX183" s="11"/>
      <c r="AAY183" s="11"/>
      <c r="AAZ183" s="11"/>
      <c r="ABA183" s="11"/>
      <c r="ABB183" s="11"/>
      <c r="ABC183" s="11"/>
      <c r="ABD183" s="11"/>
      <c r="ABE183" s="11"/>
      <c r="ABF183" s="11"/>
      <c r="ABG183" s="11"/>
      <c r="ABH183" s="11"/>
      <c r="ABI183" s="11"/>
      <c r="ABJ183" s="11"/>
      <c r="ABK183" s="11"/>
      <c r="ABL183" s="11"/>
      <c r="ABM183" s="11"/>
      <c r="ABN183" s="11"/>
      <c r="ABO183" s="11"/>
      <c r="ABP183" s="11"/>
      <c r="ABQ183" s="11"/>
      <c r="ABR183" s="11"/>
      <c r="ABS183" s="11"/>
      <c r="ABT183" s="11"/>
      <c r="ABU183" s="11"/>
      <c r="ABV183" s="11"/>
      <c r="ABW183" s="11"/>
      <c r="ABX183" s="11"/>
      <c r="ABY183" s="11"/>
      <c r="ABZ183" s="11"/>
      <c r="ACA183" s="11"/>
      <c r="ACB183" s="11"/>
      <c r="ACC183" s="11"/>
      <c r="ACD183" s="11"/>
      <c r="ACE183" s="11"/>
      <c r="ACF183" s="11"/>
      <c r="ACG183" s="11"/>
      <c r="ACH183" s="11"/>
      <c r="ACI183" s="11"/>
      <c r="ACJ183" s="11"/>
      <c r="ACK183" s="11"/>
      <c r="ACL183" s="11"/>
      <c r="ACM183" s="11"/>
      <c r="ACN183" s="11"/>
      <c r="ACO183" s="11"/>
      <c r="ACP183" s="11"/>
      <c r="ACQ183" s="11"/>
      <c r="ACR183" s="11"/>
      <c r="ACS183" s="11"/>
      <c r="ACT183" s="11"/>
      <c r="ACU183" s="11"/>
      <c r="ACV183" s="11"/>
      <c r="ACW183" s="11"/>
      <c r="ACX183" s="11"/>
      <c r="ACY183" s="11"/>
      <c r="ACZ183" s="11"/>
      <c r="ADA183" s="11"/>
      <c r="ADB183" s="11"/>
      <c r="ADC183" s="11"/>
      <c r="ADD183" s="11"/>
      <c r="ADE183" s="11"/>
      <c r="ADF183" s="11"/>
      <c r="ADG183" s="11"/>
      <c r="ADH183" s="11"/>
      <c r="ADI183" s="11"/>
      <c r="ADJ183" s="11"/>
      <c r="ADK183" s="11"/>
      <c r="ADL183" s="11"/>
      <c r="ADM183" s="11"/>
      <c r="ADN183" s="11"/>
      <c r="ADO183" s="11"/>
      <c r="ADP183" s="11"/>
      <c r="ADQ183" s="11"/>
      <c r="ADR183" s="11"/>
      <c r="ADS183" s="11"/>
      <c r="ADT183" s="11"/>
      <c r="ADU183" s="11"/>
      <c r="ADV183" s="11"/>
      <c r="ADW183" s="11"/>
      <c r="ADX183" s="11"/>
      <c r="ADY183" s="11"/>
      <c r="ADZ183" s="11"/>
      <c r="AEA183" s="11"/>
      <c r="AEB183" s="11"/>
      <c r="AEC183" s="11"/>
      <c r="AED183" s="11"/>
      <c r="AEE183" s="11"/>
      <c r="AEF183" s="11"/>
      <c r="AEG183" s="11"/>
      <c r="AEH183" s="11"/>
      <c r="AEI183" s="11"/>
      <c r="AEJ183" s="11"/>
      <c r="AEK183" s="11"/>
      <c r="AEL183" s="11"/>
      <c r="AEM183" s="11"/>
      <c r="AEN183" s="11"/>
      <c r="AEO183" s="11"/>
      <c r="AEP183" s="11"/>
      <c r="AEQ183" s="11"/>
      <c r="AER183" s="11"/>
      <c r="AES183" s="11"/>
      <c r="AET183" s="11"/>
      <c r="AEU183" s="11"/>
      <c r="AEV183" s="11"/>
      <c r="AEW183" s="11"/>
      <c r="AEX183" s="11"/>
      <c r="AEY183" s="11"/>
      <c r="AEZ183" s="11"/>
      <c r="AFA183" s="11"/>
      <c r="AFB183" s="11"/>
      <c r="AFC183" s="11"/>
      <c r="AFD183" s="11"/>
      <c r="AFE183" s="11"/>
      <c r="AFF183" s="11"/>
      <c r="AFG183" s="11"/>
      <c r="AFH183" s="11"/>
      <c r="AFI183" s="11"/>
    </row>
    <row r="184" spans="2:84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1"/>
      <c r="LV184" s="11"/>
      <c r="LW184" s="11"/>
      <c r="LX184" s="11"/>
      <c r="LY184" s="11"/>
      <c r="LZ184" s="11"/>
      <c r="MA184" s="11"/>
      <c r="MB184" s="11"/>
      <c r="MC184" s="11"/>
      <c r="MD184" s="11"/>
      <c r="ME184" s="11"/>
      <c r="MF184" s="11"/>
      <c r="MG184" s="11"/>
      <c r="MH184" s="11"/>
      <c r="MI184" s="11"/>
      <c r="MJ184" s="11"/>
      <c r="MK184" s="11"/>
      <c r="ML184" s="11"/>
      <c r="MM184" s="11"/>
      <c r="MN184" s="11"/>
      <c r="MO184" s="11"/>
      <c r="MP184" s="11"/>
      <c r="MQ184" s="11"/>
      <c r="MR184" s="11"/>
      <c r="MS184" s="11"/>
      <c r="MT184" s="11"/>
      <c r="MU184" s="11"/>
      <c r="MV184" s="11"/>
      <c r="MW184" s="11"/>
      <c r="MX184" s="11"/>
      <c r="MY184" s="11"/>
      <c r="MZ184" s="11"/>
      <c r="NA184" s="11"/>
      <c r="NB184" s="11"/>
      <c r="NC184" s="11"/>
      <c r="ND184" s="11"/>
      <c r="NE184" s="11"/>
      <c r="NF184" s="11"/>
      <c r="NG184" s="11"/>
      <c r="NH184" s="11"/>
      <c r="NI184" s="11"/>
      <c r="NJ184" s="11"/>
      <c r="NK184" s="11"/>
      <c r="NL184" s="11"/>
      <c r="NM184" s="11"/>
      <c r="NN184" s="11"/>
      <c r="NO184" s="11"/>
      <c r="NP184" s="11"/>
      <c r="NQ184" s="11"/>
      <c r="NR184" s="11"/>
      <c r="NS184" s="11"/>
      <c r="NT184" s="11"/>
      <c r="NU184" s="11"/>
      <c r="NV184" s="11"/>
      <c r="NW184" s="11"/>
      <c r="NX184" s="11"/>
      <c r="NY184" s="11"/>
      <c r="NZ184" s="11"/>
      <c r="OA184" s="11"/>
      <c r="OB184" s="11"/>
      <c r="OC184" s="11"/>
      <c r="OD184" s="11"/>
      <c r="OE184" s="11"/>
      <c r="OF184" s="11"/>
      <c r="OG184" s="11"/>
      <c r="OH184" s="11"/>
      <c r="OI184" s="11"/>
      <c r="OJ184" s="11"/>
      <c r="OK184" s="11"/>
      <c r="OL184" s="11"/>
      <c r="OM184" s="11"/>
      <c r="ON184" s="11"/>
      <c r="OO184" s="11"/>
      <c r="OP184" s="11"/>
      <c r="OQ184" s="11"/>
      <c r="OR184" s="11"/>
      <c r="OS184" s="11"/>
      <c r="OT184" s="11"/>
      <c r="OU184" s="11"/>
      <c r="OV184" s="11"/>
      <c r="OW184" s="11"/>
      <c r="OX184" s="11"/>
      <c r="OY184" s="11"/>
      <c r="OZ184" s="11"/>
      <c r="PA184" s="11"/>
      <c r="PB184" s="11"/>
      <c r="PC184" s="11"/>
      <c r="PD184" s="11"/>
      <c r="PE184" s="11"/>
      <c r="PF184" s="11"/>
      <c r="PG184" s="11"/>
      <c r="PH184" s="11"/>
      <c r="PI184" s="11"/>
      <c r="PJ184" s="11"/>
      <c r="PK184" s="11"/>
      <c r="PL184" s="11"/>
      <c r="PM184" s="11"/>
      <c r="PN184" s="11"/>
      <c r="PO184" s="11"/>
      <c r="PP184" s="11"/>
      <c r="PQ184" s="11"/>
      <c r="PR184" s="11"/>
      <c r="PS184" s="11"/>
      <c r="PT184" s="11"/>
      <c r="PU184" s="11"/>
      <c r="PV184" s="11"/>
      <c r="PW184" s="11"/>
      <c r="PX184" s="11"/>
      <c r="PY184" s="11"/>
      <c r="PZ184" s="11"/>
      <c r="QA184" s="11"/>
      <c r="QB184" s="11"/>
      <c r="QC184" s="11"/>
      <c r="QD184" s="11"/>
      <c r="QE184" s="11"/>
      <c r="QF184" s="11"/>
      <c r="QG184" s="11"/>
      <c r="QH184" s="11"/>
      <c r="QI184" s="11"/>
      <c r="QJ184" s="11"/>
      <c r="QK184" s="11"/>
      <c r="QL184" s="11"/>
      <c r="QM184" s="11"/>
      <c r="QN184" s="11"/>
      <c r="QO184" s="11"/>
      <c r="QP184" s="11"/>
      <c r="QQ184" s="11"/>
      <c r="QR184" s="11"/>
      <c r="QS184" s="11"/>
      <c r="QT184" s="11"/>
      <c r="QU184" s="11"/>
      <c r="QV184" s="11"/>
      <c r="QW184" s="11"/>
      <c r="QX184" s="11"/>
      <c r="QY184" s="11"/>
      <c r="QZ184" s="11"/>
      <c r="RA184" s="11"/>
      <c r="RB184" s="11"/>
      <c r="RC184" s="11"/>
      <c r="RD184" s="11"/>
      <c r="RE184" s="11"/>
      <c r="RF184" s="11"/>
      <c r="RG184" s="11"/>
      <c r="RH184" s="11"/>
      <c r="RI184" s="11"/>
      <c r="RJ184" s="11"/>
      <c r="RK184" s="11"/>
      <c r="RL184" s="11"/>
      <c r="RM184" s="11"/>
      <c r="RN184" s="11"/>
      <c r="RO184" s="11"/>
      <c r="RP184" s="11"/>
      <c r="RQ184" s="11"/>
      <c r="RR184" s="11"/>
      <c r="RS184" s="11"/>
      <c r="RT184" s="11"/>
      <c r="RU184" s="11"/>
      <c r="RV184" s="11"/>
      <c r="RW184" s="11"/>
      <c r="RX184" s="11"/>
      <c r="RY184" s="11"/>
      <c r="RZ184" s="11"/>
      <c r="SA184" s="11"/>
      <c r="SB184" s="11"/>
      <c r="SC184" s="11"/>
      <c r="SD184" s="11"/>
      <c r="SE184" s="11"/>
      <c r="SF184" s="11"/>
      <c r="SG184" s="11"/>
      <c r="SH184" s="11"/>
      <c r="SI184" s="11"/>
      <c r="SJ184" s="11"/>
      <c r="SK184" s="11"/>
      <c r="SL184" s="11"/>
      <c r="SM184" s="11"/>
      <c r="SN184" s="11"/>
      <c r="SO184" s="11"/>
      <c r="SP184" s="11"/>
      <c r="SQ184" s="11"/>
      <c r="SR184" s="11"/>
      <c r="SS184" s="11"/>
      <c r="ST184" s="11"/>
      <c r="SU184" s="11"/>
      <c r="SV184" s="11"/>
      <c r="SW184" s="11"/>
      <c r="SX184" s="11"/>
      <c r="SY184" s="11"/>
      <c r="SZ184" s="11"/>
      <c r="TA184" s="11"/>
      <c r="TB184" s="11"/>
      <c r="TC184" s="11"/>
      <c r="TD184" s="11"/>
      <c r="TE184" s="11"/>
      <c r="TF184" s="11"/>
      <c r="TG184" s="11"/>
      <c r="TH184" s="11"/>
      <c r="TI184" s="11"/>
      <c r="TJ184" s="11"/>
      <c r="TK184" s="11"/>
      <c r="TL184" s="11"/>
      <c r="TM184" s="11"/>
      <c r="TN184" s="11"/>
      <c r="TO184" s="11"/>
      <c r="TP184" s="11"/>
      <c r="TQ184" s="11"/>
      <c r="TR184" s="11"/>
      <c r="TS184" s="11"/>
      <c r="TT184" s="11"/>
      <c r="TU184" s="11"/>
      <c r="TV184" s="11"/>
      <c r="TW184" s="11"/>
      <c r="TX184" s="11"/>
      <c r="TY184" s="11"/>
      <c r="TZ184" s="11"/>
      <c r="UA184" s="11"/>
      <c r="UB184" s="11"/>
      <c r="UC184" s="11"/>
      <c r="UD184" s="11"/>
      <c r="UE184" s="11"/>
      <c r="UF184" s="11"/>
      <c r="UG184" s="11"/>
      <c r="UH184" s="11"/>
      <c r="UI184" s="11"/>
      <c r="UJ184" s="11"/>
      <c r="UK184" s="11"/>
      <c r="UL184" s="11"/>
      <c r="UM184" s="11"/>
      <c r="UN184" s="11"/>
      <c r="UO184" s="11"/>
      <c r="UP184" s="11"/>
      <c r="UQ184" s="11"/>
      <c r="UR184" s="11"/>
      <c r="US184" s="11"/>
      <c r="UT184" s="11"/>
      <c r="UU184" s="11"/>
      <c r="UV184" s="11"/>
      <c r="UW184" s="11"/>
      <c r="UX184" s="11"/>
      <c r="UY184" s="11"/>
      <c r="UZ184" s="11"/>
      <c r="VA184" s="11"/>
      <c r="VB184" s="11"/>
      <c r="VC184" s="11"/>
      <c r="VD184" s="11"/>
      <c r="VE184" s="11"/>
      <c r="VF184" s="11"/>
      <c r="VG184" s="11"/>
      <c r="VH184" s="11"/>
      <c r="VI184" s="11"/>
      <c r="VJ184" s="11"/>
      <c r="VK184" s="11"/>
      <c r="VL184" s="11"/>
      <c r="VM184" s="11"/>
      <c r="VN184" s="11"/>
      <c r="VO184" s="11"/>
      <c r="VP184" s="11"/>
      <c r="VQ184" s="11"/>
      <c r="VR184" s="11"/>
      <c r="VS184" s="11"/>
      <c r="VT184" s="11"/>
      <c r="VU184" s="11"/>
      <c r="VV184" s="11"/>
      <c r="VW184" s="11"/>
      <c r="VX184" s="11"/>
      <c r="VY184" s="11"/>
      <c r="VZ184" s="11"/>
      <c r="WA184" s="11"/>
      <c r="WB184" s="11"/>
      <c r="WC184" s="11"/>
      <c r="WD184" s="11"/>
      <c r="WE184" s="11"/>
      <c r="WF184" s="11"/>
      <c r="WG184" s="11"/>
      <c r="WH184" s="11"/>
      <c r="WI184" s="11"/>
      <c r="WJ184" s="11"/>
      <c r="WK184" s="11"/>
      <c r="WL184" s="11"/>
      <c r="WM184" s="11"/>
      <c r="WN184" s="11"/>
      <c r="WO184" s="11"/>
      <c r="WP184" s="11"/>
      <c r="WQ184" s="11"/>
      <c r="WR184" s="11"/>
      <c r="WS184" s="11"/>
      <c r="WT184" s="11"/>
      <c r="WU184" s="11"/>
      <c r="WV184" s="11"/>
      <c r="WW184" s="11"/>
      <c r="WX184" s="11"/>
      <c r="WY184" s="11"/>
      <c r="WZ184" s="11"/>
      <c r="XA184" s="11"/>
      <c r="XB184" s="11"/>
      <c r="XC184" s="11"/>
      <c r="XD184" s="11"/>
      <c r="XE184" s="11"/>
      <c r="XF184" s="11"/>
      <c r="XG184" s="11"/>
      <c r="XH184" s="11"/>
      <c r="XI184" s="11"/>
      <c r="XJ184" s="11"/>
      <c r="XK184" s="11"/>
      <c r="XL184" s="11"/>
      <c r="XM184" s="11"/>
      <c r="XN184" s="11"/>
      <c r="XO184" s="11"/>
      <c r="XP184" s="11"/>
      <c r="XQ184" s="11"/>
      <c r="XR184" s="11"/>
      <c r="XS184" s="11"/>
      <c r="XT184" s="11"/>
      <c r="XU184" s="11"/>
      <c r="XV184" s="11"/>
      <c r="XW184" s="11"/>
      <c r="XX184" s="11"/>
      <c r="XY184" s="11"/>
      <c r="XZ184" s="11"/>
      <c r="YA184" s="11"/>
      <c r="YB184" s="11"/>
      <c r="YC184" s="11"/>
      <c r="YD184" s="11"/>
      <c r="YE184" s="11"/>
      <c r="YF184" s="11"/>
      <c r="YG184" s="11"/>
      <c r="YH184" s="11"/>
      <c r="YI184" s="11"/>
      <c r="YJ184" s="11"/>
      <c r="YK184" s="11"/>
      <c r="YL184" s="11"/>
      <c r="YM184" s="11"/>
      <c r="YN184" s="11"/>
      <c r="YO184" s="11"/>
      <c r="YP184" s="11"/>
      <c r="YQ184" s="11"/>
      <c r="YR184" s="11"/>
      <c r="YS184" s="11"/>
      <c r="YT184" s="11"/>
      <c r="YU184" s="11"/>
      <c r="YV184" s="11"/>
      <c r="YW184" s="11"/>
      <c r="YX184" s="11"/>
      <c r="YY184" s="11"/>
      <c r="YZ184" s="11"/>
      <c r="ZA184" s="11"/>
      <c r="ZB184" s="11"/>
      <c r="ZC184" s="11"/>
      <c r="ZD184" s="11"/>
      <c r="ZE184" s="11"/>
      <c r="ZF184" s="11"/>
      <c r="ZG184" s="11"/>
      <c r="ZH184" s="11"/>
      <c r="ZI184" s="11"/>
      <c r="ZJ184" s="11"/>
      <c r="ZK184" s="11"/>
      <c r="ZL184" s="11"/>
      <c r="ZM184" s="11"/>
      <c r="ZN184" s="11"/>
      <c r="ZO184" s="11"/>
      <c r="ZP184" s="11"/>
      <c r="ZQ184" s="11"/>
      <c r="ZR184" s="11"/>
      <c r="ZS184" s="11"/>
      <c r="ZT184" s="11"/>
      <c r="ZU184" s="11"/>
      <c r="ZV184" s="11"/>
      <c r="ZW184" s="11"/>
      <c r="ZX184" s="11"/>
      <c r="ZY184" s="11"/>
      <c r="ZZ184" s="11"/>
      <c r="AAA184" s="11"/>
      <c r="AAB184" s="11"/>
      <c r="AAC184" s="11"/>
      <c r="AAD184" s="11"/>
      <c r="AAE184" s="11"/>
      <c r="AAF184" s="11"/>
      <c r="AAG184" s="11"/>
      <c r="AAH184" s="11"/>
      <c r="AAI184" s="11"/>
      <c r="AAJ184" s="11"/>
      <c r="AAK184" s="11"/>
      <c r="AAL184" s="11"/>
      <c r="AAM184" s="11"/>
      <c r="AAN184" s="11"/>
      <c r="AAO184" s="11"/>
      <c r="AAP184" s="11"/>
      <c r="AAQ184" s="11"/>
      <c r="AAR184" s="11"/>
      <c r="AAS184" s="11"/>
      <c r="AAT184" s="11"/>
      <c r="AAU184" s="11"/>
      <c r="AAV184" s="11"/>
      <c r="AAW184" s="11"/>
      <c r="AAX184" s="11"/>
      <c r="AAY184" s="11"/>
      <c r="AAZ184" s="11"/>
      <c r="ABA184" s="11"/>
      <c r="ABB184" s="11"/>
      <c r="ABC184" s="11"/>
      <c r="ABD184" s="11"/>
      <c r="ABE184" s="11"/>
      <c r="ABF184" s="11"/>
      <c r="ABG184" s="11"/>
      <c r="ABH184" s="11"/>
      <c r="ABI184" s="11"/>
      <c r="ABJ184" s="11"/>
      <c r="ABK184" s="11"/>
      <c r="ABL184" s="11"/>
      <c r="ABM184" s="11"/>
      <c r="ABN184" s="11"/>
      <c r="ABO184" s="11"/>
      <c r="ABP184" s="11"/>
      <c r="ABQ184" s="11"/>
      <c r="ABR184" s="11"/>
      <c r="ABS184" s="11"/>
      <c r="ABT184" s="11"/>
      <c r="ABU184" s="11"/>
      <c r="ABV184" s="11"/>
      <c r="ABW184" s="11"/>
      <c r="ABX184" s="11"/>
      <c r="ABY184" s="11"/>
      <c r="ABZ184" s="11"/>
      <c r="ACA184" s="11"/>
      <c r="ACB184" s="11"/>
      <c r="ACC184" s="11"/>
      <c r="ACD184" s="11"/>
      <c r="ACE184" s="11"/>
      <c r="ACF184" s="11"/>
      <c r="ACG184" s="11"/>
      <c r="ACH184" s="11"/>
      <c r="ACI184" s="11"/>
      <c r="ACJ184" s="11"/>
      <c r="ACK184" s="11"/>
      <c r="ACL184" s="11"/>
      <c r="ACM184" s="11"/>
      <c r="ACN184" s="11"/>
      <c r="ACO184" s="11"/>
      <c r="ACP184" s="11"/>
      <c r="ACQ184" s="11"/>
      <c r="ACR184" s="11"/>
      <c r="ACS184" s="11"/>
      <c r="ACT184" s="11"/>
      <c r="ACU184" s="11"/>
      <c r="ACV184" s="11"/>
      <c r="ACW184" s="11"/>
      <c r="ACX184" s="11"/>
      <c r="ACY184" s="11"/>
      <c r="ACZ184" s="11"/>
      <c r="ADA184" s="11"/>
      <c r="ADB184" s="11"/>
      <c r="ADC184" s="11"/>
      <c r="ADD184" s="11"/>
      <c r="ADE184" s="11"/>
      <c r="ADF184" s="11"/>
      <c r="ADG184" s="11"/>
      <c r="ADH184" s="11"/>
      <c r="ADI184" s="11"/>
      <c r="ADJ184" s="11"/>
      <c r="ADK184" s="11"/>
      <c r="ADL184" s="11"/>
      <c r="ADM184" s="11"/>
      <c r="ADN184" s="11"/>
      <c r="ADO184" s="11"/>
      <c r="ADP184" s="11"/>
      <c r="ADQ184" s="11"/>
      <c r="ADR184" s="11"/>
      <c r="ADS184" s="11"/>
      <c r="ADT184" s="11"/>
      <c r="ADU184" s="11"/>
      <c r="ADV184" s="11"/>
      <c r="ADW184" s="11"/>
      <c r="ADX184" s="11"/>
      <c r="ADY184" s="11"/>
      <c r="ADZ184" s="11"/>
      <c r="AEA184" s="11"/>
      <c r="AEB184" s="11"/>
      <c r="AEC184" s="11"/>
      <c r="AED184" s="11"/>
      <c r="AEE184" s="11"/>
      <c r="AEF184" s="11"/>
      <c r="AEG184" s="11"/>
      <c r="AEH184" s="11"/>
      <c r="AEI184" s="11"/>
      <c r="AEJ184" s="11"/>
      <c r="AEK184" s="11"/>
      <c r="AEL184" s="11"/>
      <c r="AEM184" s="11"/>
      <c r="AEN184" s="11"/>
      <c r="AEO184" s="11"/>
      <c r="AEP184" s="11"/>
      <c r="AEQ184" s="11"/>
      <c r="AER184" s="11"/>
      <c r="AES184" s="11"/>
      <c r="AET184" s="11"/>
      <c r="AEU184" s="11"/>
      <c r="AEV184" s="11"/>
      <c r="AEW184" s="11"/>
      <c r="AEX184" s="11"/>
      <c r="AEY184" s="11"/>
      <c r="AEZ184" s="11"/>
      <c r="AFA184" s="11"/>
      <c r="AFB184" s="11"/>
      <c r="AFC184" s="11"/>
      <c r="AFD184" s="11"/>
      <c r="AFE184" s="11"/>
      <c r="AFF184" s="11"/>
      <c r="AFG184" s="11"/>
      <c r="AFH184" s="11"/>
      <c r="AFI184" s="11"/>
    </row>
    <row r="185" spans="2:84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1"/>
      <c r="LV185" s="11"/>
      <c r="LW185" s="11"/>
      <c r="LX185" s="11"/>
      <c r="LY185" s="11"/>
      <c r="LZ185" s="11"/>
      <c r="MA185" s="11"/>
      <c r="MB185" s="11"/>
      <c r="MC185" s="11"/>
      <c r="MD185" s="11"/>
      <c r="ME185" s="11"/>
      <c r="MF185" s="11"/>
      <c r="MG185" s="11"/>
      <c r="MH185" s="11"/>
      <c r="MI185" s="11"/>
      <c r="MJ185" s="11"/>
      <c r="MK185" s="11"/>
      <c r="ML185" s="11"/>
      <c r="MM185" s="11"/>
      <c r="MN185" s="11"/>
      <c r="MO185" s="11"/>
      <c r="MP185" s="11"/>
      <c r="MQ185" s="11"/>
      <c r="MR185" s="11"/>
      <c r="MS185" s="11"/>
      <c r="MT185" s="11"/>
      <c r="MU185" s="11"/>
      <c r="MV185" s="11"/>
      <c r="MW185" s="11"/>
      <c r="MX185" s="11"/>
      <c r="MY185" s="11"/>
      <c r="MZ185" s="11"/>
      <c r="NA185" s="11"/>
      <c r="NB185" s="11"/>
      <c r="NC185" s="11"/>
      <c r="ND185" s="11"/>
      <c r="NE185" s="11"/>
      <c r="NF185" s="11"/>
      <c r="NG185" s="11"/>
      <c r="NH185" s="11"/>
      <c r="NI185" s="11"/>
      <c r="NJ185" s="11"/>
      <c r="NK185" s="11"/>
      <c r="NL185" s="11"/>
      <c r="NM185" s="11"/>
      <c r="NN185" s="11"/>
      <c r="NO185" s="11"/>
      <c r="NP185" s="11"/>
      <c r="NQ185" s="11"/>
      <c r="NR185" s="11"/>
      <c r="NS185" s="11"/>
      <c r="NT185" s="11"/>
      <c r="NU185" s="11"/>
      <c r="NV185" s="11"/>
      <c r="NW185" s="11"/>
      <c r="NX185" s="11"/>
      <c r="NY185" s="11"/>
      <c r="NZ185" s="11"/>
      <c r="OA185" s="11"/>
      <c r="OB185" s="11"/>
      <c r="OC185" s="11"/>
      <c r="OD185" s="11"/>
      <c r="OE185" s="11"/>
      <c r="OF185" s="11"/>
      <c r="OG185" s="11"/>
      <c r="OH185" s="11"/>
      <c r="OI185" s="11"/>
      <c r="OJ185" s="11"/>
      <c r="OK185" s="11"/>
      <c r="OL185" s="11"/>
      <c r="OM185" s="11"/>
      <c r="ON185" s="11"/>
      <c r="OO185" s="11"/>
      <c r="OP185" s="11"/>
      <c r="OQ185" s="11"/>
      <c r="OR185" s="11"/>
      <c r="OS185" s="11"/>
      <c r="OT185" s="11"/>
      <c r="OU185" s="11"/>
      <c r="OV185" s="11"/>
      <c r="OW185" s="11"/>
      <c r="OX185" s="11"/>
      <c r="OY185" s="11"/>
      <c r="OZ185" s="11"/>
      <c r="PA185" s="11"/>
      <c r="PB185" s="11"/>
      <c r="PC185" s="11"/>
      <c r="PD185" s="11"/>
      <c r="PE185" s="11"/>
      <c r="PF185" s="11"/>
      <c r="PG185" s="11"/>
      <c r="PH185" s="11"/>
      <c r="PI185" s="11"/>
      <c r="PJ185" s="11"/>
      <c r="PK185" s="11"/>
      <c r="PL185" s="11"/>
      <c r="PM185" s="11"/>
      <c r="PN185" s="11"/>
      <c r="PO185" s="11"/>
      <c r="PP185" s="11"/>
      <c r="PQ185" s="11"/>
      <c r="PR185" s="11"/>
      <c r="PS185" s="11"/>
      <c r="PT185" s="11"/>
      <c r="PU185" s="11"/>
      <c r="PV185" s="11"/>
      <c r="PW185" s="11"/>
      <c r="PX185" s="11"/>
      <c r="PY185" s="11"/>
      <c r="PZ185" s="11"/>
      <c r="QA185" s="11"/>
      <c r="QB185" s="11"/>
      <c r="QC185" s="11"/>
      <c r="QD185" s="11"/>
      <c r="QE185" s="11"/>
      <c r="QF185" s="11"/>
      <c r="QG185" s="11"/>
      <c r="QH185" s="11"/>
      <c r="QI185" s="11"/>
      <c r="QJ185" s="11"/>
      <c r="QK185" s="11"/>
      <c r="QL185" s="11"/>
      <c r="QM185" s="11"/>
      <c r="QN185" s="11"/>
      <c r="QO185" s="11"/>
      <c r="QP185" s="11"/>
      <c r="QQ185" s="11"/>
      <c r="QR185" s="11"/>
      <c r="QS185" s="11"/>
      <c r="QT185" s="11"/>
      <c r="QU185" s="11"/>
      <c r="QV185" s="11"/>
      <c r="QW185" s="11"/>
      <c r="QX185" s="11"/>
      <c r="QY185" s="11"/>
      <c r="QZ185" s="11"/>
      <c r="RA185" s="11"/>
      <c r="RB185" s="11"/>
      <c r="RC185" s="11"/>
      <c r="RD185" s="11"/>
      <c r="RE185" s="11"/>
      <c r="RF185" s="11"/>
      <c r="RG185" s="11"/>
      <c r="RH185" s="11"/>
      <c r="RI185" s="11"/>
      <c r="RJ185" s="11"/>
      <c r="RK185" s="11"/>
      <c r="RL185" s="11"/>
      <c r="RM185" s="11"/>
      <c r="RN185" s="11"/>
      <c r="RO185" s="11"/>
      <c r="RP185" s="11"/>
      <c r="RQ185" s="11"/>
      <c r="RR185" s="11"/>
      <c r="RS185" s="11"/>
      <c r="RT185" s="11"/>
      <c r="RU185" s="11"/>
      <c r="RV185" s="11"/>
      <c r="RW185" s="11"/>
      <c r="RX185" s="11"/>
      <c r="RY185" s="11"/>
      <c r="RZ185" s="11"/>
      <c r="SA185" s="11"/>
      <c r="SB185" s="11"/>
      <c r="SC185" s="11"/>
      <c r="SD185" s="11"/>
      <c r="SE185" s="11"/>
      <c r="SF185" s="11"/>
      <c r="SG185" s="11"/>
      <c r="SH185" s="11"/>
      <c r="SI185" s="11"/>
      <c r="SJ185" s="11"/>
      <c r="SK185" s="11"/>
      <c r="SL185" s="11"/>
      <c r="SM185" s="11"/>
      <c r="SN185" s="11"/>
      <c r="SO185" s="11"/>
      <c r="SP185" s="11"/>
      <c r="SQ185" s="11"/>
      <c r="SR185" s="11"/>
      <c r="SS185" s="11"/>
      <c r="ST185" s="11"/>
      <c r="SU185" s="11"/>
      <c r="SV185" s="11"/>
      <c r="SW185" s="11"/>
      <c r="SX185" s="11"/>
      <c r="SY185" s="11"/>
      <c r="SZ185" s="11"/>
      <c r="TA185" s="11"/>
      <c r="TB185" s="11"/>
      <c r="TC185" s="11"/>
      <c r="TD185" s="11"/>
      <c r="TE185" s="11"/>
      <c r="TF185" s="11"/>
      <c r="TG185" s="11"/>
      <c r="TH185" s="11"/>
      <c r="TI185" s="11"/>
      <c r="TJ185" s="11"/>
      <c r="TK185" s="11"/>
      <c r="TL185" s="11"/>
      <c r="TM185" s="11"/>
      <c r="TN185" s="11"/>
      <c r="TO185" s="11"/>
      <c r="TP185" s="11"/>
      <c r="TQ185" s="11"/>
      <c r="TR185" s="11"/>
      <c r="TS185" s="11"/>
      <c r="TT185" s="11"/>
      <c r="TU185" s="11"/>
      <c r="TV185" s="11"/>
      <c r="TW185" s="11"/>
      <c r="TX185" s="11"/>
      <c r="TY185" s="11"/>
      <c r="TZ185" s="11"/>
      <c r="UA185" s="11"/>
      <c r="UB185" s="11"/>
      <c r="UC185" s="11"/>
      <c r="UD185" s="11"/>
      <c r="UE185" s="11"/>
      <c r="UF185" s="11"/>
      <c r="UG185" s="11"/>
      <c r="UH185" s="11"/>
      <c r="UI185" s="11"/>
      <c r="UJ185" s="11"/>
      <c r="UK185" s="11"/>
      <c r="UL185" s="11"/>
      <c r="UM185" s="11"/>
      <c r="UN185" s="11"/>
      <c r="UO185" s="11"/>
      <c r="UP185" s="11"/>
      <c r="UQ185" s="11"/>
      <c r="UR185" s="11"/>
      <c r="US185" s="11"/>
      <c r="UT185" s="11"/>
      <c r="UU185" s="11"/>
      <c r="UV185" s="11"/>
      <c r="UW185" s="11"/>
      <c r="UX185" s="11"/>
      <c r="UY185" s="11"/>
      <c r="UZ185" s="11"/>
      <c r="VA185" s="11"/>
      <c r="VB185" s="11"/>
      <c r="VC185" s="11"/>
      <c r="VD185" s="11"/>
      <c r="VE185" s="11"/>
      <c r="VF185" s="11"/>
      <c r="VG185" s="11"/>
      <c r="VH185" s="11"/>
      <c r="VI185" s="11"/>
      <c r="VJ185" s="11"/>
      <c r="VK185" s="11"/>
      <c r="VL185" s="11"/>
      <c r="VM185" s="11"/>
      <c r="VN185" s="11"/>
      <c r="VO185" s="11"/>
      <c r="VP185" s="11"/>
      <c r="VQ185" s="11"/>
      <c r="VR185" s="11"/>
      <c r="VS185" s="11"/>
      <c r="VT185" s="11"/>
      <c r="VU185" s="11"/>
      <c r="VV185" s="11"/>
      <c r="VW185" s="11"/>
      <c r="VX185" s="11"/>
      <c r="VY185" s="11"/>
      <c r="VZ185" s="11"/>
      <c r="WA185" s="11"/>
      <c r="WB185" s="11"/>
      <c r="WC185" s="11"/>
      <c r="WD185" s="11"/>
      <c r="WE185" s="11"/>
      <c r="WF185" s="11"/>
      <c r="WG185" s="11"/>
      <c r="WH185" s="11"/>
      <c r="WI185" s="11"/>
      <c r="WJ185" s="11"/>
      <c r="WK185" s="11"/>
      <c r="WL185" s="11"/>
      <c r="WM185" s="11"/>
      <c r="WN185" s="11"/>
      <c r="WO185" s="11"/>
      <c r="WP185" s="11"/>
      <c r="WQ185" s="11"/>
      <c r="WR185" s="11"/>
      <c r="WS185" s="11"/>
      <c r="WT185" s="11"/>
      <c r="WU185" s="11"/>
      <c r="WV185" s="11"/>
      <c r="WW185" s="11"/>
      <c r="WX185" s="11"/>
      <c r="WY185" s="11"/>
      <c r="WZ185" s="11"/>
      <c r="XA185" s="11"/>
      <c r="XB185" s="11"/>
      <c r="XC185" s="11"/>
      <c r="XD185" s="11"/>
      <c r="XE185" s="11"/>
      <c r="XF185" s="11"/>
      <c r="XG185" s="11"/>
      <c r="XH185" s="11"/>
      <c r="XI185" s="11"/>
      <c r="XJ185" s="11"/>
      <c r="XK185" s="11"/>
      <c r="XL185" s="11"/>
      <c r="XM185" s="11"/>
      <c r="XN185" s="11"/>
      <c r="XO185" s="11"/>
      <c r="XP185" s="11"/>
      <c r="XQ185" s="11"/>
      <c r="XR185" s="11"/>
      <c r="XS185" s="11"/>
      <c r="XT185" s="11"/>
      <c r="XU185" s="11"/>
      <c r="XV185" s="11"/>
      <c r="XW185" s="11"/>
      <c r="XX185" s="11"/>
      <c r="XY185" s="11"/>
      <c r="XZ185" s="11"/>
      <c r="YA185" s="11"/>
      <c r="YB185" s="11"/>
      <c r="YC185" s="11"/>
      <c r="YD185" s="11"/>
      <c r="YE185" s="11"/>
      <c r="YF185" s="11"/>
      <c r="YG185" s="11"/>
      <c r="YH185" s="11"/>
      <c r="YI185" s="11"/>
      <c r="YJ185" s="11"/>
      <c r="YK185" s="11"/>
      <c r="YL185" s="11"/>
      <c r="YM185" s="11"/>
      <c r="YN185" s="11"/>
      <c r="YO185" s="11"/>
      <c r="YP185" s="11"/>
      <c r="YQ185" s="11"/>
      <c r="YR185" s="11"/>
      <c r="YS185" s="11"/>
      <c r="YT185" s="11"/>
      <c r="YU185" s="11"/>
      <c r="YV185" s="11"/>
      <c r="YW185" s="11"/>
      <c r="YX185" s="11"/>
      <c r="YY185" s="11"/>
      <c r="YZ185" s="11"/>
      <c r="ZA185" s="11"/>
      <c r="ZB185" s="11"/>
      <c r="ZC185" s="11"/>
      <c r="ZD185" s="11"/>
      <c r="ZE185" s="11"/>
      <c r="ZF185" s="11"/>
      <c r="ZG185" s="11"/>
      <c r="ZH185" s="11"/>
      <c r="ZI185" s="11"/>
      <c r="ZJ185" s="11"/>
      <c r="ZK185" s="11"/>
      <c r="ZL185" s="11"/>
      <c r="ZM185" s="11"/>
      <c r="ZN185" s="11"/>
      <c r="ZO185" s="11"/>
      <c r="ZP185" s="11"/>
      <c r="ZQ185" s="11"/>
      <c r="ZR185" s="11"/>
      <c r="ZS185" s="11"/>
      <c r="ZT185" s="11"/>
      <c r="ZU185" s="11"/>
      <c r="ZV185" s="11"/>
      <c r="ZW185" s="11"/>
      <c r="ZX185" s="11"/>
      <c r="ZY185" s="11"/>
      <c r="ZZ185" s="11"/>
      <c r="AAA185" s="11"/>
      <c r="AAB185" s="11"/>
      <c r="AAC185" s="11"/>
      <c r="AAD185" s="11"/>
      <c r="AAE185" s="11"/>
      <c r="AAF185" s="11"/>
      <c r="AAG185" s="11"/>
      <c r="AAH185" s="11"/>
      <c r="AAI185" s="11"/>
      <c r="AAJ185" s="11"/>
      <c r="AAK185" s="11"/>
      <c r="AAL185" s="11"/>
      <c r="AAM185" s="11"/>
      <c r="AAN185" s="11"/>
      <c r="AAO185" s="11"/>
      <c r="AAP185" s="11"/>
      <c r="AAQ185" s="11"/>
      <c r="AAR185" s="11"/>
      <c r="AAS185" s="11"/>
      <c r="AAT185" s="11"/>
      <c r="AAU185" s="11"/>
      <c r="AAV185" s="11"/>
      <c r="AAW185" s="11"/>
      <c r="AAX185" s="11"/>
      <c r="AAY185" s="11"/>
      <c r="AAZ185" s="11"/>
      <c r="ABA185" s="11"/>
      <c r="ABB185" s="11"/>
      <c r="ABC185" s="11"/>
      <c r="ABD185" s="11"/>
      <c r="ABE185" s="11"/>
      <c r="ABF185" s="11"/>
      <c r="ABG185" s="11"/>
      <c r="ABH185" s="11"/>
      <c r="ABI185" s="11"/>
      <c r="ABJ185" s="11"/>
      <c r="ABK185" s="11"/>
      <c r="ABL185" s="11"/>
      <c r="ABM185" s="11"/>
      <c r="ABN185" s="11"/>
      <c r="ABO185" s="11"/>
      <c r="ABP185" s="11"/>
      <c r="ABQ185" s="11"/>
      <c r="ABR185" s="11"/>
      <c r="ABS185" s="11"/>
      <c r="ABT185" s="11"/>
      <c r="ABU185" s="11"/>
      <c r="ABV185" s="11"/>
      <c r="ABW185" s="11"/>
      <c r="ABX185" s="11"/>
      <c r="ABY185" s="11"/>
      <c r="ABZ185" s="11"/>
      <c r="ACA185" s="11"/>
      <c r="ACB185" s="11"/>
      <c r="ACC185" s="11"/>
      <c r="ACD185" s="11"/>
      <c r="ACE185" s="11"/>
      <c r="ACF185" s="11"/>
      <c r="ACG185" s="11"/>
      <c r="ACH185" s="11"/>
      <c r="ACI185" s="11"/>
      <c r="ACJ185" s="11"/>
      <c r="ACK185" s="11"/>
      <c r="ACL185" s="11"/>
      <c r="ACM185" s="11"/>
      <c r="ACN185" s="11"/>
      <c r="ACO185" s="11"/>
      <c r="ACP185" s="11"/>
      <c r="ACQ185" s="11"/>
      <c r="ACR185" s="11"/>
      <c r="ACS185" s="11"/>
      <c r="ACT185" s="11"/>
      <c r="ACU185" s="11"/>
      <c r="ACV185" s="11"/>
      <c r="ACW185" s="11"/>
      <c r="ACX185" s="11"/>
      <c r="ACY185" s="11"/>
      <c r="ACZ185" s="11"/>
      <c r="ADA185" s="11"/>
      <c r="ADB185" s="11"/>
      <c r="ADC185" s="11"/>
      <c r="ADD185" s="11"/>
      <c r="ADE185" s="11"/>
      <c r="ADF185" s="11"/>
      <c r="ADG185" s="11"/>
      <c r="ADH185" s="11"/>
      <c r="ADI185" s="11"/>
      <c r="ADJ185" s="11"/>
      <c r="ADK185" s="11"/>
      <c r="ADL185" s="11"/>
      <c r="ADM185" s="11"/>
      <c r="ADN185" s="11"/>
      <c r="ADO185" s="11"/>
      <c r="ADP185" s="11"/>
      <c r="ADQ185" s="11"/>
      <c r="ADR185" s="11"/>
      <c r="ADS185" s="11"/>
      <c r="ADT185" s="11"/>
      <c r="ADU185" s="11"/>
      <c r="ADV185" s="11"/>
      <c r="ADW185" s="11"/>
      <c r="ADX185" s="11"/>
      <c r="ADY185" s="11"/>
      <c r="ADZ185" s="11"/>
      <c r="AEA185" s="11"/>
      <c r="AEB185" s="11"/>
      <c r="AEC185" s="11"/>
      <c r="AED185" s="11"/>
      <c r="AEE185" s="11"/>
      <c r="AEF185" s="11"/>
      <c r="AEG185" s="11"/>
      <c r="AEH185" s="11"/>
      <c r="AEI185" s="11"/>
      <c r="AEJ185" s="11"/>
      <c r="AEK185" s="11"/>
      <c r="AEL185" s="11"/>
      <c r="AEM185" s="11"/>
      <c r="AEN185" s="11"/>
      <c r="AEO185" s="11"/>
      <c r="AEP185" s="11"/>
      <c r="AEQ185" s="11"/>
      <c r="AER185" s="11"/>
      <c r="AES185" s="11"/>
      <c r="AET185" s="11"/>
      <c r="AEU185" s="11"/>
      <c r="AEV185" s="11"/>
      <c r="AEW185" s="11"/>
      <c r="AEX185" s="11"/>
      <c r="AEY185" s="11"/>
      <c r="AEZ185" s="11"/>
      <c r="AFA185" s="11"/>
      <c r="AFB185" s="11"/>
      <c r="AFC185" s="11"/>
      <c r="AFD185" s="11"/>
      <c r="AFE185" s="11"/>
      <c r="AFF185" s="11"/>
      <c r="AFG185" s="11"/>
      <c r="AFH185" s="11"/>
      <c r="AFI185" s="11"/>
    </row>
    <row r="186" spans="2:84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1"/>
      <c r="LV186" s="11"/>
      <c r="LW186" s="11"/>
      <c r="LX186" s="11"/>
      <c r="LY186" s="11"/>
      <c r="LZ186" s="11"/>
      <c r="MA186" s="11"/>
      <c r="MB186" s="11"/>
      <c r="MC186" s="11"/>
      <c r="MD186" s="11"/>
      <c r="ME186" s="11"/>
      <c r="MF186" s="11"/>
      <c r="MG186" s="11"/>
      <c r="MH186" s="11"/>
      <c r="MI186" s="11"/>
      <c r="MJ186" s="11"/>
      <c r="MK186" s="11"/>
      <c r="ML186" s="11"/>
      <c r="MM186" s="11"/>
      <c r="MN186" s="11"/>
      <c r="MO186" s="11"/>
      <c r="MP186" s="11"/>
      <c r="MQ186" s="11"/>
      <c r="MR186" s="11"/>
      <c r="MS186" s="11"/>
      <c r="MT186" s="11"/>
      <c r="MU186" s="11"/>
      <c r="MV186" s="11"/>
      <c r="MW186" s="11"/>
      <c r="MX186" s="11"/>
      <c r="MY186" s="11"/>
      <c r="MZ186" s="11"/>
      <c r="NA186" s="11"/>
      <c r="NB186" s="11"/>
      <c r="NC186" s="11"/>
      <c r="ND186" s="11"/>
      <c r="NE186" s="11"/>
      <c r="NF186" s="11"/>
      <c r="NG186" s="11"/>
      <c r="NH186" s="11"/>
      <c r="NI186" s="11"/>
      <c r="NJ186" s="11"/>
      <c r="NK186" s="11"/>
      <c r="NL186" s="11"/>
      <c r="NM186" s="11"/>
      <c r="NN186" s="11"/>
      <c r="NO186" s="11"/>
      <c r="NP186" s="11"/>
      <c r="NQ186" s="11"/>
      <c r="NR186" s="11"/>
      <c r="NS186" s="11"/>
      <c r="NT186" s="11"/>
      <c r="NU186" s="11"/>
      <c r="NV186" s="11"/>
      <c r="NW186" s="11"/>
      <c r="NX186" s="11"/>
      <c r="NY186" s="11"/>
      <c r="NZ186" s="11"/>
      <c r="OA186" s="11"/>
      <c r="OB186" s="11"/>
      <c r="OC186" s="11"/>
      <c r="OD186" s="11"/>
      <c r="OE186" s="11"/>
      <c r="OF186" s="11"/>
      <c r="OG186" s="11"/>
      <c r="OH186" s="11"/>
      <c r="OI186" s="11"/>
      <c r="OJ186" s="11"/>
      <c r="OK186" s="11"/>
      <c r="OL186" s="11"/>
      <c r="OM186" s="11"/>
      <c r="ON186" s="11"/>
      <c r="OO186" s="11"/>
      <c r="OP186" s="11"/>
      <c r="OQ186" s="11"/>
      <c r="OR186" s="11"/>
      <c r="OS186" s="11"/>
      <c r="OT186" s="11"/>
      <c r="OU186" s="11"/>
      <c r="OV186" s="11"/>
      <c r="OW186" s="11"/>
      <c r="OX186" s="11"/>
      <c r="OY186" s="11"/>
      <c r="OZ186" s="11"/>
      <c r="PA186" s="11"/>
      <c r="PB186" s="11"/>
      <c r="PC186" s="11"/>
      <c r="PD186" s="11"/>
      <c r="PE186" s="11"/>
      <c r="PF186" s="11"/>
      <c r="PG186" s="11"/>
      <c r="PH186" s="11"/>
      <c r="PI186" s="11"/>
      <c r="PJ186" s="11"/>
      <c r="PK186" s="11"/>
      <c r="PL186" s="11"/>
      <c r="PM186" s="11"/>
      <c r="PN186" s="11"/>
      <c r="PO186" s="11"/>
      <c r="PP186" s="11"/>
      <c r="PQ186" s="11"/>
      <c r="PR186" s="11"/>
      <c r="PS186" s="11"/>
      <c r="PT186" s="11"/>
      <c r="PU186" s="11"/>
      <c r="PV186" s="11"/>
      <c r="PW186" s="11"/>
      <c r="PX186" s="11"/>
      <c r="PY186" s="11"/>
      <c r="PZ186" s="11"/>
      <c r="QA186" s="11"/>
      <c r="QB186" s="11"/>
      <c r="QC186" s="11"/>
      <c r="QD186" s="11"/>
      <c r="QE186" s="11"/>
      <c r="QF186" s="11"/>
      <c r="QG186" s="11"/>
      <c r="QH186" s="11"/>
      <c r="QI186" s="11"/>
      <c r="QJ186" s="11"/>
      <c r="QK186" s="11"/>
      <c r="QL186" s="11"/>
      <c r="QM186" s="11"/>
      <c r="QN186" s="11"/>
      <c r="QO186" s="11"/>
      <c r="QP186" s="11"/>
      <c r="QQ186" s="11"/>
      <c r="QR186" s="11"/>
      <c r="QS186" s="11"/>
      <c r="QT186" s="11"/>
      <c r="QU186" s="11"/>
      <c r="QV186" s="11"/>
      <c r="QW186" s="11"/>
      <c r="QX186" s="11"/>
      <c r="QY186" s="11"/>
      <c r="QZ186" s="11"/>
      <c r="RA186" s="11"/>
      <c r="RB186" s="11"/>
      <c r="RC186" s="11"/>
      <c r="RD186" s="11"/>
      <c r="RE186" s="11"/>
      <c r="RF186" s="11"/>
      <c r="RG186" s="11"/>
      <c r="RH186" s="11"/>
      <c r="RI186" s="11"/>
      <c r="RJ186" s="11"/>
      <c r="RK186" s="11"/>
      <c r="RL186" s="11"/>
      <c r="RM186" s="11"/>
      <c r="RN186" s="11"/>
      <c r="RO186" s="11"/>
      <c r="RP186" s="11"/>
      <c r="RQ186" s="11"/>
      <c r="RR186" s="11"/>
      <c r="RS186" s="11"/>
      <c r="RT186" s="11"/>
      <c r="RU186" s="11"/>
      <c r="RV186" s="11"/>
      <c r="RW186" s="11"/>
      <c r="RX186" s="11"/>
      <c r="RY186" s="11"/>
      <c r="RZ186" s="11"/>
      <c r="SA186" s="11"/>
      <c r="SB186" s="11"/>
      <c r="SC186" s="11"/>
      <c r="SD186" s="11"/>
      <c r="SE186" s="11"/>
      <c r="SF186" s="11"/>
      <c r="SG186" s="11"/>
      <c r="SH186" s="11"/>
      <c r="SI186" s="11"/>
      <c r="SJ186" s="11"/>
      <c r="SK186" s="11"/>
      <c r="SL186" s="11"/>
      <c r="SM186" s="11"/>
      <c r="SN186" s="11"/>
      <c r="SO186" s="11"/>
      <c r="SP186" s="11"/>
      <c r="SQ186" s="11"/>
      <c r="SR186" s="11"/>
      <c r="SS186" s="11"/>
      <c r="ST186" s="11"/>
      <c r="SU186" s="11"/>
      <c r="SV186" s="11"/>
      <c r="SW186" s="11"/>
      <c r="SX186" s="11"/>
      <c r="SY186" s="11"/>
      <c r="SZ186" s="11"/>
      <c r="TA186" s="11"/>
      <c r="TB186" s="11"/>
      <c r="TC186" s="11"/>
      <c r="TD186" s="11"/>
      <c r="TE186" s="11"/>
      <c r="TF186" s="11"/>
      <c r="TG186" s="11"/>
      <c r="TH186" s="11"/>
      <c r="TI186" s="11"/>
      <c r="TJ186" s="11"/>
      <c r="TK186" s="11"/>
      <c r="TL186" s="11"/>
      <c r="TM186" s="11"/>
      <c r="TN186" s="11"/>
      <c r="TO186" s="11"/>
      <c r="TP186" s="11"/>
      <c r="TQ186" s="11"/>
      <c r="TR186" s="11"/>
      <c r="TS186" s="11"/>
      <c r="TT186" s="11"/>
      <c r="TU186" s="11"/>
      <c r="TV186" s="11"/>
      <c r="TW186" s="11"/>
      <c r="TX186" s="11"/>
      <c r="TY186" s="11"/>
      <c r="TZ186" s="11"/>
      <c r="UA186" s="11"/>
      <c r="UB186" s="11"/>
      <c r="UC186" s="11"/>
      <c r="UD186" s="11"/>
      <c r="UE186" s="11"/>
      <c r="UF186" s="11"/>
      <c r="UG186" s="11"/>
      <c r="UH186" s="11"/>
      <c r="UI186" s="11"/>
      <c r="UJ186" s="11"/>
      <c r="UK186" s="11"/>
      <c r="UL186" s="11"/>
      <c r="UM186" s="11"/>
      <c r="UN186" s="11"/>
      <c r="UO186" s="11"/>
      <c r="UP186" s="11"/>
      <c r="UQ186" s="11"/>
      <c r="UR186" s="11"/>
      <c r="US186" s="11"/>
      <c r="UT186" s="11"/>
      <c r="UU186" s="11"/>
      <c r="UV186" s="11"/>
      <c r="UW186" s="11"/>
      <c r="UX186" s="11"/>
      <c r="UY186" s="11"/>
      <c r="UZ186" s="11"/>
      <c r="VA186" s="11"/>
      <c r="VB186" s="11"/>
      <c r="VC186" s="11"/>
      <c r="VD186" s="11"/>
      <c r="VE186" s="11"/>
      <c r="VF186" s="11"/>
      <c r="VG186" s="11"/>
      <c r="VH186" s="11"/>
      <c r="VI186" s="11"/>
      <c r="VJ186" s="11"/>
      <c r="VK186" s="11"/>
      <c r="VL186" s="11"/>
      <c r="VM186" s="11"/>
      <c r="VN186" s="11"/>
      <c r="VO186" s="11"/>
      <c r="VP186" s="11"/>
      <c r="VQ186" s="11"/>
      <c r="VR186" s="11"/>
      <c r="VS186" s="11"/>
      <c r="VT186" s="11"/>
      <c r="VU186" s="11"/>
      <c r="VV186" s="11"/>
      <c r="VW186" s="11"/>
      <c r="VX186" s="11"/>
      <c r="VY186" s="11"/>
      <c r="VZ186" s="11"/>
      <c r="WA186" s="11"/>
      <c r="WB186" s="11"/>
      <c r="WC186" s="11"/>
      <c r="WD186" s="11"/>
      <c r="WE186" s="11"/>
      <c r="WF186" s="11"/>
      <c r="WG186" s="11"/>
      <c r="WH186" s="11"/>
      <c r="WI186" s="11"/>
      <c r="WJ186" s="11"/>
      <c r="WK186" s="11"/>
      <c r="WL186" s="11"/>
      <c r="WM186" s="11"/>
      <c r="WN186" s="11"/>
      <c r="WO186" s="11"/>
      <c r="WP186" s="11"/>
      <c r="WQ186" s="11"/>
      <c r="WR186" s="11"/>
      <c r="WS186" s="11"/>
      <c r="WT186" s="11"/>
      <c r="WU186" s="11"/>
      <c r="WV186" s="11"/>
      <c r="WW186" s="11"/>
      <c r="WX186" s="11"/>
      <c r="WY186" s="11"/>
      <c r="WZ186" s="11"/>
      <c r="XA186" s="11"/>
      <c r="XB186" s="11"/>
      <c r="XC186" s="11"/>
      <c r="XD186" s="11"/>
      <c r="XE186" s="11"/>
      <c r="XF186" s="11"/>
      <c r="XG186" s="11"/>
      <c r="XH186" s="11"/>
      <c r="XI186" s="11"/>
      <c r="XJ186" s="11"/>
      <c r="XK186" s="11"/>
      <c r="XL186" s="11"/>
      <c r="XM186" s="11"/>
      <c r="XN186" s="11"/>
      <c r="XO186" s="11"/>
      <c r="XP186" s="11"/>
      <c r="XQ186" s="11"/>
      <c r="XR186" s="11"/>
      <c r="XS186" s="11"/>
      <c r="XT186" s="11"/>
      <c r="XU186" s="11"/>
      <c r="XV186" s="11"/>
      <c r="XW186" s="11"/>
      <c r="XX186" s="11"/>
      <c r="XY186" s="11"/>
      <c r="XZ186" s="11"/>
      <c r="YA186" s="11"/>
      <c r="YB186" s="11"/>
      <c r="YC186" s="11"/>
      <c r="YD186" s="11"/>
      <c r="YE186" s="11"/>
      <c r="YF186" s="11"/>
      <c r="YG186" s="11"/>
      <c r="YH186" s="11"/>
      <c r="YI186" s="11"/>
      <c r="YJ186" s="11"/>
      <c r="YK186" s="11"/>
      <c r="YL186" s="11"/>
      <c r="YM186" s="11"/>
      <c r="YN186" s="11"/>
      <c r="YO186" s="11"/>
      <c r="YP186" s="11"/>
      <c r="YQ186" s="11"/>
      <c r="YR186" s="11"/>
      <c r="YS186" s="11"/>
      <c r="YT186" s="11"/>
      <c r="YU186" s="11"/>
      <c r="YV186" s="11"/>
      <c r="YW186" s="11"/>
      <c r="YX186" s="11"/>
      <c r="YY186" s="11"/>
      <c r="YZ186" s="11"/>
      <c r="ZA186" s="11"/>
      <c r="ZB186" s="11"/>
      <c r="ZC186" s="11"/>
      <c r="ZD186" s="11"/>
      <c r="ZE186" s="11"/>
      <c r="ZF186" s="11"/>
      <c r="ZG186" s="11"/>
      <c r="ZH186" s="11"/>
      <c r="ZI186" s="11"/>
      <c r="ZJ186" s="11"/>
      <c r="ZK186" s="11"/>
      <c r="ZL186" s="11"/>
      <c r="ZM186" s="11"/>
      <c r="ZN186" s="11"/>
      <c r="ZO186" s="11"/>
      <c r="ZP186" s="11"/>
      <c r="ZQ186" s="11"/>
      <c r="ZR186" s="11"/>
      <c r="ZS186" s="11"/>
      <c r="ZT186" s="11"/>
      <c r="ZU186" s="11"/>
      <c r="ZV186" s="11"/>
      <c r="ZW186" s="11"/>
      <c r="ZX186" s="11"/>
      <c r="ZY186" s="11"/>
      <c r="ZZ186" s="11"/>
      <c r="AAA186" s="11"/>
      <c r="AAB186" s="11"/>
      <c r="AAC186" s="11"/>
      <c r="AAD186" s="11"/>
      <c r="AAE186" s="11"/>
      <c r="AAF186" s="11"/>
      <c r="AAG186" s="11"/>
      <c r="AAH186" s="11"/>
      <c r="AAI186" s="11"/>
      <c r="AAJ186" s="11"/>
      <c r="AAK186" s="11"/>
      <c r="AAL186" s="11"/>
      <c r="AAM186" s="11"/>
      <c r="AAN186" s="11"/>
      <c r="AAO186" s="11"/>
      <c r="AAP186" s="11"/>
      <c r="AAQ186" s="11"/>
      <c r="AAR186" s="11"/>
      <c r="AAS186" s="11"/>
      <c r="AAT186" s="11"/>
      <c r="AAU186" s="11"/>
      <c r="AAV186" s="11"/>
      <c r="AAW186" s="11"/>
      <c r="AAX186" s="11"/>
      <c r="AAY186" s="11"/>
      <c r="AAZ186" s="11"/>
      <c r="ABA186" s="11"/>
      <c r="ABB186" s="11"/>
      <c r="ABC186" s="11"/>
      <c r="ABD186" s="11"/>
      <c r="ABE186" s="11"/>
      <c r="ABF186" s="11"/>
      <c r="ABG186" s="11"/>
      <c r="ABH186" s="11"/>
      <c r="ABI186" s="11"/>
      <c r="ABJ186" s="11"/>
      <c r="ABK186" s="11"/>
      <c r="ABL186" s="11"/>
      <c r="ABM186" s="11"/>
      <c r="ABN186" s="11"/>
      <c r="ABO186" s="11"/>
      <c r="ABP186" s="11"/>
      <c r="ABQ186" s="11"/>
      <c r="ABR186" s="11"/>
      <c r="ABS186" s="11"/>
      <c r="ABT186" s="11"/>
      <c r="ABU186" s="11"/>
      <c r="ABV186" s="11"/>
      <c r="ABW186" s="11"/>
      <c r="ABX186" s="11"/>
      <c r="ABY186" s="11"/>
      <c r="ABZ186" s="11"/>
      <c r="ACA186" s="11"/>
      <c r="ACB186" s="11"/>
      <c r="ACC186" s="11"/>
      <c r="ACD186" s="11"/>
      <c r="ACE186" s="11"/>
      <c r="ACF186" s="11"/>
      <c r="ACG186" s="11"/>
      <c r="ACH186" s="11"/>
      <c r="ACI186" s="11"/>
      <c r="ACJ186" s="11"/>
      <c r="ACK186" s="11"/>
      <c r="ACL186" s="11"/>
      <c r="ACM186" s="11"/>
      <c r="ACN186" s="11"/>
      <c r="ACO186" s="11"/>
      <c r="ACP186" s="11"/>
      <c r="ACQ186" s="11"/>
      <c r="ACR186" s="11"/>
      <c r="ACS186" s="11"/>
      <c r="ACT186" s="11"/>
      <c r="ACU186" s="11"/>
      <c r="ACV186" s="11"/>
      <c r="ACW186" s="11"/>
      <c r="ACX186" s="11"/>
      <c r="ACY186" s="11"/>
      <c r="ACZ186" s="11"/>
      <c r="ADA186" s="11"/>
      <c r="ADB186" s="11"/>
      <c r="ADC186" s="11"/>
      <c r="ADD186" s="11"/>
      <c r="ADE186" s="11"/>
      <c r="ADF186" s="11"/>
      <c r="ADG186" s="11"/>
      <c r="ADH186" s="11"/>
      <c r="ADI186" s="11"/>
      <c r="ADJ186" s="11"/>
      <c r="ADK186" s="11"/>
      <c r="ADL186" s="11"/>
      <c r="ADM186" s="11"/>
      <c r="ADN186" s="11"/>
      <c r="ADO186" s="11"/>
      <c r="ADP186" s="11"/>
      <c r="ADQ186" s="11"/>
      <c r="ADR186" s="11"/>
      <c r="ADS186" s="11"/>
      <c r="ADT186" s="11"/>
      <c r="ADU186" s="11"/>
      <c r="ADV186" s="11"/>
      <c r="ADW186" s="11"/>
      <c r="ADX186" s="11"/>
      <c r="ADY186" s="11"/>
      <c r="ADZ186" s="11"/>
      <c r="AEA186" s="11"/>
      <c r="AEB186" s="11"/>
      <c r="AEC186" s="11"/>
      <c r="AED186" s="11"/>
      <c r="AEE186" s="11"/>
      <c r="AEF186" s="11"/>
      <c r="AEG186" s="11"/>
      <c r="AEH186" s="11"/>
      <c r="AEI186" s="11"/>
      <c r="AEJ186" s="11"/>
      <c r="AEK186" s="11"/>
      <c r="AEL186" s="11"/>
      <c r="AEM186" s="11"/>
      <c r="AEN186" s="11"/>
      <c r="AEO186" s="11"/>
      <c r="AEP186" s="11"/>
      <c r="AEQ186" s="11"/>
      <c r="AER186" s="11"/>
      <c r="AES186" s="11"/>
      <c r="AET186" s="11"/>
      <c r="AEU186" s="11"/>
      <c r="AEV186" s="11"/>
      <c r="AEW186" s="11"/>
      <c r="AEX186" s="11"/>
      <c r="AEY186" s="11"/>
      <c r="AEZ186" s="11"/>
      <c r="AFA186" s="11"/>
      <c r="AFB186" s="11"/>
      <c r="AFC186" s="11"/>
      <c r="AFD186" s="11"/>
      <c r="AFE186" s="11"/>
      <c r="AFF186" s="11"/>
      <c r="AFG186" s="11"/>
      <c r="AFH186" s="11"/>
      <c r="AFI186" s="11"/>
    </row>
    <row r="187" spans="2:84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1"/>
      <c r="LV187" s="11"/>
      <c r="LW187" s="11"/>
      <c r="LX187" s="11"/>
      <c r="LY187" s="11"/>
      <c r="LZ187" s="11"/>
      <c r="MA187" s="11"/>
      <c r="MB187" s="11"/>
      <c r="MC187" s="11"/>
      <c r="MD187" s="11"/>
      <c r="ME187" s="11"/>
      <c r="MF187" s="11"/>
      <c r="MG187" s="11"/>
      <c r="MH187" s="11"/>
      <c r="MI187" s="11"/>
      <c r="MJ187" s="11"/>
      <c r="MK187" s="11"/>
      <c r="ML187" s="11"/>
      <c r="MM187" s="11"/>
      <c r="MN187" s="11"/>
      <c r="MO187" s="11"/>
      <c r="MP187" s="11"/>
      <c r="MQ187" s="11"/>
      <c r="MR187" s="11"/>
      <c r="MS187" s="11"/>
      <c r="MT187" s="11"/>
      <c r="MU187" s="11"/>
      <c r="MV187" s="11"/>
      <c r="MW187" s="11"/>
      <c r="MX187" s="11"/>
      <c r="MY187" s="11"/>
      <c r="MZ187" s="11"/>
      <c r="NA187" s="11"/>
      <c r="NB187" s="11"/>
      <c r="NC187" s="11"/>
      <c r="ND187" s="11"/>
      <c r="NE187" s="11"/>
      <c r="NF187" s="11"/>
      <c r="NG187" s="11"/>
      <c r="NH187" s="11"/>
      <c r="NI187" s="11"/>
      <c r="NJ187" s="11"/>
      <c r="NK187" s="11"/>
      <c r="NL187" s="11"/>
      <c r="NM187" s="11"/>
      <c r="NN187" s="11"/>
      <c r="NO187" s="11"/>
      <c r="NP187" s="11"/>
      <c r="NQ187" s="11"/>
      <c r="NR187" s="11"/>
      <c r="NS187" s="11"/>
      <c r="NT187" s="11"/>
      <c r="NU187" s="11"/>
      <c r="NV187" s="11"/>
      <c r="NW187" s="11"/>
      <c r="NX187" s="11"/>
      <c r="NY187" s="11"/>
      <c r="NZ187" s="11"/>
      <c r="OA187" s="11"/>
      <c r="OB187" s="11"/>
      <c r="OC187" s="11"/>
      <c r="OD187" s="11"/>
      <c r="OE187" s="11"/>
      <c r="OF187" s="11"/>
      <c r="OG187" s="11"/>
      <c r="OH187" s="11"/>
      <c r="OI187" s="11"/>
      <c r="OJ187" s="11"/>
      <c r="OK187" s="11"/>
      <c r="OL187" s="11"/>
      <c r="OM187" s="11"/>
      <c r="ON187" s="11"/>
      <c r="OO187" s="11"/>
      <c r="OP187" s="11"/>
      <c r="OQ187" s="11"/>
      <c r="OR187" s="11"/>
      <c r="OS187" s="11"/>
      <c r="OT187" s="11"/>
      <c r="OU187" s="11"/>
      <c r="OV187" s="11"/>
      <c r="OW187" s="11"/>
      <c r="OX187" s="11"/>
      <c r="OY187" s="11"/>
      <c r="OZ187" s="11"/>
      <c r="PA187" s="11"/>
      <c r="PB187" s="11"/>
      <c r="PC187" s="11"/>
      <c r="PD187" s="11"/>
      <c r="PE187" s="11"/>
      <c r="PF187" s="11"/>
      <c r="PG187" s="11"/>
      <c r="PH187" s="11"/>
      <c r="PI187" s="11"/>
      <c r="PJ187" s="11"/>
      <c r="PK187" s="11"/>
      <c r="PL187" s="11"/>
      <c r="PM187" s="11"/>
      <c r="PN187" s="11"/>
      <c r="PO187" s="11"/>
      <c r="PP187" s="11"/>
      <c r="PQ187" s="11"/>
      <c r="PR187" s="11"/>
      <c r="PS187" s="11"/>
      <c r="PT187" s="11"/>
      <c r="PU187" s="11"/>
      <c r="PV187" s="11"/>
      <c r="PW187" s="11"/>
      <c r="PX187" s="11"/>
      <c r="PY187" s="11"/>
      <c r="PZ187" s="11"/>
      <c r="QA187" s="11"/>
      <c r="QB187" s="11"/>
      <c r="QC187" s="11"/>
      <c r="QD187" s="11"/>
      <c r="QE187" s="11"/>
      <c r="QF187" s="11"/>
      <c r="QG187" s="11"/>
      <c r="QH187" s="11"/>
      <c r="QI187" s="11"/>
      <c r="QJ187" s="11"/>
      <c r="QK187" s="11"/>
      <c r="QL187" s="11"/>
      <c r="QM187" s="11"/>
      <c r="QN187" s="11"/>
      <c r="QO187" s="11"/>
      <c r="QP187" s="11"/>
      <c r="QQ187" s="11"/>
      <c r="QR187" s="11"/>
      <c r="QS187" s="11"/>
      <c r="QT187" s="11"/>
      <c r="QU187" s="11"/>
      <c r="QV187" s="11"/>
      <c r="QW187" s="11"/>
      <c r="QX187" s="11"/>
      <c r="QY187" s="11"/>
      <c r="QZ187" s="11"/>
      <c r="RA187" s="11"/>
      <c r="RB187" s="11"/>
      <c r="RC187" s="11"/>
      <c r="RD187" s="11"/>
      <c r="RE187" s="11"/>
      <c r="RF187" s="11"/>
      <c r="RG187" s="11"/>
      <c r="RH187" s="11"/>
      <c r="RI187" s="11"/>
      <c r="RJ187" s="11"/>
      <c r="RK187" s="11"/>
      <c r="RL187" s="11"/>
      <c r="RM187" s="11"/>
      <c r="RN187" s="11"/>
      <c r="RO187" s="11"/>
      <c r="RP187" s="11"/>
      <c r="RQ187" s="11"/>
      <c r="RR187" s="11"/>
      <c r="RS187" s="11"/>
      <c r="RT187" s="11"/>
      <c r="RU187" s="11"/>
      <c r="RV187" s="11"/>
      <c r="RW187" s="11"/>
      <c r="RX187" s="11"/>
      <c r="RY187" s="11"/>
      <c r="RZ187" s="11"/>
      <c r="SA187" s="11"/>
      <c r="SB187" s="11"/>
      <c r="SC187" s="11"/>
      <c r="SD187" s="11"/>
      <c r="SE187" s="11"/>
      <c r="SF187" s="11"/>
      <c r="SG187" s="11"/>
      <c r="SH187" s="11"/>
      <c r="SI187" s="11"/>
      <c r="SJ187" s="11"/>
      <c r="SK187" s="11"/>
      <c r="SL187" s="11"/>
      <c r="SM187" s="11"/>
      <c r="SN187" s="11"/>
      <c r="SO187" s="11"/>
      <c r="SP187" s="11"/>
      <c r="SQ187" s="11"/>
      <c r="SR187" s="11"/>
      <c r="SS187" s="11"/>
      <c r="ST187" s="11"/>
      <c r="SU187" s="11"/>
      <c r="SV187" s="11"/>
      <c r="SW187" s="11"/>
      <c r="SX187" s="11"/>
      <c r="SY187" s="11"/>
      <c r="SZ187" s="11"/>
      <c r="TA187" s="11"/>
      <c r="TB187" s="11"/>
      <c r="TC187" s="11"/>
      <c r="TD187" s="11"/>
      <c r="TE187" s="11"/>
      <c r="TF187" s="11"/>
      <c r="TG187" s="11"/>
      <c r="TH187" s="11"/>
      <c r="TI187" s="11"/>
      <c r="TJ187" s="11"/>
      <c r="TK187" s="11"/>
      <c r="TL187" s="11"/>
      <c r="TM187" s="11"/>
      <c r="TN187" s="11"/>
      <c r="TO187" s="11"/>
      <c r="TP187" s="11"/>
      <c r="TQ187" s="11"/>
      <c r="TR187" s="11"/>
      <c r="TS187" s="11"/>
      <c r="TT187" s="11"/>
      <c r="TU187" s="11"/>
      <c r="TV187" s="11"/>
      <c r="TW187" s="11"/>
      <c r="TX187" s="11"/>
      <c r="TY187" s="11"/>
      <c r="TZ187" s="11"/>
      <c r="UA187" s="11"/>
      <c r="UB187" s="11"/>
      <c r="UC187" s="11"/>
      <c r="UD187" s="11"/>
      <c r="UE187" s="11"/>
      <c r="UF187" s="11"/>
      <c r="UG187" s="11"/>
      <c r="UH187" s="11"/>
      <c r="UI187" s="11"/>
      <c r="UJ187" s="11"/>
      <c r="UK187" s="11"/>
      <c r="UL187" s="11"/>
      <c r="UM187" s="11"/>
      <c r="UN187" s="11"/>
      <c r="UO187" s="11"/>
      <c r="UP187" s="11"/>
      <c r="UQ187" s="11"/>
      <c r="UR187" s="11"/>
      <c r="US187" s="11"/>
      <c r="UT187" s="11"/>
      <c r="UU187" s="11"/>
      <c r="UV187" s="11"/>
      <c r="UW187" s="11"/>
      <c r="UX187" s="11"/>
      <c r="UY187" s="11"/>
      <c r="UZ187" s="11"/>
      <c r="VA187" s="11"/>
      <c r="VB187" s="11"/>
      <c r="VC187" s="11"/>
      <c r="VD187" s="11"/>
      <c r="VE187" s="11"/>
      <c r="VF187" s="11"/>
      <c r="VG187" s="11"/>
      <c r="VH187" s="11"/>
      <c r="VI187" s="11"/>
      <c r="VJ187" s="11"/>
      <c r="VK187" s="11"/>
      <c r="VL187" s="11"/>
      <c r="VM187" s="11"/>
      <c r="VN187" s="11"/>
      <c r="VO187" s="11"/>
      <c r="VP187" s="11"/>
      <c r="VQ187" s="11"/>
      <c r="VR187" s="11"/>
      <c r="VS187" s="11"/>
      <c r="VT187" s="11"/>
      <c r="VU187" s="11"/>
      <c r="VV187" s="11"/>
      <c r="VW187" s="11"/>
      <c r="VX187" s="11"/>
      <c r="VY187" s="11"/>
      <c r="VZ187" s="11"/>
      <c r="WA187" s="11"/>
      <c r="WB187" s="11"/>
      <c r="WC187" s="11"/>
      <c r="WD187" s="11"/>
      <c r="WE187" s="11"/>
      <c r="WF187" s="11"/>
      <c r="WG187" s="11"/>
      <c r="WH187" s="11"/>
      <c r="WI187" s="11"/>
      <c r="WJ187" s="11"/>
      <c r="WK187" s="11"/>
      <c r="WL187" s="11"/>
      <c r="WM187" s="11"/>
      <c r="WN187" s="11"/>
      <c r="WO187" s="11"/>
      <c r="WP187" s="11"/>
      <c r="WQ187" s="11"/>
      <c r="WR187" s="11"/>
      <c r="WS187" s="11"/>
      <c r="WT187" s="11"/>
      <c r="WU187" s="11"/>
      <c r="WV187" s="11"/>
      <c r="WW187" s="11"/>
      <c r="WX187" s="11"/>
      <c r="WY187" s="11"/>
      <c r="WZ187" s="11"/>
      <c r="XA187" s="11"/>
      <c r="XB187" s="11"/>
      <c r="XC187" s="11"/>
      <c r="XD187" s="11"/>
      <c r="XE187" s="11"/>
      <c r="XF187" s="11"/>
      <c r="XG187" s="11"/>
      <c r="XH187" s="11"/>
      <c r="XI187" s="11"/>
      <c r="XJ187" s="11"/>
      <c r="XK187" s="11"/>
      <c r="XL187" s="11"/>
      <c r="XM187" s="11"/>
      <c r="XN187" s="11"/>
      <c r="XO187" s="11"/>
      <c r="XP187" s="11"/>
      <c r="XQ187" s="11"/>
      <c r="XR187" s="11"/>
      <c r="XS187" s="11"/>
      <c r="XT187" s="11"/>
      <c r="XU187" s="11"/>
      <c r="XV187" s="11"/>
      <c r="XW187" s="11"/>
      <c r="XX187" s="11"/>
      <c r="XY187" s="11"/>
      <c r="XZ187" s="11"/>
      <c r="YA187" s="11"/>
      <c r="YB187" s="11"/>
      <c r="YC187" s="11"/>
      <c r="YD187" s="11"/>
      <c r="YE187" s="11"/>
      <c r="YF187" s="11"/>
      <c r="YG187" s="11"/>
      <c r="YH187" s="11"/>
      <c r="YI187" s="11"/>
      <c r="YJ187" s="11"/>
      <c r="YK187" s="11"/>
      <c r="YL187" s="11"/>
      <c r="YM187" s="11"/>
      <c r="YN187" s="11"/>
      <c r="YO187" s="11"/>
      <c r="YP187" s="11"/>
      <c r="YQ187" s="11"/>
      <c r="YR187" s="11"/>
      <c r="YS187" s="11"/>
      <c r="YT187" s="11"/>
      <c r="YU187" s="11"/>
      <c r="YV187" s="11"/>
      <c r="YW187" s="11"/>
      <c r="YX187" s="11"/>
      <c r="YY187" s="11"/>
      <c r="YZ187" s="11"/>
      <c r="ZA187" s="11"/>
      <c r="ZB187" s="11"/>
      <c r="ZC187" s="11"/>
      <c r="ZD187" s="11"/>
      <c r="ZE187" s="11"/>
      <c r="ZF187" s="11"/>
      <c r="ZG187" s="11"/>
      <c r="ZH187" s="11"/>
      <c r="ZI187" s="11"/>
      <c r="ZJ187" s="11"/>
      <c r="ZK187" s="11"/>
      <c r="ZL187" s="11"/>
      <c r="ZM187" s="11"/>
      <c r="ZN187" s="11"/>
      <c r="ZO187" s="11"/>
      <c r="ZP187" s="11"/>
      <c r="ZQ187" s="11"/>
      <c r="ZR187" s="11"/>
      <c r="ZS187" s="11"/>
      <c r="ZT187" s="11"/>
      <c r="ZU187" s="11"/>
      <c r="ZV187" s="11"/>
      <c r="ZW187" s="11"/>
      <c r="ZX187" s="11"/>
      <c r="ZY187" s="11"/>
      <c r="ZZ187" s="11"/>
      <c r="AAA187" s="11"/>
      <c r="AAB187" s="11"/>
      <c r="AAC187" s="11"/>
      <c r="AAD187" s="11"/>
      <c r="AAE187" s="11"/>
      <c r="AAF187" s="11"/>
      <c r="AAG187" s="11"/>
      <c r="AAH187" s="11"/>
      <c r="AAI187" s="11"/>
      <c r="AAJ187" s="11"/>
      <c r="AAK187" s="11"/>
      <c r="AAL187" s="11"/>
      <c r="AAM187" s="11"/>
      <c r="AAN187" s="11"/>
      <c r="AAO187" s="11"/>
      <c r="AAP187" s="11"/>
      <c r="AAQ187" s="11"/>
      <c r="AAR187" s="11"/>
      <c r="AAS187" s="11"/>
      <c r="AAT187" s="11"/>
      <c r="AAU187" s="11"/>
      <c r="AAV187" s="11"/>
      <c r="AAW187" s="11"/>
      <c r="AAX187" s="11"/>
      <c r="AAY187" s="11"/>
      <c r="AAZ187" s="11"/>
      <c r="ABA187" s="11"/>
      <c r="ABB187" s="11"/>
      <c r="ABC187" s="11"/>
      <c r="ABD187" s="11"/>
      <c r="ABE187" s="11"/>
      <c r="ABF187" s="11"/>
      <c r="ABG187" s="11"/>
      <c r="ABH187" s="11"/>
      <c r="ABI187" s="11"/>
      <c r="ABJ187" s="11"/>
      <c r="ABK187" s="11"/>
      <c r="ABL187" s="11"/>
      <c r="ABM187" s="11"/>
      <c r="ABN187" s="11"/>
      <c r="ABO187" s="11"/>
      <c r="ABP187" s="11"/>
      <c r="ABQ187" s="11"/>
      <c r="ABR187" s="11"/>
      <c r="ABS187" s="11"/>
      <c r="ABT187" s="11"/>
      <c r="ABU187" s="11"/>
      <c r="ABV187" s="11"/>
      <c r="ABW187" s="11"/>
      <c r="ABX187" s="11"/>
      <c r="ABY187" s="11"/>
      <c r="ABZ187" s="11"/>
      <c r="ACA187" s="11"/>
      <c r="ACB187" s="11"/>
      <c r="ACC187" s="11"/>
      <c r="ACD187" s="11"/>
      <c r="ACE187" s="11"/>
      <c r="ACF187" s="11"/>
      <c r="ACG187" s="11"/>
      <c r="ACH187" s="11"/>
      <c r="ACI187" s="11"/>
      <c r="ACJ187" s="11"/>
      <c r="ACK187" s="11"/>
      <c r="ACL187" s="11"/>
      <c r="ACM187" s="11"/>
      <c r="ACN187" s="11"/>
      <c r="ACO187" s="11"/>
      <c r="ACP187" s="11"/>
      <c r="ACQ187" s="11"/>
      <c r="ACR187" s="11"/>
      <c r="ACS187" s="11"/>
      <c r="ACT187" s="11"/>
      <c r="ACU187" s="11"/>
      <c r="ACV187" s="11"/>
      <c r="ACW187" s="11"/>
      <c r="ACX187" s="11"/>
      <c r="ACY187" s="11"/>
      <c r="ACZ187" s="11"/>
      <c r="ADA187" s="11"/>
      <c r="ADB187" s="11"/>
      <c r="ADC187" s="11"/>
      <c r="ADD187" s="11"/>
      <c r="ADE187" s="11"/>
      <c r="ADF187" s="11"/>
      <c r="ADG187" s="11"/>
      <c r="ADH187" s="11"/>
      <c r="ADI187" s="11"/>
      <c r="ADJ187" s="11"/>
      <c r="ADK187" s="11"/>
      <c r="ADL187" s="11"/>
      <c r="ADM187" s="11"/>
      <c r="ADN187" s="11"/>
      <c r="ADO187" s="11"/>
      <c r="ADP187" s="11"/>
      <c r="ADQ187" s="11"/>
      <c r="ADR187" s="11"/>
      <c r="ADS187" s="11"/>
      <c r="ADT187" s="11"/>
      <c r="ADU187" s="11"/>
      <c r="ADV187" s="11"/>
      <c r="ADW187" s="11"/>
      <c r="ADX187" s="11"/>
      <c r="ADY187" s="11"/>
      <c r="ADZ187" s="11"/>
      <c r="AEA187" s="11"/>
      <c r="AEB187" s="11"/>
      <c r="AEC187" s="11"/>
      <c r="AED187" s="11"/>
      <c r="AEE187" s="11"/>
      <c r="AEF187" s="11"/>
      <c r="AEG187" s="11"/>
      <c r="AEH187" s="11"/>
      <c r="AEI187" s="11"/>
      <c r="AEJ187" s="11"/>
      <c r="AEK187" s="11"/>
      <c r="AEL187" s="11"/>
      <c r="AEM187" s="11"/>
      <c r="AEN187" s="11"/>
      <c r="AEO187" s="11"/>
      <c r="AEP187" s="11"/>
      <c r="AEQ187" s="11"/>
      <c r="AER187" s="11"/>
      <c r="AES187" s="11"/>
      <c r="AET187" s="11"/>
      <c r="AEU187" s="11"/>
      <c r="AEV187" s="11"/>
      <c r="AEW187" s="11"/>
      <c r="AEX187" s="11"/>
      <c r="AEY187" s="11"/>
      <c r="AEZ187" s="11"/>
      <c r="AFA187" s="11"/>
      <c r="AFB187" s="11"/>
      <c r="AFC187" s="11"/>
      <c r="AFD187" s="11"/>
      <c r="AFE187" s="11"/>
      <c r="AFF187" s="11"/>
      <c r="AFG187" s="11"/>
      <c r="AFH187" s="11"/>
      <c r="AFI187" s="11"/>
    </row>
    <row r="188" spans="2:84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1"/>
      <c r="LV188" s="11"/>
      <c r="LW188" s="11"/>
      <c r="LX188" s="11"/>
      <c r="LY188" s="11"/>
      <c r="LZ188" s="11"/>
      <c r="MA188" s="11"/>
      <c r="MB188" s="11"/>
      <c r="MC188" s="11"/>
      <c r="MD188" s="11"/>
      <c r="ME188" s="11"/>
      <c r="MF188" s="11"/>
      <c r="MG188" s="11"/>
      <c r="MH188" s="11"/>
      <c r="MI188" s="11"/>
      <c r="MJ188" s="11"/>
      <c r="MK188" s="11"/>
      <c r="ML188" s="11"/>
      <c r="MM188" s="11"/>
      <c r="MN188" s="11"/>
      <c r="MO188" s="11"/>
      <c r="MP188" s="11"/>
      <c r="MQ188" s="11"/>
      <c r="MR188" s="11"/>
      <c r="MS188" s="11"/>
      <c r="MT188" s="11"/>
      <c r="MU188" s="11"/>
      <c r="MV188" s="11"/>
      <c r="MW188" s="11"/>
      <c r="MX188" s="11"/>
      <c r="MY188" s="11"/>
      <c r="MZ188" s="11"/>
      <c r="NA188" s="11"/>
      <c r="NB188" s="11"/>
      <c r="NC188" s="11"/>
      <c r="ND188" s="11"/>
      <c r="NE188" s="11"/>
      <c r="NF188" s="11"/>
      <c r="NG188" s="11"/>
      <c r="NH188" s="11"/>
      <c r="NI188" s="11"/>
      <c r="NJ188" s="11"/>
      <c r="NK188" s="11"/>
      <c r="NL188" s="11"/>
      <c r="NM188" s="11"/>
      <c r="NN188" s="11"/>
      <c r="NO188" s="11"/>
      <c r="NP188" s="11"/>
      <c r="NQ188" s="11"/>
      <c r="NR188" s="11"/>
      <c r="NS188" s="11"/>
      <c r="NT188" s="11"/>
      <c r="NU188" s="11"/>
      <c r="NV188" s="11"/>
      <c r="NW188" s="11"/>
      <c r="NX188" s="11"/>
      <c r="NY188" s="11"/>
      <c r="NZ188" s="11"/>
      <c r="OA188" s="11"/>
      <c r="OB188" s="11"/>
      <c r="OC188" s="11"/>
      <c r="OD188" s="11"/>
      <c r="OE188" s="11"/>
      <c r="OF188" s="11"/>
      <c r="OG188" s="11"/>
      <c r="OH188" s="11"/>
      <c r="OI188" s="11"/>
      <c r="OJ188" s="11"/>
      <c r="OK188" s="11"/>
      <c r="OL188" s="11"/>
      <c r="OM188" s="11"/>
      <c r="ON188" s="11"/>
      <c r="OO188" s="11"/>
      <c r="OP188" s="11"/>
      <c r="OQ188" s="11"/>
      <c r="OR188" s="11"/>
      <c r="OS188" s="11"/>
      <c r="OT188" s="11"/>
      <c r="OU188" s="11"/>
      <c r="OV188" s="11"/>
      <c r="OW188" s="11"/>
      <c r="OX188" s="11"/>
      <c r="OY188" s="11"/>
      <c r="OZ188" s="11"/>
      <c r="PA188" s="11"/>
      <c r="PB188" s="11"/>
      <c r="PC188" s="11"/>
      <c r="PD188" s="11"/>
      <c r="PE188" s="11"/>
      <c r="PF188" s="11"/>
      <c r="PG188" s="11"/>
      <c r="PH188" s="11"/>
      <c r="PI188" s="11"/>
      <c r="PJ188" s="11"/>
      <c r="PK188" s="11"/>
      <c r="PL188" s="11"/>
      <c r="PM188" s="11"/>
      <c r="PN188" s="11"/>
      <c r="PO188" s="11"/>
      <c r="PP188" s="11"/>
      <c r="PQ188" s="11"/>
      <c r="PR188" s="11"/>
      <c r="PS188" s="11"/>
      <c r="PT188" s="11"/>
      <c r="PU188" s="11"/>
      <c r="PV188" s="11"/>
      <c r="PW188" s="11"/>
      <c r="PX188" s="11"/>
      <c r="PY188" s="11"/>
      <c r="PZ188" s="11"/>
      <c r="QA188" s="11"/>
      <c r="QB188" s="11"/>
      <c r="QC188" s="11"/>
      <c r="QD188" s="11"/>
      <c r="QE188" s="11"/>
      <c r="QF188" s="11"/>
      <c r="QG188" s="11"/>
      <c r="QH188" s="11"/>
      <c r="QI188" s="11"/>
      <c r="QJ188" s="11"/>
      <c r="QK188" s="11"/>
      <c r="QL188" s="11"/>
      <c r="QM188" s="11"/>
      <c r="QN188" s="11"/>
      <c r="QO188" s="11"/>
      <c r="QP188" s="11"/>
      <c r="QQ188" s="11"/>
      <c r="QR188" s="11"/>
      <c r="QS188" s="11"/>
      <c r="QT188" s="11"/>
      <c r="QU188" s="11"/>
      <c r="QV188" s="11"/>
      <c r="QW188" s="11"/>
      <c r="QX188" s="11"/>
      <c r="QY188" s="11"/>
      <c r="QZ188" s="11"/>
      <c r="RA188" s="11"/>
      <c r="RB188" s="11"/>
      <c r="RC188" s="11"/>
      <c r="RD188" s="11"/>
      <c r="RE188" s="11"/>
      <c r="RF188" s="11"/>
      <c r="RG188" s="11"/>
      <c r="RH188" s="11"/>
      <c r="RI188" s="11"/>
      <c r="RJ188" s="11"/>
      <c r="RK188" s="11"/>
      <c r="RL188" s="11"/>
      <c r="RM188" s="11"/>
      <c r="RN188" s="11"/>
      <c r="RO188" s="11"/>
      <c r="RP188" s="11"/>
      <c r="RQ188" s="11"/>
      <c r="RR188" s="11"/>
      <c r="RS188" s="11"/>
      <c r="RT188" s="11"/>
      <c r="RU188" s="11"/>
      <c r="RV188" s="11"/>
      <c r="RW188" s="11"/>
      <c r="RX188" s="11"/>
      <c r="RY188" s="11"/>
      <c r="RZ188" s="11"/>
      <c r="SA188" s="11"/>
      <c r="SB188" s="11"/>
      <c r="SC188" s="11"/>
      <c r="SD188" s="11"/>
      <c r="SE188" s="11"/>
      <c r="SF188" s="11"/>
      <c r="SG188" s="11"/>
      <c r="SH188" s="11"/>
      <c r="SI188" s="11"/>
      <c r="SJ188" s="11"/>
      <c r="SK188" s="11"/>
      <c r="SL188" s="11"/>
      <c r="SM188" s="11"/>
      <c r="SN188" s="11"/>
      <c r="SO188" s="11"/>
      <c r="SP188" s="11"/>
      <c r="SQ188" s="11"/>
      <c r="SR188" s="11"/>
      <c r="SS188" s="11"/>
      <c r="ST188" s="11"/>
      <c r="SU188" s="11"/>
      <c r="SV188" s="11"/>
      <c r="SW188" s="11"/>
      <c r="SX188" s="11"/>
      <c r="SY188" s="11"/>
      <c r="SZ188" s="11"/>
      <c r="TA188" s="11"/>
      <c r="TB188" s="11"/>
      <c r="TC188" s="11"/>
      <c r="TD188" s="11"/>
      <c r="TE188" s="11"/>
      <c r="TF188" s="11"/>
      <c r="TG188" s="11"/>
      <c r="TH188" s="11"/>
      <c r="TI188" s="11"/>
      <c r="TJ188" s="11"/>
      <c r="TK188" s="11"/>
      <c r="TL188" s="11"/>
      <c r="TM188" s="11"/>
      <c r="TN188" s="11"/>
      <c r="TO188" s="11"/>
      <c r="TP188" s="11"/>
      <c r="TQ188" s="11"/>
      <c r="TR188" s="11"/>
      <c r="TS188" s="11"/>
      <c r="TT188" s="11"/>
      <c r="TU188" s="11"/>
      <c r="TV188" s="11"/>
      <c r="TW188" s="11"/>
      <c r="TX188" s="11"/>
      <c r="TY188" s="11"/>
      <c r="TZ188" s="11"/>
      <c r="UA188" s="11"/>
      <c r="UB188" s="11"/>
      <c r="UC188" s="11"/>
      <c r="UD188" s="11"/>
      <c r="UE188" s="11"/>
      <c r="UF188" s="11"/>
      <c r="UG188" s="11"/>
      <c r="UH188" s="11"/>
      <c r="UI188" s="11"/>
      <c r="UJ188" s="11"/>
      <c r="UK188" s="11"/>
      <c r="UL188" s="11"/>
      <c r="UM188" s="11"/>
      <c r="UN188" s="11"/>
      <c r="UO188" s="11"/>
      <c r="UP188" s="11"/>
      <c r="UQ188" s="11"/>
      <c r="UR188" s="11"/>
      <c r="US188" s="11"/>
      <c r="UT188" s="11"/>
      <c r="UU188" s="11"/>
      <c r="UV188" s="11"/>
      <c r="UW188" s="11"/>
      <c r="UX188" s="11"/>
      <c r="UY188" s="11"/>
      <c r="UZ188" s="11"/>
      <c r="VA188" s="11"/>
      <c r="VB188" s="11"/>
      <c r="VC188" s="11"/>
      <c r="VD188" s="11"/>
      <c r="VE188" s="11"/>
      <c r="VF188" s="11"/>
      <c r="VG188" s="11"/>
      <c r="VH188" s="11"/>
      <c r="VI188" s="11"/>
      <c r="VJ188" s="11"/>
      <c r="VK188" s="11"/>
      <c r="VL188" s="11"/>
      <c r="VM188" s="11"/>
      <c r="VN188" s="11"/>
      <c r="VO188" s="11"/>
      <c r="VP188" s="11"/>
      <c r="VQ188" s="11"/>
      <c r="VR188" s="11"/>
      <c r="VS188" s="11"/>
      <c r="VT188" s="11"/>
      <c r="VU188" s="11"/>
      <c r="VV188" s="11"/>
      <c r="VW188" s="11"/>
      <c r="VX188" s="11"/>
      <c r="VY188" s="11"/>
      <c r="VZ188" s="11"/>
      <c r="WA188" s="11"/>
      <c r="WB188" s="11"/>
      <c r="WC188" s="11"/>
      <c r="WD188" s="11"/>
      <c r="WE188" s="11"/>
      <c r="WF188" s="11"/>
      <c r="WG188" s="11"/>
      <c r="WH188" s="11"/>
      <c r="WI188" s="11"/>
      <c r="WJ188" s="11"/>
      <c r="WK188" s="11"/>
      <c r="WL188" s="11"/>
      <c r="WM188" s="11"/>
      <c r="WN188" s="11"/>
      <c r="WO188" s="11"/>
      <c r="WP188" s="11"/>
      <c r="WQ188" s="11"/>
      <c r="WR188" s="11"/>
      <c r="WS188" s="11"/>
      <c r="WT188" s="11"/>
      <c r="WU188" s="11"/>
      <c r="WV188" s="11"/>
      <c r="WW188" s="11"/>
      <c r="WX188" s="11"/>
      <c r="WY188" s="11"/>
      <c r="WZ188" s="11"/>
      <c r="XA188" s="11"/>
      <c r="XB188" s="11"/>
      <c r="XC188" s="11"/>
      <c r="XD188" s="11"/>
      <c r="XE188" s="11"/>
      <c r="XF188" s="11"/>
      <c r="XG188" s="11"/>
      <c r="XH188" s="11"/>
      <c r="XI188" s="11"/>
      <c r="XJ188" s="11"/>
      <c r="XK188" s="11"/>
      <c r="XL188" s="11"/>
      <c r="XM188" s="11"/>
      <c r="XN188" s="11"/>
      <c r="XO188" s="11"/>
      <c r="XP188" s="11"/>
      <c r="XQ188" s="11"/>
      <c r="XR188" s="11"/>
      <c r="XS188" s="11"/>
      <c r="XT188" s="11"/>
      <c r="XU188" s="11"/>
      <c r="XV188" s="11"/>
      <c r="XW188" s="11"/>
      <c r="XX188" s="11"/>
      <c r="XY188" s="11"/>
      <c r="XZ188" s="11"/>
      <c r="YA188" s="11"/>
      <c r="YB188" s="11"/>
      <c r="YC188" s="11"/>
      <c r="YD188" s="11"/>
      <c r="YE188" s="11"/>
      <c r="YF188" s="11"/>
      <c r="YG188" s="11"/>
      <c r="YH188" s="11"/>
      <c r="YI188" s="11"/>
      <c r="YJ188" s="11"/>
      <c r="YK188" s="11"/>
      <c r="YL188" s="11"/>
      <c r="YM188" s="11"/>
      <c r="YN188" s="11"/>
      <c r="YO188" s="11"/>
      <c r="YP188" s="11"/>
      <c r="YQ188" s="11"/>
      <c r="YR188" s="11"/>
      <c r="YS188" s="11"/>
      <c r="YT188" s="11"/>
      <c r="YU188" s="11"/>
      <c r="YV188" s="11"/>
      <c r="YW188" s="11"/>
      <c r="YX188" s="11"/>
      <c r="YY188" s="11"/>
      <c r="YZ188" s="11"/>
      <c r="ZA188" s="11"/>
      <c r="ZB188" s="11"/>
      <c r="ZC188" s="11"/>
      <c r="ZD188" s="11"/>
      <c r="ZE188" s="11"/>
      <c r="ZF188" s="11"/>
      <c r="ZG188" s="11"/>
      <c r="ZH188" s="11"/>
      <c r="ZI188" s="11"/>
      <c r="ZJ188" s="11"/>
      <c r="ZK188" s="11"/>
      <c r="ZL188" s="11"/>
      <c r="ZM188" s="11"/>
      <c r="ZN188" s="11"/>
      <c r="ZO188" s="11"/>
      <c r="ZP188" s="11"/>
      <c r="ZQ188" s="11"/>
      <c r="ZR188" s="11"/>
      <c r="ZS188" s="11"/>
      <c r="ZT188" s="11"/>
      <c r="ZU188" s="11"/>
      <c r="ZV188" s="11"/>
      <c r="ZW188" s="11"/>
      <c r="ZX188" s="11"/>
      <c r="ZY188" s="11"/>
      <c r="ZZ188" s="11"/>
      <c r="AAA188" s="11"/>
      <c r="AAB188" s="11"/>
      <c r="AAC188" s="11"/>
      <c r="AAD188" s="11"/>
      <c r="AAE188" s="11"/>
      <c r="AAF188" s="11"/>
      <c r="AAG188" s="11"/>
      <c r="AAH188" s="11"/>
      <c r="AAI188" s="11"/>
      <c r="AAJ188" s="11"/>
      <c r="AAK188" s="11"/>
      <c r="AAL188" s="11"/>
      <c r="AAM188" s="11"/>
      <c r="AAN188" s="11"/>
      <c r="AAO188" s="11"/>
      <c r="AAP188" s="11"/>
      <c r="AAQ188" s="11"/>
      <c r="AAR188" s="11"/>
      <c r="AAS188" s="11"/>
      <c r="AAT188" s="11"/>
      <c r="AAU188" s="11"/>
      <c r="AAV188" s="11"/>
      <c r="AAW188" s="11"/>
      <c r="AAX188" s="11"/>
      <c r="AAY188" s="11"/>
      <c r="AAZ188" s="11"/>
      <c r="ABA188" s="11"/>
      <c r="ABB188" s="11"/>
      <c r="ABC188" s="11"/>
      <c r="ABD188" s="11"/>
      <c r="ABE188" s="11"/>
      <c r="ABF188" s="11"/>
      <c r="ABG188" s="11"/>
      <c r="ABH188" s="11"/>
      <c r="ABI188" s="11"/>
      <c r="ABJ188" s="11"/>
      <c r="ABK188" s="11"/>
      <c r="ABL188" s="11"/>
      <c r="ABM188" s="11"/>
      <c r="ABN188" s="11"/>
      <c r="ABO188" s="11"/>
      <c r="ABP188" s="11"/>
      <c r="ABQ188" s="11"/>
      <c r="ABR188" s="11"/>
      <c r="ABS188" s="11"/>
      <c r="ABT188" s="11"/>
      <c r="ABU188" s="11"/>
      <c r="ABV188" s="11"/>
      <c r="ABW188" s="11"/>
      <c r="ABX188" s="11"/>
      <c r="ABY188" s="11"/>
      <c r="ABZ188" s="11"/>
      <c r="ACA188" s="11"/>
      <c r="ACB188" s="11"/>
      <c r="ACC188" s="11"/>
      <c r="ACD188" s="11"/>
      <c r="ACE188" s="11"/>
      <c r="ACF188" s="11"/>
      <c r="ACG188" s="11"/>
      <c r="ACH188" s="11"/>
      <c r="ACI188" s="11"/>
      <c r="ACJ188" s="11"/>
      <c r="ACK188" s="11"/>
      <c r="ACL188" s="11"/>
      <c r="ACM188" s="11"/>
      <c r="ACN188" s="11"/>
      <c r="ACO188" s="11"/>
      <c r="ACP188" s="11"/>
      <c r="ACQ188" s="11"/>
      <c r="ACR188" s="11"/>
      <c r="ACS188" s="11"/>
      <c r="ACT188" s="11"/>
      <c r="ACU188" s="11"/>
      <c r="ACV188" s="11"/>
      <c r="ACW188" s="11"/>
      <c r="ACX188" s="11"/>
      <c r="ACY188" s="11"/>
      <c r="ACZ188" s="11"/>
      <c r="ADA188" s="11"/>
      <c r="ADB188" s="11"/>
      <c r="ADC188" s="11"/>
      <c r="ADD188" s="11"/>
      <c r="ADE188" s="11"/>
      <c r="ADF188" s="11"/>
      <c r="ADG188" s="11"/>
      <c r="ADH188" s="11"/>
      <c r="ADI188" s="11"/>
      <c r="ADJ188" s="11"/>
      <c r="ADK188" s="11"/>
      <c r="ADL188" s="11"/>
      <c r="ADM188" s="11"/>
      <c r="ADN188" s="11"/>
      <c r="ADO188" s="11"/>
      <c r="ADP188" s="11"/>
      <c r="ADQ188" s="11"/>
      <c r="ADR188" s="11"/>
      <c r="ADS188" s="11"/>
      <c r="ADT188" s="11"/>
      <c r="ADU188" s="11"/>
      <c r="ADV188" s="11"/>
      <c r="ADW188" s="11"/>
      <c r="ADX188" s="11"/>
      <c r="ADY188" s="11"/>
      <c r="ADZ188" s="11"/>
      <c r="AEA188" s="11"/>
      <c r="AEB188" s="11"/>
      <c r="AEC188" s="11"/>
      <c r="AED188" s="11"/>
      <c r="AEE188" s="11"/>
      <c r="AEF188" s="11"/>
      <c r="AEG188" s="11"/>
      <c r="AEH188" s="11"/>
      <c r="AEI188" s="11"/>
      <c r="AEJ188" s="11"/>
      <c r="AEK188" s="11"/>
      <c r="AEL188" s="11"/>
      <c r="AEM188" s="11"/>
      <c r="AEN188" s="11"/>
      <c r="AEO188" s="11"/>
      <c r="AEP188" s="11"/>
      <c r="AEQ188" s="11"/>
      <c r="AER188" s="11"/>
      <c r="AES188" s="11"/>
      <c r="AET188" s="11"/>
      <c r="AEU188" s="11"/>
      <c r="AEV188" s="11"/>
      <c r="AEW188" s="11"/>
      <c r="AEX188" s="11"/>
      <c r="AEY188" s="11"/>
      <c r="AEZ188" s="11"/>
      <c r="AFA188" s="11"/>
      <c r="AFB188" s="11"/>
      <c r="AFC188" s="11"/>
      <c r="AFD188" s="11"/>
      <c r="AFE188" s="11"/>
      <c r="AFF188" s="11"/>
      <c r="AFG188" s="11"/>
      <c r="AFH188" s="11"/>
      <c r="AFI188" s="11"/>
    </row>
    <row r="189" spans="2:84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1"/>
      <c r="LV189" s="11"/>
      <c r="LW189" s="11"/>
      <c r="LX189" s="11"/>
      <c r="LY189" s="11"/>
      <c r="LZ189" s="11"/>
      <c r="MA189" s="11"/>
      <c r="MB189" s="11"/>
      <c r="MC189" s="11"/>
      <c r="MD189" s="11"/>
      <c r="ME189" s="11"/>
      <c r="MF189" s="11"/>
      <c r="MG189" s="11"/>
      <c r="MH189" s="11"/>
      <c r="MI189" s="11"/>
      <c r="MJ189" s="11"/>
      <c r="MK189" s="11"/>
      <c r="ML189" s="11"/>
      <c r="MM189" s="11"/>
      <c r="MN189" s="11"/>
      <c r="MO189" s="11"/>
      <c r="MP189" s="11"/>
      <c r="MQ189" s="11"/>
      <c r="MR189" s="11"/>
      <c r="MS189" s="11"/>
      <c r="MT189" s="11"/>
      <c r="MU189" s="11"/>
      <c r="MV189" s="11"/>
      <c r="MW189" s="11"/>
      <c r="MX189" s="11"/>
      <c r="MY189" s="11"/>
      <c r="MZ189" s="11"/>
      <c r="NA189" s="11"/>
      <c r="NB189" s="11"/>
      <c r="NC189" s="11"/>
      <c r="ND189" s="11"/>
      <c r="NE189" s="11"/>
      <c r="NF189" s="11"/>
      <c r="NG189" s="11"/>
      <c r="NH189" s="11"/>
      <c r="NI189" s="11"/>
      <c r="NJ189" s="11"/>
      <c r="NK189" s="11"/>
      <c r="NL189" s="11"/>
      <c r="NM189" s="11"/>
      <c r="NN189" s="11"/>
      <c r="NO189" s="11"/>
      <c r="NP189" s="11"/>
      <c r="NQ189" s="11"/>
      <c r="NR189" s="11"/>
      <c r="NS189" s="11"/>
      <c r="NT189" s="11"/>
      <c r="NU189" s="11"/>
      <c r="NV189" s="11"/>
      <c r="NW189" s="11"/>
      <c r="NX189" s="11"/>
      <c r="NY189" s="11"/>
      <c r="NZ189" s="11"/>
      <c r="OA189" s="11"/>
      <c r="OB189" s="11"/>
      <c r="OC189" s="11"/>
      <c r="OD189" s="11"/>
      <c r="OE189" s="11"/>
      <c r="OF189" s="11"/>
      <c r="OG189" s="11"/>
      <c r="OH189" s="11"/>
      <c r="OI189" s="11"/>
      <c r="OJ189" s="11"/>
      <c r="OK189" s="11"/>
      <c r="OL189" s="11"/>
      <c r="OM189" s="11"/>
      <c r="ON189" s="11"/>
      <c r="OO189" s="11"/>
      <c r="OP189" s="11"/>
      <c r="OQ189" s="11"/>
      <c r="OR189" s="11"/>
      <c r="OS189" s="11"/>
      <c r="OT189" s="11"/>
      <c r="OU189" s="11"/>
      <c r="OV189" s="11"/>
      <c r="OW189" s="11"/>
      <c r="OX189" s="11"/>
      <c r="OY189" s="11"/>
      <c r="OZ189" s="11"/>
      <c r="PA189" s="11"/>
      <c r="PB189" s="11"/>
      <c r="PC189" s="11"/>
      <c r="PD189" s="11"/>
      <c r="PE189" s="11"/>
      <c r="PF189" s="11"/>
      <c r="PG189" s="11"/>
      <c r="PH189" s="11"/>
      <c r="PI189" s="11"/>
      <c r="PJ189" s="11"/>
      <c r="PK189" s="11"/>
      <c r="PL189" s="11"/>
      <c r="PM189" s="11"/>
      <c r="PN189" s="11"/>
      <c r="PO189" s="11"/>
      <c r="PP189" s="11"/>
      <c r="PQ189" s="11"/>
      <c r="PR189" s="11"/>
      <c r="PS189" s="11"/>
      <c r="PT189" s="11"/>
      <c r="PU189" s="11"/>
      <c r="PV189" s="11"/>
      <c r="PW189" s="11"/>
      <c r="PX189" s="11"/>
      <c r="PY189" s="11"/>
      <c r="PZ189" s="11"/>
      <c r="QA189" s="11"/>
      <c r="QB189" s="11"/>
      <c r="QC189" s="11"/>
      <c r="QD189" s="11"/>
      <c r="QE189" s="11"/>
      <c r="QF189" s="11"/>
      <c r="QG189" s="11"/>
      <c r="QH189" s="11"/>
      <c r="QI189" s="11"/>
      <c r="QJ189" s="11"/>
      <c r="QK189" s="11"/>
      <c r="QL189" s="11"/>
      <c r="QM189" s="11"/>
      <c r="QN189" s="11"/>
      <c r="QO189" s="11"/>
      <c r="QP189" s="11"/>
      <c r="QQ189" s="11"/>
      <c r="QR189" s="11"/>
      <c r="QS189" s="11"/>
      <c r="QT189" s="11"/>
      <c r="QU189" s="11"/>
      <c r="QV189" s="11"/>
      <c r="QW189" s="11"/>
      <c r="QX189" s="11"/>
      <c r="QY189" s="11"/>
      <c r="QZ189" s="11"/>
      <c r="RA189" s="11"/>
      <c r="RB189" s="11"/>
      <c r="RC189" s="11"/>
      <c r="RD189" s="11"/>
      <c r="RE189" s="11"/>
      <c r="RF189" s="11"/>
      <c r="RG189" s="11"/>
      <c r="RH189" s="11"/>
      <c r="RI189" s="11"/>
      <c r="RJ189" s="11"/>
      <c r="RK189" s="11"/>
      <c r="RL189" s="11"/>
      <c r="RM189" s="11"/>
      <c r="RN189" s="11"/>
      <c r="RO189" s="11"/>
      <c r="RP189" s="11"/>
      <c r="RQ189" s="11"/>
      <c r="RR189" s="11"/>
      <c r="RS189" s="11"/>
      <c r="RT189" s="11"/>
      <c r="RU189" s="11"/>
      <c r="RV189" s="11"/>
      <c r="RW189" s="11"/>
      <c r="RX189" s="11"/>
      <c r="RY189" s="11"/>
      <c r="RZ189" s="11"/>
      <c r="SA189" s="11"/>
      <c r="SB189" s="11"/>
      <c r="SC189" s="11"/>
      <c r="SD189" s="11"/>
      <c r="SE189" s="11"/>
      <c r="SF189" s="11"/>
      <c r="SG189" s="11"/>
      <c r="SH189" s="11"/>
      <c r="SI189" s="11"/>
      <c r="SJ189" s="11"/>
      <c r="SK189" s="11"/>
      <c r="SL189" s="11"/>
      <c r="SM189" s="11"/>
      <c r="SN189" s="11"/>
      <c r="SO189" s="11"/>
      <c r="SP189" s="11"/>
      <c r="SQ189" s="11"/>
      <c r="SR189" s="11"/>
      <c r="SS189" s="11"/>
      <c r="ST189" s="11"/>
      <c r="SU189" s="11"/>
      <c r="SV189" s="11"/>
      <c r="SW189" s="11"/>
      <c r="SX189" s="11"/>
      <c r="SY189" s="11"/>
      <c r="SZ189" s="11"/>
      <c r="TA189" s="11"/>
      <c r="TB189" s="11"/>
      <c r="TC189" s="11"/>
      <c r="TD189" s="11"/>
      <c r="TE189" s="11"/>
      <c r="TF189" s="11"/>
      <c r="TG189" s="11"/>
      <c r="TH189" s="11"/>
      <c r="TI189" s="11"/>
      <c r="TJ189" s="11"/>
      <c r="TK189" s="11"/>
      <c r="TL189" s="11"/>
      <c r="TM189" s="11"/>
      <c r="TN189" s="11"/>
      <c r="TO189" s="11"/>
      <c r="TP189" s="11"/>
      <c r="TQ189" s="11"/>
      <c r="TR189" s="11"/>
      <c r="TS189" s="11"/>
      <c r="TT189" s="11"/>
      <c r="TU189" s="11"/>
      <c r="TV189" s="11"/>
      <c r="TW189" s="11"/>
      <c r="TX189" s="11"/>
      <c r="TY189" s="11"/>
      <c r="TZ189" s="11"/>
      <c r="UA189" s="11"/>
      <c r="UB189" s="11"/>
      <c r="UC189" s="11"/>
      <c r="UD189" s="11"/>
      <c r="UE189" s="11"/>
      <c r="UF189" s="11"/>
      <c r="UG189" s="11"/>
      <c r="UH189" s="11"/>
      <c r="UI189" s="11"/>
      <c r="UJ189" s="11"/>
      <c r="UK189" s="11"/>
      <c r="UL189" s="11"/>
      <c r="UM189" s="11"/>
      <c r="UN189" s="11"/>
      <c r="UO189" s="11"/>
      <c r="UP189" s="11"/>
      <c r="UQ189" s="11"/>
      <c r="UR189" s="11"/>
      <c r="US189" s="11"/>
      <c r="UT189" s="11"/>
      <c r="UU189" s="11"/>
      <c r="UV189" s="11"/>
      <c r="UW189" s="11"/>
      <c r="UX189" s="11"/>
      <c r="UY189" s="11"/>
      <c r="UZ189" s="11"/>
      <c r="VA189" s="11"/>
      <c r="VB189" s="11"/>
      <c r="VC189" s="11"/>
      <c r="VD189" s="11"/>
      <c r="VE189" s="11"/>
      <c r="VF189" s="11"/>
      <c r="VG189" s="11"/>
      <c r="VH189" s="11"/>
      <c r="VI189" s="11"/>
      <c r="VJ189" s="11"/>
      <c r="VK189" s="11"/>
      <c r="VL189" s="11"/>
      <c r="VM189" s="11"/>
      <c r="VN189" s="11"/>
      <c r="VO189" s="11"/>
      <c r="VP189" s="11"/>
      <c r="VQ189" s="11"/>
      <c r="VR189" s="11"/>
      <c r="VS189" s="11"/>
      <c r="VT189" s="11"/>
      <c r="VU189" s="11"/>
      <c r="VV189" s="11"/>
      <c r="VW189" s="11"/>
      <c r="VX189" s="11"/>
      <c r="VY189" s="11"/>
      <c r="VZ189" s="11"/>
      <c r="WA189" s="11"/>
      <c r="WB189" s="11"/>
      <c r="WC189" s="11"/>
      <c r="WD189" s="11"/>
      <c r="WE189" s="11"/>
      <c r="WF189" s="11"/>
      <c r="WG189" s="11"/>
      <c r="WH189" s="11"/>
      <c r="WI189" s="11"/>
      <c r="WJ189" s="11"/>
      <c r="WK189" s="11"/>
      <c r="WL189" s="11"/>
      <c r="WM189" s="11"/>
      <c r="WN189" s="11"/>
      <c r="WO189" s="11"/>
      <c r="WP189" s="11"/>
      <c r="WQ189" s="11"/>
      <c r="WR189" s="11"/>
      <c r="WS189" s="11"/>
      <c r="WT189" s="11"/>
      <c r="WU189" s="11"/>
      <c r="WV189" s="11"/>
      <c r="WW189" s="11"/>
      <c r="WX189" s="11"/>
      <c r="WY189" s="11"/>
      <c r="WZ189" s="11"/>
      <c r="XA189" s="11"/>
      <c r="XB189" s="11"/>
      <c r="XC189" s="11"/>
      <c r="XD189" s="11"/>
      <c r="XE189" s="11"/>
      <c r="XF189" s="11"/>
      <c r="XG189" s="11"/>
      <c r="XH189" s="11"/>
      <c r="XI189" s="11"/>
      <c r="XJ189" s="11"/>
      <c r="XK189" s="11"/>
      <c r="XL189" s="11"/>
      <c r="XM189" s="11"/>
      <c r="XN189" s="11"/>
      <c r="XO189" s="11"/>
      <c r="XP189" s="11"/>
      <c r="XQ189" s="11"/>
      <c r="XR189" s="11"/>
      <c r="XS189" s="11"/>
      <c r="XT189" s="11"/>
      <c r="XU189" s="11"/>
      <c r="XV189" s="11"/>
      <c r="XW189" s="11"/>
      <c r="XX189" s="11"/>
      <c r="XY189" s="11"/>
      <c r="XZ189" s="11"/>
      <c r="YA189" s="11"/>
      <c r="YB189" s="11"/>
      <c r="YC189" s="11"/>
      <c r="YD189" s="11"/>
      <c r="YE189" s="11"/>
      <c r="YF189" s="11"/>
      <c r="YG189" s="11"/>
      <c r="YH189" s="11"/>
      <c r="YI189" s="11"/>
      <c r="YJ189" s="11"/>
      <c r="YK189" s="11"/>
      <c r="YL189" s="11"/>
      <c r="YM189" s="11"/>
      <c r="YN189" s="11"/>
      <c r="YO189" s="11"/>
      <c r="YP189" s="11"/>
      <c r="YQ189" s="11"/>
      <c r="YR189" s="11"/>
      <c r="YS189" s="11"/>
      <c r="YT189" s="11"/>
      <c r="YU189" s="11"/>
      <c r="YV189" s="11"/>
      <c r="YW189" s="11"/>
      <c r="YX189" s="11"/>
      <c r="YY189" s="11"/>
      <c r="YZ189" s="11"/>
      <c r="ZA189" s="11"/>
      <c r="ZB189" s="11"/>
      <c r="ZC189" s="11"/>
      <c r="ZD189" s="11"/>
      <c r="ZE189" s="11"/>
      <c r="ZF189" s="11"/>
      <c r="ZG189" s="11"/>
      <c r="ZH189" s="11"/>
      <c r="ZI189" s="11"/>
      <c r="ZJ189" s="11"/>
      <c r="ZK189" s="11"/>
      <c r="ZL189" s="11"/>
      <c r="ZM189" s="11"/>
      <c r="ZN189" s="11"/>
      <c r="ZO189" s="11"/>
      <c r="ZP189" s="11"/>
      <c r="ZQ189" s="11"/>
      <c r="ZR189" s="11"/>
      <c r="ZS189" s="11"/>
      <c r="ZT189" s="11"/>
      <c r="ZU189" s="11"/>
      <c r="ZV189" s="11"/>
      <c r="ZW189" s="11"/>
      <c r="ZX189" s="11"/>
      <c r="ZY189" s="11"/>
      <c r="ZZ189" s="11"/>
      <c r="AAA189" s="11"/>
      <c r="AAB189" s="11"/>
      <c r="AAC189" s="11"/>
      <c r="AAD189" s="11"/>
      <c r="AAE189" s="11"/>
      <c r="AAF189" s="11"/>
      <c r="AAG189" s="11"/>
      <c r="AAH189" s="11"/>
      <c r="AAI189" s="11"/>
      <c r="AAJ189" s="11"/>
      <c r="AAK189" s="11"/>
      <c r="AAL189" s="11"/>
      <c r="AAM189" s="11"/>
      <c r="AAN189" s="11"/>
      <c r="AAO189" s="11"/>
      <c r="AAP189" s="11"/>
      <c r="AAQ189" s="11"/>
      <c r="AAR189" s="11"/>
      <c r="AAS189" s="11"/>
      <c r="AAT189" s="11"/>
      <c r="AAU189" s="11"/>
      <c r="AAV189" s="11"/>
      <c r="AAW189" s="11"/>
      <c r="AAX189" s="11"/>
      <c r="AAY189" s="11"/>
      <c r="AAZ189" s="11"/>
      <c r="ABA189" s="11"/>
      <c r="ABB189" s="11"/>
      <c r="ABC189" s="11"/>
      <c r="ABD189" s="11"/>
      <c r="ABE189" s="11"/>
      <c r="ABF189" s="11"/>
      <c r="ABG189" s="11"/>
      <c r="ABH189" s="11"/>
      <c r="ABI189" s="11"/>
      <c r="ABJ189" s="11"/>
      <c r="ABK189" s="11"/>
      <c r="ABL189" s="11"/>
      <c r="ABM189" s="11"/>
      <c r="ABN189" s="11"/>
      <c r="ABO189" s="11"/>
      <c r="ABP189" s="11"/>
      <c r="ABQ189" s="11"/>
      <c r="ABR189" s="11"/>
      <c r="ABS189" s="11"/>
      <c r="ABT189" s="11"/>
      <c r="ABU189" s="11"/>
      <c r="ABV189" s="11"/>
      <c r="ABW189" s="11"/>
      <c r="ABX189" s="11"/>
      <c r="ABY189" s="11"/>
      <c r="ABZ189" s="11"/>
      <c r="ACA189" s="11"/>
      <c r="ACB189" s="11"/>
      <c r="ACC189" s="11"/>
      <c r="ACD189" s="11"/>
      <c r="ACE189" s="11"/>
      <c r="ACF189" s="11"/>
      <c r="ACG189" s="11"/>
      <c r="ACH189" s="11"/>
      <c r="ACI189" s="11"/>
      <c r="ACJ189" s="11"/>
      <c r="ACK189" s="11"/>
      <c r="ACL189" s="11"/>
      <c r="ACM189" s="11"/>
      <c r="ACN189" s="11"/>
      <c r="ACO189" s="11"/>
      <c r="ACP189" s="11"/>
      <c r="ACQ189" s="11"/>
      <c r="ACR189" s="11"/>
      <c r="ACS189" s="11"/>
      <c r="ACT189" s="11"/>
      <c r="ACU189" s="11"/>
      <c r="ACV189" s="11"/>
      <c r="ACW189" s="11"/>
      <c r="ACX189" s="11"/>
      <c r="ACY189" s="11"/>
      <c r="ACZ189" s="11"/>
      <c r="ADA189" s="11"/>
      <c r="ADB189" s="11"/>
      <c r="ADC189" s="11"/>
      <c r="ADD189" s="11"/>
      <c r="ADE189" s="11"/>
      <c r="ADF189" s="11"/>
      <c r="ADG189" s="11"/>
      <c r="ADH189" s="11"/>
      <c r="ADI189" s="11"/>
      <c r="ADJ189" s="11"/>
      <c r="ADK189" s="11"/>
      <c r="ADL189" s="11"/>
      <c r="ADM189" s="11"/>
      <c r="ADN189" s="11"/>
      <c r="ADO189" s="11"/>
      <c r="ADP189" s="11"/>
      <c r="ADQ189" s="11"/>
      <c r="ADR189" s="11"/>
      <c r="ADS189" s="11"/>
      <c r="ADT189" s="11"/>
      <c r="ADU189" s="11"/>
      <c r="ADV189" s="11"/>
      <c r="ADW189" s="11"/>
      <c r="ADX189" s="11"/>
      <c r="ADY189" s="11"/>
      <c r="ADZ189" s="11"/>
      <c r="AEA189" s="11"/>
      <c r="AEB189" s="11"/>
      <c r="AEC189" s="11"/>
      <c r="AED189" s="11"/>
      <c r="AEE189" s="11"/>
      <c r="AEF189" s="11"/>
      <c r="AEG189" s="11"/>
      <c r="AEH189" s="11"/>
      <c r="AEI189" s="11"/>
      <c r="AEJ189" s="11"/>
      <c r="AEK189" s="11"/>
      <c r="AEL189" s="11"/>
      <c r="AEM189" s="11"/>
      <c r="AEN189" s="11"/>
      <c r="AEO189" s="11"/>
      <c r="AEP189" s="11"/>
      <c r="AEQ189" s="11"/>
      <c r="AER189" s="11"/>
      <c r="AES189" s="11"/>
      <c r="AET189" s="11"/>
      <c r="AEU189" s="11"/>
      <c r="AEV189" s="11"/>
      <c r="AEW189" s="11"/>
      <c r="AEX189" s="11"/>
      <c r="AEY189" s="11"/>
      <c r="AEZ189" s="11"/>
      <c r="AFA189" s="11"/>
      <c r="AFB189" s="11"/>
      <c r="AFC189" s="11"/>
      <c r="AFD189" s="11"/>
      <c r="AFE189" s="11"/>
      <c r="AFF189" s="11"/>
      <c r="AFG189" s="11"/>
      <c r="AFH189" s="11"/>
      <c r="AFI189" s="11"/>
    </row>
    <row r="190" spans="2:84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1"/>
      <c r="LV190" s="11"/>
      <c r="LW190" s="11"/>
      <c r="LX190" s="11"/>
      <c r="LY190" s="11"/>
      <c r="LZ190" s="11"/>
      <c r="MA190" s="11"/>
      <c r="MB190" s="11"/>
      <c r="MC190" s="11"/>
      <c r="MD190" s="11"/>
      <c r="ME190" s="11"/>
      <c r="MF190" s="11"/>
      <c r="MG190" s="11"/>
      <c r="MH190" s="11"/>
      <c r="MI190" s="11"/>
      <c r="MJ190" s="11"/>
      <c r="MK190" s="11"/>
      <c r="ML190" s="11"/>
      <c r="MM190" s="11"/>
      <c r="MN190" s="11"/>
      <c r="MO190" s="11"/>
      <c r="MP190" s="11"/>
      <c r="MQ190" s="11"/>
      <c r="MR190" s="11"/>
      <c r="MS190" s="11"/>
      <c r="MT190" s="11"/>
      <c r="MU190" s="11"/>
      <c r="MV190" s="11"/>
      <c r="MW190" s="11"/>
      <c r="MX190" s="11"/>
      <c r="MY190" s="11"/>
      <c r="MZ190" s="11"/>
      <c r="NA190" s="11"/>
      <c r="NB190" s="11"/>
      <c r="NC190" s="11"/>
      <c r="ND190" s="11"/>
      <c r="NE190" s="11"/>
      <c r="NF190" s="11"/>
      <c r="NG190" s="11"/>
      <c r="NH190" s="11"/>
      <c r="NI190" s="11"/>
      <c r="NJ190" s="11"/>
      <c r="NK190" s="11"/>
      <c r="NL190" s="11"/>
      <c r="NM190" s="11"/>
      <c r="NN190" s="11"/>
      <c r="NO190" s="11"/>
      <c r="NP190" s="11"/>
      <c r="NQ190" s="11"/>
      <c r="NR190" s="11"/>
      <c r="NS190" s="11"/>
      <c r="NT190" s="11"/>
      <c r="NU190" s="11"/>
      <c r="NV190" s="11"/>
      <c r="NW190" s="11"/>
      <c r="NX190" s="11"/>
      <c r="NY190" s="11"/>
      <c r="NZ190" s="11"/>
      <c r="OA190" s="11"/>
      <c r="OB190" s="11"/>
      <c r="OC190" s="11"/>
      <c r="OD190" s="11"/>
      <c r="OE190" s="11"/>
      <c r="OF190" s="11"/>
      <c r="OG190" s="11"/>
      <c r="OH190" s="11"/>
      <c r="OI190" s="11"/>
      <c r="OJ190" s="11"/>
      <c r="OK190" s="11"/>
      <c r="OL190" s="11"/>
      <c r="OM190" s="11"/>
      <c r="ON190" s="11"/>
      <c r="OO190" s="11"/>
      <c r="OP190" s="11"/>
      <c r="OQ190" s="11"/>
      <c r="OR190" s="11"/>
      <c r="OS190" s="11"/>
      <c r="OT190" s="11"/>
      <c r="OU190" s="11"/>
      <c r="OV190" s="11"/>
      <c r="OW190" s="11"/>
      <c r="OX190" s="11"/>
      <c r="OY190" s="11"/>
      <c r="OZ190" s="11"/>
      <c r="PA190" s="11"/>
      <c r="PB190" s="11"/>
      <c r="PC190" s="11"/>
      <c r="PD190" s="11"/>
      <c r="PE190" s="11"/>
      <c r="PF190" s="11"/>
      <c r="PG190" s="11"/>
      <c r="PH190" s="11"/>
      <c r="PI190" s="11"/>
      <c r="PJ190" s="11"/>
      <c r="PK190" s="11"/>
      <c r="PL190" s="11"/>
      <c r="PM190" s="11"/>
      <c r="PN190" s="11"/>
      <c r="PO190" s="11"/>
      <c r="PP190" s="11"/>
      <c r="PQ190" s="11"/>
      <c r="PR190" s="11"/>
      <c r="PS190" s="11"/>
      <c r="PT190" s="11"/>
      <c r="PU190" s="11"/>
      <c r="PV190" s="11"/>
      <c r="PW190" s="11"/>
      <c r="PX190" s="11"/>
      <c r="PY190" s="11"/>
      <c r="PZ190" s="11"/>
      <c r="QA190" s="11"/>
      <c r="QB190" s="11"/>
      <c r="QC190" s="11"/>
      <c r="QD190" s="11"/>
      <c r="QE190" s="11"/>
      <c r="QF190" s="11"/>
      <c r="QG190" s="11"/>
      <c r="QH190" s="11"/>
      <c r="QI190" s="11"/>
      <c r="QJ190" s="11"/>
      <c r="QK190" s="11"/>
      <c r="QL190" s="11"/>
      <c r="QM190" s="11"/>
      <c r="QN190" s="11"/>
      <c r="QO190" s="11"/>
      <c r="QP190" s="11"/>
      <c r="QQ190" s="11"/>
      <c r="QR190" s="11"/>
      <c r="QS190" s="11"/>
      <c r="QT190" s="11"/>
      <c r="QU190" s="11"/>
      <c r="QV190" s="11"/>
      <c r="QW190" s="11"/>
      <c r="QX190" s="11"/>
      <c r="QY190" s="11"/>
      <c r="QZ190" s="11"/>
      <c r="RA190" s="11"/>
      <c r="RB190" s="11"/>
      <c r="RC190" s="11"/>
      <c r="RD190" s="11"/>
      <c r="RE190" s="11"/>
      <c r="RF190" s="11"/>
      <c r="RG190" s="11"/>
      <c r="RH190" s="11"/>
      <c r="RI190" s="11"/>
      <c r="RJ190" s="11"/>
      <c r="RK190" s="11"/>
      <c r="RL190" s="11"/>
      <c r="RM190" s="11"/>
      <c r="RN190" s="11"/>
      <c r="RO190" s="11"/>
      <c r="RP190" s="11"/>
      <c r="RQ190" s="11"/>
      <c r="RR190" s="11"/>
      <c r="RS190" s="11"/>
      <c r="RT190" s="11"/>
      <c r="RU190" s="11"/>
      <c r="RV190" s="11"/>
      <c r="RW190" s="11"/>
      <c r="RX190" s="11"/>
      <c r="RY190" s="11"/>
      <c r="RZ190" s="11"/>
      <c r="SA190" s="11"/>
      <c r="SB190" s="11"/>
      <c r="SC190" s="11"/>
      <c r="SD190" s="11"/>
      <c r="SE190" s="11"/>
      <c r="SF190" s="11"/>
      <c r="SG190" s="11"/>
      <c r="SH190" s="11"/>
      <c r="SI190" s="11"/>
      <c r="SJ190" s="11"/>
      <c r="SK190" s="11"/>
      <c r="SL190" s="11"/>
      <c r="SM190" s="11"/>
      <c r="SN190" s="11"/>
      <c r="SO190" s="11"/>
      <c r="SP190" s="11"/>
      <c r="SQ190" s="11"/>
      <c r="SR190" s="11"/>
      <c r="SS190" s="11"/>
      <c r="ST190" s="11"/>
      <c r="SU190" s="11"/>
      <c r="SV190" s="11"/>
      <c r="SW190" s="11"/>
      <c r="SX190" s="11"/>
      <c r="SY190" s="11"/>
      <c r="SZ190" s="11"/>
      <c r="TA190" s="11"/>
      <c r="TB190" s="11"/>
      <c r="TC190" s="11"/>
      <c r="TD190" s="11"/>
      <c r="TE190" s="11"/>
      <c r="TF190" s="11"/>
      <c r="TG190" s="11"/>
      <c r="TH190" s="11"/>
      <c r="TI190" s="11"/>
      <c r="TJ190" s="11"/>
      <c r="TK190" s="11"/>
      <c r="TL190" s="11"/>
      <c r="TM190" s="11"/>
      <c r="TN190" s="11"/>
      <c r="TO190" s="11"/>
      <c r="TP190" s="11"/>
      <c r="TQ190" s="11"/>
      <c r="TR190" s="11"/>
      <c r="TS190" s="11"/>
      <c r="TT190" s="11"/>
      <c r="TU190" s="11"/>
      <c r="TV190" s="11"/>
      <c r="TW190" s="11"/>
      <c r="TX190" s="11"/>
      <c r="TY190" s="11"/>
      <c r="TZ190" s="11"/>
      <c r="UA190" s="11"/>
      <c r="UB190" s="11"/>
      <c r="UC190" s="11"/>
      <c r="UD190" s="11"/>
      <c r="UE190" s="11"/>
      <c r="UF190" s="11"/>
      <c r="UG190" s="11"/>
      <c r="UH190" s="11"/>
      <c r="UI190" s="11"/>
      <c r="UJ190" s="11"/>
      <c r="UK190" s="11"/>
      <c r="UL190" s="11"/>
      <c r="UM190" s="11"/>
      <c r="UN190" s="11"/>
      <c r="UO190" s="11"/>
      <c r="UP190" s="11"/>
      <c r="UQ190" s="11"/>
      <c r="UR190" s="11"/>
      <c r="US190" s="11"/>
      <c r="UT190" s="11"/>
      <c r="UU190" s="11"/>
      <c r="UV190" s="11"/>
      <c r="UW190" s="11"/>
      <c r="UX190" s="11"/>
      <c r="UY190" s="11"/>
      <c r="UZ190" s="11"/>
      <c r="VA190" s="11"/>
      <c r="VB190" s="11"/>
      <c r="VC190" s="11"/>
      <c r="VD190" s="11"/>
      <c r="VE190" s="11"/>
      <c r="VF190" s="11"/>
      <c r="VG190" s="11"/>
      <c r="VH190" s="11"/>
      <c r="VI190" s="11"/>
      <c r="VJ190" s="11"/>
      <c r="VK190" s="11"/>
      <c r="VL190" s="11"/>
      <c r="VM190" s="11"/>
      <c r="VN190" s="11"/>
      <c r="VO190" s="11"/>
      <c r="VP190" s="11"/>
      <c r="VQ190" s="11"/>
      <c r="VR190" s="11"/>
      <c r="VS190" s="11"/>
      <c r="VT190" s="11"/>
      <c r="VU190" s="11"/>
      <c r="VV190" s="11"/>
      <c r="VW190" s="11"/>
      <c r="VX190" s="11"/>
      <c r="VY190" s="11"/>
      <c r="VZ190" s="11"/>
      <c r="WA190" s="11"/>
      <c r="WB190" s="11"/>
      <c r="WC190" s="11"/>
      <c r="WD190" s="11"/>
      <c r="WE190" s="11"/>
      <c r="WF190" s="11"/>
      <c r="WG190" s="11"/>
      <c r="WH190" s="11"/>
      <c r="WI190" s="11"/>
      <c r="WJ190" s="11"/>
      <c r="WK190" s="11"/>
      <c r="WL190" s="11"/>
      <c r="WM190" s="11"/>
      <c r="WN190" s="11"/>
      <c r="WO190" s="11"/>
      <c r="WP190" s="11"/>
      <c r="WQ190" s="11"/>
      <c r="WR190" s="11"/>
      <c r="WS190" s="11"/>
      <c r="WT190" s="11"/>
      <c r="WU190" s="11"/>
      <c r="WV190" s="11"/>
      <c r="WW190" s="11"/>
      <c r="WX190" s="11"/>
      <c r="WY190" s="11"/>
      <c r="WZ190" s="11"/>
      <c r="XA190" s="11"/>
      <c r="XB190" s="11"/>
      <c r="XC190" s="11"/>
      <c r="XD190" s="11"/>
      <c r="XE190" s="11"/>
      <c r="XF190" s="11"/>
      <c r="XG190" s="11"/>
      <c r="XH190" s="11"/>
      <c r="XI190" s="11"/>
      <c r="XJ190" s="11"/>
      <c r="XK190" s="11"/>
      <c r="XL190" s="11"/>
      <c r="XM190" s="11"/>
      <c r="XN190" s="11"/>
      <c r="XO190" s="11"/>
      <c r="XP190" s="11"/>
      <c r="XQ190" s="11"/>
      <c r="XR190" s="11"/>
      <c r="XS190" s="11"/>
      <c r="XT190" s="11"/>
      <c r="XU190" s="11"/>
      <c r="XV190" s="11"/>
      <c r="XW190" s="11"/>
      <c r="XX190" s="11"/>
      <c r="XY190" s="11"/>
      <c r="XZ190" s="11"/>
      <c r="YA190" s="11"/>
      <c r="YB190" s="11"/>
      <c r="YC190" s="11"/>
      <c r="YD190" s="11"/>
      <c r="YE190" s="11"/>
      <c r="YF190" s="11"/>
      <c r="YG190" s="11"/>
      <c r="YH190" s="11"/>
      <c r="YI190" s="11"/>
      <c r="YJ190" s="11"/>
      <c r="YK190" s="11"/>
      <c r="YL190" s="11"/>
      <c r="YM190" s="11"/>
      <c r="YN190" s="11"/>
      <c r="YO190" s="11"/>
      <c r="YP190" s="11"/>
      <c r="YQ190" s="11"/>
      <c r="YR190" s="11"/>
      <c r="YS190" s="11"/>
      <c r="YT190" s="11"/>
      <c r="YU190" s="11"/>
      <c r="YV190" s="11"/>
      <c r="YW190" s="11"/>
      <c r="YX190" s="11"/>
      <c r="YY190" s="11"/>
      <c r="YZ190" s="11"/>
      <c r="ZA190" s="11"/>
      <c r="ZB190" s="11"/>
      <c r="ZC190" s="11"/>
      <c r="ZD190" s="11"/>
      <c r="ZE190" s="11"/>
      <c r="ZF190" s="11"/>
      <c r="ZG190" s="11"/>
      <c r="ZH190" s="11"/>
      <c r="ZI190" s="11"/>
      <c r="ZJ190" s="11"/>
      <c r="ZK190" s="11"/>
      <c r="ZL190" s="11"/>
      <c r="ZM190" s="11"/>
      <c r="ZN190" s="11"/>
      <c r="ZO190" s="11"/>
      <c r="ZP190" s="11"/>
      <c r="ZQ190" s="11"/>
      <c r="ZR190" s="11"/>
      <c r="ZS190" s="11"/>
      <c r="ZT190" s="11"/>
      <c r="ZU190" s="11"/>
      <c r="ZV190" s="11"/>
      <c r="ZW190" s="11"/>
      <c r="ZX190" s="11"/>
      <c r="ZY190" s="11"/>
      <c r="ZZ190" s="11"/>
      <c r="AAA190" s="11"/>
      <c r="AAB190" s="11"/>
      <c r="AAC190" s="11"/>
      <c r="AAD190" s="11"/>
      <c r="AAE190" s="11"/>
      <c r="AAF190" s="11"/>
      <c r="AAG190" s="11"/>
      <c r="AAH190" s="11"/>
      <c r="AAI190" s="11"/>
      <c r="AAJ190" s="11"/>
      <c r="AAK190" s="11"/>
      <c r="AAL190" s="11"/>
      <c r="AAM190" s="11"/>
      <c r="AAN190" s="11"/>
      <c r="AAO190" s="11"/>
      <c r="AAP190" s="11"/>
      <c r="AAQ190" s="11"/>
      <c r="AAR190" s="11"/>
      <c r="AAS190" s="11"/>
      <c r="AAT190" s="11"/>
      <c r="AAU190" s="11"/>
      <c r="AAV190" s="11"/>
      <c r="AAW190" s="11"/>
      <c r="AAX190" s="11"/>
      <c r="AAY190" s="11"/>
      <c r="AAZ190" s="11"/>
      <c r="ABA190" s="11"/>
      <c r="ABB190" s="11"/>
      <c r="ABC190" s="11"/>
      <c r="ABD190" s="11"/>
      <c r="ABE190" s="11"/>
      <c r="ABF190" s="11"/>
      <c r="ABG190" s="11"/>
      <c r="ABH190" s="11"/>
      <c r="ABI190" s="11"/>
      <c r="ABJ190" s="11"/>
      <c r="ABK190" s="11"/>
      <c r="ABL190" s="11"/>
      <c r="ABM190" s="11"/>
      <c r="ABN190" s="11"/>
      <c r="ABO190" s="11"/>
      <c r="ABP190" s="11"/>
      <c r="ABQ190" s="11"/>
      <c r="ABR190" s="11"/>
      <c r="ABS190" s="11"/>
      <c r="ABT190" s="11"/>
      <c r="ABU190" s="11"/>
      <c r="ABV190" s="11"/>
      <c r="ABW190" s="11"/>
      <c r="ABX190" s="11"/>
      <c r="ABY190" s="11"/>
      <c r="ABZ190" s="11"/>
      <c r="ACA190" s="11"/>
      <c r="ACB190" s="11"/>
      <c r="ACC190" s="11"/>
      <c r="ACD190" s="11"/>
      <c r="ACE190" s="11"/>
      <c r="ACF190" s="11"/>
      <c r="ACG190" s="11"/>
      <c r="ACH190" s="11"/>
      <c r="ACI190" s="11"/>
      <c r="ACJ190" s="11"/>
      <c r="ACK190" s="11"/>
      <c r="ACL190" s="11"/>
      <c r="ACM190" s="11"/>
      <c r="ACN190" s="11"/>
      <c r="ACO190" s="11"/>
      <c r="ACP190" s="11"/>
      <c r="ACQ190" s="11"/>
      <c r="ACR190" s="11"/>
      <c r="ACS190" s="11"/>
      <c r="ACT190" s="11"/>
      <c r="ACU190" s="11"/>
      <c r="ACV190" s="11"/>
      <c r="ACW190" s="11"/>
      <c r="ACX190" s="11"/>
      <c r="ACY190" s="11"/>
      <c r="ACZ190" s="11"/>
      <c r="ADA190" s="11"/>
      <c r="ADB190" s="11"/>
      <c r="ADC190" s="11"/>
      <c r="ADD190" s="11"/>
      <c r="ADE190" s="11"/>
      <c r="ADF190" s="11"/>
      <c r="ADG190" s="11"/>
      <c r="ADH190" s="11"/>
      <c r="ADI190" s="11"/>
      <c r="ADJ190" s="11"/>
      <c r="ADK190" s="11"/>
      <c r="ADL190" s="11"/>
      <c r="ADM190" s="11"/>
      <c r="ADN190" s="11"/>
      <c r="ADO190" s="11"/>
      <c r="ADP190" s="11"/>
      <c r="ADQ190" s="11"/>
      <c r="ADR190" s="11"/>
      <c r="ADS190" s="11"/>
      <c r="ADT190" s="11"/>
      <c r="ADU190" s="11"/>
      <c r="ADV190" s="11"/>
      <c r="ADW190" s="11"/>
      <c r="ADX190" s="11"/>
      <c r="ADY190" s="11"/>
      <c r="ADZ190" s="11"/>
      <c r="AEA190" s="11"/>
      <c r="AEB190" s="11"/>
      <c r="AEC190" s="11"/>
      <c r="AED190" s="11"/>
      <c r="AEE190" s="11"/>
      <c r="AEF190" s="11"/>
      <c r="AEG190" s="11"/>
      <c r="AEH190" s="11"/>
      <c r="AEI190" s="11"/>
      <c r="AEJ190" s="11"/>
      <c r="AEK190" s="11"/>
      <c r="AEL190" s="11"/>
      <c r="AEM190" s="11"/>
      <c r="AEN190" s="11"/>
      <c r="AEO190" s="11"/>
      <c r="AEP190" s="11"/>
      <c r="AEQ190" s="11"/>
      <c r="AER190" s="11"/>
      <c r="AES190" s="11"/>
      <c r="AET190" s="11"/>
      <c r="AEU190" s="11"/>
      <c r="AEV190" s="11"/>
      <c r="AEW190" s="11"/>
      <c r="AEX190" s="11"/>
      <c r="AEY190" s="11"/>
      <c r="AEZ190" s="11"/>
      <c r="AFA190" s="11"/>
      <c r="AFB190" s="11"/>
      <c r="AFC190" s="11"/>
      <c r="AFD190" s="11"/>
      <c r="AFE190" s="11"/>
      <c r="AFF190" s="11"/>
      <c r="AFG190" s="11"/>
      <c r="AFH190" s="11"/>
      <c r="AFI190" s="11"/>
    </row>
    <row r="191" spans="2:84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1"/>
      <c r="LV191" s="11"/>
      <c r="LW191" s="11"/>
      <c r="LX191" s="11"/>
      <c r="LY191" s="11"/>
      <c r="LZ191" s="11"/>
      <c r="MA191" s="11"/>
      <c r="MB191" s="11"/>
      <c r="MC191" s="11"/>
      <c r="MD191" s="11"/>
      <c r="ME191" s="11"/>
      <c r="MF191" s="11"/>
      <c r="MG191" s="11"/>
      <c r="MH191" s="11"/>
      <c r="MI191" s="11"/>
      <c r="MJ191" s="11"/>
      <c r="MK191" s="11"/>
      <c r="ML191" s="11"/>
      <c r="MM191" s="11"/>
      <c r="MN191" s="11"/>
      <c r="MO191" s="11"/>
      <c r="MP191" s="11"/>
      <c r="MQ191" s="11"/>
      <c r="MR191" s="11"/>
      <c r="MS191" s="11"/>
      <c r="MT191" s="11"/>
      <c r="MU191" s="11"/>
      <c r="MV191" s="11"/>
      <c r="MW191" s="11"/>
      <c r="MX191" s="11"/>
      <c r="MY191" s="11"/>
      <c r="MZ191" s="11"/>
      <c r="NA191" s="11"/>
      <c r="NB191" s="11"/>
      <c r="NC191" s="11"/>
      <c r="ND191" s="11"/>
      <c r="NE191" s="11"/>
      <c r="NF191" s="11"/>
      <c r="NG191" s="11"/>
      <c r="NH191" s="11"/>
      <c r="NI191" s="11"/>
      <c r="NJ191" s="11"/>
      <c r="NK191" s="11"/>
      <c r="NL191" s="11"/>
      <c r="NM191" s="11"/>
      <c r="NN191" s="11"/>
      <c r="NO191" s="11"/>
      <c r="NP191" s="11"/>
      <c r="NQ191" s="11"/>
      <c r="NR191" s="11"/>
      <c r="NS191" s="11"/>
      <c r="NT191" s="11"/>
      <c r="NU191" s="11"/>
      <c r="NV191" s="11"/>
      <c r="NW191" s="11"/>
      <c r="NX191" s="11"/>
      <c r="NY191" s="11"/>
      <c r="NZ191" s="11"/>
      <c r="OA191" s="11"/>
      <c r="OB191" s="11"/>
      <c r="OC191" s="11"/>
      <c r="OD191" s="11"/>
      <c r="OE191" s="11"/>
      <c r="OF191" s="11"/>
      <c r="OG191" s="11"/>
      <c r="OH191" s="11"/>
      <c r="OI191" s="11"/>
      <c r="OJ191" s="11"/>
      <c r="OK191" s="11"/>
      <c r="OL191" s="11"/>
      <c r="OM191" s="11"/>
      <c r="ON191" s="11"/>
      <c r="OO191" s="11"/>
      <c r="OP191" s="11"/>
      <c r="OQ191" s="11"/>
      <c r="OR191" s="11"/>
      <c r="OS191" s="11"/>
      <c r="OT191" s="11"/>
      <c r="OU191" s="11"/>
      <c r="OV191" s="11"/>
      <c r="OW191" s="11"/>
      <c r="OX191" s="11"/>
      <c r="OY191" s="11"/>
      <c r="OZ191" s="11"/>
      <c r="PA191" s="11"/>
      <c r="PB191" s="11"/>
      <c r="PC191" s="11"/>
      <c r="PD191" s="11"/>
      <c r="PE191" s="11"/>
      <c r="PF191" s="11"/>
      <c r="PG191" s="11"/>
      <c r="PH191" s="11"/>
      <c r="PI191" s="11"/>
      <c r="PJ191" s="11"/>
      <c r="PK191" s="11"/>
      <c r="PL191" s="11"/>
      <c r="PM191" s="11"/>
      <c r="PN191" s="11"/>
      <c r="PO191" s="11"/>
      <c r="PP191" s="11"/>
      <c r="PQ191" s="11"/>
      <c r="PR191" s="11"/>
      <c r="PS191" s="11"/>
      <c r="PT191" s="11"/>
      <c r="PU191" s="11"/>
      <c r="PV191" s="11"/>
      <c r="PW191" s="11"/>
      <c r="PX191" s="11"/>
      <c r="PY191" s="11"/>
      <c r="PZ191" s="11"/>
      <c r="QA191" s="11"/>
      <c r="QB191" s="11"/>
      <c r="QC191" s="11"/>
      <c r="QD191" s="11"/>
      <c r="QE191" s="11"/>
      <c r="QF191" s="11"/>
      <c r="QG191" s="11"/>
      <c r="QH191" s="11"/>
      <c r="QI191" s="11"/>
      <c r="QJ191" s="11"/>
      <c r="QK191" s="11"/>
      <c r="QL191" s="11"/>
      <c r="QM191" s="11"/>
      <c r="QN191" s="11"/>
      <c r="QO191" s="11"/>
      <c r="QP191" s="11"/>
      <c r="QQ191" s="11"/>
      <c r="QR191" s="11"/>
      <c r="QS191" s="11"/>
      <c r="QT191" s="11"/>
      <c r="QU191" s="11"/>
      <c r="QV191" s="11"/>
      <c r="QW191" s="11"/>
      <c r="QX191" s="11"/>
      <c r="QY191" s="11"/>
      <c r="QZ191" s="11"/>
      <c r="RA191" s="11"/>
      <c r="RB191" s="11"/>
      <c r="RC191" s="11"/>
      <c r="RD191" s="11"/>
      <c r="RE191" s="11"/>
      <c r="RF191" s="11"/>
      <c r="RG191" s="11"/>
      <c r="RH191" s="11"/>
      <c r="RI191" s="11"/>
      <c r="RJ191" s="11"/>
      <c r="RK191" s="11"/>
      <c r="RL191" s="11"/>
      <c r="RM191" s="11"/>
      <c r="RN191" s="11"/>
      <c r="RO191" s="11"/>
      <c r="RP191" s="11"/>
      <c r="RQ191" s="11"/>
      <c r="RR191" s="11"/>
      <c r="RS191" s="11"/>
      <c r="RT191" s="11"/>
      <c r="RU191" s="11"/>
      <c r="RV191" s="11"/>
      <c r="RW191" s="11"/>
      <c r="RX191" s="11"/>
      <c r="RY191" s="11"/>
      <c r="RZ191" s="11"/>
      <c r="SA191" s="11"/>
      <c r="SB191" s="11"/>
      <c r="SC191" s="11"/>
      <c r="SD191" s="11"/>
      <c r="SE191" s="11"/>
      <c r="SF191" s="11"/>
      <c r="SG191" s="11"/>
      <c r="SH191" s="11"/>
      <c r="SI191" s="11"/>
      <c r="SJ191" s="11"/>
      <c r="SK191" s="11"/>
      <c r="SL191" s="11"/>
      <c r="SM191" s="11"/>
      <c r="SN191" s="11"/>
      <c r="SO191" s="11"/>
      <c r="SP191" s="11"/>
      <c r="SQ191" s="11"/>
      <c r="SR191" s="11"/>
      <c r="SS191" s="11"/>
      <c r="ST191" s="11"/>
      <c r="SU191" s="11"/>
      <c r="SV191" s="11"/>
      <c r="SW191" s="11"/>
      <c r="SX191" s="11"/>
      <c r="SY191" s="11"/>
      <c r="SZ191" s="11"/>
      <c r="TA191" s="11"/>
      <c r="TB191" s="11"/>
      <c r="TC191" s="11"/>
      <c r="TD191" s="11"/>
      <c r="TE191" s="11"/>
      <c r="TF191" s="11"/>
      <c r="TG191" s="11"/>
      <c r="TH191" s="11"/>
      <c r="TI191" s="11"/>
      <c r="TJ191" s="11"/>
      <c r="TK191" s="11"/>
      <c r="TL191" s="11"/>
      <c r="TM191" s="11"/>
      <c r="TN191" s="11"/>
      <c r="TO191" s="11"/>
      <c r="TP191" s="11"/>
      <c r="TQ191" s="11"/>
      <c r="TR191" s="11"/>
      <c r="TS191" s="11"/>
      <c r="TT191" s="11"/>
      <c r="TU191" s="11"/>
      <c r="TV191" s="11"/>
      <c r="TW191" s="11"/>
      <c r="TX191" s="11"/>
      <c r="TY191" s="11"/>
      <c r="TZ191" s="11"/>
      <c r="UA191" s="11"/>
      <c r="UB191" s="11"/>
      <c r="UC191" s="11"/>
      <c r="UD191" s="11"/>
      <c r="UE191" s="11"/>
      <c r="UF191" s="11"/>
      <c r="UG191" s="11"/>
      <c r="UH191" s="11"/>
      <c r="UI191" s="11"/>
      <c r="UJ191" s="11"/>
      <c r="UK191" s="11"/>
      <c r="UL191" s="11"/>
      <c r="UM191" s="11"/>
      <c r="UN191" s="11"/>
      <c r="UO191" s="11"/>
      <c r="UP191" s="11"/>
      <c r="UQ191" s="11"/>
      <c r="UR191" s="11"/>
      <c r="US191" s="11"/>
      <c r="UT191" s="11"/>
      <c r="UU191" s="11"/>
      <c r="UV191" s="11"/>
      <c r="UW191" s="11"/>
      <c r="UX191" s="11"/>
      <c r="UY191" s="11"/>
      <c r="UZ191" s="11"/>
      <c r="VA191" s="11"/>
      <c r="VB191" s="11"/>
      <c r="VC191" s="11"/>
      <c r="VD191" s="11"/>
      <c r="VE191" s="11"/>
      <c r="VF191" s="11"/>
      <c r="VG191" s="11"/>
      <c r="VH191" s="11"/>
      <c r="VI191" s="11"/>
      <c r="VJ191" s="11"/>
      <c r="VK191" s="11"/>
      <c r="VL191" s="11"/>
      <c r="VM191" s="11"/>
      <c r="VN191" s="11"/>
      <c r="VO191" s="11"/>
      <c r="VP191" s="11"/>
      <c r="VQ191" s="11"/>
      <c r="VR191" s="11"/>
      <c r="VS191" s="11"/>
      <c r="VT191" s="11"/>
      <c r="VU191" s="11"/>
      <c r="VV191" s="11"/>
      <c r="VW191" s="11"/>
      <c r="VX191" s="11"/>
      <c r="VY191" s="11"/>
      <c r="VZ191" s="11"/>
      <c r="WA191" s="11"/>
      <c r="WB191" s="11"/>
      <c r="WC191" s="11"/>
      <c r="WD191" s="11"/>
      <c r="WE191" s="11"/>
      <c r="WF191" s="11"/>
      <c r="WG191" s="11"/>
      <c r="WH191" s="11"/>
      <c r="WI191" s="11"/>
      <c r="WJ191" s="11"/>
      <c r="WK191" s="11"/>
      <c r="WL191" s="11"/>
      <c r="WM191" s="11"/>
      <c r="WN191" s="11"/>
      <c r="WO191" s="11"/>
      <c r="WP191" s="11"/>
      <c r="WQ191" s="11"/>
      <c r="WR191" s="11"/>
      <c r="WS191" s="11"/>
      <c r="WT191" s="11"/>
      <c r="WU191" s="11"/>
      <c r="WV191" s="11"/>
      <c r="WW191" s="11"/>
      <c r="WX191" s="11"/>
      <c r="WY191" s="11"/>
      <c r="WZ191" s="11"/>
      <c r="XA191" s="11"/>
      <c r="XB191" s="11"/>
      <c r="XC191" s="11"/>
      <c r="XD191" s="11"/>
      <c r="XE191" s="11"/>
      <c r="XF191" s="11"/>
      <c r="XG191" s="11"/>
      <c r="XH191" s="11"/>
      <c r="XI191" s="11"/>
      <c r="XJ191" s="11"/>
      <c r="XK191" s="11"/>
      <c r="XL191" s="11"/>
      <c r="XM191" s="11"/>
      <c r="XN191" s="11"/>
      <c r="XO191" s="11"/>
      <c r="XP191" s="11"/>
      <c r="XQ191" s="11"/>
      <c r="XR191" s="11"/>
      <c r="XS191" s="11"/>
      <c r="XT191" s="11"/>
      <c r="XU191" s="11"/>
      <c r="XV191" s="11"/>
      <c r="XW191" s="11"/>
      <c r="XX191" s="11"/>
      <c r="XY191" s="11"/>
      <c r="XZ191" s="11"/>
      <c r="YA191" s="11"/>
      <c r="YB191" s="11"/>
      <c r="YC191" s="11"/>
      <c r="YD191" s="11"/>
      <c r="YE191" s="11"/>
      <c r="YF191" s="11"/>
      <c r="YG191" s="11"/>
      <c r="YH191" s="11"/>
      <c r="YI191" s="11"/>
      <c r="YJ191" s="11"/>
      <c r="YK191" s="11"/>
      <c r="YL191" s="11"/>
      <c r="YM191" s="11"/>
      <c r="YN191" s="11"/>
      <c r="YO191" s="11"/>
      <c r="YP191" s="11"/>
      <c r="YQ191" s="11"/>
      <c r="YR191" s="11"/>
      <c r="YS191" s="11"/>
      <c r="YT191" s="11"/>
      <c r="YU191" s="11"/>
      <c r="YV191" s="11"/>
      <c r="YW191" s="11"/>
      <c r="YX191" s="11"/>
      <c r="YY191" s="11"/>
      <c r="YZ191" s="11"/>
      <c r="ZA191" s="11"/>
      <c r="ZB191" s="11"/>
      <c r="ZC191" s="11"/>
      <c r="ZD191" s="11"/>
      <c r="ZE191" s="11"/>
      <c r="ZF191" s="11"/>
      <c r="ZG191" s="11"/>
      <c r="ZH191" s="11"/>
      <c r="ZI191" s="11"/>
      <c r="ZJ191" s="11"/>
      <c r="ZK191" s="11"/>
      <c r="ZL191" s="11"/>
      <c r="ZM191" s="11"/>
      <c r="ZN191" s="11"/>
      <c r="ZO191" s="11"/>
      <c r="ZP191" s="11"/>
      <c r="ZQ191" s="11"/>
      <c r="ZR191" s="11"/>
      <c r="ZS191" s="11"/>
      <c r="ZT191" s="11"/>
      <c r="ZU191" s="11"/>
      <c r="ZV191" s="11"/>
      <c r="ZW191" s="11"/>
      <c r="ZX191" s="11"/>
      <c r="ZY191" s="11"/>
      <c r="ZZ191" s="11"/>
      <c r="AAA191" s="11"/>
      <c r="AAB191" s="11"/>
      <c r="AAC191" s="11"/>
      <c r="AAD191" s="11"/>
      <c r="AAE191" s="11"/>
      <c r="AAF191" s="11"/>
      <c r="AAG191" s="11"/>
      <c r="AAH191" s="11"/>
      <c r="AAI191" s="11"/>
      <c r="AAJ191" s="11"/>
      <c r="AAK191" s="11"/>
      <c r="AAL191" s="11"/>
      <c r="AAM191" s="11"/>
      <c r="AAN191" s="11"/>
      <c r="AAO191" s="11"/>
      <c r="AAP191" s="11"/>
      <c r="AAQ191" s="11"/>
      <c r="AAR191" s="11"/>
      <c r="AAS191" s="11"/>
      <c r="AAT191" s="11"/>
      <c r="AAU191" s="11"/>
      <c r="AAV191" s="11"/>
      <c r="AAW191" s="11"/>
      <c r="AAX191" s="11"/>
      <c r="AAY191" s="11"/>
      <c r="AAZ191" s="11"/>
      <c r="ABA191" s="11"/>
      <c r="ABB191" s="11"/>
      <c r="ABC191" s="11"/>
      <c r="ABD191" s="11"/>
      <c r="ABE191" s="11"/>
      <c r="ABF191" s="11"/>
      <c r="ABG191" s="11"/>
      <c r="ABH191" s="11"/>
      <c r="ABI191" s="11"/>
      <c r="ABJ191" s="11"/>
      <c r="ABK191" s="11"/>
      <c r="ABL191" s="11"/>
      <c r="ABM191" s="11"/>
      <c r="ABN191" s="11"/>
      <c r="ABO191" s="11"/>
      <c r="ABP191" s="11"/>
      <c r="ABQ191" s="11"/>
      <c r="ABR191" s="11"/>
      <c r="ABS191" s="11"/>
      <c r="ABT191" s="11"/>
      <c r="ABU191" s="11"/>
      <c r="ABV191" s="11"/>
      <c r="ABW191" s="11"/>
      <c r="ABX191" s="11"/>
      <c r="ABY191" s="11"/>
      <c r="ABZ191" s="11"/>
      <c r="ACA191" s="11"/>
      <c r="ACB191" s="11"/>
      <c r="ACC191" s="11"/>
      <c r="ACD191" s="11"/>
      <c r="ACE191" s="11"/>
      <c r="ACF191" s="11"/>
      <c r="ACG191" s="11"/>
      <c r="ACH191" s="11"/>
      <c r="ACI191" s="11"/>
      <c r="ACJ191" s="11"/>
      <c r="ACK191" s="11"/>
      <c r="ACL191" s="11"/>
      <c r="ACM191" s="11"/>
      <c r="ACN191" s="11"/>
      <c r="ACO191" s="11"/>
      <c r="ACP191" s="11"/>
      <c r="ACQ191" s="11"/>
      <c r="ACR191" s="11"/>
      <c r="ACS191" s="11"/>
      <c r="ACT191" s="11"/>
      <c r="ACU191" s="11"/>
      <c r="ACV191" s="11"/>
      <c r="ACW191" s="11"/>
      <c r="ACX191" s="11"/>
      <c r="ACY191" s="11"/>
      <c r="ACZ191" s="11"/>
      <c r="ADA191" s="11"/>
      <c r="ADB191" s="11"/>
      <c r="ADC191" s="11"/>
      <c r="ADD191" s="11"/>
      <c r="ADE191" s="11"/>
      <c r="ADF191" s="11"/>
      <c r="ADG191" s="11"/>
      <c r="ADH191" s="11"/>
      <c r="ADI191" s="11"/>
      <c r="ADJ191" s="11"/>
      <c r="ADK191" s="11"/>
      <c r="ADL191" s="11"/>
      <c r="ADM191" s="11"/>
      <c r="ADN191" s="11"/>
      <c r="ADO191" s="11"/>
      <c r="ADP191" s="11"/>
      <c r="ADQ191" s="11"/>
      <c r="ADR191" s="11"/>
      <c r="ADS191" s="11"/>
      <c r="ADT191" s="11"/>
      <c r="ADU191" s="11"/>
      <c r="ADV191" s="11"/>
      <c r="ADW191" s="11"/>
      <c r="ADX191" s="11"/>
      <c r="ADY191" s="11"/>
      <c r="ADZ191" s="11"/>
      <c r="AEA191" s="11"/>
      <c r="AEB191" s="11"/>
      <c r="AEC191" s="11"/>
      <c r="AED191" s="11"/>
      <c r="AEE191" s="11"/>
      <c r="AEF191" s="11"/>
      <c r="AEG191" s="11"/>
      <c r="AEH191" s="11"/>
      <c r="AEI191" s="11"/>
      <c r="AEJ191" s="11"/>
      <c r="AEK191" s="11"/>
      <c r="AEL191" s="11"/>
      <c r="AEM191" s="11"/>
      <c r="AEN191" s="11"/>
      <c r="AEO191" s="11"/>
      <c r="AEP191" s="11"/>
      <c r="AEQ191" s="11"/>
      <c r="AER191" s="11"/>
      <c r="AES191" s="11"/>
      <c r="AET191" s="11"/>
      <c r="AEU191" s="11"/>
      <c r="AEV191" s="11"/>
      <c r="AEW191" s="11"/>
      <c r="AEX191" s="11"/>
      <c r="AEY191" s="11"/>
      <c r="AEZ191" s="11"/>
      <c r="AFA191" s="11"/>
      <c r="AFB191" s="11"/>
      <c r="AFC191" s="11"/>
      <c r="AFD191" s="11"/>
      <c r="AFE191" s="11"/>
      <c r="AFF191" s="11"/>
      <c r="AFG191" s="11"/>
      <c r="AFH191" s="11"/>
      <c r="AFI191" s="11"/>
    </row>
    <row r="192" spans="2:84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1"/>
      <c r="LV192" s="11"/>
      <c r="LW192" s="11"/>
      <c r="LX192" s="11"/>
      <c r="LY192" s="11"/>
      <c r="LZ192" s="11"/>
      <c r="MA192" s="11"/>
      <c r="MB192" s="11"/>
      <c r="MC192" s="11"/>
      <c r="MD192" s="11"/>
      <c r="ME192" s="11"/>
      <c r="MF192" s="11"/>
      <c r="MG192" s="11"/>
      <c r="MH192" s="11"/>
      <c r="MI192" s="11"/>
      <c r="MJ192" s="11"/>
      <c r="MK192" s="11"/>
      <c r="ML192" s="11"/>
      <c r="MM192" s="11"/>
      <c r="MN192" s="11"/>
      <c r="MO192" s="11"/>
      <c r="MP192" s="11"/>
      <c r="MQ192" s="11"/>
      <c r="MR192" s="11"/>
      <c r="MS192" s="11"/>
      <c r="MT192" s="11"/>
      <c r="MU192" s="11"/>
      <c r="MV192" s="11"/>
      <c r="MW192" s="11"/>
      <c r="MX192" s="11"/>
      <c r="MY192" s="11"/>
      <c r="MZ192" s="11"/>
      <c r="NA192" s="11"/>
      <c r="NB192" s="11"/>
      <c r="NC192" s="11"/>
      <c r="ND192" s="11"/>
      <c r="NE192" s="11"/>
      <c r="NF192" s="11"/>
      <c r="NG192" s="11"/>
      <c r="NH192" s="11"/>
      <c r="NI192" s="11"/>
      <c r="NJ192" s="11"/>
      <c r="NK192" s="11"/>
      <c r="NL192" s="11"/>
      <c r="NM192" s="11"/>
      <c r="NN192" s="11"/>
      <c r="NO192" s="11"/>
      <c r="NP192" s="11"/>
      <c r="NQ192" s="11"/>
      <c r="NR192" s="11"/>
      <c r="NS192" s="11"/>
      <c r="NT192" s="11"/>
      <c r="NU192" s="11"/>
      <c r="NV192" s="11"/>
      <c r="NW192" s="11"/>
      <c r="NX192" s="11"/>
      <c r="NY192" s="11"/>
      <c r="NZ192" s="11"/>
      <c r="OA192" s="11"/>
      <c r="OB192" s="11"/>
      <c r="OC192" s="11"/>
      <c r="OD192" s="11"/>
      <c r="OE192" s="11"/>
      <c r="OF192" s="11"/>
      <c r="OG192" s="11"/>
      <c r="OH192" s="11"/>
      <c r="OI192" s="11"/>
      <c r="OJ192" s="11"/>
      <c r="OK192" s="11"/>
      <c r="OL192" s="11"/>
      <c r="OM192" s="11"/>
      <c r="ON192" s="11"/>
      <c r="OO192" s="11"/>
      <c r="OP192" s="11"/>
      <c r="OQ192" s="11"/>
      <c r="OR192" s="11"/>
      <c r="OS192" s="11"/>
      <c r="OT192" s="11"/>
      <c r="OU192" s="11"/>
      <c r="OV192" s="11"/>
      <c r="OW192" s="11"/>
      <c r="OX192" s="11"/>
      <c r="OY192" s="11"/>
      <c r="OZ192" s="11"/>
      <c r="PA192" s="11"/>
      <c r="PB192" s="11"/>
      <c r="PC192" s="11"/>
      <c r="PD192" s="11"/>
      <c r="PE192" s="11"/>
      <c r="PF192" s="11"/>
      <c r="PG192" s="11"/>
      <c r="PH192" s="11"/>
      <c r="PI192" s="11"/>
      <c r="PJ192" s="11"/>
      <c r="PK192" s="11"/>
      <c r="PL192" s="11"/>
      <c r="PM192" s="11"/>
      <c r="PN192" s="11"/>
      <c r="PO192" s="11"/>
      <c r="PP192" s="11"/>
      <c r="PQ192" s="11"/>
      <c r="PR192" s="11"/>
      <c r="PS192" s="11"/>
      <c r="PT192" s="11"/>
      <c r="PU192" s="11"/>
      <c r="PV192" s="11"/>
      <c r="PW192" s="11"/>
      <c r="PX192" s="11"/>
      <c r="PY192" s="11"/>
      <c r="PZ192" s="11"/>
      <c r="QA192" s="11"/>
      <c r="QB192" s="11"/>
      <c r="QC192" s="11"/>
      <c r="QD192" s="11"/>
      <c r="QE192" s="11"/>
      <c r="QF192" s="11"/>
      <c r="QG192" s="11"/>
      <c r="QH192" s="11"/>
      <c r="QI192" s="11"/>
      <c r="QJ192" s="11"/>
      <c r="QK192" s="11"/>
      <c r="QL192" s="11"/>
      <c r="QM192" s="11"/>
      <c r="QN192" s="11"/>
      <c r="QO192" s="11"/>
      <c r="QP192" s="11"/>
      <c r="QQ192" s="11"/>
      <c r="QR192" s="11"/>
      <c r="QS192" s="11"/>
      <c r="QT192" s="11"/>
      <c r="QU192" s="11"/>
      <c r="QV192" s="11"/>
      <c r="QW192" s="11"/>
      <c r="QX192" s="11"/>
      <c r="QY192" s="11"/>
      <c r="QZ192" s="11"/>
      <c r="RA192" s="11"/>
      <c r="RB192" s="11"/>
      <c r="RC192" s="11"/>
      <c r="RD192" s="11"/>
      <c r="RE192" s="11"/>
      <c r="RF192" s="11"/>
      <c r="RG192" s="11"/>
      <c r="RH192" s="11"/>
      <c r="RI192" s="11"/>
      <c r="RJ192" s="11"/>
      <c r="RK192" s="11"/>
      <c r="RL192" s="11"/>
      <c r="RM192" s="11"/>
      <c r="RN192" s="11"/>
      <c r="RO192" s="11"/>
      <c r="RP192" s="11"/>
      <c r="RQ192" s="11"/>
      <c r="RR192" s="11"/>
      <c r="RS192" s="11"/>
      <c r="RT192" s="11"/>
      <c r="RU192" s="11"/>
      <c r="RV192" s="11"/>
      <c r="RW192" s="11"/>
      <c r="RX192" s="11"/>
      <c r="RY192" s="11"/>
      <c r="RZ192" s="11"/>
      <c r="SA192" s="11"/>
      <c r="SB192" s="11"/>
      <c r="SC192" s="11"/>
      <c r="SD192" s="11"/>
      <c r="SE192" s="11"/>
      <c r="SF192" s="11"/>
      <c r="SG192" s="11"/>
      <c r="SH192" s="11"/>
      <c r="SI192" s="11"/>
      <c r="SJ192" s="11"/>
      <c r="SK192" s="11"/>
      <c r="SL192" s="11"/>
      <c r="SM192" s="11"/>
      <c r="SN192" s="11"/>
      <c r="SO192" s="11"/>
      <c r="SP192" s="11"/>
      <c r="SQ192" s="11"/>
      <c r="SR192" s="11"/>
      <c r="SS192" s="11"/>
      <c r="ST192" s="11"/>
      <c r="SU192" s="11"/>
      <c r="SV192" s="11"/>
      <c r="SW192" s="11"/>
      <c r="SX192" s="11"/>
      <c r="SY192" s="11"/>
      <c r="SZ192" s="11"/>
      <c r="TA192" s="11"/>
      <c r="TB192" s="11"/>
      <c r="TC192" s="11"/>
      <c r="TD192" s="11"/>
      <c r="TE192" s="11"/>
      <c r="TF192" s="11"/>
      <c r="TG192" s="11"/>
      <c r="TH192" s="11"/>
      <c r="TI192" s="11"/>
      <c r="TJ192" s="11"/>
      <c r="TK192" s="11"/>
      <c r="TL192" s="11"/>
      <c r="TM192" s="11"/>
      <c r="TN192" s="11"/>
      <c r="TO192" s="11"/>
      <c r="TP192" s="11"/>
      <c r="TQ192" s="11"/>
      <c r="TR192" s="11"/>
      <c r="TS192" s="11"/>
      <c r="TT192" s="11"/>
      <c r="TU192" s="11"/>
      <c r="TV192" s="11"/>
      <c r="TW192" s="11"/>
      <c r="TX192" s="11"/>
      <c r="TY192" s="11"/>
      <c r="TZ192" s="11"/>
      <c r="UA192" s="11"/>
      <c r="UB192" s="11"/>
      <c r="UC192" s="11"/>
      <c r="UD192" s="11"/>
      <c r="UE192" s="11"/>
      <c r="UF192" s="11"/>
      <c r="UG192" s="11"/>
      <c r="UH192" s="11"/>
      <c r="UI192" s="11"/>
      <c r="UJ192" s="11"/>
      <c r="UK192" s="11"/>
      <c r="UL192" s="11"/>
      <c r="UM192" s="11"/>
      <c r="UN192" s="11"/>
      <c r="UO192" s="11"/>
      <c r="UP192" s="11"/>
      <c r="UQ192" s="11"/>
      <c r="UR192" s="11"/>
      <c r="US192" s="11"/>
      <c r="UT192" s="11"/>
      <c r="UU192" s="11"/>
      <c r="UV192" s="11"/>
      <c r="UW192" s="11"/>
      <c r="UX192" s="11"/>
      <c r="UY192" s="11"/>
      <c r="UZ192" s="11"/>
      <c r="VA192" s="11"/>
      <c r="VB192" s="11"/>
      <c r="VC192" s="11"/>
      <c r="VD192" s="11"/>
      <c r="VE192" s="11"/>
      <c r="VF192" s="11"/>
      <c r="VG192" s="11"/>
      <c r="VH192" s="11"/>
      <c r="VI192" s="11"/>
      <c r="VJ192" s="11"/>
      <c r="VK192" s="11"/>
      <c r="VL192" s="11"/>
      <c r="VM192" s="11"/>
      <c r="VN192" s="11"/>
      <c r="VO192" s="11"/>
      <c r="VP192" s="11"/>
      <c r="VQ192" s="11"/>
      <c r="VR192" s="11"/>
      <c r="VS192" s="11"/>
      <c r="VT192" s="11"/>
      <c r="VU192" s="11"/>
      <c r="VV192" s="11"/>
      <c r="VW192" s="11"/>
      <c r="VX192" s="11"/>
      <c r="VY192" s="11"/>
      <c r="VZ192" s="11"/>
      <c r="WA192" s="11"/>
      <c r="WB192" s="11"/>
      <c r="WC192" s="11"/>
      <c r="WD192" s="11"/>
      <c r="WE192" s="11"/>
      <c r="WF192" s="11"/>
      <c r="WG192" s="11"/>
      <c r="WH192" s="11"/>
      <c r="WI192" s="11"/>
      <c r="WJ192" s="11"/>
      <c r="WK192" s="11"/>
      <c r="WL192" s="11"/>
      <c r="WM192" s="11"/>
      <c r="WN192" s="11"/>
      <c r="WO192" s="11"/>
      <c r="WP192" s="11"/>
      <c r="WQ192" s="11"/>
      <c r="WR192" s="11"/>
      <c r="WS192" s="11"/>
      <c r="WT192" s="11"/>
      <c r="WU192" s="11"/>
      <c r="WV192" s="11"/>
      <c r="WW192" s="11"/>
      <c r="WX192" s="11"/>
      <c r="WY192" s="11"/>
      <c r="WZ192" s="11"/>
      <c r="XA192" s="11"/>
      <c r="XB192" s="11"/>
      <c r="XC192" s="11"/>
      <c r="XD192" s="11"/>
      <c r="XE192" s="11"/>
      <c r="XF192" s="11"/>
      <c r="XG192" s="11"/>
      <c r="XH192" s="11"/>
      <c r="XI192" s="11"/>
      <c r="XJ192" s="11"/>
      <c r="XK192" s="11"/>
      <c r="XL192" s="11"/>
      <c r="XM192" s="11"/>
      <c r="XN192" s="11"/>
      <c r="XO192" s="11"/>
      <c r="XP192" s="11"/>
      <c r="XQ192" s="11"/>
      <c r="XR192" s="11"/>
      <c r="XS192" s="11"/>
      <c r="XT192" s="11"/>
      <c r="XU192" s="11"/>
      <c r="XV192" s="11"/>
      <c r="XW192" s="11"/>
      <c r="XX192" s="11"/>
      <c r="XY192" s="11"/>
      <c r="XZ192" s="11"/>
      <c r="YA192" s="11"/>
      <c r="YB192" s="11"/>
      <c r="YC192" s="11"/>
      <c r="YD192" s="11"/>
      <c r="YE192" s="11"/>
      <c r="YF192" s="11"/>
      <c r="YG192" s="11"/>
      <c r="YH192" s="11"/>
      <c r="YI192" s="11"/>
      <c r="YJ192" s="11"/>
      <c r="YK192" s="11"/>
      <c r="YL192" s="11"/>
      <c r="YM192" s="11"/>
      <c r="YN192" s="11"/>
      <c r="YO192" s="11"/>
      <c r="YP192" s="11"/>
      <c r="YQ192" s="11"/>
      <c r="YR192" s="11"/>
      <c r="YS192" s="11"/>
      <c r="YT192" s="11"/>
      <c r="YU192" s="11"/>
      <c r="YV192" s="11"/>
      <c r="YW192" s="11"/>
      <c r="YX192" s="11"/>
      <c r="YY192" s="11"/>
      <c r="YZ192" s="11"/>
      <c r="ZA192" s="11"/>
      <c r="ZB192" s="11"/>
      <c r="ZC192" s="11"/>
      <c r="ZD192" s="11"/>
      <c r="ZE192" s="11"/>
      <c r="ZF192" s="11"/>
      <c r="ZG192" s="11"/>
      <c r="ZH192" s="11"/>
      <c r="ZI192" s="11"/>
      <c r="ZJ192" s="11"/>
      <c r="ZK192" s="11"/>
      <c r="ZL192" s="11"/>
      <c r="ZM192" s="11"/>
      <c r="ZN192" s="11"/>
      <c r="ZO192" s="11"/>
      <c r="ZP192" s="11"/>
      <c r="ZQ192" s="11"/>
      <c r="ZR192" s="11"/>
      <c r="ZS192" s="11"/>
      <c r="ZT192" s="11"/>
      <c r="ZU192" s="11"/>
      <c r="ZV192" s="11"/>
      <c r="ZW192" s="11"/>
      <c r="ZX192" s="11"/>
      <c r="ZY192" s="11"/>
      <c r="ZZ192" s="11"/>
      <c r="AAA192" s="11"/>
      <c r="AAB192" s="11"/>
      <c r="AAC192" s="11"/>
      <c r="AAD192" s="11"/>
      <c r="AAE192" s="11"/>
      <c r="AAF192" s="11"/>
      <c r="AAG192" s="11"/>
      <c r="AAH192" s="11"/>
      <c r="AAI192" s="11"/>
      <c r="AAJ192" s="11"/>
      <c r="AAK192" s="11"/>
      <c r="AAL192" s="11"/>
      <c r="AAM192" s="11"/>
      <c r="AAN192" s="11"/>
      <c r="AAO192" s="11"/>
      <c r="AAP192" s="11"/>
      <c r="AAQ192" s="11"/>
      <c r="AAR192" s="11"/>
      <c r="AAS192" s="11"/>
      <c r="AAT192" s="11"/>
      <c r="AAU192" s="11"/>
      <c r="AAV192" s="11"/>
      <c r="AAW192" s="11"/>
      <c r="AAX192" s="11"/>
      <c r="AAY192" s="11"/>
      <c r="AAZ192" s="11"/>
      <c r="ABA192" s="11"/>
      <c r="ABB192" s="11"/>
      <c r="ABC192" s="11"/>
      <c r="ABD192" s="11"/>
      <c r="ABE192" s="11"/>
      <c r="ABF192" s="11"/>
      <c r="ABG192" s="11"/>
      <c r="ABH192" s="11"/>
      <c r="ABI192" s="11"/>
      <c r="ABJ192" s="11"/>
      <c r="ABK192" s="11"/>
      <c r="ABL192" s="11"/>
      <c r="ABM192" s="11"/>
      <c r="ABN192" s="11"/>
      <c r="ABO192" s="11"/>
      <c r="ABP192" s="11"/>
      <c r="ABQ192" s="11"/>
      <c r="ABR192" s="11"/>
      <c r="ABS192" s="11"/>
      <c r="ABT192" s="11"/>
      <c r="ABU192" s="11"/>
      <c r="ABV192" s="11"/>
      <c r="ABW192" s="11"/>
      <c r="ABX192" s="11"/>
      <c r="ABY192" s="11"/>
      <c r="ABZ192" s="11"/>
      <c r="ACA192" s="11"/>
      <c r="ACB192" s="11"/>
      <c r="ACC192" s="11"/>
      <c r="ACD192" s="11"/>
      <c r="ACE192" s="11"/>
      <c r="ACF192" s="11"/>
      <c r="ACG192" s="11"/>
      <c r="ACH192" s="11"/>
      <c r="ACI192" s="11"/>
      <c r="ACJ192" s="11"/>
      <c r="ACK192" s="11"/>
      <c r="ACL192" s="11"/>
      <c r="ACM192" s="11"/>
      <c r="ACN192" s="11"/>
      <c r="ACO192" s="11"/>
      <c r="ACP192" s="11"/>
      <c r="ACQ192" s="11"/>
      <c r="ACR192" s="11"/>
      <c r="ACS192" s="11"/>
      <c r="ACT192" s="11"/>
      <c r="ACU192" s="11"/>
      <c r="ACV192" s="11"/>
      <c r="ACW192" s="11"/>
      <c r="ACX192" s="11"/>
      <c r="ACY192" s="11"/>
      <c r="ACZ192" s="11"/>
      <c r="ADA192" s="11"/>
      <c r="ADB192" s="11"/>
      <c r="ADC192" s="11"/>
      <c r="ADD192" s="11"/>
      <c r="ADE192" s="11"/>
      <c r="ADF192" s="11"/>
      <c r="ADG192" s="11"/>
      <c r="ADH192" s="11"/>
      <c r="ADI192" s="11"/>
      <c r="ADJ192" s="11"/>
      <c r="ADK192" s="11"/>
      <c r="ADL192" s="11"/>
      <c r="ADM192" s="11"/>
      <c r="ADN192" s="11"/>
      <c r="ADO192" s="11"/>
      <c r="ADP192" s="11"/>
      <c r="ADQ192" s="11"/>
      <c r="ADR192" s="11"/>
      <c r="ADS192" s="11"/>
      <c r="ADT192" s="11"/>
      <c r="ADU192" s="11"/>
      <c r="ADV192" s="11"/>
      <c r="ADW192" s="11"/>
      <c r="ADX192" s="11"/>
      <c r="ADY192" s="11"/>
      <c r="ADZ192" s="11"/>
      <c r="AEA192" s="11"/>
      <c r="AEB192" s="11"/>
      <c r="AEC192" s="11"/>
      <c r="AED192" s="11"/>
      <c r="AEE192" s="11"/>
      <c r="AEF192" s="11"/>
      <c r="AEG192" s="11"/>
      <c r="AEH192" s="11"/>
      <c r="AEI192" s="11"/>
      <c r="AEJ192" s="11"/>
      <c r="AEK192" s="11"/>
      <c r="AEL192" s="11"/>
      <c r="AEM192" s="11"/>
      <c r="AEN192" s="11"/>
      <c r="AEO192" s="11"/>
      <c r="AEP192" s="11"/>
      <c r="AEQ192" s="11"/>
      <c r="AER192" s="11"/>
      <c r="AES192" s="11"/>
      <c r="AET192" s="11"/>
      <c r="AEU192" s="11"/>
      <c r="AEV192" s="11"/>
      <c r="AEW192" s="11"/>
      <c r="AEX192" s="11"/>
      <c r="AEY192" s="11"/>
      <c r="AEZ192" s="11"/>
      <c r="AFA192" s="11"/>
      <c r="AFB192" s="11"/>
      <c r="AFC192" s="11"/>
      <c r="AFD192" s="11"/>
      <c r="AFE192" s="11"/>
      <c r="AFF192" s="11"/>
      <c r="AFG192" s="11"/>
      <c r="AFH192" s="11"/>
      <c r="AFI192" s="11"/>
    </row>
    <row r="193" spans="2:84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1"/>
      <c r="LV193" s="11"/>
      <c r="LW193" s="11"/>
      <c r="LX193" s="11"/>
      <c r="LY193" s="11"/>
      <c r="LZ193" s="11"/>
      <c r="MA193" s="11"/>
      <c r="MB193" s="11"/>
      <c r="MC193" s="11"/>
      <c r="MD193" s="11"/>
      <c r="ME193" s="11"/>
      <c r="MF193" s="11"/>
      <c r="MG193" s="11"/>
      <c r="MH193" s="11"/>
      <c r="MI193" s="11"/>
      <c r="MJ193" s="11"/>
      <c r="MK193" s="11"/>
      <c r="ML193" s="11"/>
      <c r="MM193" s="11"/>
      <c r="MN193" s="11"/>
      <c r="MO193" s="11"/>
      <c r="MP193" s="11"/>
      <c r="MQ193" s="11"/>
      <c r="MR193" s="11"/>
      <c r="MS193" s="11"/>
      <c r="MT193" s="11"/>
      <c r="MU193" s="11"/>
      <c r="MV193" s="11"/>
      <c r="MW193" s="11"/>
      <c r="MX193" s="11"/>
      <c r="MY193" s="11"/>
      <c r="MZ193" s="11"/>
      <c r="NA193" s="11"/>
      <c r="NB193" s="11"/>
      <c r="NC193" s="11"/>
      <c r="ND193" s="11"/>
      <c r="NE193" s="11"/>
      <c r="NF193" s="11"/>
      <c r="NG193" s="11"/>
      <c r="NH193" s="11"/>
      <c r="NI193" s="11"/>
      <c r="NJ193" s="11"/>
      <c r="NK193" s="11"/>
      <c r="NL193" s="11"/>
      <c r="NM193" s="11"/>
      <c r="NN193" s="11"/>
      <c r="NO193" s="11"/>
      <c r="NP193" s="11"/>
      <c r="NQ193" s="11"/>
      <c r="NR193" s="11"/>
      <c r="NS193" s="11"/>
      <c r="NT193" s="11"/>
      <c r="NU193" s="11"/>
      <c r="NV193" s="11"/>
      <c r="NW193" s="11"/>
      <c r="NX193" s="11"/>
      <c r="NY193" s="11"/>
      <c r="NZ193" s="11"/>
      <c r="OA193" s="11"/>
      <c r="OB193" s="11"/>
      <c r="OC193" s="11"/>
      <c r="OD193" s="11"/>
      <c r="OE193" s="11"/>
      <c r="OF193" s="11"/>
      <c r="OG193" s="11"/>
      <c r="OH193" s="11"/>
      <c r="OI193" s="11"/>
      <c r="OJ193" s="11"/>
      <c r="OK193" s="11"/>
      <c r="OL193" s="11"/>
      <c r="OM193" s="11"/>
      <c r="ON193" s="11"/>
      <c r="OO193" s="11"/>
      <c r="OP193" s="11"/>
      <c r="OQ193" s="11"/>
      <c r="OR193" s="11"/>
      <c r="OS193" s="11"/>
      <c r="OT193" s="11"/>
      <c r="OU193" s="11"/>
      <c r="OV193" s="11"/>
      <c r="OW193" s="11"/>
      <c r="OX193" s="11"/>
      <c r="OY193" s="11"/>
      <c r="OZ193" s="11"/>
      <c r="PA193" s="11"/>
      <c r="PB193" s="11"/>
      <c r="PC193" s="11"/>
      <c r="PD193" s="11"/>
      <c r="PE193" s="11"/>
      <c r="PF193" s="11"/>
      <c r="PG193" s="11"/>
      <c r="PH193" s="11"/>
      <c r="PI193" s="11"/>
      <c r="PJ193" s="11"/>
      <c r="PK193" s="11"/>
      <c r="PL193" s="11"/>
      <c r="PM193" s="11"/>
      <c r="PN193" s="11"/>
      <c r="PO193" s="11"/>
      <c r="PP193" s="11"/>
      <c r="PQ193" s="11"/>
      <c r="PR193" s="11"/>
      <c r="PS193" s="11"/>
      <c r="PT193" s="11"/>
      <c r="PU193" s="11"/>
      <c r="PV193" s="11"/>
      <c r="PW193" s="11"/>
      <c r="PX193" s="11"/>
      <c r="PY193" s="11"/>
      <c r="PZ193" s="11"/>
      <c r="QA193" s="11"/>
      <c r="QB193" s="11"/>
      <c r="QC193" s="11"/>
      <c r="QD193" s="11"/>
      <c r="QE193" s="11"/>
      <c r="QF193" s="11"/>
      <c r="QG193" s="11"/>
      <c r="QH193" s="11"/>
      <c r="QI193" s="11"/>
      <c r="QJ193" s="11"/>
      <c r="QK193" s="11"/>
      <c r="QL193" s="11"/>
      <c r="QM193" s="11"/>
      <c r="QN193" s="11"/>
      <c r="QO193" s="11"/>
      <c r="QP193" s="11"/>
      <c r="QQ193" s="11"/>
      <c r="QR193" s="11"/>
      <c r="QS193" s="11"/>
      <c r="QT193" s="11"/>
      <c r="QU193" s="11"/>
      <c r="QV193" s="11"/>
      <c r="QW193" s="11"/>
      <c r="QX193" s="11"/>
      <c r="QY193" s="11"/>
      <c r="QZ193" s="11"/>
      <c r="RA193" s="11"/>
      <c r="RB193" s="11"/>
      <c r="RC193" s="11"/>
      <c r="RD193" s="11"/>
      <c r="RE193" s="11"/>
      <c r="RF193" s="11"/>
      <c r="RG193" s="11"/>
      <c r="RH193" s="11"/>
      <c r="RI193" s="11"/>
      <c r="RJ193" s="11"/>
      <c r="RK193" s="11"/>
      <c r="RL193" s="11"/>
      <c r="RM193" s="11"/>
      <c r="RN193" s="11"/>
      <c r="RO193" s="11"/>
      <c r="RP193" s="11"/>
      <c r="RQ193" s="11"/>
      <c r="RR193" s="11"/>
      <c r="RS193" s="11"/>
      <c r="RT193" s="11"/>
      <c r="RU193" s="11"/>
      <c r="RV193" s="11"/>
      <c r="RW193" s="11"/>
      <c r="RX193" s="11"/>
      <c r="RY193" s="11"/>
      <c r="RZ193" s="11"/>
      <c r="SA193" s="11"/>
      <c r="SB193" s="11"/>
      <c r="SC193" s="11"/>
      <c r="SD193" s="11"/>
      <c r="SE193" s="11"/>
      <c r="SF193" s="11"/>
      <c r="SG193" s="11"/>
      <c r="SH193" s="11"/>
      <c r="SI193" s="11"/>
      <c r="SJ193" s="11"/>
      <c r="SK193" s="11"/>
      <c r="SL193" s="11"/>
      <c r="SM193" s="11"/>
      <c r="SN193" s="11"/>
      <c r="SO193" s="11"/>
      <c r="SP193" s="11"/>
      <c r="SQ193" s="11"/>
      <c r="SR193" s="11"/>
      <c r="SS193" s="11"/>
      <c r="ST193" s="11"/>
      <c r="SU193" s="11"/>
      <c r="SV193" s="11"/>
      <c r="SW193" s="11"/>
      <c r="SX193" s="11"/>
      <c r="SY193" s="11"/>
      <c r="SZ193" s="11"/>
      <c r="TA193" s="11"/>
      <c r="TB193" s="11"/>
      <c r="TC193" s="11"/>
      <c r="TD193" s="11"/>
      <c r="TE193" s="11"/>
      <c r="TF193" s="11"/>
      <c r="TG193" s="11"/>
      <c r="TH193" s="11"/>
      <c r="TI193" s="11"/>
      <c r="TJ193" s="11"/>
      <c r="TK193" s="11"/>
      <c r="TL193" s="11"/>
      <c r="TM193" s="11"/>
      <c r="TN193" s="11"/>
      <c r="TO193" s="11"/>
      <c r="TP193" s="11"/>
      <c r="TQ193" s="11"/>
      <c r="TR193" s="11"/>
      <c r="TS193" s="11"/>
      <c r="TT193" s="11"/>
      <c r="TU193" s="11"/>
      <c r="TV193" s="11"/>
      <c r="TW193" s="11"/>
      <c r="TX193" s="11"/>
      <c r="TY193" s="11"/>
      <c r="TZ193" s="11"/>
      <c r="UA193" s="11"/>
      <c r="UB193" s="11"/>
      <c r="UC193" s="11"/>
      <c r="UD193" s="11"/>
      <c r="UE193" s="11"/>
      <c r="UF193" s="11"/>
      <c r="UG193" s="11"/>
      <c r="UH193" s="11"/>
      <c r="UI193" s="11"/>
      <c r="UJ193" s="11"/>
      <c r="UK193" s="11"/>
      <c r="UL193" s="11"/>
      <c r="UM193" s="11"/>
      <c r="UN193" s="11"/>
      <c r="UO193" s="11"/>
      <c r="UP193" s="11"/>
      <c r="UQ193" s="11"/>
      <c r="UR193" s="11"/>
      <c r="US193" s="11"/>
      <c r="UT193" s="11"/>
      <c r="UU193" s="11"/>
      <c r="UV193" s="11"/>
      <c r="UW193" s="11"/>
      <c r="UX193" s="11"/>
      <c r="UY193" s="11"/>
      <c r="UZ193" s="11"/>
      <c r="VA193" s="11"/>
      <c r="VB193" s="11"/>
      <c r="VC193" s="11"/>
      <c r="VD193" s="11"/>
      <c r="VE193" s="11"/>
      <c r="VF193" s="11"/>
      <c r="VG193" s="11"/>
      <c r="VH193" s="11"/>
      <c r="VI193" s="11"/>
      <c r="VJ193" s="11"/>
      <c r="VK193" s="11"/>
      <c r="VL193" s="11"/>
      <c r="VM193" s="11"/>
      <c r="VN193" s="11"/>
      <c r="VO193" s="11"/>
      <c r="VP193" s="11"/>
      <c r="VQ193" s="11"/>
      <c r="VR193" s="11"/>
      <c r="VS193" s="11"/>
      <c r="VT193" s="11"/>
      <c r="VU193" s="11"/>
      <c r="VV193" s="11"/>
      <c r="VW193" s="11"/>
      <c r="VX193" s="11"/>
      <c r="VY193" s="11"/>
      <c r="VZ193" s="11"/>
      <c r="WA193" s="11"/>
      <c r="WB193" s="11"/>
      <c r="WC193" s="11"/>
      <c r="WD193" s="11"/>
      <c r="WE193" s="11"/>
      <c r="WF193" s="11"/>
      <c r="WG193" s="11"/>
      <c r="WH193" s="11"/>
      <c r="WI193" s="11"/>
      <c r="WJ193" s="11"/>
      <c r="WK193" s="11"/>
      <c r="WL193" s="11"/>
      <c r="WM193" s="11"/>
      <c r="WN193" s="11"/>
      <c r="WO193" s="11"/>
      <c r="WP193" s="11"/>
      <c r="WQ193" s="11"/>
      <c r="WR193" s="11"/>
      <c r="WS193" s="11"/>
      <c r="WT193" s="11"/>
      <c r="WU193" s="11"/>
      <c r="WV193" s="11"/>
      <c r="WW193" s="11"/>
      <c r="WX193" s="11"/>
      <c r="WY193" s="11"/>
      <c r="WZ193" s="11"/>
      <c r="XA193" s="11"/>
      <c r="XB193" s="11"/>
      <c r="XC193" s="11"/>
      <c r="XD193" s="11"/>
      <c r="XE193" s="11"/>
      <c r="XF193" s="11"/>
      <c r="XG193" s="11"/>
      <c r="XH193" s="11"/>
      <c r="XI193" s="11"/>
      <c r="XJ193" s="11"/>
      <c r="XK193" s="11"/>
      <c r="XL193" s="11"/>
      <c r="XM193" s="11"/>
      <c r="XN193" s="11"/>
      <c r="XO193" s="11"/>
      <c r="XP193" s="11"/>
      <c r="XQ193" s="11"/>
      <c r="XR193" s="11"/>
      <c r="XS193" s="11"/>
      <c r="XT193" s="11"/>
      <c r="XU193" s="11"/>
      <c r="XV193" s="11"/>
      <c r="XW193" s="11"/>
      <c r="XX193" s="11"/>
      <c r="XY193" s="11"/>
      <c r="XZ193" s="11"/>
      <c r="YA193" s="11"/>
      <c r="YB193" s="11"/>
      <c r="YC193" s="11"/>
      <c r="YD193" s="11"/>
      <c r="YE193" s="11"/>
      <c r="YF193" s="11"/>
      <c r="YG193" s="11"/>
      <c r="YH193" s="11"/>
      <c r="YI193" s="11"/>
      <c r="YJ193" s="11"/>
      <c r="YK193" s="11"/>
      <c r="YL193" s="11"/>
      <c r="YM193" s="11"/>
      <c r="YN193" s="11"/>
      <c r="YO193" s="11"/>
      <c r="YP193" s="11"/>
      <c r="YQ193" s="11"/>
      <c r="YR193" s="11"/>
      <c r="YS193" s="11"/>
      <c r="YT193" s="11"/>
      <c r="YU193" s="11"/>
      <c r="YV193" s="11"/>
      <c r="YW193" s="11"/>
      <c r="YX193" s="11"/>
      <c r="YY193" s="11"/>
      <c r="YZ193" s="11"/>
      <c r="ZA193" s="11"/>
      <c r="ZB193" s="11"/>
      <c r="ZC193" s="11"/>
      <c r="ZD193" s="11"/>
      <c r="ZE193" s="11"/>
      <c r="ZF193" s="11"/>
      <c r="ZG193" s="11"/>
      <c r="ZH193" s="11"/>
      <c r="ZI193" s="11"/>
      <c r="ZJ193" s="11"/>
      <c r="ZK193" s="11"/>
      <c r="ZL193" s="11"/>
      <c r="ZM193" s="11"/>
      <c r="ZN193" s="11"/>
      <c r="ZO193" s="11"/>
      <c r="ZP193" s="11"/>
      <c r="ZQ193" s="11"/>
      <c r="ZR193" s="11"/>
      <c r="ZS193" s="11"/>
      <c r="ZT193" s="11"/>
      <c r="ZU193" s="11"/>
      <c r="ZV193" s="11"/>
      <c r="ZW193" s="11"/>
      <c r="ZX193" s="11"/>
      <c r="ZY193" s="11"/>
      <c r="ZZ193" s="11"/>
      <c r="AAA193" s="11"/>
      <c r="AAB193" s="11"/>
      <c r="AAC193" s="11"/>
      <c r="AAD193" s="11"/>
      <c r="AAE193" s="11"/>
      <c r="AAF193" s="11"/>
      <c r="AAG193" s="11"/>
      <c r="AAH193" s="11"/>
      <c r="AAI193" s="11"/>
      <c r="AAJ193" s="11"/>
      <c r="AAK193" s="11"/>
      <c r="AAL193" s="11"/>
      <c r="AAM193" s="11"/>
      <c r="AAN193" s="11"/>
      <c r="AAO193" s="11"/>
      <c r="AAP193" s="11"/>
      <c r="AAQ193" s="11"/>
      <c r="AAR193" s="11"/>
      <c r="AAS193" s="11"/>
      <c r="AAT193" s="11"/>
      <c r="AAU193" s="11"/>
      <c r="AAV193" s="11"/>
      <c r="AAW193" s="11"/>
      <c r="AAX193" s="11"/>
      <c r="AAY193" s="11"/>
      <c r="AAZ193" s="11"/>
      <c r="ABA193" s="11"/>
      <c r="ABB193" s="11"/>
      <c r="ABC193" s="11"/>
      <c r="ABD193" s="11"/>
      <c r="ABE193" s="11"/>
      <c r="ABF193" s="11"/>
      <c r="ABG193" s="11"/>
      <c r="ABH193" s="11"/>
      <c r="ABI193" s="11"/>
      <c r="ABJ193" s="11"/>
      <c r="ABK193" s="11"/>
      <c r="ABL193" s="11"/>
      <c r="ABM193" s="11"/>
      <c r="ABN193" s="11"/>
      <c r="ABO193" s="11"/>
      <c r="ABP193" s="11"/>
      <c r="ABQ193" s="11"/>
      <c r="ABR193" s="11"/>
      <c r="ABS193" s="11"/>
      <c r="ABT193" s="11"/>
      <c r="ABU193" s="11"/>
      <c r="ABV193" s="11"/>
      <c r="ABW193" s="11"/>
      <c r="ABX193" s="11"/>
      <c r="ABY193" s="11"/>
      <c r="ABZ193" s="11"/>
      <c r="ACA193" s="11"/>
      <c r="ACB193" s="11"/>
      <c r="ACC193" s="11"/>
      <c r="ACD193" s="11"/>
      <c r="ACE193" s="11"/>
      <c r="ACF193" s="11"/>
      <c r="ACG193" s="11"/>
      <c r="ACH193" s="11"/>
      <c r="ACI193" s="11"/>
      <c r="ACJ193" s="11"/>
      <c r="ACK193" s="11"/>
      <c r="ACL193" s="11"/>
      <c r="ACM193" s="11"/>
      <c r="ACN193" s="11"/>
      <c r="ACO193" s="11"/>
      <c r="ACP193" s="11"/>
      <c r="ACQ193" s="11"/>
      <c r="ACR193" s="11"/>
      <c r="ACS193" s="11"/>
      <c r="ACT193" s="11"/>
      <c r="ACU193" s="11"/>
      <c r="ACV193" s="11"/>
      <c r="ACW193" s="11"/>
      <c r="ACX193" s="11"/>
      <c r="ACY193" s="11"/>
      <c r="ACZ193" s="11"/>
      <c r="ADA193" s="11"/>
      <c r="ADB193" s="11"/>
      <c r="ADC193" s="11"/>
      <c r="ADD193" s="11"/>
      <c r="ADE193" s="11"/>
      <c r="ADF193" s="11"/>
      <c r="ADG193" s="11"/>
      <c r="ADH193" s="11"/>
      <c r="ADI193" s="11"/>
      <c r="ADJ193" s="11"/>
      <c r="ADK193" s="11"/>
      <c r="ADL193" s="11"/>
      <c r="ADM193" s="11"/>
      <c r="ADN193" s="11"/>
      <c r="ADO193" s="11"/>
      <c r="ADP193" s="11"/>
      <c r="ADQ193" s="11"/>
      <c r="ADR193" s="11"/>
      <c r="ADS193" s="11"/>
      <c r="ADT193" s="11"/>
      <c r="ADU193" s="11"/>
      <c r="ADV193" s="11"/>
      <c r="ADW193" s="11"/>
      <c r="ADX193" s="11"/>
      <c r="ADY193" s="11"/>
      <c r="ADZ193" s="11"/>
      <c r="AEA193" s="11"/>
      <c r="AEB193" s="11"/>
      <c r="AEC193" s="11"/>
      <c r="AED193" s="11"/>
      <c r="AEE193" s="11"/>
      <c r="AEF193" s="11"/>
      <c r="AEG193" s="11"/>
      <c r="AEH193" s="11"/>
      <c r="AEI193" s="11"/>
      <c r="AEJ193" s="11"/>
      <c r="AEK193" s="11"/>
      <c r="AEL193" s="11"/>
      <c r="AEM193" s="11"/>
      <c r="AEN193" s="11"/>
      <c r="AEO193" s="11"/>
      <c r="AEP193" s="11"/>
      <c r="AEQ193" s="11"/>
      <c r="AER193" s="11"/>
      <c r="AES193" s="11"/>
      <c r="AET193" s="11"/>
      <c r="AEU193" s="11"/>
      <c r="AEV193" s="11"/>
      <c r="AEW193" s="11"/>
      <c r="AEX193" s="11"/>
      <c r="AEY193" s="11"/>
      <c r="AEZ193" s="11"/>
      <c r="AFA193" s="11"/>
      <c r="AFB193" s="11"/>
      <c r="AFC193" s="11"/>
      <c r="AFD193" s="11"/>
      <c r="AFE193" s="11"/>
      <c r="AFF193" s="11"/>
      <c r="AFG193" s="11"/>
      <c r="AFH193" s="11"/>
      <c r="AFI193" s="11"/>
    </row>
    <row r="194" spans="2:84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1"/>
      <c r="LV194" s="11"/>
      <c r="LW194" s="11"/>
      <c r="LX194" s="11"/>
      <c r="LY194" s="11"/>
      <c r="LZ194" s="11"/>
      <c r="MA194" s="11"/>
      <c r="MB194" s="11"/>
      <c r="MC194" s="11"/>
      <c r="MD194" s="11"/>
      <c r="ME194" s="11"/>
      <c r="MF194" s="11"/>
      <c r="MG194" s="11"/>
      <c r="MH194" s="11"/>
      <c r="MI194" s="11"/>
      <c r="MJ194" s="11"/>
      <c r="MK194" s="11"/>
      <c r="ML194" s="11"/>
      <c r="MM194" s="11"/>
      <c r="MN194" s="11"/>
      <c r="MO194" s="11"/>
      <c r="MP194" s="11"/>
      <c r="MQ194" s="11"/>
      <c r="MR194" s="11"/>
      <c r="MS194" s="11"/>
      <c r="MT194" s="11"/>
      <c r="MU194" s="11"/>
      <c r="MV194" s="11"/>
      <c r="MW194" s="11"/>
      <c r="MX194" s="11"/>
      <c r="MY194" s="11"/>
      <c r="MZ194" s="11"/>
      <c r="NA194" s="11"/>
      <c r="NB194" s="11"/>
      <c r="NC194" s="11"/>
      <c r="ND194" s="11"/>
      <c r="NE194" s="11"/>
      <c r="NF194" s="11"/>
      <c r="NG194" s="11"/>
      <c r="NH194" s="11"/>
      <c r="NI194" s="11"/>
      <c r="NJ194" s="11"/>
      <c r="NK194" s="11"/>
      <c r="NL194" s="11"/>
      <c r="NM194" s="11"/>
      <c r="NN194" s="11"/>
      <c r="NO194" s="11"/>
      <c r="NP194" s="11"/>
      <c r="NQ194" s="11"/>
      <c r="NR194" s="11"/>
      <c r="NS194" s="11"/>
      <c r="NT194" s="11"/>
      <c r="NU194" s="11"/>
      <c r="NV194" s="11"/>
      <c r="NW194" s="11"/>
      <c r="NX194" s="11"/>
      <c r="NY194" s="11"/>
      <c r="NZ194" s="11"/>
      <c r="OA194" s="11"/>
      <c r="OB194" s="11"/>
      <c r="OC194" s="11"/>
      <c r="OD194" s="11"/>
      <c r="OE194" s="11"/>
      <c r="OF194" s="11"/>
      <c r="OG194" s="11"/>
      <c r="OH194" s="11"/>
      <c r="OI194" s="11"/>
      <c r="OJ194" s="11"/>
      <c r="OK194" s="11"/>
      <c r="OL194" s="11"/>
      <c r="OM194" s="11"/>
      <c r="ON194" s="11"/>
      <c r="OO194" s="11"/>
      <c r="OP194" s="11"/>
      <c r="OQ194" s="11"/>
      <c r="OR194" s="11"/>
      <c r="OS194" s="11"/>
      <c r="OT194" s="11"/>
      <c r="OU194" s="11"/>
      <c r="OV194" s="11"/>
      <c r="OW194" s="11"/>
      <c r="OX194" s="11"/>
      <c r="OY194" s="11"/>
      <c r="OZ194" s="11"/>
      <c r="PA194" s="11"/>
      <c r="PB194" s="11"/>
      <c r="PC194" s="11"/>
      <c r="PD194" s="11"/>
      <c r="PE194" s="11"/>
      <c r="PF194" s="11"/>
      <c r="PG194" s="11"/>
      <c r="PH194" s="11"/>
      <c r="PI194" s="11"/>
      <c r="PJ194" s="11"/>
      <c r="PK194" s="11"/>
      <c r="PL194" s="11"/>
      <c r="PM194" s="11"/>
      <c r="PN194" s="11"/>
      <c r="PO194" s="11"/>
      <c r="PP194" s="11"/>
      <c r="PQ194" s="11"/>
      <c r="PR194" s="11"/>
      <c r="PS194" s="11"/>
      <c r="PT194" s="11"/>
      <c r="PU194" s="11"/>
      <c r="PV194" s="11"/>
      <c r="PW194" s="11"/>
      <c r="PX194" s="11"/>
      <c r="PY194" s="11"/>
      <c r="PZ194" s="11"/>
      <c r="QA194" s="11"/>
      <c r="QB194" s="11"/>
      <c r="QC194" s="11"/>
      <c r="QD194" s="11"/>
      <c r="QE194" s="11"/>
      <c r="QF194" s="11"/>
      <c r="QG194" s="11"/>
      <c r="QH194" s="11"/>
      <c r="QI194" s="11"/>
      <c r="QJ194" s="11"/>
      <c r="QK194" s="11"/>
      <c r="QL194" s="11"/>
      <c r="QM194" s="11"/>
      <c r="QN194" s="11"/>
      <c r="QO194" s="11"/>
      <c r="QP194" s="11"/>
      <c r="QQ194" s="11"/>
      <c r="QR194" s="11"/>
      <c r="QS194" s="11"/>
      <c r="QT194" s="11"/>
      <c r="QU194" s="11"/>
      <c r="QV194" s="11"/>
      <c r="QW194" s="11"/>
      <c r="QX194" s="11"/>
      <c r="QY194" s="11"/>
      <c r="QZ194" s="11"/>
      <c r="RA194" s="11"/>
      <c r="RB194" s="11"/>
      <c r="RC194" s="11"/>
      <c r="RD194" s="11"/>
      <c r="RE194" s="11"/>
      <c r="RF194" s="11"/>
      <c r="RG194" s="11"/>
      <c r="RH194" s="11"/>
      <c r="RI194" s="11"/>
      <c r="RJ194" s="11"/>
      <c r="RK194" s="11"/>
      <c r="RL194" s="11"/>
      <c r="RM194" s="11"/>
      <c r="RN194" s="11"/>
      <c r="RO194" s="11"/>
      <c r="RP194" s="11"/>
      <c r="RQ194" s="11"/>
      <c r="RR194" s="11"/>
      <c r="RS194" s="11"/>
      <c r="RT194" s="11"/>
      <c r="RU194" s="11"/>
      <c r="RV194" s="11"/>
      <c r="RW194" s="11"/>
      <c r="RX194" s="11"/>
      <c r="RY194" s="11"/>
      <c r="RZ194" s="11"/>
      <c r="SA194" s="11"/>
      <c r="SB194" s="11"/>
      <c r="SC194" s="11"/>
      <c r="SD194" s="11"/>
      <c r="SE194" s="11"/>
      <c r="SF194" s="11"/>
      <c r="SG194" s="11"/>
      <c r="SH194" s="11"/>
      <c r="SI194" s="11"/>
      <c r="SJ194" s="11"/>
      <c r="SK194" s="11"/>
      <c r="SL194" s="11"/>
      <c r="SM194" s="11"/>
      <c r="SN194" s="11"/>
      <c r="SO194" s="11"/>
      <c r="SP194" s="11"/>
      <c r="SQ194" s="11"/>
      <c r="SR194" s="11"/>
      <c r="SS194" s="11"/>
      <c r="ST194" s="11"/>
      <c r="SU194" s="11"/>
      <c r="SV194" s="11"/>
      <c r="SW194" s="11"/>
      <c r="SX194" s="11"/>
      <c r="SY194" s="11"/>
      <c r="SZ194" s="11"/>
      <c r="TA194" s="11"/>
      <c r="TB194" s="11"/>
      <c r="TC194" s="11"/>
      <c r="TD194" s="11"/>
      <c r="TE194" s="11"/>
      <c r="TF194" s="11"/>
      <c r="TG194" s="11"/>
      <c r="TH194" s="11"/>
      <c r="TI194" s="11"/>
      <c r="TJ194" s="11"/>
      <c r="TK194" s="11"/>
      <c r="TL194" s="11"/>
      <c r="TM194" s="11"/>
      <c r="TN194" s="11"/>
      <c r="TO194" s="11"/>
      <c r="TP194" s="11"/>
      <c r="TQ194" s="11"/>
      <c r="TR194" s="11"/>
      <c r="TS194" s="11"/>
      <c r="TT194" s="11"/>
      <c r="TU194" s="11"/>
      <c r="TV194" s="11"/>
      <c r="TW194" s="11"/>
      <c r="TX194" s="11"/>
      <c r="TY194" s="11"/>
      <c r="TZ194" s="11"/>
      <c r="UA194" s="11"/>
      <c r="UB194" s="11"/>
      <c r="UC194" s="11"/>
      <c r="UD194" s="11"/>
      <c r="UE194" s="11"/>
      <c r="UF194" s="11"/>
      <c r="UG194" s="11"/>
      <c r="UH194" s="11"/>
      <c r="UI194" s="11"/>
      <c r="UJ194" s="11"/>
      <c r="UK194" s="11"/>
      <c r="UL194" s="11"/>
      <c r="UM194" s="11"/>
      <c r="UN194" s="11"/>
      <c r="UO194" s="11"/>
      <c r="UP194" s="11"/>
      <c r="UQ194" s="11"/>
      <c r="UR194" s="11"/>
      <c r="US194" s="11"/>
      <c r="UT194" s="11"/>
      <c r="UU194" s="11"/>
      <c r="UV194" s="11"/>
      <c r="UW194" s="11"/>
      <c r="UX194" s="11"/>
      <c r="UY194" s="11"/>
      <c r="UZ194" s="11"/>
      <c r="VA194" s="11"/>
      <c r="VB194" s="11"/>
      <c r="VC194" s="11"/>
      <c r="VD194" s="11"/>
      <c r="VE194" s="11"/>
      <c r="VF194" s="11"/>
      <c r="VG194" s="11"/>
      <c r="VH194" s="11"/>
      <c r="VI194" s="11"/>
      <c r="VJ194" s="11"/>
      <c r="VK194" s="11"/>
      <c r="VL194" s="11"/>
      <c r="VM194" s="11"/>
      <c r="VN194" s="11"/>
      <c r="VO194" s="11"/>
      <c r="VP194" s="11"/>
      <c r="VQ194" s="11"/>
      <c r="VR194" s="11"/>
      <c r="VS194" s="11"/>
      <c r="VT194" s="11"/>
      <c r="VU194" s="11"/>
      <c r="VV194" s="11"/>
      <c r="VW194" s="11"/>
      <c r="VX194" s="11"/>
      <c r="VY194" s="11"/>
      <c r="VZ194" s="11"/>
      <c r="WA194" s="11"/>
      <c r="WB194" s="11"/>
      <c r="WC194" s="11"/>
      <c r="WD194" s="11"/>
      <c r="WE194" s="11"/>
      <c r="WF194" s="11"/>
      <c r="WG194" s="11"/>
      <c r="WH194" s="11"/>
      <c r="WI194" s="11"/>
      <c r="WJ194" s="11"/>
      <c r="WK194" s="11"/>
      <c r="WL194" s="11"/>
      <c r="WM194" s="11"/>
      <c r="WN194" s="11"/>
      <c r="WO194" s="11"/>
      <c r="WP194" s="11"/>
      <c r="WQ194" s="11"/>
      <c r="WR194" s="11"/>
      <c r="WS194" s="11"/>
      <c r="WT194" s="11"/>
      <c r="WU194" s="11"/>
      <c r="WV194" s="11"/>
      <c r="WW194" s="11"/>
      <c r="WX194" s="11"/>
      <c r="WY194" s="11"/>
      <c r="WZ194" s="11"/>
      <c r="XA194" s="11"/>
      <c r="XB194" s="11"/>
      <c r="XC194" s="11"/>
      <c r="XD194" s="11"/>
      <c r="XE194" s="11"/>
      <c r="XF194" s="11"/>
      <c r="XG194" s="11"/>
      <c r="XH194" s="11"/>
      <c r="XI194" s="11"/>
      <c r="XJ194" s="11"/>
      <c r="XK194" s="11"/>
      <c r="XL194" s="11"/>
      <c r="XM194" s="11"/>
      <c r="XN194" s="11"/>
      <c r="XO194" s="11"/>
      <c r="XP194" s="11"/>
      <c r="XQ194" s="11"/>
      <c r="XR194" s="11"/>
      <c r="XS194" s="11"/>
      <c r="XT194" s="11"/>
      <c r="XU194" s="11"/>
      <c r="XV194" s="11"/>
      <c r="XW194" s="11"/>
      <c r="XX194" s="11"/>
      <c r="XY194" s="11"/>
      <c r="XZ194" s="11"/>
      <c r="YA194" s="11"/>
      <c r="YB194" s="11"/>
      <c r="YC194" s="11"/>
      <c r="YD194" s="11"/>
      <c r="YE194" s="11"/>
      <c r="YF194" s="11"/>
      <c r="YG194" s="11"/>
      <c r="YH194" s="11"/>
      <c r="YI194" s="11"/>
      <c r="YJ194" s="11"/>
      <c r="YK194" s="11"/>
      <c r="YL194" s="11"/>
      <c r="YM194" s="11"/>
      <c r="YN194" s="11"/>
      <c r="YO194" s="11"/>
      <c r="YP194" s="11"/>
      <c r="YQ194" s="11"/>
      <c r="YR194" s="11"/>
      <c r="YS194" s="11"/>
      <c r="YT194" s="11"/>
      <c r="YU194" s="11"/>
      <c r="YV194" s="11"/>
      <c r="YW194" s="11"/>
      <c r="YX194" s="11"/>
      <c r="YY194" s="11"/>
      <c r="YZ194" s="11"/>
      <c r="ZA194" s="11"/>
      <c r="ZB194" s="11"/>
      <c r="ZC194" s="11"/>
      <c r="ZD194" s="11"/>
      <c r="ZE194" s="11"/>
      <c r="ZF194" s="11"/>
      <c r="ZG194" s="11"/>
      <c r="ZH194" s="11"/>
      <c r="ZI194" s="11"/>
      <c r="ZJ194" s="11"/>
      <c r="ZK194" s="11"/>
      <c r="ZL194" s="11"/>
      <c r="ZM194" s="11"/>
      <c r="ZN194" s="11"/>
      <c r="ZO194" s="11"/>
      <c r="ZP194" s="11"/>
      <c r="ZQ194" s="11"/>
      <c r="ZR194" s="11"/>
      <c r="ZS194" s="11"/>
      <c r="ZT194" s="11"/>
      <c r="ZU194" s="11"/>
      <c r="ZV194" s="11"/>
      <c r="ZW194" s="11"/>
      <c r="ZX194" s="11"/>
      <c r="ZY194" s="11"/>
      <c r="ZZ194" s="11"/>
      <c r="AAA194" s="11"/>
      <c r="AAB194" s="11"/>
      <c r="AAC194" s="11"/>
      <c r="AAD194" s="11"/>
      <c r="AAE194" s="11"/>
      <c r="AAF194" s="11"/>
      <c r="AAG194" s="11"/>
      <c r="AAH194" s="11"/>
      <c r="AAI194" s="11"/>
      <c r="AAJ194" s="11"/>
      <c r="AAK194" s="11"/>
      <c r="AAL194" s="11"/>
      <c r="AAM194" s="11"/>
      <c r="AAN194" s="11"/>
      <c r="AAO194" s="11"/>
      <c r="AAP194" s="11"/>
      <c r="AAQ194" s="11"/>
      <c r="AAR194" s="11"/>
      <c r="AAS194" s="11"/>
      <c r="AAT194" s="11"/>
      <c r="AAU194" s="11"/>
      <c r="AAV194" s="11"/>
      <c r="AAW194" s="11"/>
      <c r="AAX194" s="11"/>
      <c r="AAY194" s="11"/>
      <c r="AAZ194" s="11"/>
      <c r="ABA194" s="11"/>
      <c r="ABB194" s="11"/>
      <c r="ABC194" s="11"/>
      <c r="ABD194" s="11"/>
      <c r="ABE194" s="11"/>
      <c r="ABF194" s="11"/>
      <c r="ABG194" s="11"/>
      <c r="ABH194" s="11"/>
      <c r="ABI194" s="11"/>
      <c r="ABJ194" s="11"/>
      <c r="ABK194" s="11"/>
      <c r="ABL194" s="11"/>
      <c r="ABM194" s="11"/>
      <c r="ABN194" s="11"/>
      <c r="ABO194" s="11"/>
      <c r="ABP194" s="11"/>
      <c r="ABQ194" s="11"/>
      <c r="ABR194" s="11"/>
      <c r="ABS194" s="11"/>
      <c r="ABT194" s="11"/>
      <c r="ABU194" s="11"/>
      <c r="ABV194" s="11"/>
      <c r="ABW194" s="11"/>
      <c r="ABX194" s="11"/>
      <c r="ABY194" s="11"/>
      <c r="ABZ194" s="11"/>
      <c r="ACA194" s="11"/>
      <c r="ACB194" s="11"/>
      <c r="ACC194" s="11"/>
      <c r="ACD194" s="11"/>
      <c r="ACE194" s="11"/>
      <c r="ACF194" s="11"/>
      <c r="ACG194" s="11"/>
      <c r="ACH194" s="11"/>
      <c r="ACI194" s="11"/>
      <c r="ACJ194" s="11"/>
      <c r="ACK194" s="11"/>
      <c r="ACL194" s="11"/>
      <c r="ACM194" s="11"/>
      <c r="ACN194" s="11"/>
      <c r="ACO194" s="11"/>
      <c r="ACP194" s="11"/>
      <c r="ACQ194" s="11"/>
      <c r="ACR194" s="11"/>
      <c r="ACS194" s="11"/>
      <c r="ACT194" s="11"/>
      <c r="ACU194" s="11"/>
      <c r="ACV194" s="11"/>
      <c r="ACW194" s="11"/>
      <c r="ACX194" s="11"/>
      <c r="ACY194" s="11"/>
      <c r="ACZ194" s="11"/>
      <c r="ADA194" s="11"/>
      <c r="ADB194" s="11"/>
      <c r="ADC194" s="11"/>
      <c r="ADD194" s="11"/>
      <c r="ADE194" s="11"/>
      <c r="ADF194" s="11"/>
      <c r="ADG194" s="11"/>
      <c r="ADH194" s="11"/>
      <c r="ADI194" s="11"/>
      <c r="ADJ194" s="11"/>
      <c r="ADK194" s="11"/>
      <c r="ADL194" s="11"/>
      <c r="ADM194" s="11"/>
      <c r="ADN194" s="11"/>
      <c r="ADO194" s="11"/>
      <c r="ADP194" s="11"/>
      <c r="ADQ194" s="11"/>
      <c r="ADR194" s="11"/>
      <c r="ADS194" s="11"/>
      <c r="ADT194" s="11"/>
      <c r="ADU194" s="11"/>
      <c r="ADV194" s="11"/>
      <c r="ADW194" s="11"/>
      <c r="ADX194" s="11"/>
      <c r="ADY194" s="11"/>
      <c r="ADZ194" s="11"/>
      <c r="AEA194" s="11"/>
      <c r="AEB194" s="11"/>
      <c r="AEC194" s="11"/>
      <c r="AED194" s="11"/>
      <c r="AEE194" s="11"/>
      <c r="AEF194" s="11"/>
      <c r="AEG194" s="11"/>
      <c r="AEH194" s="11"/>
      <c r="AEI194" s="11"/>
      <c r="AEJ194" s="11"/>
      <c r="AEK194" s="11"/>
      <c r="AEL194" s="11"/>
      <c r="AEM194" s="11"/>
      <c r="AEN194" s="11"/>
      <c r="AEO194" s="11"/>
      <c r="AEP194" s="11"/>
      <c r="AEQ194" s="11"/>
      <c r="AER194" s="11"/>
      <c r="AES194" s="11"/>
      <c r="AET194" s="11"/>
      <c r="AEU194" s="11"/>
      <c r="AEV194" s="11"/>
      <c r="AEW194" s="11"/>
      <c r="AEX194" s="11"/>
      <c r="AEY194" s="11"/>
      <c r="AEZ194" s="11"/>
      <c r="AFA194" s="11"/>
      <c r="AFB194" s="11"/>
      <c r="AFC194" s="11"/>
      <c r="AFD194" s="11"/>
      <c r="AFE194" s="11"/>
      <c r="AFF194" s="11"/>
      <c r="AFG194" s="11"/>
      <c r="AFH194" s="11"/>
      <c r="AFI194" s="11"/>
    </row>
  </sheetData>
  <sheetProtection algorithmName="SHA-512" hashValue="LDoGPSE6MdpIDCxlBCm0emLsReh0BVekG91jcxF1RAqU9H8txfxMat8LgXMZNmXYwNitA7R8TU4+mHuOiTsDMg==" saltValue="SVWWKK3uWZ2GBLyQTkem9w==" spinCount="100000" sheet="1" objects="1" scenarios="1"/>
  <mergeCells count="15">
    <mergeCell ref="C122:D122"/>
    <mergeCell ref="C123:D123"/>
    <mergeCell ref="C99:C108"/>
    <mergeCell ref="C118:D118"/>
    <mergeCell ref="C119:D119"/>
    <mergeCell ref="C120:D120"/>
    <mergeCell ref="C121:D121"/>
    <mergeCell ref="C69:C78"/>
    <mergeCell ref="C79:C88"/>
    <mergeCell ref="C89:C98"/>
    <mergeCell ref="C12:C21"/>
    <mergeCell ref="C22:C31"/>
    <mergeCell ref="C32:C41"/>
    <mergeCell ref="C42:C51"/>
    <mergeCell ref="C52:C61"/>
  </mergeCells>
  <phoneticPr fontId="71" type="noConversion"/>
  <hyperlinks>
    <hyperlink ref="A21" location="Resultados!A1" display="Resultados agregados" xr:uid="{7CE13DA2-3F99-4416-92F5-2ADB904FDA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79EC40A9-9616-4A97-A608-8F86B26356F1}">
            <xm:f>M_Datos!$J$17="No"</xm:f>
            <x14:dxf>
              <font>
                <color theme="0" tint="-0.499984740745262"/>
              </font>
              <fill>
                <patternFill>
                  <bgColor theme="0" tint="-4.9989318521683403E-2"/>
                </patternFill>
              </fill>
            </x14:dxf>
          </x14:cfRule>
          <xm:sqref>E23:S31 E33:S41 E43:S51 E53:S61 E80:S88 E90:S98 E100:S108 E119:S122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ECAB-488E-4017-8039-018D217B5B3D}">
  <sheetPr>
    <tabColor theme="0"/>
  </sheetPr>
  <dimension ref="A1:AFI194"/>
  <sheetViews>
    <sheetView zoomScale="90" zoomScaleNormal="90" workbookViewId="0">
      <selection activeCell="D106" sqref="D106:D107"/>
    </sheetView>
  </sheetViews>
  <sheetFormatPr baseColWidth="10" defaultColWidth="11.5546875" defaultRowHeight="15.6"/>
  <cols>
    <col min="1" max="1" width="29.5546875" style="145" customWidth="1"/>
    <col min="2" max="2" width="11.5546875" style="1"/>
    <col min="3" max="3" width="25.33203125" style="1" customWidth="1"/>
    <col min="4" max="4" width="25.109375" style="1" customWidth="1"/>
    <col min="5" max="5" width="30.33203125" style="1" customWidth="1"/>
    <col min="6" max="6" width="22.109375" style="1" customWidth="1"/>
    <col min="7" max="7" width="21.6640625" style="1" customWidth="1"/>
    <col min="8" max="8" width="17" style="1" customWidth="1"/>
    <col min="9" max="9" width="16.33203125" style="1" customWidth="1"/>
    <col min="10" max="10" width="28.44140625" style="1" bestFit="1" customWidth="1"/>
    <col min="11" max="11" width="17" style="1" customWidth="1"/>
    <col min="12" max="12" width="20" style="1" customWidth="1"/>
    <col min="13" max="13" width="13.5546875" style="1" customWidth="1"/>
    <col min="14" max="14" width="19.5546875" style="1" customWidth="1"/>
    <col min="15" max="15" width="18.109375" style="1" customWidth="1"/>
    <col min="16" max="16" width="11.6640625" style="1" bestFit="1" customWidth="1"/>
    <col min="17" max="17" width="16" style="1" customWidth="1"/>
    <col min="18" max="18" width="19.109375" style="1" customWidth="1"/>
    <col min="19" max="20" width="11.6640625" style="1" bestFit="1" customWidth="1"/>
    <col min="21" max="21" width="16.5546875" style="1" bestFit="1" customWidth="1"/>
    <col min="22" max="16384" width="11.5546875" style="1"/>
  </cols>
  <sheetData>
    <row r="1" spans="1:841" s="136" customFormat="1" ht="30" customHeight="1">
      <c r="A1" s="1"/>
      <c r="B1" s="135"/>
    </row>
    <row r="2" spans="1:841" s="136" customFormat="1" ht="30" customHeight="1">
      <c r="A2" s="1"/>
      <c r="B2" s="135"/>
      <c r="C2" s="136" t="str">
        <f>IF(Idioma=Castellano,"6. Cálculos",IF(Idioma=Valencià,"4. Factors d'emissió","4. Factores de emisión"))</f>
        <v>6. Cálculos</v>
      </c>
    </row>
    <row r="3" spans="1:841" s="136" customFormat="1" ht="30" customHeight="1">
      <c r="A3" s="1"/>
      <c r="B3" s="135"/>
    </row>
    <row r="4" spans="1:841" s="257" customFormat="1" ht="14.4">
      <c r="A4" s="143"/>
      <c r="B4" s="254"/>
      <c r="C4" s="255"/>
      <c r="D4" s="256"/>
      <c r="E4" s="256"/>
      <c r="F4" s="256"/>
      <c r="G4" s="256"/>
      <c r="H4" s="256"/>
      <c r="I4" s="256"/>
      <c r="J4" s="254"/>
      <c r="K4" s="254"/>
      <c r="L4" s="254"/>
      <c r="M4" s="254"/>
      <c r="N4" s="254"/>
      <c r="O4" s="254"/>
      <c r="P4" s="254"/>
      <c r="Q4" s="254"/>
      <c r="R4" s="254"/>
      <c r="S4" s="254"/>
      <c r="T4" s="254"/>
      <c r="U4" s="254"/>
      <c r="V4" s="254"/>
    </row>
    <row r="5" spans="1:841" ht="14.4">
      <c r="A5" s="143"/>
      <c r="B5" s="11"/>
      <c r="C5" s="73"/>
      <c r="D5" s="12"/>
      <c r="E5" s="12"/>
      <c r="F5" s="12"/>
      <c r="G5" s="12"/>
      <c r="H5" s="12"/>
      <c r="I5" s="12"/>
      <c r="J5" s="11"/>
      <c r="K5" s="11"/>
      <c r="L5" s="11"/>
      <c r="M5" s="11"/>
      <c r="N5" s="11"/>
      <c r="O5" s="11"/>
      <c r="P5" s="11"/>
      <c r="Q5" s="11"/>
      <c r="R5" s="11"/>
      <c r="S5" s="11"/>
      <c r="T5" s="11"/>
      <c r="U5" s="11"/>
      <c r="V5" s="11"/>
    </row>
    <row r="6" spans="1:841">
      <c r="A6" s="201" t="str">
        <f>IF(Idioma=Castellano,"Índice",IF(Idioma=Valencià,"Índex","Índice"))</f>
        <v>Índice</v>
      </c>
      <c r="B6" s="11"/>
      <c r="C6" s="12"/>
      <c r="D6" s="12"/>
      <c r="E6" s="12"/>
      <c r="F6" s="12"/>
      <c r="G6" s="12"/>
      <c r="H6" s="12"/>
      <c r="I6" s="12"/>
      <c r="J6" s="12"/>
      <c r="K6" s="12"/>
      <c r="L6" s="12"/>
      <c r="M6" s="12"/>
      <c r="N6" s="12"/>
      <c r="O6" s="12"/>
      <c r="P6" s="12"/>
      <c r="Q6" s="12"/>
      <c r="R6" s="12"/>
      <c r="S6" s="12"/>
      <c r="T6" s="12"/>
      <c r="U6" s="12"/>
      <c r="V6" s="12"/>
    </row>
    <row r="7" spans="1:841" ht="14.4">
      <c r="A7" s="202" t="str">
        <f>IF(Idioma=Castellano,"Instrucciones",IF(Idioma=Valencià,"Instruccions","Instrucciones"))</f>
        <v>Instrucciones</v>
      </c>
      <c r="B7" s="11"/>
      <c r="C7" s="176"/>
      <c r="D7" s="505"/>
      <c r="E7" s="505"/>
      <c r="F7" s="505"/>
      <c r="G7" s="505"/>
      <c r="H7" s="505"/>
      <c r="I7" s="12"/>
      <c r="J7" s="176"/>
      <c r="K7" s="505"/>
      <c r="L7" s="505"/>
      <c r="M7" s="505"/>
      <c r="N7" s="505"/>
      <c r="O7" s="12"/>
      <c r="P7" s="12"/>
      <c r="Q7" s="12"/>
      <c r="R7" s="12"/>
      <c r="S7" s="12"/>
      <c r="T7" s="12"/>
      <c r="U7" s="12"/>
      <c r="V7" s="12"/>
    </row>
    <row r="8" spans="1:841" ht="14.4">
      <c r="A8" s="202" t="str">
        <f>IF(Idioma=Castellano,"Sección de Mitigación",IF(Idioma=Valencià,"Secció de Mitigació", "Sección de Mitigación"))</f>
        <v>Sección de Mitigación</v>
      </c>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row>
    <row r="9" spans="1:841" ht="14.4">
      <c r="A9" s="204" t="str">
        <f>IF(Idioma=Castellano,"1. Datos de entrada",IF(Idioma=Valencià,"1.Dades d'entrada","1. Datos de entrada"))</f>
        <v>1. Datos de entrada</v>
      </c>
      <c r="B9" s="11"/>
      <c r="C9" s="246" t="s">
        <v>890</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row>
    <row r="10" spans="1:841" ht="14.4">
      <c r="A10" s="204" t="str">
        <f>IF(Idioma=Castellano,"2. Cálculo de Alternativas:",IF(Idioma=Valencià,"2. Càlcul d'alternatives :","2. Cálculo de Alternativas:"))</f>
        <v>2. Cálculo de Alternativas:</v>
      </c>
      <c r="B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row>
    <row r="11" spans="1:841" ht="14.4">
      <c r="A11" s="205" t="s">
        <v>1</v>
      </c>
      <c r="B11" s="11"/>
      <c r="D11" s="47"/>
      <c r="E11" s="500" t="s">
        <v>23</v>
      </c>
      <c r="F11" s="501"/>
      <c r="G11" s="502"/>
      <c r="H11" s="496" t="s">
        <v>31</v>
      </c>
      <c r="I11" s="497"/>
      <c r="J11" s="498"/>
      <c r="K11" s="496" t="s">
        <v>36</v>
      </c>
      <c r="L11" s="497"/>
      <c r="M11" s="498"/>
      <c r="N11" s="496" t="s">
        <v>39</v>
      </c>
      <c r="O11" s="497"/>
      <c r="P11" s="498"/>
      <c r="Q11" s="496" t="s">
        <v>42</v>
      </c>
      <c r="R11" s="497"/>
      <c r="S11" s="498"/>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row>
    <row r="12" spans="1:841" ht="14.4">
      <c r="A12" s="205" t="s">
        <v>2</v>
      </c>
      <c r="B12" s="11"/>
      <c r="C12" s="657" t="s">
        <v>607</v>
      </c>
      <c r="D12" s="289" t="s">
        <v>622</v>
      </c>
      <c r="E12" s="503" t="s">
        <v>623</v>
      </c>
      <c r="F12" s="503" t="s">
        <v>919</v>
      </c>
      <c r="G12" s="503" t="s">
        <v>624</v>
      </c>
      <c r="H12" s="503" t="s">
        <v>623</v>
      </c>
      <c r="I12" s="503" t="s">
        <v>919</v>
      </c>
      <c r="J12" s="503" t="s">
        <v>624</v>
      </c>
      <c r="K12" s="503" t="s">
        <v>623</v>
      </c>
      <c r="L12" s="503" t="s">
        <v>919</v>
      </c>
      <c r="M12" s="503" t="s">
        <v>624</v>
      </c>
      <c r="N12" s="503" t="s">
        <v>623</v>
      </c>
      <c r="O12" s="503" t="s">
        <v>919</v>
      </c>
      <c r="P12" s="503" t="s">
        <v>624</v>
      </c>
      <c r="Q12" s="503" t="s">
        <v>623</v>
      </c>
      <c r="R12" s="503" t="s">
        <v>919</v>
      </c>
      <c r="S12" s="503" t="s">
        <v>624</v>
      </c>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row>
    <row r="13" spans="1:841" ht="14.4">
      <c r="A13" s="205" t="s">
        <v>3</v>
      </c>
      <c r="B13" s="11"/>
      <c r="C13" s="657"/>
      <c r="D13" s="289" t="str">
        <f>IF(Idioma=Castellano,"Existente",IF(Idioma=Valencià,"Existent","Existente"))</f>
        <v>Existente</v>
      </c>
      <c r="E13" s="311">
        <f>SUMIFS(M_Datos!$N$56:$N$58,M_Datos!$O$56:$O$58,M_Lista!G17,M_Datos!$M$56:$M$58,M_Lista!$J$3)</f>
        <v>0</v>
      </c>
      <c r="F13" s="312">
        <f>IF(AND(M_FactoresComplement!$G$6="No",M_FactoresComplement!$G$8="No"),M_Cálculos_ND!E13*M_Factores!$D$213,IF(AND(M_FactoresComplement!$G$6="Sí",M_FactoresComplement!$G$8="No"),E13*M_FactoresComplement!$G43,E13*VLOOKUP(M_FactoresComplement!$C$43&amp;M_Datos!$E$12&amp;M_Lista!G17,M_FactoresComplement!$F$15:$I$434,2,FALSE)))</f>
        <v>0</v>
      </c>
      <c r="G13" s="313">
        <f>IF(AND(M_FactoresComplement!$G$6="No",M_FactoresComplement!$G$8="No"),M_Cálculos_ND!E13*M_Factores!$E$213,IF(AND(M_FactoresComplement!$G$6="Sí",M_FactoresComplement!$G$8="No"),E13*M_FactoresComplement!$H$43,E13*VLOOKUP(M_FactoresComplement!$C$43&amp;M_Datos!$E$12&amp;M_Lista!G17,M_FactoresComplement!$F$15:$I$434,3,FALSE)))</f>
        <v>0</v>
      </c>
      <c r="H13" s="311">
        <f>SUMIFS(M_Datos!$P$56:$P$58,M_Datos!$Q$56:$Q$58,M_Lista!G17,M_Datos!$M$56:$M$58,M_Lista!$J$3)</f>
        <v>0</v>
      </c>
      <c r="I13" s="312">
        <f>IF(AND(M_FactoresComplement!$G$6="No",M_FactoresComplement!$G$8="No"),M_Cálculos_ND!H13*M_Factores!$D$213,IF(AND(M_FactoresComplement!$G$6="Sí",M_FactoresComplement!$G$8="No"),H13*M_FactoresComplement!$G$43,H13*VLOOKUP(M_FactoresComplement!$C$43&amp;M_Datos!$E$12&amp;M_Lista!G17,M_FactoresComplement!$F$15:$I$434,2,FALSE)))</f>
        <v>0</v>
      </c>
      <c r="J13" s="313">
        <f>IF(AND(M_FactoresComplement!$G$6="No",M_FactoresComplement!$G$8="No"),M_Cálculos_ND!H13*M_Factores!$E$213,IF(AND(M_FactoresComplement!$G$6="Sí",M_FactoresComplement!$G$8="No"),H13*M_FactoresComplement!$H$43,H13*VLOOKUP(M_FactoresComplement!$C$43&amp;M_Datos!$E$12&amp;M_Lista!G17,M_FactoresComplement!$F$15:$I$434,3,FALSE)))</f>
        <v>0</v>
      </c>
      <c r="K13" s="311">
        <f>SUMIFS(M_Datos!$R$56:$R$58,M_Datos!$S$56:$S$58,M_Lista!G17,M_Datos!$M$56:$M$58,M_Lista!$J$3)</f>
        <v>0</v>
      </c>
      <c r="L13" s="312">
        <f>IF(AND(M_FactoresComplement!$G$6="No",M_FactoresComplement!$G$8="No"),M_Cálculos_ND!K13*M_Factores!$D$213,IF(AND(M_FactoresComplement!$G$6="Sí",M_FactoresComplement!$G$8="No"),K13*M_FactoresComplement!$G$43,K13*VLOOKUP(M_FactoresComplement!$C$43&amp;M_Datos!$E$12&amp;M_Lista!G17,M_FactoresComplement!$F$15:$I$434,2,FALSE)))</f>
        <v>0</v>
      </c>
      <c r="M13" s="313">
        <f>IF(AND(M_FactoresComplement!$G$6="No",M_FactoresComplement!$G$8="No"),M_Cálculos_ND!K13*M_Factores!$E$213,IF(AND(M_FactoresComplement!$G$6="Sí",M_FactoresComplement!$G$8="No"),K13*M_FactoresComplement!$H$43,K13*VLOOKUP(M_FactoresComplement!$C$43&amp;M_Datos!$E$12&amp;M_Lista!G17,M_FactoresComplement!$F$15:$I$434,3,FALSE)))</f>
        <v>0</v>
      </c>
      <c r="N13" s="311">
        <f>SUMIFS(M_Datos!$T$56:$T$58,M_Datos!$U$56:$U$58,M_Lista!G17,M_Datos!$M$56:$M$58,M_Lista!$J$3)</f>
        <v>0</v>
      </c>
      <c r="O13" s="312">
        <f>IF(AND(M_FactoresComplement!$G$6="No",M_FactoresComplement!$G$8="No"),M_Cálculos_ND!N13*M_Factores!$D$213,IF(AND(M_FactoresComplement!$G$6="Sí",M_FactoresComplement!$G$8="No"),N13*M_FactoresComplement!$G$43,N13*VLOOKUP(M_FactoresComplement!$C$43&amp;M_Datos!$E$12&amp;M_Lista!G17,M_FactoresComplement!$F$15:$I$434,2,FALSE)))</f>
        <v>0</v>
      </c>
      <c r="P13" s="313">
        <f>IF(AND(M_FactoresComplement!$G$6="No",M_FactoresComplement!$G$8="No"),M_Cálculos_ND!N13*M_Factores!$D$213,IF(AND(M_FactoresComplement!$G$6="Sí",M_FactoresComplement!$G$8="No"),N13*M_FactoresComplement!$H$43,N13*VLOOKUP(M_FactoresComplement!$C$43&amp;M_Datos!$E$12&amp;M_Lista!G17,M_FactoresComplement!$F$15:$I$434,3,FALSE)))</f>
        <v>0</v>
      </c>
      <c r="Q13" s="311">
        <f>SUMIFS(M_Datos!$V$56:$V$58,M_Datos!$W$56:$W$58,M_Lista!G17,M_Datos!$M$56:$M$58,M_Lista!$J$3)</f>
        <v>0</v>
      </c>
      <c r="R13" s="312">
        <f>IF(AND(M_FactoresComplement!$G$6="No",M_FactoresComplement!$G$8="No"),M_Cálculos_ND!Q13*M_Factores!$D$213,IF(AND(M_FactoresComplement!$G$6="Sí",M_FactoresComplement!$G$8="No"),Q13*M_FactoresComplement!$G$43,Q13*VLOOKUP(M_FactoresComplement!$C$43&amp;M_Datos!$E$12&amp;M_Lista!G17,M_FactoresComplement!$F$15:$I$434,2,FALSE)))</f>
        <v>0</v>
      </c>
      <c r="S13" s="313">
        <f>IF(AND(M_FactoresComplement!$G$6="No",M_FactoresComplement!$G$8="No"),M_Cálculos_ND!Q13*M_Factores!$D$213,IF(AND(M_FactoresComplement!$G$6="Sí",M_FactoresComplement!$G$8="No"),Q13*M_FactoresComplement!$H$43,Q13*VLOOKUP(M_FactoresComplement!$C$43&amp;M_Datos!$E$12&amp;M_Lista!G17,M_FactoresComplement!$F$15:$I$434,3,FALSE)))</f>
        <v>0</v>
      </c>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row>
    <row r="14" spans="1:841" ht="14.4">
      <c r="A14" s="205" t="s">
        <v>4</v>
      </c>
      <c r="B14" s="11"/>
      <c r="C14" s="657"/>
      <c r="D14" s="289" t="s">
        <v>625</v>
      </c>
      <c r="E14" s="311">
        <f>SUMIFS(M_Datos!$N$56:$N$58,M_Datos!$O$56:$O$58,M_Lista!G18,M_Datos!$M$56:$M$58,M_Lista!$J$3)</f>
        <v>0</v>
      </c>
      <c r="F14" s="312">
        <f>IF(AND(M_FactoresComplement!$G$6="No",M_FactoresComplement!$G$8="No"),M_Cálculos_ND!E14*M_Factores!$D$213,IF(AND(M_FactoresComplement!$G$6="Sí",M_FactoresComplement!$G$8="No"),E14*M_FactoresComplement!$G44,E14*VLOOKUP(M_FactoresComplement!$C$43&amp;M_Datos!$E$12&amp;M_Lista!G18,M_FactoresComplement!$F$15:$I$434,2,FALSE)))</f>
        <v>0</v>
      </c>
      <c r="G14" s="313">
        <f>IF(AND(M_FactoresComplement!$G$6="No",M_FactoresComplement!$G$8="No"),M_Cálculos_ND!E14*M_Factores!$E$213,IF(AND(M_FactoresComplement!$G$6="Sí",M_FactoresComplement!$G$8="No"),E14*M_FactoresComplement!$H$43,E14*VLOOKUP(M_FactoresComplement!$C$43&amp;M_Datos!$E$12&amp;M_Lista!G18,M_FactoresComplement!$F$15:$I$434,3,FALSE)))</f>
        <v>0</v>
      </c>
      <c r="H14" s="311">
        <f>SUMIFS(M_Datos!$P$56:$P$58,M_Datos!$Q$56:$Q$58,M_Lista!G18,M_Datos!$M$56:$M$58,M_Lista!$J$3)</f>
        <v>0</v>
      </c>
      <c r="I14" s="312">
        <f>IF(AND(M_FactoresComplement!$G$6="No",M_FactoresComplement!$G$8="No"),M_Cálculos_ND!H14*M_Factores!$D$213,IF(AND(M_FactoresComplement!$G$6="Sí",M_FactoresComplement!$G$8="No"),H14*M_FactoresComplement!$G$43,H14*VLOOKUP(M_FactoresComplement!$C$43&amp;M_Datos!$E$12&amp;M_Lista!G18,M_FactoresComplement!$F$15:$I$434,2,FALSE)))</f>
        <v>0</v>
      </c>
      <c r="J14" s="313">
        <f>IF(AND(M_FactoresComplement!$G$6="No",M_FactoresComplement!$G$8="No"),M_Cálculos_ND!H14*M_Factores!$E$213,IF(AND(M_FactoresComplement!$G$6="Sí",M_FactoresComplement!$G$8="No"),H14*M_FactoresComplement!$H$43,H14*VLOOKUP(M_FactoresComplement!$C$43&amp;M_Datos!$E$12&amp;M_Lista!G18,M_FactoresComplement!$F$15:$I$434,3,FALSE)))</f>
        <v>0</v>
      </c>
      <c r="K14" s="311">
        <f>SUMIFS(M_Datos!$R$56:$R$58,M_Datos!$S$56:$S$58,M_Lista!G18,M_Datos!$M$56:$M$58,M_Lista!$J$3)</f>
        <v>0</v>
      </c>
      <c r="L14" s="312">
        <f>IF(AND(M_FactoresComplement!$G$6="No",M_FactoresComplement!$G$8="No"),M_Cálculos_ND!K14*M_Factores!$D$213,IF(AND(M_FactoresComplement!$G$6="Sí",M_FactoresComplement!$G$8="No"),K14*M_FactoresComplement!$G$43,K14*VLOOKUP(M_FactoresComplement!$C$43&amp;M_Datos!$E$12&amp;M_Lista!G18,M_FactoresComplement!$F$15:$I$434,2,FALSE)))</f>
        <v>0</v>
      </c>
      <c r="M14" s="313">
        <f>IF(AND(M_FactoresComplement!$G$6="No",M_FactoresComplement!$G$8="No"),M_Cálculos_ND!K14*M_Factores!$E$213,IF(AND(M_FactoresComplement!$G$6="Sí",M_FactoresComplement!$G$8="No"),K14*M_FactoresComplement!$H$43,K14*VLOOKUP(M_FactoresComplement!$C$43&amp;M_Datos!$E$12&amp;M_Lista!G18,M_FactoresComplement!$F$15:$I$434,3,FALSE)))</f>
        <v>0</v>
      </c>
      <c r="N14" s="311">
        <f>SUMIFS(M_Datos!$T$56:$T$58,M_Datos!$U$56:$U$58,M_Lista!G18,M_Datos!$M$56:$M$58,M_Lista!$J$3)</f>
        <v>0</v>
      </c>
      <c r="O14" s="312">
        <f>IF(AND(M_FactoresComplement!$G$6="No",M_FactoresComplement!$G$8="No"),M_Cálculos_ND!N14*M_Factores!$D$213,IF(AND(M_FactoresComplement!$G$6="Sí",M_FactoresComplement!$G$8="No"),N14*M_FactoresComplement!$G$43,N14*VLOOKUP(M_FactoresComplement!$C$43&amp;M_Datos!$E$12&amp;M_Lista!G18,M_FactoresComplement!$F$15:$I$434,2,FALSE)))</f>
        <v>0</v>
      </c>
      <c r="P14" s="313">
        <f>IF(AND(M_FactoresComplement!$G$6="No",M_FactoresComplement!$G$8="No"),M_Cálculos_ND!N14*M_Factores!$D$213,IF(AND(M_FactoresComplement!$G$6="Sí",M_FactoresComplement!$G$8="No"),N14*M_FactoresComplement!$H$43,N14*VLOOKUP(M_FactoresComplement!$C$43&amp;M_Datos!$E$12&amp;M_Lista!G18,M_FactoresComplement!$F$15:$I$434,3,FALSE)))</f>
        <v>0</v>
      </c>
      <c r="Q14" s="311">
        <f>SUMIFS(M_Datos!$V$56:$V$58,M_Datos!$W$56:$W$58,M_Lista!G18,M_Datos!$M$56:$M$58,M_Lista!$J$3)</f>
        <v>0</v>
      </c>
      <c r="R14" s="312">
        <f>IF(AND(M_FactoresComplement!$G$6="No",M_FactoresComplement!$G$8="No"),M_Cálculos_ND!Q14*M_Factores!$D$213,IF(AND(M_FactoresComplement!$G$6="Sí",M_FactoresComplement!$G$8="No"),Q14*M_FactoresComplement!$G$43,Q14*VLOOKUP(M_FactoresComplement!$C$43&amp;M_Datos!$E$12&amp;M_Lista!G18,M_FactoresComplement!$F$15:$I$434,2,FALSE)))</f>
        <v>0</v>
      </c>
      <c r="S14" s="313">
        <f>IF(AND(M_FactoresComplement!$G$6="No",M_FactoresComplement!$G$8="No"),M_Cálculos_ND!Q14*M_Factores!$D$213,IF(AND(M_FactoresComplement!$G$6="Sí",M_FactoresComplement!$G$8="No"),Q14*M_FactoresComplement!$H$43,Q14*VLOOKUP(M_FactoresComplement!$C$43&amp;M_Datos!$E$12&amp;M_Lista!G18,M_FactoresComplement!$F$15:$I$434,3,FALSE)))</f>
        <v>0</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row>
    <row r="15" spans="1:841" ht="14.4">
      <c r="A15" s="205" t="s">
        <v>5</v>
      </c>
      <c r="B15" s="11"/>
      <c r="C15" s="657"/>
      <c r="D15" s="289" t="s">
        <v>626</v>
      </c>
      <c r="E15" s="311">
        <f>SUMIFS(M_Datos!$N$56:$N$58,M_Datos!$O$56:$O$58,M_Lista!G19,M_Datos!$M$56:$M$58,M_Lista!$J$3)</f>
        <v>0</v>
      </c>
      <c r="F15" s="312">
        <f>IF(AND(M_FactoresComplement!$G$6="No",M_FactoresComplement!$G$8="No"),M_Cálculos_ND!E15*M_Factores!$D$213,IF(AND(M_FactoresComplement!$G$6="Sí",M_FactoresComplement!$G$8="No"),E15*M_FactoresComplement!$G45,E15*VLOOKUP(M_FactoresComplement!$C$43&amp;M_Datos!$E$12&amp;M_Lista!G19,M_FactoresComplement!$F$15:$I$434,2,FALSE)))</f>
        <v>0</v>
      </c>
      <c r="G15" s="313">
        <f>IF(AND(M_FactoresComplement!$G$6="No",M_FactoresComplement!$G$8="No"),M_Cálculos_ND!E15*M_Factores!$E$213,IF(AND(M_FactoresComplement!$G$6="Sí",M_FactoresComplement!$G$8="No"),E15*M_FactoresComplement!$H$43,E15*VLOOKUP(M_FactoresComplement!$C$43&amp;M_Datos!$E$12&amp;M_Lista!G19,M_FactoresComplement!$F$15:$I$434,3,FALSE)))</f>
        <v>0</v>
      </c>
      <c r="H15" s="311">
        <f>SUMIFS(M_Datos!$P$56:$P$58,M_Datos!$Q$56:$Q$58,M_Lista!G19,M_Datos!$M$56:$M$58,M_Lista!$J$3)</f>
        <v>0</v>
      </c>
      <c r="I15" s="312">
        <f>IF(AND(M_FactoresComplement!$G$6="No",M_FactoresComplement!$G$8="No"),M_Cálculos_ND!H15*M_Factores!$D$213,IF(AND(M_FactoresComplement!$G$6="Sí",M_FactoresComplement!$G$8="No"),H15*M_FactoresComplement!$G$43,H15*VLOOKUP(M_FactoresComplement!$C$43&amp;M_Datos!$E$12&amp;M_Lista!G19,M_FactoresComplement!$F$15:$I$434,2,FALSE)))</f>
        <v>0</v>
      </c>
      <c r="J15" s="313">
        <f>IF(AND(M_FactoresComplement!$G$6="No",M_FactoresComplement!$G$8="No"),M_Cálculos_ND!H15*M_Factores!$E$213,IF(AND(M_FactoresComplement!$G$6="Sí",M_FactoresComplement!$G$8="No"),H15*M_FactoresComplement!$H$43,H15*VLOOKUP(M_FactoresComplement!$C$43&amp;M_Datos!$E$12&amp;M_Lista!G19,M_FactoresComplement!$F$15:$I$434,3,FALSE)))</f>
        <v>0</v>
      </c>
      <c r="K15" s="311">
        <f>SUMIFS(M_Datos!$R$56:$R$58,M_Datos!$S$56:$S$58,M_Lista!G19,M_Datos!$M$56:$M$58,M_Lista!$J$3)</f>
        <v>0</v>
      </c>
      <c r="L15" s="312">
        <f>IF(AND(M_FactoresComplement!$G$6="No",M_FactoresComplement!$G$8="No"),M_Cálculos_ND!K15*M_Factores!$D$213,IF(AND(M_FactoresComplement!$G$6="Sí",M_FactoresComplement!$G$8="No"),K15*M_FactoresComplement!$G$43,K15*VLOOKUP(M_FactoresComplement!$C$43&amp;M_Datos!$E$12&amp;M_Lista!G19,M_FactoresComplement!$F$15:$I$434,2,FALSE)))</f>
        <v>0</v>
      </c>
      <c r="M15" s="313">
        <f>IF(AND(M_FactoresComplement!$G$6="No",M_FactoresComplement!$G$8="No"),M_Cálculos_ND!K15*M_Factores!$E$213,IF(AND(M_FactoresComplement!$G$6="Sí",M_FactoresComplement!$G$8="No"),K15*M_FactoresComplement!$H$43,K15*VLOOKUP(M_FactoresComplement!$C$43&amp;M_Datos!$E$12&amp;M_Lista!G19,M_FactoresComplement!$F$15:$I$434,3,FALSE)))</f>
        <v>0</v>
      </c>
      <c r="N15" s="311">
        <f>SUMIFS(M_Datos!$T$56:$T$58,M_Datos!$U$56:$U$58,M_Lista!G19,M_Datos!$M$56:$M$58,M_Lista!$J$3)</f>
        <v>0</v>
      </c>
      <c r="O15" s="312">
        <f>IF(AND(M_FactoresComplement!$G$6="No",M_FactoresComplement!$G$8="No"),M_Cálculos_ND!N15*M_Factores!$D$213,IF(AND(M_FactoresComplement!$G$6="Sí",M_FactoresComplement!$G$8="No"),N15*M_FactoresComplement!$G$43,N15*VLOOKUP(M_FactoresComplement!$C$43&amp;M_Datos!$E$12&amp;M_Lista!G19,M_FactoresComplement!$F$15:$I$434,2,FALSE)))</f>
        <v>0</v>
      </c>
      <c r="P15" s="313">
        <f>IF(AND(M_FactoresComplement!$G$6="No",M_FactoresComplement!$G$8="No"),M_Cálculos_ND!N15*M_Factores!$D$213,IF(AND(M_FactoresComplement!$G$6="Sí",M_FactoresComplement!$G$8="No"),N15*M_FactoresComplement!$H$43,N15*VLOOKUP(M_FactoresComplement!$C$43&amp;M_Datos!$E$12&amp;M_Lista!G19,M_FactoresComplement!$F$15:$I$434,3,FALSE)))</f>
        <v>0</v>
      </c>
      <c r="Q15" s="311">
        <f>SUMIFS(M_Datos!$V$56:$V$58,M_Datos!$W$56:$W$58,M_Lista!G19,M_Datos!$M$56:$M$58,M_Lista!$J$3)</f>
        <v>0</v>
      </c>
      <c r="R15" s="312">
        <f>IF(AND(M_FactoresComplement!$G$6="No",M_FactoresComplement!$G$8="No"),M_Cálculos_ND!Q15*M_Factores!$D$213,IF(AND(M_FactoresComplement!$G$6="Sí",M_FactoresComplement!$G$8="No"),Q15*M_FactoresComplement!$G$43,Q15*VLOOKUP(M_FactoresComplement!$C$43&amp;M_Datos!$E$12&amp;M_Lista!G19,M_FactoresComplement!$F$15:$I$434,2,FALSE)))</f>
        <v>0</v>
      </c>
      <c r="S15" s="313">
        <f>IF(AND(M_FactoresComplement!$G$6="No",M_FactoresComplement!$G$8="No"),M_Cálculos_ND!Q15*M_Factores!$D$213,IF(AND(M_FactoresComplement!$G$6="Sí",M_FactoresComplement!$G$8="No"),Q15*M_FactoresComplement!$H$43,Q15*VLOOKUP(M_FactoresComplement!$C$43&amp;M_Datos!$E$12&amp;M_Lista!G19,M_FactoresComplement!$F$15:$I$434,3,FALSE)))</f>
        <v>0</v>
      </c>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row>
    <row r="16" spans="1:841" ht="14.4">
      <c r="A16" s="204" t="str">
        <f>IF(Idioma=Castellano,"3. Resultados",IF(Idioma=Valencià,"3. Resultats","3. Resultados"))</f>
        <v>3. Resultados</v>
      </c>
      <c r="B16" s="11"/>
      <c r="C16" s="657"/>
      <c r="D16" s="289" t="s">
        <v>627</v>
      </c>
      <c r="E16" s="311">
        <f>SUMIFS(M_Datos!$N$56:$N$58,M_Datos!$O$56:$O$58,M_Lista!G20,M_Datos!$M$56:$M$58,M_Lista!$J$3)</f>
        <v>0</v>
      </c>
      <c r="F16" s="312">
        <f>IF(AND(M_FactoresComplement!$G$6="No",M_FactoresComplement!$G$8="No"),M_Cálculos_ND!E16*M_Factores!$D$213,IF(AND(M_FactoresComplement!$G$6="Sí",M_FactoresComplement!$G$8="No"),E16*M_FactoresComplement!$G46,E16*VLOOKUP(M_FactoresComplement!$C$43&amp;M_Datos!$E$12&amp;M_Lista!G20,M_FactoresComplement!$F$15:$I$434,2,FALSE)))</f>
        <v>0</v>
      </c>
      <c r="G16" s="313">
        <f>IF(AND(M_FactoresComplement!$G$6="No",M_FactoresComplement!$G$8="No"),M_Cálculos_ND!E16*M_Factores!$E$213,IF(AND(M_FactoresComplement!$G$6="Sí",M_FactoresComplement!$G$8="No"),E16*M_FactoresComplement!$H$43,E16*VLOOKUP(M_FactoresComplement!$C$43&amp;M_Datos!$E$12&amp;M_Lista!G20,M_FactoresComplement!$F$15:$I$434,3,FALSE)))</f>
        <v>0</v>
      </c>
      <c r="H16" s="311">
        <f>SUMIFS(M_Datos!$P$56:$P$58,M_Datos!$Q$56:$Q$58,M_Lista!G20,M_Datos!$M$56:$M$58,M_Lista!$J$3)</f>
        <v>0</v>
      </c>
      <c r="I16" s="312">
        <f>IF(AND(M_FactoresComplement!$G$6="No",M_FactoresComplement!$G$8="No"),M_Cálculos_ND!H16*M_Factores!$D$213,IF(AND(M_FactoresComplement!$G$6="Sí",M_FactoresComplement!$G$8="No"),H16*M_FactoresComplement!$G$43,H16*VLOOKUP(M_FactoresComplement!$C$43&amp;M_Datos!$E$12&amp;M_Lista!G20,M_FactoresComplement!$F$15:$I$434,2,FALSE)))</f>
        <v>0</v>
      </c>
      <c r="J16" s="313">
        <f>IF(AND(M_FactoresComplement!$G$6="No",M_FactoresComplement!$G$8="No"),M_Cálculos_ND!H16*M_Factores!$E$213,IF(AND(M_FactoresComplement!$G$6="Sí",M_FactoresComplement!$G$8="No"),H16*M_FactoresComplement!$H$43,H16*VLOOKUP(M_FactoresComplement!$C$43&amp;M_Datos!$E$12&amp;M_Lista!G20,M_FactoresComplement!$F$15:$I$434,3,FALSE)))</f>
        <v>0</v>
      </c>
      <c r="K16" s="311">
        <f>SUMIFS(M_Datos!$R$56:$R$58,M_Datos!$S$56:$S$58,M_Lista!G20,M_Datos!$M$56:$M$58,M_Lista!$J$3)</f>
        <v>0</v>
      </c>
      <c r="L16" s="312">
        <f>IF(AND(M_FactoresComplement!$G$6="No",M_FactoresComplement!$G$8="No"),M_Cálculos_ND!K16*M_Factores!$D$213,IF(AND(M_FactoresComplement!$G$6="Sí",M_FactoresComplement!$G$8="No"),K16*M_FactoresComplement!$G$43,K16*VLOOKUP(M_FactoresComplement!$C$43&amp;M_Datos!$E$12&amp;M_Lista!G20,M_FactoresComplement!$F$15:$I$434,2,FALSE)))</f>
        <v>0</v>
      </c>
      <c r="M16" s="313">
        <f>IF(AND(M_FactoresComplement!$G$6="No",M_FactoresComplement!$G$8="No"),M_Cálculos_ND!K16*M_Factores!$E$213,IF(AND(M_FactoresComplement!$G$6="Sí",M_FactoresComplement!$G$8="No"),K16*M_FactoresComplement!$H$43,K16*VLOOKUP(M_FactoresComplement!$C$43&amp;M_Datos!$E$12&amp;M_Lista!G20,M_FactoresComplement!$F$15:$I$434,3,FALSE)))</f>
        <v>0</v>
      </c>
      <c r="N16" s="311">
        <f>SUMIFS(M_Datos!$T$56:$T$58,M_Datos!$U$56:$U$58,M_Lista!G20,M_Datos!$M$56:$M$58,M_Lista!$J$3)</f>
        <v>0</v>
      </c>
      <c r="O16" s="312">
        <f>IF(AND(M_FactoresComplement!$G$6="No",M_FactoresComplement!$G$8="No"),M_Cálculos_ND!N16*M_Factores!$D$213,IF(AND(M_FactoresComplement!$G$6="Sí",M_FactoresComplement!$G$8="No"),N16*M_FactoresComplement!$G$43,N16*VLOOKUP(M_FactoresComplement!$C$43&amp;M_Datos!$E$12&amp;M_Lista!G20,M_FactoresComplement!$F$15:$I$434,2,FALSE)))</f>
        <v>0</v>
      </c>
      <c r="P16" s="313">
        <f>IF(AND(M_FactoresComplement!$G$6="No",M_FactoresComplement!$G$8="No"),M_Cálculos_ND!N16*M_Factores!$D$213,IF(AND(M_FactoresComplement!$G$6="Sí",M_FactoresComplement!$G$8="No"),N16*M_FactoresComplement!$H$43,N16*VLOOKUP(M_FactoresComplement!$C$43&amp;M_Datos!$E$12&amp;M_Lista!G20,M_FactoresComplement!$F$15:$I$434,3,FALSE)))</f>
        <v>0</v>
      </c>
      <c r="Q16" s="311">
        <f>SUMIFS(M_Datos!$V$56:$V$58,M_Datos!$W$56:$W$58,M_Lista!G20,M_Datos!$M$56:$M$58,M_Lista!$J$3)</f>
        <v>0</v>
      </c>
      <c r="R16" s="312">
        <f>IF(AND(M_FactoresComplement!$G$6="No",M_FactoresComplement!$G$8="No"),M_Cálculos_ND!Q16*M_Factores!$D$213,IF(AND(M_FactoresComplement!$G$6="Sí",M_FactoresComplement!$G$8="No"),Q16*M_FactoresComplement!$G$43,Q16*VLOOKUP(M_FactoresComplement!$C$43&amp;M_Datos!$E$12&amp;M_Lista!G20,M_FactoresComplement!$F$15:$I$434,2,FALSE)))</f>
        <v>0</v>
      </c>
      <c r="S16" s="313">
        <f>IF(AND(M_FactoresComplement!$G$6="No",M_FactoresComplement!$G$8="No"),M_Cálculos_ND!Q16*M_Factores!$D$213,IF(AND(M_FactoresComplement!$G$6="Sí",M_FactoresComplement!$G$8="No"),Q16*M_FactoresComplement!$H$43,Q16*VLOOKUP(M_FactoresComplement!$C$43&amp;M_Datos!$E$12&amp;M_Lista!G20,M_FactoresComplement!$F$15:$I$434,3,FALSE)))</f>
        <v>0</v>
      </c>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row>
    <row r="17" spans="1:841" ht="14.4">
      <c r="A17" s="204" t="str">
        <f>IF(Idioma=Castellano,"4. Factores de emisión",IF(Idioma=Valencià,"4. Factors d'emissió","4. Factores de emisión"))</f>
        <v>4. Factores de emisión</v>
      </c>
      <c r="B17" s="11"/>
      <c r="C17" s="657"/>
      <c r="D17" s="289" t="s">
        <v>628</v>
      </c>
      <c r="E17" s="311">
        <f>SUMIFS(M_Datos!$N$56:$N$58,M_Datos!$O$56:$O$58,M_Lista!G21,M_Datos!$M$56:$M$58,M_Lista!$J$3)</f>
        <v>0</v>
      </c>
      <c r="F17" s="312">
        <f>IF(AND(M_FactoresComplement!$G$6="No",M_FactoresComplement!$G$8="No"),M_Cálculos_ND!E17*M_Factores!$D$213,IF(AND(M_FactoresComplement!$G$6="Sí",M_FactoresComplement!$G$8="No"),E17*M_FactoresComplement!$G47,E17*VLOOKUP(M_FactoresComplement!$C$43&amp;M_Datos!$E$12&amp;M_Lista!G21,M_FactoresComplement!$F$15:$I$434,2,FALSE)))</f>
        <v>0</v>
      </c>
      <c r="G17" s="313">
        <f>IF(AND(M_FactoresComplement!$G$6="No",M_FactoresComplement!$G$8="No"),M_Cálculos_ND!E17*M_Factores!$E$213,IF(AND(M_FactoresComplement!$G$6="Sí",M_FactoresComplement!$G$8="No"),E17*M_FactoresComplement!$H$43,E17*VLOOKUP(M_FactoresComplement!$C$43&amp;M_Datos!$E$12&amp;M_Lista!G21,M_FactoresComplement!$F$15:$I$434,3,FALSE)))</f>
        <v>0</v>
      </c>
      <c r="H17" s="311">
        <f>SUMIFS(M_Datos!$P$56:$P$58,M_Datos!$Q$56:$Q$58,M_Lista!G21,M_Datos!$M$56:$M$58,M_Lista!$J$3)</f>
        <v>0</v>
      </c>
      <c r="I17" s="312">
        <f>IF(AND(M_FactoresComplement!$G$6="No",M_FactoresComplement!$G$8="No"),M_Cálculos_ND!H17*M_Factores!$D$213,IF(AND(M_FactoresComplement!$G$6="Sí",M_FactoresComplement!$G$8="No"),H17*M_FactoresComplement!$G$43,H17*VLOOKUP(M_FactoresComplement!$C$43&amp;M_Datos!$E$12&amp;M_Lista!G21,M_FactoresComplement!$F$15:$I$434,2,FALSE)))</f>
        <v>0</v>
      </c>
      <c r="J17" s="313">
        <f>IF(AND(M_FactoresComplement!$G$6="No",M_FactoresComplement!$G$8="No"),M_Cálculos_ND!H17*M_Factores!$E$213,IF(AND(M_FactoresComplement!$G$6="Sí",M_FactoresComplement!$G$8="No"),H17*M_FactoresComplement!$H$43,H17*VLOOKUP(M_FactoresComplement!$C$43&amp;M_Datos!$E$12&amp;M_Lista!G21,M_FactoresComplement!$F$15:$I$434,3,FALSE)))</f>
        <v>0</v>
      </c>
      <c r="K17" s="311">
        <f>SUMIFS(M_Datos!$R$56:$R$58,M_Datos!$S$56:$S$58,M_Lista!G21,M_Datos!$M$56:$M$58,M_Lista!$J$3)</f>
        <v>0</v>
      </c>
      <c r="L17" s="312">
        <f>IF(AND(M_FactoresComplement!$G$6="No",M_FactoresComplement!$G$8="No"),M_Cálculos_ND!K17*M_Factores!$D$213,IF(AND(M_FactoresComplement!$G$6="Sí",M_FactoresComplement!$G$8="No"),K17*M_FactoresComplement!$G$43,K17*VLOOKUP(M_FactoresComplement!$C$43&amp;M_Datos!$E$12&amp;M_Lista!G21,M_FactoresComplement!$F$15:$I$434,2,FALSE)))</f>
        <v>0</v>
      </c>
      <c r="M17" s="313">
        <f>IF(AND(M_FactoresComplement!$G$6="No",M_FactoresComplement!$G$8="No"),M_Cálculos_ND!K17*M_Factores!$E$213,IF(AND(M_FactoresComplement!$G$6="Sí",M_FactoresComplement!$G$8="No"),K17*M_FactoresComplement!$H$43,K17*VLOOKUP(M_FactoresComplement!$C$43&amp;M_Datos!$E$12&amp;M_Lista!G21,M_FactoresComplement!$F$15:$I$434,3,FALSE)))</f>
        <v>0</v>
      </c>
      <c r="N17" s="311">
        <f>SUMIFS(M_Datos!$T$56:$T$58,M_Datos!$U$56:$U$58,M_Lista!G21,M_Datos!$M$56:$M$58,M_Lista!$J$3)</f>
        <v>0</v>
      </c>
      <c r="O17" s="312">
        <f>IF(AND(M_FactoresComplement!$G$6="No",M_FactoresComplement!$G$8="No"),M_Cálculos_ND!N17*M_Factores!$D$213,IF(AND(M_FactoresComplement!$G$6="Sí",M_FactoresComplement!$G$8="No"),N17*M_FactoresComplement!$G$43,N17*VLOOKUP(M_FactoresComplement!$C$43&amp;M_Datos!$E$12&amp;M_Lista!G21,M_FactoresComplement!$F$15:$I$434,2,FALSE)))</f>
        <v>0</v>
      </c>
      <c r="P17" s="313">
        <f>IF(AND(M_FactoresComplement!$G$6="No",M_FactoresComplement!$G$8="No"),M_Cálculos_ND!N17*M_Factores!$D$213,IF(AND(M_FactoresComplement!$G$6="Sí",M_FactoresComplement!$G$8="No"),N17*M_FactoresComplement!$H$43,N17*VLOOKUP(M_FactoresComplement!$C$43&amp;M_Datos!$E$12&amp;M_Lista!G21,M_FactoresComplement!$F$15:$I$434,3,FALSE)))</f>
        <v>0</v>
      </c>
      <c r="Q17" s="311">
        <f>SUMIFS(M_Datos!$V$56:$V$58,M_Datos!$W$56:$W$58,M_Lista!G21,M_Datos!$M$56:$M$58,M_Lista!$J$3)</f>
        <v>0</v>
      </c>
      <c r="R17" s="312">
        <f>IF(AND(M_FactoresComplement!$G$6="No",M_FactoresComplement!$G$8="No"),M_Cálculos_ND!Q17*M_Factores!$D$213,IF(AND(M_FactoresComplement!$G$6="Sí",M_FactoresComplement!$G$8="No"),Q17*M_FactoresComplement!$G$43,Q17*VLOOKUP(M_FactoresComplement!$C$43&amp;M_Datos!$E$12&amp;M_Lista!G21,M_FactoresComplement!$F$15:$I$434,2,FALSE)))</f>
        <v>0</v>
      </c>
      <c r="S17" s="313">
        <f>IF(AND(M_FactoresComplement!$G$6="No",M_FactoresComplement!$G$8="No"),M_Cálculos_ND!Q17*M_Factores!$D$213,IF(AND(M_FactoresComplement!$G$6="Sí",M_FactoresComplement!$G$8="No"),Q17*M_FactoresComplement!$H$43,Q17*VLOOKUP(M_FactoresComplement!$C$43&amp;M_Datos!$E$12&amp;M_Lista!G21,M_FactoresComplement!$F$15:$I$434,3,FALSE)))</f>
        <v>0</v>
      </c>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row>
    <row r="18" spans="1:841" ht="14.4">
      <c r="A18" s="203" t="str">
        <f>IF(Idioma=Castellano,"Sección de Adaptación",IF(Idioma=Valencià,"Secció d'Adaptació","Sección de Adaptación"))</f>
        <v>Sección de Adaptación</v>
      </c>
      <c r="B18" s="11"/>
      <c r="C18" s="657"/>
      <c r="D18" s="289" t="s">
        <v>629</v>
      </c>
      <c r="E18" s="311">
        <f>SUMIFS(M_Datos!$N$56:$N$58,M_Datos!$O$56:$O$58,M_Lista!G22,M_Datos!$M$56:$M$58,M_Lista!$J$3)</f>
        <v>0</v>
      </c>
      <c r="F18" s="312">
        <f>IF(AND(M_FactoresComplement!$G$6="No",M_FactoresComplement!$G$8="No"),M_Cálculos_ND!E18*M_Factores!$D$213,IF(AND(M_FactoresComplement!$G$6="Sí",M_FactoresComplement!$G$8="No"),E18*M_FactoresComplement!$G48,E18*VLOOKUP(M_FactoresComplement!$C$43&amp;M_Datos!$E$12&amp;M_Lista!G22,M_FactoresComplement!$F$15:$I$434,2,FALSE)))</f>
        <v>0</v>
      </c>
      <c r="G18" s="313">
        <f>IF(AND(M_FactoresComplement!$G$6="No",M_FactoresComplement!$G$8="No"),M_Cálculos_ND!E18*M_Factores!$E$213,IF(AND(M_FactoresComplement!$G$6="Sí",M_FactoresComplement!$G$8="No"),E18*M_FactoresComplement!$H$43,E18*VLOOKUP(M_FactoresComplement!$C$43&amp;M_Datos!$E$12&amp;M_Lista!G22,M_FactoresComplement!$F$15:$I$434,3,FALSE)))</f>
        <v>0</v>
      </c>
      <c r="H18" s="311">
        <f>SUMIFS(M_Datos!$P$56:$P$58,M_Datos!$Q$56:$Q$58,M_Lista!G22,M_Datos!$M$56:$M$58,M_Lista!$J$3)</f>
        <v>0</v>
      </c>
      <c r="I18" s="312">
        <f>IF(AND(M_FactoresComplement!$G$6="No",M_FactoresComplement!$G$8="No"),M_Cálculos_ND!H18*M_Factores!$D$213,IF(AND(M_FactoresComplement!$G$6="Sí",M_FactoresComplement!$G$8="No"),H18*M_FactoresComplement!$G$43,H18*VLOOKUP(M_FactoresComplement!$C$43&amp;M_Datos!$E$12&amp;M_Lista!G22,M_FactoresComplement!$F$15:$I$434,2,FALSE)))</f>
        <v>0</v>
      </c>
      <c r="J18" s="313">
        <f>IF(AND(M_FactoresComplement!$G$6="No",M_FactoresComplement!$G$8="No"),M_Cálculos_ND!H18*M_Factores!$E$213,IF(AND(M_FactoresComplement!$G$6="Sí",M_FactoresComplement!$G$8="No"),H18*M_FactoresComplement!$H$43,H18*VLOOKUP(M_FactoresComplement!$C$43&amp;M_Datos!$E$12&amp;M_Lista!G22,M_FactoresComplement!$F$15:$I$434,3,FALSE)))</f>
        <v>0</v>
      </c>
      <c r="K18" s="311">
        <f>SUMIFS(M_Datos!$R$56:$R$58,M_Datos!$S$56:$S$58,M_Lista!G22,M_Datos!$M$56:$M$58,M_Lista!$J$3)</f>
        <v>0</v>
      </c>
      <c r="L18" s="312">
        <f>IF(AND(M_FactoresComplement!$G$6="No",M_FactoresComplement!$G$8="No"),M_Cálculos_ND!K18*M_Factores!$D$213,IF(AND(M_FactoresComplement!$G$6="Sí",M_FactoresComplement!$G$8="No"),K18*M_FactoresComplement!$G$43,K18*VLOOKUP(M_FactoresComplement!$C$43&amp;M_Datos!$E$12&amp;M_Lista!G22,M_FactoresComplement!$F$15:$I$434,2,FALSE)))</f>
        <v>0</v>
      </c>
      <c r="M18" s="313">
        <f>IF(AND(M_FactoresComplement!$G$6="No",M_FactoresComplement!$G$8="No"),M_Cálculos_ND!K18*M_Factores!$E$213,IF(AND(M_FactoresComplement!$G$6="Sí",M_FactoresComplement!$G$8="No"),K18*M_FactoresComplement!$H$43,K18*VLOOKUP(M_FactoresComplement!$C$43&amp;M_Datos!$E$12&amp;M_Lista!G22,M_FactoresComplement!$F$15:$I$434,3,FALSE)))</f>
        <v>0</v>
      </c>
      <c r="N18" s="311">
        <f>SUMIFS(M_Datos!$T$56:$T$58,M_Datos!$U$56:$U$58,M_Lista!G22,M_Datos!$M$56:$M$58,M_Lista!$J$3)</f>
        <v>0</v>
      </c>
      <c r="O18" s="312">
        <f>IF(AND(M_FactoresComplement!$G$6="No",M_FactoresComplement!$G$8="No"),M_Cálculos_ND!N18*M_Factores!$D$213,IF(AND(M_FactoresComplement!$G$6="Sí",M_FactoresComplement!$G$8="No"),N18*M_FactoresComplement!$G$43,N18*VLOOKUP(M_FactoresComplement!$C$43&amp;M_Datos!$E$12&amp;M_Lista!G22,M_FactoresComplement!$F$15:$I$434,2,FALSE)))</f>
        <v>0</v>
      </c>
      <c r="P18" s="313">
        <f>IF(AND(M_FactoresComplement!$G$6="No",M_FactoresComplement!$G$8="No"),M_Cálculos_ND!N18*M_Factores!$D$213,IF(AND(M_FactoresComplement!$G$6="Sí",M_FactoresComplement!$G$8="No"),N18*M_FactoresComplement!$H$43,N18*VLOOKUP(M_FactoresComplement!$C$43&amp;M_Datos!$E$12&amp;M_Lista!G22,M_FactoresComplement!$F$15:$I$434,3,FALSE)))</f>
        <v>0</v>
      </c>
      <c r="Q18" s="311">
        <f>SUMIFS(M_Datos!$V$56:$V$58,M_Datos!$W$56:$W$58,M_Lista!G22,M_Datos!$M$56:$M$58,M_Lista!$J$3)</f>
        <v>0</v>
      </c>
      <c r="R18" s="312">
        <f>IF(AND(M_FactoresComplement!$G$6="No",M_FactoresComplement!$G$8="No"),M_Cálculos_ND!Q18*M_Factores!$D$213,IF(AND(M_FactoresComplement!$G$6="Sí",M_FactoresComplement!$G$8="No"),Q18*M_FactoresComplement!$G$43,Q18*VLOOKUP(M_FactoresComplement!$C$43&amp;M_Datos!$E$12&amp;M_Lista!G22,M_FactoresComplement!$F$15:$I$434,2,FALSE)))</f>
        <v>0</v>
      </c>
      <c r="S18" s="313">
        <f>IF(AND(M_FactoresComplement!$G$6="No",M_FactoresComplement!$G$8="No"),M_Cálculos_ND!Q18*M_Factores!$D$213,IF(AND(M_FactoresComplement!$G$6="Sí",M_FactoresComplement!$G$8="No"),Q18*M_FactoresComplement!$H$43,Q18*VLOOKUP(M_FactoresComplement!$C$43&amp;M_Datos!$E$12&amp;M_Lista!G22,M_FactoresComplement!$F$15:$I$434,3,FALSE)))</f>
        <v>0</v>
      </c>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row>
    <row r="19" spans="1:841" ht="14.4">
      <c r="A19" s="203"/>
      <c r="B19" s="11"/>
      <c r="C19" s="657"/>
      <c r="D19" s="289" t="str">
        <f>IF(Idioma=Castellano,"Consumo nulo",IF(Idioma=Valencià,"Consum nul","Consumo nulo"))</f>
        <v>Consumo nulo</v>
      </c>
      <c r="E19" s="311">
        <f>SUMIFS(M_Datos!$N$56:$N$58,M_Datos!$O$56:$O$58,M_Lista!G23,M_Datos!$M$56:$M$58,M_Lista!$J$3)</f>
        <v>0</v>
      </c>
      <c r="F19" s="312">
        <f>IF(AND(M_FactoresComplement!$G$6="No",M_FactoresComplement!$G$8="No"),M_Cálculos_ND!E19*M_Factores!$D$213,IF(AND(M_FactoresComplement!$G$6="Sí",M_FactoresComplement!$G$8="No"),E19*M_FactoresComplement!$G49,E19*VLOOKUP(M_FactoresComplement!$C$43&amp;M_Datos!$E$12&amp;M_Lista!G23,M_FactoresComplement!$F$15:$I$434,2,FALSE)))</f>
        <v>0</v>
      </c>
      <c r="G19" s="313">
        <f>IF(AND(M_FactoresComplement!$G$6="No",M_FactoresComplement!$G$8="No"),M_Cálculos_ND!E19*M_Factores!$E$213,IF(AND(M_FactoresComplement!$G$6="Sí",M_FactoresComplement!$G$8="No"),E19*M_FactoresComplement!$H$43,E19*VLOOKUP(M_FactoresComplement!$C$43&amp;M_Datos!$E$12&amp;M_Lista!G23,M_FactoresComplement!$F$15:$I$434,3,FALSE)))</f>
        <v>0</v>
      </c>
      <c r="H19" s="311">
        <f>SUMIFS(M_Datos!$P$56:$P$58,M_Datos!$Q$56:$Q$58,M_Lista!G23,M_Datos!$M$56:$M$58,M_Lista!$J$3)</f>
        <v>0</v>
      </c>
      <c r="I19" s="312">
        <f>IF(AND(M_FactoresComplement!$G$6="No",M_FactoresComplement!$G$8="No"),M_Cálculos_ND!H19*M_Factores!$D$213,IF(AND(M_FactoresComplement!$G$6="Sí",M_FactoresComplement!$G$8="No"),H19*M_FactoresComplement!$G$43,H19*VLOOKUP(M_FactoresComplement!$C$43&amp;M_Datos!$E$12&amp;M_Lista!G23,M_FactoresComplement!$F$15:$I$434,2,FALSE)))</f>
        <v>0</v>
      </c>
      <c r="J19" s="313">
        <f>IF(AND(M_FactoresComplement!$G$6="No",M_FactoresComplement!$G$8="No"),M_Cálculos_ND!H19*M_Factores!$E$213,IF(AND(M_FactoresComplement!$G$6="Sí",M_FactoresComplement!$G$8="No"),H19*M_FactoresComplement!$H$43,H19*VLOOKUP(M_FactoresComplement!$C$43&amp;M_Datos!$E$12&amp;M_Lista!G23,M_FactoresComplement!$F$15:$I$434,3,FALSE)))</f>
        <v>0</v>
      </c>
      <c r="K19" s="311">
        <f>SUMIFS(M_Datos!$R$56:$R$58,M_Datos!$S$56:$S$58,M_Lista!G23,M_Datos!$M$56:$M$58,M_Lista!$J$3)</f>
        <v>0</v>
      </c>
      <c r="L19" s="312">
        <f>IF(AND(M_FactoresComplement!$G$6="No",M_FactoresComplement!$G$8="No"),M_Cálculos_ND!K19*M_Factores!$D$213,IF(AND(M_FactoresComplement!$G$6="Sí",M_FactoresComplement!$G$8="No"),K19*M_FactoresComplement!$G$43,K19*VLOOKUP(M_FactoresComplement!$C$43&amp;M_Datos!$E$12&amp;M_Lista!G23,M_FactoresComplement!$F$15:$I$434,2,FALSE)))</f>
        <v>0</v>
      </c>
      <c r="M19" s="313">
        <f>IF(AND(M_FactoresComplement!$G$6="No",M_FactoresComplement!$G$8="No"),M_Cálculos_ND!K19*M_Factores!$E$213,IF(AND(M_FactoresComplement!$G$6="Sí",M_FactoresComplement!$G$8="No"),K19*M_FactoresComplement!$H$43,K19*VLOOKUP(M_FactoresComplement!$C$43&amp;M_Datos!$E$12&amp;M_Lista!G23,M_FactoresComplement!$F$15:$I$434,3,FALSE)))</f>
        <v>0</v>
      </c>
      <c r="N19" s="311">
        <f>SUMIFS(M_Datos!$T$56:$T$58,M_Datos!$U$56:$U$58,M_Lista!G23,M_Datos!$M$56:$M$58,M_Lista!$J$3)</f>
        <v>0</v>
      </c>
      <c r="O19" s="312">
        <f>IF(AND(M_FactoresComplement!$G$6="No",M_FactoresComplement!$G$8="No"),M_Cálculos_ND!N19*M_Factores!$D$213,IF(AND(M_FactoresComplement!$G$6="Sí",M_FactoresComplement!$G$8="No"),N19*M_FactoresComplement!$G$43,N19*VLOOKUP(M_FactoresComplement!$C$43&amp;M_Datos!$E$12&amp;M_Lista!G23,M_FactoresComplement!$F$15:$I$434,2,FALSE)))</f>
        <v>0</v>
      </c>
      <c r="P19" s="313">
        <f>IF(AND(M_FactoresComplement!$G$6="No",M_FactoresComplement!$G$8="No"),M_Cálculos_ND!N19*M_Factores!$D$213,IF(AND(M_FactoresComplement!$G$6="Sí",M_FactoresComplement!$G$8="No"),N19*M_FactoresComplement!$H$43,N19*VLOOKUP(M_FactoresComplement!$C$43&amp;M_Datos!$E$12&amp;M_Lista!G23,M_FactoresComplement!$F$15:$I$434,3,FALSE)))</f>
        <v>0</v>
      </c>
      <c r="Q19" s="311">
        <f>SUMIFS(M_Datos!$V$56:$V$58,M_Datos!$W$56:$W$58,M_Lista!G23,M_Datos!$M$56:$M$58,M_Lista!$J$3)</f>
        <v>0</v>
      </c>
      <c r="R19" s="312">
        <f>IF(AND(M_FactoresComplement!$G$6="No",M_FactoresComplement!$G$8="No"),M_Cálculos_ND!Q19*M_Factores!$D$213,IF(AND(M_FactoresComplement!$G$6="Sí",M_FactoresComplement!$G$8="No"),Q19*M_FactoresComplement!$G$43,Q19*VLOOKUP(M_FactoresComplement!$C$43&amp;M_Datos!$E$12&amp;M_Lista!G23,M_FactoresComplement!$F$15:$I$434,2,FALSE)))</f>
        <v>0</v>
      </c>
      <c r="S19" s="313">
        <f>IF(AND(M_FactoresComplement!$G$6="No",M_FactoresComplement!$G$8="No"),M_Cálculos_ND!Q19*M_Factores!$D$213,IF(AND(M_FactoresComplement!$G$6="Sí",M_FactoresComplement!$G$8="No"),Q19*M_FactoresComplement!$H$43,Q19*VLOOKUP(M_FactoresComplement!$C$43&amp;M_Datos!$E$12&amp;M_Lista!G23,M_FactoresComplement!$F$15:$I$434,3,FALSE)))</f>
        <v>0</v>
      </c>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row>
    <row r="20" spans="1:841" ht="14.4">
      <c r="A20" s="204" t="s">
        <v>6</v>
      </c>
      <c r="B20" s="11"/>
      <c r="C20" s="657"/>
      <c r="D20" s="289" t="str">
        <f>IF(Idioma=Castellano,"Sin definir",IF(Idioma=Valencià,"Sense definir","Sin definir"))</f>
        <v>Sin definir</v>
      </c>
      <c r="E20" s="311">
        <f>SUMIFS(M_Datos!$N$56:$N$58,M_Datos!$O$56:$O$58,M_Lista!G24,M_Datos!$M$56:$M$58,M_Lista!$J$3)</f>
        <v>0</v>
      </c>
      <c r="F20" s="312">
        <v>0</v>
      </c>
      <c r="G20" s="313">
        <v>0</v>
      </c>
      <c r="H20" s="311">
        <f>SUMIFS(M_Datos!$P$56:$P$58,M_Datos!$Q$56:$Q$58,M_Lista!G24,M_Datos!$M$56:$M$58,M_Lista!$J$3)</f>
        <v>0</v>
      </c>
      <c r="I20" s="312">
        <v>0</v>
      </c>
      <c r="J20" s="313">
        <v>0</v>
      </c>
      <c r="K20" s="311">
        <f>SUMIFS(M_Datos!$R$56:$R$58,M_Datos!$S$56:$S$58,M_Lista!G24,M_Datos!$M$56:$M$58,M_Lista!$J$3)</f>
        <v>0</v>
      </c>
      <c r="L20" s="312">
        <v>0</v>
      </c>
      <c r="M20" s="313">
        <v>0</v>
      </c>
      <c r="N20" s="311">
        <f>SUMIFS(M_Datos!$T$56:$T$58,M_Datos!$U$56:$U$58,M_Lista!G24,M_Datos!$M$56:$M$58,M_Lista!$J$3)</f>
        <v>0</v>
      </c>
      <c r="O20" s="312">
        <v>0</v>
      </c>
      <c r="P20" s="313">
        <v>0</v>
      </c>
      <c r="Q20" s="311">
        <f>SUMIFS(M_Datos!$V$56:$V$58,M_Datos!$W$56:$W$58,M_Lista!G24,M_Datos!$M$56:$M$58,M_Lista!$J$3)</f>
        <v>0</v>
      </c>
      <c r="R20" s="312">
        <v>0</v>
      </c>
      <c r="S20" s="313">
        <v>0</v>
      </c>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row>
    <row r="21" spans="1:841" ht="14.4">
      <c r="A21" s="203" t="str">
        <f>IF(Idioma=Castellano,"Resultados generales",IF(Idioma=Valencià,"Resultats generals","Resultados generales"))</f>
        <v>Resultados generales</v>
      </c>
      <c r="B21" s="11"/>
      <c r="C21" s="657"/>
      <c r="D21" s="315" t="s">
        <v>925</v>
      </c>
      <c r="E21" s="316">
        <f t="shared" ref="E21:S21" si="0">SUM(E13:E20)</f>
        <v>0</v>
      </c>
      <c r="F21" s="316">
        <f t="shared" si="0"/>
        <v>0</v>
      </c>
      <c r="G21" s="316">
        <f t="shared" si="0"/>
        <v>0</v>
      </c>
      <c r="H21" s="316">
        <f t="shared" si="0"/>
        <v>0</v>
      </c>
      <c r="I21" s="316">
        <f t="shared" si="0"/>
        <v>0</v>
      </c>
      <c r="J21" s="316">
        <f t="shared" si="0"/>
        <v>0</v>
      </c>
      <c r="K21" s="316">
        <f t="shared" si="0"/>
        <v>0</v>
      </c>
      <c r="L21" s="316">
        <f t="shared" si="0"/>
        <v>0</v>
      </c>
      <c r="M21" s="316">
        <f t="shared" si="0"/>
        <v>0</v>
      </c>
      <c r="N21" s="316">
        <f t="shared" si="0"/>
        <v>0</v>
      </c>
      <c r="O21" s="316">
        <f t="shared" si="0"/>
        <v>0</v>
      </c>
      <c r="P21" s="316">
        <f t="shared" si="0"/>
        <v>0</v>
      </c>
      <c r="Q21" s="316">
        <f t="shared" si="0"/>
        <v>0</v>
      </c>
      <c r="R21" s="316">
        <f t="shared" si="0"/>
        <v>0</v>
      </c>
      <c r="S21" s="316">
        <f t="shared" si="0"/>
        <v>0</v>
      </c>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row>
    <row r="22" spans="1:841" ht="14.4">
      <c r="A22" s="203" t="str">
        <f>IF(Idioma=Castellano,"Medidas Propuestas",IF(Idioma=Valencià,"Mesures Proposades","Medidas Propuestas"))</f>
        <v>Medidas Propuestas</v>
      </c>
      <c r="B22" s="11"/>
      <c r="C22" s="657" t="str">
        <f>M_Datos!L59</f>
        <v>Oficinas</v>
      </c>
      <c r="D22" s="289" t="s">
        <v>622</v>
      </c>
      <c r="E22" s="503" t="s">
        <v>623</v>
      </c>
      <c r="F22" s="503" t="s">
        <v>919</v>
      </c>
      <c r="G22" s="503" t="s">
        <v>624</v>
      </c>
      <c r="H22" s="503" t="s">
        <v>623</v>
      </c>
      <c r="I22" s="503" t="s">
        <v>919</v>
      </c>
      <c r="J22" s="503" t="s">
        <v>624</v>
      </c>
      <c r="K22" s="503" t="s">
        <v>623</v>
      </c>
      <c r="L22" s="503" t="s">
        <v>919</v>
      </c>
      <c r="M22" s="503" t="s">
        <v>624</v>
      </c>
      <c r="N22" s="503" t="s">
        <v>623</v>
      </c>
      <c r="O22" s="503" t="s">
        <v>919</v>
      </c>
      <c r="P22" s="503" t="s">
        <v>624</v>
      </c>
      <c r="Q22" s="503" t="s">
        <v>623</v>
      </c>
      <c r="R22" s="503" t="s">
        <v>919</v>
      </c>
      <c r="S22" s="503" t="s">
        <v>624</v>
      </c>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row>
    <row r="23" spans="1:841">
      <c r="B23" s="11"/>
      <c r="C23" s="657"/>
      <c r="D23" s="289" t="str">
        <f>IF(Idioma=Castellano,"Existente",IF(Idioma=Valencià,"Existent","Existente"))</f>
        <v>Existente</v>
      </c>
      <c r="E23" s="311">
        <f>SUMIFS(M_Datos!$N$59:$N$61,M_Datos!$O$59:$O$61,M_Lista!G18,M_Datos!$M$59:$M$61,M_Lista!$J$3)</f>
        <v>0</v>
      </c>
      <c r="F23" s="312">
        <f>IF(AND(M_FactoresComplement!$G$6="No",M_FactoresComplement!$G$8="No"),M_Cálculos_ND!E23*M_Factores!$D$213,IF(AND(M_FactoresComplement!$G$6="Sí",M_FactoresComplement!$G$8="No"),E23*M_FactoresComplement!G15,E23*VLOOKUP(M_FactoresComplement!$C$15&amp;M_Datos!$E$12&amp;M_Lista!G17,M_FactoresComplement!$F$15:$I$434,2,FALSE)))</f>
        <v>0</v>
      </c>
      <c r="G23" s="313">
        <f>IF(AND(M_FactoresComplement!$G$6="No",M_FactoresComplement!$G$8="No"),M_Cálculos_ND!E23*M_Factores!$E$213,IF(AND(M_FactoresComplement!$G$6="Sí",M_FactoresComplement!$G$8="No"),E23*M_FactoresComplement!H15,E23*VLOOKUP(M_FactoresComplement!$C$15&amp;M_Datos!$E$12&amp;M_Lista!G17,M_FactoresComplement!$F$15:$I$434,3,FALSE)))</f>
        <v>0</v>
      </c>
      <c r="H23" s="311">
        <f>SUMIFS(M_Datos!$P$59:$P$61,M_Datos!$Q$59:$Q$61,M_Lista!J18,M_Datos!$M$59:$M$61,M_Lista!$J$3)</f>
        <v>0</v>
      </c>
      <c r="I23" s="312">
        <f>IF(AND(M_FactoresComplement!$G$6="No",M_FactoresComplement!$G$8="No"),M_Cálculos_ND!H23*M_Factores!$D$213,IF(AND(M_FactoresComplement!$G$6="Sí",M_FactoresComplement!$G$8="No"),H23*M_FactoresComplement!G15,H23*VLOOKUP(M_FactoresComplement!$C$15&amp;M_Datos!$E$12&amp;M_Lista!G17,M_FactoresComplement!$F$15:$I$434,2,FALSE)))</f>
        <v>0</v>
      </c>
      <c r="J23" s="313">
        <f>IF(AND(M_FactoresComplement!$G$6="No",M_FactoresComplement!$G$8="No"),M_Cálculos_ND!H23*M_Factores!$E$213,IF(AND(M_FactoresComplement!$G$6="Sí",M_FactoresComplement!$G$8="No"),H23*M_FactoresComplement!H15,H23*VLOOKUP(M_FactoresComplement!$C$15&amp;M_Datos!$E$12&amp;M_Lista!G17,M_FactoresComplement!$F$15:$I$434,3,FALSE)))</f>
        <v>0</v>
      </c>
      <c r="K23" s="311">
        <f>SUMIFS(M_Datos!$R$59:$R$61,M_Datos!$S$59:$S$61,M_Lista!J18,M_Datos!$M$59:$M$61,M_Lista!$J$3)</f>
        <v>0</v>
      </c>
      <c r="L23" s="312">
        <f>IF(AND(M_FactoresComplement!$G$6="No",M_FactoresComplement!$G$8="No"),M_Cálculos_ND!K23*M_Factores!$D$213,IF(AND(M_FactoresComplement!$G$6="Sí",M_FactoresComplement!$G$8="No"),K23*M_FactoresComplement!G15,K23*VLOOKUP(M_FactoresComplement!$C$15&amp;M_Datos!$E$12&amp;M_Lista!G17,M_FactoresComplement!$F$15:$I$434,2,FALSE)))</f>
        <v>0</v>
      </c>
      <c r="M23" s="313">
        <f>IF(AND(M_FactoresComplement!$G$6="No",M_FactoresComplement!$G$8="No"),M_Cálculos_ND!K23*M_Factores!$E$213,IF(AND(M_FactoresComplement!$G$6="Sí",M_FactoresComplement!$G$8="No"),K23*M_FactoresComplement!H15,K23*VLOOKUP(M_FactoresComplement!$C$15&amp;M_Datos!$E$12&amp;M_Lista!G17,M_FactoresComplement!$F$15:$I$434,3,FALSE)))</f>
        <v>0</v>
      </c>
      <c r="N23" s="311">
        <f>SUMIFS(M_Datos!$T$59:$T$61,M_Datos!$U$59:$U$61,M_Lista!J18,M_Datos!$M$59:$M$61,M_Lista!$J$3)</f>
        <v>0</v>
      </c>
      <c r="O23" s="312">
        <f>IF(AND(M_FactoresComplement!$G$6="No",M_FactoresComplement!$G$8="No"),M_Cálculos_ND!N23*M_Factores!$D$213,IF(AND(M_FactoresComplement!$G$6="Sí",M_FactoresComplement!$G$8="No"),N23*M_FactoresComplement!G15,N23*VLOOKUP(M_FactoresComplement!$C$15&amp;M_Datos!$E$12&amp;M_Lista!G17,M_FactoresComplement!$F$15:$I$434,2,FALSE)))</f>
        <v>0</v>
      </c>
      <c r="P23" s="313">
        <f>IF(AND(M_FactoresComplement!$G$6="No",M_FactoresComplement!$G$8="No"),M_Cálculos_ND!N23*M_Factores!$E$213,IF(AND(M_FactoresComplement!$G$6="Sí",M_FactoresComplement!$G$8="No"),N23*M_FactoresComplement!H15,N23*VLOOKUP(M_FactoresComplement!$C$15&amp;M_Datos!$E$12&amp;M_Lista!G17,M_FactoresComplement!$F$15:$I$434,3,FALSE)))</f>
        <v>0</v>
      </c>
      <c r="Q23" s="311">
        <f>SUMIFS(M_Datos!$V$59:$V$61,M_Datos!$W$59:$W$61,M_Lista!J18,M_Datos!$M$59:$M$61,M_Lista!$J$3)</f>
        <v>0</v>
      </c>
      <c r="R23" s="312">
        <f>IF(AND(M_FactoresComplement!$G$6="No",M_FactoresComplement!$G$8="No"),M_Cálculos_ND!Q23*M_Factores!$D$213,IF(AND(M_FactoresComplement!$G$6="Sí",M_FactoresComplement!$G$8="No"),Q23*M_FactoresComplement!G15,Q23*VLOOKUP(M_FactoresComplement!$C$15&amp;M_Datos!$E$12&amp;M_Lista!G17,M_FactoresComplement!$F$15:$I$434,2,FALSE)))</f>
        <v>0</v>
      </c>
      <c r="S23" s="313">
        <f>IF(AND(M_FactoresComplement!$G$6="No",M_FactoresComplement!$G$8="No"),M_Cálculos_ND!Q23*M_Factores!$E$213,IF(AND(M_FactoresComplement!$G$6="Sí",M_FactoresComplement!$G$8="No"),Q23*M_FactoresComplement!H15,Q23*VLOOKUP(M_FactoresComplement!$C$15&amp;M_Datos!$E$12&amp;M_Lista!G17,M_FactoresComplement!$F$15:$I$434,3,FALSE)))</f>
        <v>0</v>
      </c>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row>
    <row r="24" spans="1:841">
      <c r="B24" s="11"/>
      <c r="C24" s="657"/>
      <c r="D24" s="289" t="s">
        <v>625</v>
      </c>
      <c r="E24" s="311">
        <f>SUMIFS(M_Datos!$N$59:$N$61,M_Datos!$O$59:$O$61,M_Lista!G19,M_Datos!$M$59:$M$61,M_Lista!$J$3)</f>
        <v>0</v>
      </c>
      <c r="F24" s="312">
        <f>IF(AND(M_FactoresComplement!$G$6="No",M_FactoresComplement!$G$8="No"),M_Cálculos_ND!E24*M_Factores!$D$213,IF(AND(M_FactoresComplement!$G$6="Sí",M_FactoresComplement!$G$8="No"),E24*M_FactoresComplement!G16,E24*VLOOKUP(M_FactoresComplement!$C$15&amp;M_Datos!$E$12&amp;M_Lista!G18,M_FactoresComplement!$F$15:$I$434,2,FALSE)))</f>
        <v>0</v>
      </c>
      <c r="G24" s="313">
        <f>IF(AND(M_FactoresComplement!$G$6="No",M_FactoresComplement!$G$8="No"),M_Cálculos_ND!E24*M_Factores!$E$213,IF(AND(M_FactoresComplement!$G$6="Sí",M_FactoresComplement!$G$8="No"),E24*M_FactoresComplement!H16,E24*VLOOKUP(M_FactoresComplement!$C$15&amp;M_Datos!$E$12&amp;M_Lista!G18,M_FactoresComplement!$F$15:$I$434,3,FALSE)))</f>
        <v>0</v>
      </c>
      <c r="H24" s="311">
        <f>SUMIFS(M_Datos!$P$59:$P$61,M_Datos!$Q$59:$Q$61,M_Lista!J19,M_Datos!$M$59:$M$61,M_Lista!$J$3)</f>
        <v>0</v>
      </c>
      <c r="I24" s="312">
        <f>IF(AND(M_FactoresComplement!$G$6="No",M_FactoresComplement!$G$8="No"),M_Cálculos_ND!H24*M_Factores!$D$213,IF(AND(M_FactoresComplement!$G$6="Sí",M_FactoresComplement!$G$8="No"),H24*M_FactoresComplement!G16,H24*VLOOKUP(M_FactoresComplement!$C$15&amp;M_Datos!$E$12&amp;M_Lista!G18,M_FactoresComplement!$F$15:$I$434,2,FALSE)))</f>
        <v>0</v>
      </c>
      <c r="J24" s="313">
        <f>IF(AND(M_FactoresComplement!$G$6="No",M_FactoresComplement!$G$8="No"),M_Cálculos_ND!H24*M_Factores!$E$213,IF(AND(M_FactoresComplement!$G$6="Sí",M_FactoresComplement!$G$8="No"),H24*M_FactoresComplement!H16,H24*VLOOKUP(M_FactoresComplement!$C$15&amp;M_Datos!$E$12&amp;M_Lista!G18,M_FactoresComplement!$F$15:$I$434,3,FALSE)))</f>
        <v>0</v>
      </c>
      <c r="K24" s="311">
        <f>SUMIFS(M_Datos!$R$59:$R$61,M_Datos!$S$59:$S$61,M_Lista!J19,M_Datos!$M$59:$M$61,M_Lista!$J$3)</f>
        <v>0</v>
      </c>
      <c r="L24" s="312">
        <f>IF(AND(M_FactoresComplement!$G$6="No",M_FactoresComplement!$G$8="No"),M_Cálculos_ND!K24*M_Factores!$D$213,IF(AND(M_FactoresComplement!$G$6="Sí",M_FactoresComplement!$G$8="No"),K24*M_FactoresComplement!G16,K24*VLOOKUP(M_FactoresComplement!$C$15&amp;M_Datos!$E$12&amp;M_Lista!G18,M_FactoresComplement!$F$15:$I$434,2,FALSE)))</f>
        <v>0</v>
      </c>
      <c r="M24" s="313">
        <f>IF(AND(M_FactoresComplement!$G$6="No",M_FactoresComplement!$G$8="No"),M_Cálculos_ND!K24*M_Factores!$E$213,IF(AND(M_FactoresComplement!$G$6="Sí",M_FactoresComplement!$G$8="No"),K24*M_FactoresComplement!H16,K24*VLOOKUP(M_FactoresComplement!$C$15&amp;M_Datos!$E$12&amp;M_Lista!G18,M_FactoresComplement!$F$15:$I$434,3,FALSE)))</f>
        <v>0</v>
      </c>
      <c r="N24" s="311">
        <f>SUMIFS(M_Datos!$T$59:$T$61,M_Datos!$U$59:$U$61,M_Lista!J19,M_Datos!$M$59:$M$61,M_Lista!$J$3)</f>
        <v>0</v>
      </c>
      <c r="O24" s="312">
        <f>IF(AND(M_FactoresComplement!$G$6="No",M_FactoresComplement!$G$8="No"),M_Cálculos_ND!N24*M_Factores!$D$213,IF(AND(M_FactoresComplement!$G$6="Sí",M_FactoresComplement!$G$8="No"),N24*M_FactoresComplement!G16,N24*VLOOKUP(M_FactoresComplement!$C$15&amp;M_Datos!$E$12&amp;M_Lista!G18,M_FactoresComplement!$F$15:$I$434,2,FALSE)))</f>
        <v>0</v>
      </c>
      <c r="P24" s="313">
        <f>IF(AND(M_FactoresComplement!$G$6="No",M_FactoresComplement!$G$8="No"),M_Cálculos_ND!N24*M_Factores!$E$213,IF(AND(M_FactoresComplement!$G$6="Sí",M_FactoresComplement!$G$8="No"),N24*M_FactoresComplement!H16,N24*VLOOKUP(M_FactoresComplement!$C$15&amp;M_Datos!$E$12&amp;M_Lista!G18,M_FactoresComplement!$F$15:$I$434,3,FALSE)))</f>
        <v>0</v>
      </c>
      <c r="Q24" s="311">
        <f>SUMIFS(M_Datos!$V$59:$V$61,M_Datos!$W$59:$W$61,M_Lista!J19,M_Datos!$M$59:$M$61,M_Lista!$J$3)</f>
        <v>0</v>
      </c>
      <c r="R24" s="312">
        <f>IF(AND(M_FactoresComplement!$G$6="No",M_FactoresComplement!$G$8="No"),M_Cálculos_ND!Q24*M_Factores!$D$213,IF(AND(M_FactoresComplement!$G$6="Sí",M_FactoresComplement!$G$8="No"),Q24*M_FactoresComplement!G16,Q24*VLOOKUP(M_FactoresComplement!$C$15&amp;M_Datos!$E$12&amp;M_Lista!G18,M_FactoresComplement!$F$15:$I$434,2,FALSE)))</f>
        <v>0</v>
      </c>
      <c r="S24" s="313">
        <f>IF(AND(M_FactoresComplement!$G$6="No",M_FactoresComplement!$G$8="No"),M_Cálculos_ND!Q24*M_Factores!$E$213,IF(AND(M_FactoresComplement!$G$6="Sí",M_FactoresComplement!$G$8="No"),Q24*M_FactoresComplement!H16,Q24*VLOOKUP(M_FactoresComplement!$C$15&amp;M_Datos!$E$12&amp;M_Lista!G18,M_FactoresComplement!$F$15:$I$434,3,FALSE)))</f>
        <v>0</v>
      </c>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row>
    <row r="25" spans="1:841">
      <c r="B25" s="11"/>
      <c r="C25" s="657"/>
      <c r="D25" s="289" t="s">
        <v>626</v>
      </c>
      <c r="E25" s="311">
        <f>SUMIFS(M_Datos!$N$59:$N$61,M_Datos!$O$59:$O$61,M_Lista!G20,M_Datos!$M$59:$M$61,M_Lista!$J$3)</f>
        <v>0</v>
      </c>
      <c r="F25" s="312">
        <f>IF(AND(M_FactoresComplement!$G$6="No",M_FactoresComplement!$G$8="No"),M_Cálculos_ND!E25*M_Factores!$D$213,IF(AND(M_FactoresComplement!$G$6="Sí",M_FactoresComplement!$G$8="No"),E25*M_FactoresComplement!G17,E25*VLOOKUP(M_FactoresComplement!$C$15&amp;M_Datos!$E$12&amp;M_Lista!G19,M_FactoresComplement!$F$15:$I$434,2,FALSE)))</f>
        <v>0</v>
      </c>
      <c r="G25" s="313">
        <f>IF(AND(M_FactoresComplement!$G$6="No",M_FactoresComplement!$G$8="No"),M_Cálculos_ND!E25*M_Factores!$E$213,IF(AND(M_FactoresComplement!$G$6="Sí",M_FactoresComplement!$G$8="No"),E25*M_FactoresComplement!H17,E25*VLOOKUP(M_FactoresComplement!$C$15&amp;M_Datos!$E$12&amp;M_Lista!G19,M_FactoresComplement!$F$15:$I$434,3,FALSE)))</f>
        <v>0</v>
      </c>
      <c r="H25" s="311">
        <f>SUMIFS(M_Datos!$P$59:$P$61,M_Datos!$Q$59:$Q$61,M_Lista!J20,M_Datos!$M$59:$M$61,M_Lista!$J$3)</f>
        <v>0</v>
      </c>
      <c r="I25" s="312">
        <f>IF(AND(M_FactoresComplement!$G$6="No",M_FactoresComplement!$G$8="No"),M_Cálculos_ND!H25*M_Factores!$D$213,IF(AND(M_FactoresComplement!$G$6="Sí",M_FactoresComplement!$G$8="No"),H25*M_FactoresComplement!G17,H25*VLOOKUP(M_FactoresComplement!$C$15&amp;M_Datos!$E$12&amp;M_Lista!G19,M_FactoresComplement!$F$15:$I$434,2,FALSE)))</f>
        <v>0</v>
      </c>
      <c r="J25" s="313">
        <f>IF(AND(M_FactoresComplement!$G$6="No",M_FactoresComplement!$G$8="No"),M_Cálculos_ND!H25*M_Factores!$E$213,IF(AND(M_FactoresComplement!$G$6="Sí",M_FactoresComplement!$G$8="No"),H25*M_FactoresComplement!H17,H25*VLOOKUP(M_FactoresComplement!$C$15&amp;M_Datos!$E$12&amp;M_Lista!G19,M_FactoresComplement!$F$15:$I$434,3,FALSE)))</f>
        <v>0</v>
      </c>
      <c r="K25" s="311">
        <f>SUMIFS(M_Datos!$R$59:$R$61,M_Datos!$S$59:$S$61,M_Lista!J20,M_Datos!$M$59:$M$61,M_Lista!$J$3)</f>
        <v>0</v>
      </c>
      <c r="L25" s="312">
        <f>IF(AND(M_FactoresComplement!$G$6="No",M_FactoresComplement!$G$8="No"),M_Cálculos_ND!K25*M_Factores!$D$213,IF(AND(M_FactoresComplement!$G$6="Sí",M_FactoresComplement!$G$8="No"),K25*M_FactoresComplement!G17,K25*VLOOKUP(M_FactoresComplement!$C$15&amp;M_Datos!$E$12&amp;M_Lista!G19,M_FactoresComplement!$F$15:$I$434,2,FALSE)))</f>
        <v>0</v>
      </c>
      <c r="M25" s="313">
        <f>IF(AND(M_FactoresComplement!$G$6="No",M_FactoresComplement!$G$8="No"),M_Cálculos_ND!K25*M_Factores!$E$213,IF(AND(M_FactoresComplement!$G$6="Sí",M_FactoresComplement!$G$8="No"),K25*M_FactoresComplement!H17,K25*VLOOKUP(M_FactoresComplement!$C$15&amp;M_Datos!$E$12&amp;M_Lista!G19,M_FactoresComplement!$F$15:$I$434,3,FALSE)))</f>
        <v>0</v>
      </c>
      <c r="N25" s="311">
        <f>SUMIFS(M_Datos!$T$59:$T$61,M_Datos!$U$59:$U$61,M_Lista!J20,M_Datos!$M$59:$M$61,M_Lista!$J$3)</f>
        <v>0</v>
      </c>
      <c r="O25" s="312">
        <f>IF(AND(M_FactoresComplement!$G$6="No",M_FactoresComplement!$G$8="No"),M_Cálculos_ND!N25*M_Factores!$D$213,IF(AND(M_FactoresComplement!$G$6="Sí",M_FactoresComplement!$G$8="No"),N25*M_FactoresComplement!G17,N25*VLOOKUP(M_FactoresComplement!$C$15&amp;M_Datos!$E$12&amp;M_Lista!G19,M_FactoresComplement!$F$15:$I$434,2,FALSE)))</f>
        <v>0</v>
      </c>
      <c r="P25" s="313">
        <f>IF(AND(M_FactoresComplement!$G$6="No",M_FactoresComplement!$G$8="No"),M_Cálculos_ND!N25*M_Factores!$E$213,IF(AND(M_FactoresComplement!$G$6="Sí",M_FactoresComplement!$G$8="No"),N25*M_FactoresComplement!H17,N25*VLOOKUP(M_FactoresComplement!$C$15&amp;M_Datos!$E$12&amp;M_Lista!G19,M_FactoresComplement!$F$15:$I$434,3,FALSE)))</f>
        <v>0</v>
      </c>
      <c r="Q25" s="311">
        <f>SUMIFS(M_Datos!$V$59:$V$61,M_Datos!$W$59:$W$61,M_Lista!J20,M_Datos!$M$59:$M$61,M_Lista!$J$3)</f>
        <v>0</v>
      </c>
      <c r="R25" s="312">
        <f>IF(AND(M_FactoresComplement!$G$6="No",M_FactoresComplement!$G$8="No"),M_Cálculos_ND!Q25*M_Factores!$D$213,IF(AND(M_FactoresComplement!$G$6="Sí",M_FactoresComplement!$G$8="No"),Q25*M_FactoresComplement!G17,Q25*VLOOKUP(M_FactoresComplement!$C$15&amp;M_Datos!$E$12&amp;M_Lista!G19,M_FactoresComplement!$F$15:$I$434,2,FALSE)))</f>
        <v>0</v>
      </c>
      <c r="S25" s="313">
        <f>IF(AND(M_FactoresComplement!$G$6="No",M_FactoresComplement!$G$8="No"),M_Cálculos_ND!Q25*M_Factores!$E$213,IF(AND(M_FactoresComplement!$G$6="Sí",M_FactoresComplement!$G$8="No"),Q25*M_FactoresComplement!H17,Q25*VLOOKUP(M_FactoresComplement!$C$15&amp;M_Datos!$E$12&amp;M_Lista!G19,M_FactoresComplement!$F$15:$I$434,3,FALSE)))</f>
        <v>0</v>
      </c>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row>
    <row r="26" spans="1:841">
      <c r="B26" s="11"/>
      <c r="C26" s="657"/>
      <c r="D26" s="289" t="s">
        <v>627</v>
      </c>
      <c r="E26" s="311">
        <f>SUMIFS(M_Datos!$N$59:$N$61,M_Datos!$O$59:$O$61,M_Lista!G21,M_Datos!$M$59:$M$61,M_Lista!$J$3)</f>
        <v>0</v>
      </c>
      <c r="F26" s="312">
        <f>IF(AND(M_FactoresComplement!$G$6="No",M_FactoresComplement!$G$8="No"),M_Cálculos_ND!E26*M_Factores!$D$213,IF(AND(M_FactoresComplement!$G$6="Sí",M_FactoresComplement!$G$8="No"),E26*M_FactoresComplement!G18,E26*VLOOKUP(M_FactoresComplement!$C$15&amp;M_Datos!$E$12&amp;M_Lista!G20,M_FactoresComplement!$F$15:$I$434,2,FALSE)))</f>
        <v>0</v>
      </c>
      <c r="G26" s="313">
        <f>IF(AND(M_FactoresComplement!$G$6="No",M_FactoresComplement!$G$8="No"),M_Cálculos_ND!E26*M_Factores!$E$213,IF(AND(M_FactoresComplement!$G$6="Sí",M_FactoresComplement!$G$8="No"),E26*M_FactoresComplement!H18,E26*VLOOKUP(M_FactoresComplement!$C$15&amp;M_Datos!$E$12&amp;M_Lista!G20,M_FactoresComplement!$F$15:$I$434,3,FALSE)))</f>
        <v>0</v>
      </c>
      <c r="H26" s="311">
        <f>SUMIFS(M_Datos!$P$59:$P$61,M_Datos!$Q$59:$Q$61,M_Lista!J21,M_Datos!$M$59:$M$61,M_Lista!$J$3)</f>
        <v>0</v>
      </c>
      <c r="I26" s="312">
        <f>IF(AND(M_FactoresComplement!$G$6="No",M_FactoresComplement!$G$8="No"),M_Cálculos_ND!H26*M_Factores!$D$213,IF(AND(M_FactoresComplement!$G$6="Sí",M_FactoresComplement!$G$8="No"),H26*M_FactoresComplement!G18,H26*VLOOKUP(M_FactoresComplement!$C$15&amp;M_Datos!$E$12&amp;M_Lista!G20,M_FactoresComplement!$F$15:$I$434,2,FALSE)))</f>
        <v>0</v>
      </c>
      <c r="J26" s="313">
        <f>IF(AND(M_FactoresComplement!$G$6="No",M_FactoresComplement!$G$8="No"),M_Cálculos_ND!H26*M_Factores!$E$213,IF(AND(M_FactoresComplement!$G$6="Sí",M_FactoresComplement!$G$8="No"),H26*M_FactoresComplement!H18,H26*VLOOKUP(M_FactoresComplement!$C$15&amp;M_Datos!$E$12&amp;M_Lista!G20,M_FactoresComplement!$F$15:$I$434,3,FALSE)))</f>
        <v>0</v>
      </c>
      <c r="K26" s="311">
        <f>SUMIFS(M_Datos!$R$59:$R$61,M_Datos!$S$59:$S$61,M_Lista!J21,M_Datos!$M$59:$M$61,M_Lista!$J$3)</f>
        <v>0</v>
      </c>
      <c r="L26" s="312">
        <f>IF(AND(M_FactoresComplement!$G$6="No",M_FactoresComplement!$G$8="No"),M_Cálculos_ND!K26*M_Factores!$D$213,IF(AND(M_FactoresComplement!$G$6="Sí",M_FactoresComplement!$G$8="No"),K26*M_FactoresComplement!G18,K26*VLOOKUP(M_FactoresComplement!$C$15&amp;M_Datos!$E$12&amp;M_Lista!G20,M_FactoresComplement!$F$15:$I$434,2,FALSE)))</f>
        <v>0</v>
      </c>
      <c r="M26" s="313">
        <f>IF(AND(M_FactoresComplement!$G$6="No",M_FactoresComplement!$G$8="No"),M_Cálculos_ND!K26*M_Factores!$E$213,IF(AND(M_FactoresComplement!$G$6="Sí",M_FactoresComplement!$G$8="No"),K26*M_FactoresComplement!H18,K26*VLOOKUP(M_FactoresComplement!$C$15&amp;M_Datos!$E$12&amp;M_Lista!G20,M_FactoresComplement!$F$15:$I$434,3,FALSE)))</f>
        <v>0</v>
      </c>
      <c r="N26" s="311">
        <f>SUMIFS(M_Datos!$T$59:$T$61,M_Datos!$U$59:$U$61,M_Lista!J21,M_Datos!$M$59:$M$61,M_Lista!$J$3)</f>
        <v>0</v>
      </c>
      <c r="O26" s="312">
        <f>IF(AND(M_FactoresComplement!$G$6="No",M_FactoresComplement!$G$8="No"),M_Cálculos_ND!N26*M_Factores!$D$213,IF(AND(M_FactoresComplement!$G$6="Sí",M_FactoresComplement!$G$8="No"),N26*M_FactoresComplement!G18,N26*VLOOKUP(M_FactoresComplement!$C$15&amp;M_Datos!$E$12&amp;M_Lista!G20,M_FactoresComplement!$F$15:$I$434,2,FALSE)))</f>
        <v>0</v>
      </c>
      <c r="P26" s="313">
        <f>IF(AND(M_FactoresComplement!$G$6="No",M_FactoresComplement!$G$8="No"),M_Cálculos_ND!N26*M_Factores!$E$213,IF(AND(M_FactoresComplement!$G$6="Sí",M_FactoresComplement!$G$8="No"),N26*M_FactoresComplement!H18,N26*VLOOKUP(M_FactoresComplement!$C$15&amp;M_Datos!$E$12&amp;M_Lista!G20,M_FactoresComplement!$F$15:$I$434,3,FALSE)))</f>
        <v>0</v>
      </c>
      <c r="Q26" s="311">
        <f>SUMIFS(M_Datos!$V$59:$V$61,M_Datos!$W$59:$W$61,M_Lista!J21,M_Datos!$M$59:$M$61,M_Lista!$J$3)</f>
        <v>0</v>
      </c>
      <c r="R26" s="312">
        <f>IF(AND(M_FactoresComplement!$G$6="No",M_FactoresComplement!$G$8="No"),M_Cálculos_ND!Q26*M_Factores!$D$213,IF(AND(M_FactoresComplement!$G$6="Sí",M_FactoresComplement!$G$8="No"),Q26*M_FactoresComplement!G18,Q26*VLOOKUP(M_FactoresComplement!$C$15&amp;M_Datos!$E$12&amp;M_Lista!G20,M_FactoresComplement!$F$15:$I$434,2,FALSE)))</f>
        <v>0</v>
      </c>
      <c r="S26" s="313">
        <f>IF(AND(M_FactoresComplement!$G$6="No",M_FactoresComplement!$G$8="No"),M_Cálculos_ND!Q26*M_Factores!$E$213,IF(AND(M_FactoresComplement!$G$6="Sí",M_FactoresComplement!$G$8="No"),Q26*M_FactoresComplement!H18,Q26*VLOOKUP(M_FactoresComplement!$C$15&amp;M_Datos!$E$12&amp;M_Lista!G20,M_FactoresComplement!$F$15:$I$434,3,FALSE)))</f>
        <v>0</v>
      </c>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row>
    <row r="27" spans="1:841">
      <c r="B27" s="11"/>
      <c r="C27" s="657"/>
      <c r="D27" s="289" t="s">
        <v>628</v>
      </c>
      <c r="E27" s="311">
        <f>SUMIFS(M_Datos!$N$59:$N$61,M_Datos!$O$59:$O$61,M_Lista!G22,M_Datos!$M$59:$M$61,M_Lista!$J$3)</f>
        <v>0</v>
      </c>
      <c r="F27" s="312">
        <f>IF(AND(M_FactoresComplement!$G$6="No",M_FactoresComplement!$G$8="No"),M_Cálculos_ND!E27*M_Factores!$D$213,IF(AND(M_FactoresComplement!$G$6="Sí",M_FactoresComplement!$G$8="No"),E27*M_FactoresComplement!G19,E27*VLOOKUP(M_FactoresComplement!$C$15&amp;M_Datos!$E$12&amp;M_Lista!G21,M_FactoresComplement!$F$15:$I$434,2,FALSE)))</f>
        <v>0</v>
      </c>
      <c r="G27" s="313">
        <f>IF(AND(M_FactoresComplement!$G$6="No",M_FactoresComplement!$G$8="No"),M_Cálculos_ND!E27*M_Factores!$E$213,IF(AND(M_FactoresComplement!$G$6="Sí",M_FactoresComplement!$G$8="No"),E27*M_FactoresComplement!H19,E27*VLOOKUP(M_FactoresComplement!$C$15&amp;M_Datos!$E$12&amp;M_Lista!G21,M_FactoresComplement!$F$15:$I$434,3,FALSE)))</f>
        <v>0</v>
      </c>
      <c r="H27" s="311">
        <f>SUMIFS(M_Datos!$P$59:$P$61,M_Datos!$Q$59:$Q$61,M_Lista!J22,M_Datos!$M$59:$M$61,M_Lista!$J$3)</f>
        <v>0</v>
      </c>
      <c r="I27" s="312">
        <f>IF(AND(M_FactoresComplement!$G$6="No",M_FactoresComplement!$G$8="No"),M_Cálculos_ND!H27*M_Factores!$D$213,IF(AND(M_FactoresComplement!$G$6="Sí",M_FactoresComplement!$G$8="No"),H27*M_FactoresComplement!G19,H27*VLOOKUP(M_FactoresComplement!$C$15&amp;M_Datos!$E$12&amp;M_Lista!G21,M_FactoresComplement!$F$15:$I$434,2,FALSE)))</f>
        <v>0</v>
      </c>
      <c r="J27" s="313">
        <f>IF(AND(M_FactoresComplement!$G$6="No",M_FactoresComplement!$G$8="No"),M_Cálculos_ND!H27*M_Factores!$E$213,IF(AND(M_FactoresComplement!$G$6="Sí",M_FactoresComplement!$G$8="No"),H27*M_FactoresComplement!H19,H27*VLOOKUP(M_FactoresComplement!$C$15&amp;M_Datos!$E$12&amp;M_Lista!G21,M_FactoresComplement!$F$15:$I$434,3,FALSE)))</f>
        <v>0</v>
      </c>
      <c r="K27" s="311">
        <f>SUMIFS(M_Datos!$R$59:$R$61,M_Datos!$S$59:$S$61,M_Lista!J22,M_Datos!$M$59:$M$61,M_Lista!$J$3)</f>
        <v>0</v>
      </c>
      <c r="L27" s="312">
        <f>IF(AND(M_FactoresComplement!$G$6="No",M_FactoresComplement!$G$8="No"),M_Cálculos_ND!K27*M_Factores!$D$213,IF(AND(M_FactoresComplement!$G$6="Sí",M_FactoresComplement!$G$8="No"),K27*M_FactoresComplement!G19,K27*VLOOKUP(M_FactoresComplement!$C$15&amp;M_Datos!$E$12&amp;M_Lista!G21,M_FactoresComplement!$F$15:$I$434,2,FALSE)))</f>
        <v>0</v>
      </c>
      <c r="M27" s="313">
        <f>IF(AND(M_FactoresComplement!$G$6="No",M_FactoresComplement!$G$8="No"),M_Cálculos_ND!K27*M_Factores!$E$213,IF(AND(M_FactoresComplement!$G$6="Sí",M_FactoresComplement!$G$8="No"),K27*M_FactoresComplement!H19,K27*VLOOKUP(M_FactoresComplement!$C$15&amp;M_Datos!$E$12&amp;M_Lista!G21,M_FactoresComplement!$F$15:$I$434,3,FALSE)))</f>
        <v>0</v>
      </c>
      <c r="N27" s="311">
        <f>SUMIFS(M_Datos!$T$59:$T$61,M_Datos!$U$59:$U$61,M_Lista!J22,M_Datos!$M$59:$M$61,M_Lista!$J$3)</f>
        <v>0</v>
      </c>
      <c r="O27" s="312">
        <f>IF(AND(M_FactoresComplement!$G$6="No",M_FactoresComplement!$G$8="No"),M_Cálculos_ND!N27*M_Factores!$D$213,IF(AND(M_FactoresComplement!$G$6="Sí",M_FactoresComplement!$G$8="No"),N27*M_FactoresComplement!G19,N27*VLOOKUP(M_FactoresComplement!$C$15&amp;M_Datos!$E$12&amp;M_Lista!G21,M_FactoresComplement!$F$15:$I$434,2,FALSE)))</f>
        <v>0</v>
      </c>
      <c r="P27" s="313">
        <f>IF(AND(M_FactoresComplement!$G$6="No",M_FactoresComplement!$G$8="No"),M_Cálculos_ND!N27*M_Factores!$E$213,IF(AND(M_FactoresComplement!$G$6="Sí",M_FactoresComplement!$G$8="No"),N27*M_FactoresComplement!H19,N27*VLOOKUP(M_FactoresComplement!$C$15&amp;M_Datos!$E$12&amp;M_Lista!G21,M_FactoresComplement!$F$15:$I$434,3,FALSE)))</f>
        <v>0</v>
      </c>
      <c r="Q27" s="311">
        <f>SUMIFS(M_Datos!$V$59:$V$61,M_Datos!$W$59:$W$61,M_Lista!J22,M_Datos!$M$59:$M$61,M_Lista!$J$3)</f>
        <v>0</v>
      </c>
      <c r="R27" s="312">
        <f>IF(AND(M_FactoresComplement!$G$6="No",M_FactoresComplement!$G$8="No"),M_Cálculos_ND!Q27*M_Factores!$D$213,IF(AND(M_FactoresComplement!$G$6="Sí",M_FactoresComplement!$G$8="No"),Q27*M_FactoresComplement!G19,Q27*VLOOKUP(M_FactoresComplement!$C$15&amp;M_Datos!$E$12&amp;M_Lista!G21,M_FactoresComplement!$F$15:$I$434,2,FALSE)))</f>
        <v>0</v>
      </c>
      <c r="S27" s="313">
        <f>IF(AND(M_FactoresComplement!$G$6="No",M_FactoresComplement!$G$8="No"),M_Cálculos_ND!Q27*M_Factores!$E$213,IF(AND(M_FactoresComplement!$G$6="Sí",M_FactoresComplement!$G$8="No"),Q27*M_FactoresComplement!H19,Q27*VLOOKUP(M_FactoresComplement!$C$15&amp;M_Datos!$E$12&amp;M_Lista!G21,M_FactoresComplement!$F$15:$I$434,3,FALSE)))</f>
        <v>0</v>
      </c>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row>
    <row r="28" spans="1:841">
      <c r="B28" s="11"/>
      <c r="C28" s="657"/>
      <c r="D28" s="289" t="s">
        <v>629</v>
      </c>
      <c r="E28" s="311">
        <f>SUMIFS(M_Datos!$N$59:$N$61,M_Datos!$O$59:$O$61,M_Lista!G23,M_Datos!$M$59:$M$61,M_Lista!$J$3)</f>
        <v>0</v>
      </c>
      <c r="F28" s="312">
        <f>IF(AND(M_FactoresComplement!$G$6="No",M_FactoresComplement!$G$8="No"),M_Cálculos_ND!E28*M_Factores!$D$213,IF(AND(M_FactoresComplement!$G$6="Sí",M_FactoresComplement!$G$8="No"),E28*M_FactoresComplement!G20,E28*VLOOKUP(M_FactoresComplement!$C$15&amp;M_Datos!$E$12&amp;M_Lista!G22,M_FactoresComplement!$F$15:$I$434,2,FALSE)))</f>
        <v>0</v>
      </c>
      <c r="G28" s="313">
        <f>IF(AND(M_FactoresComplement!$G$6="No",M_FactoresComplement!$G$8="No"),M_Cálculos_ND!E28*M_Factores!$E$213,IF(AND(M_FactoresComplement!$G$6="Sí",M_FactoresComplement!$G$8="No"),E28*M_FactoresComplement!H20,E28*VLOOKUP(M_FactoresComplement!$C$15&amp;M_Datos!$E$12&amp;M_Lista!G22,M_FactoresComplement!$F$15:$I$434,3,FALSE)))</f>
        <v>0</v>
      </c>
      <c r="H28" s="311">
        <f>SUMIFS(M_Datos!$P$59:$P$61,M_Datos!$Q$59:$Q$61,M_Lista!J23,M_Datos!$M$59:$M$61,M_Lista!$J$3)</f>
        <v>0</v>
      </c>
      <c r="I28" s="312">
        <f>IF(AND(M_FactoresComplement!$G$6="No",M_FactoresComplement!$G$8="No"),M_Cálculos_ND!H28*M_Factores!$D$213,IF(AND(M_FactoresComplement!$G$6="Sí",M_FactoresComplement!$G$8="No"),H28*M_FactoresComplement!G20,H28*VLOOKUP(M_FactoresComplement!$C$15&amp;M_Datos!$E$12&amp;M_Lista!G22,M_FactoresComplement!$F$15:$I$434,2,FALSE)))</f>
        <v>0</v>
      </c>
      <c r="J28" s="313">
        <f>IF(AND(M_FactoresComplement!$G$6="No",M_FactoresComplement!$G$8="No"),M_Cálculos_ND!H28*M_Factores!$E$213,IF(AND(M_FactoresComplement!$G$6="Sí",M_FactoresComplement!$G$8="No"),H28*M_FactoresComplement!H20,H28*VLOOKUP(M_FactoresComplement!$C$15&amp;M_Datos!$E$12&amp;M_Lista!G22,M_FactoresComplement!$F$15:$I$434,3,FALSE)))</f>
        <v>0</v>
      </c>
      <c r="K28" s="311">
        <f>SUMIFS(M_Datos!$R$59:$R$61,M_Datos!$S$59:$S$61,M_Lista!J23,M_Datos!$M$59:$M$61,M_Lista!$J$3)</f>
        <v>0</v>
      </c>
      <c r="L28" s="312">
        <f>IF(AND(M_FactoresComplement!$G$6="No",M_FactoresComplement!$G$8="No"),M_Cálculos_ND!K28*M_Factores!$D$213,IF(AND(M_FactoresComplement!$G$6="Sí",M_FactoresComplement!$G$8="No"),K28*M_FactoresComplement!G20,K28*VLOOKUP(M_FactoresComplement!$C$15&amp;M_Datos!$E$12&amp;M_Lista!G22,M_FactoresComplement!$F$15:$I$434,2,FALSE)))</f>
        <v>0</v>
      </c>
      <c r="M28" s="313">
        <f>IF(AND(M_FactoresComplement!$G$6="No",M_FactoresComplement!$G$8="No"),M_Cálculos_ND!K28*M_Factores!$E$213,IF(AND(M_FactoresComplement!$G$6="Sí",M_FactoresComplement!$G$8="No"),K28*M_FactoresComplement!H20,K28*VLOOKUP(M_FactoresComplement!$C$15&amp;M_Datos!$E$12&amp;M_Lista!G22,M_FactoresComplement!$F$15:$I$434,3,FALSE)))</f>
        <v>0</v>
      </c>
      <c r="N28" s="311">
        <f>SUMIFS(M_Datos!$T$59:$T$61,M_Datos!$U$59:$U$61,M_Lista!J23,M_Datos!$M$59:$M$61,M_Lista!$J$3)</f>
        <v>0</v>
      </c>
      <c r="O28" s="312">
        <f>IF(AND(M_FactoresComplement!$G$6="No",M_FactoresComplement!$G$8="No"),M_Cálculos_ND!N28*M_Factores!$D$213,IF(AND(M_FactoresComplement!$G$6="Sí",M_FactoresComplement!$G$8="No"),N28*M_FactoresComplement!G20,N28*VLOOKUP(M_FactoresComplement!$C$15&amp;M_Datos!$E$12&amp;M_Lista!G22,M_FactoresComplement!$F$15:$I$434,2,FALSE)))</f>
        <v>0</v>
      </c>
      <c r="P28" s="313">
        <f>IF(AND(M_FactoresComplement!$G$6="No",M_FactoresComplement!$G$8="No"),M_Cálculos_ND!N28*M_Factores!$E$213,IF(AND(M_FactoresComplement!$G$6="Sí",M_FactoresComplement!$G$8="No"),N28*M_FactoresComplement!H20,N28*VLOOKUP(M_FactoresComplement!$C$15&amp;M_Datos!$E$12&amp;M_Lista!G22,M_FactoresComplement!$F$15:$I$434,3,FALSE)))</f>
        <v>0</v>
      </c>
      <c r="Q28" s="311">
        <f>SUMIFS(M_Datos!$V$59:$V$61,M_Datos!$W$59:$W$61,M_Lista!J23,M_Datos!$M$59:$M$61,M_Lista!$J$3)</f>
        <v>0</v>
      </c>
      <c r="R28" s="312">
        <f>IF(AND(M_FactoresComplement!$G$6="No",M_FactoresComplement!$G$8="No"),M_Cálculos_ND!Q28*M_Factores!$D$213,IF(AND(M_FactoresComplement!$G$6="Sí",M_FactoresComplement!$G$8="No"),Q28*M_FactoresComplement!G20,Q28*VLOOKUP(M_FactoresComplement!$C$15&amp;M_Datos!$E$12&amp;M_Lista!G22,M_FactoresComplement!$F$15:$I$434,2,FALSE)))</f>
        <v>0</v>
      </c>
      <c r="S28" s="313">
        <f>IF(AND(M_FactoresComplement!$G$6="No",M_FactoresComplement!$G$8="No"),M_Cálculos_ND!Q28*M_Factores!$E$213,IF(AND(M_FactoresComplement!$G$6="Sí",M_FactoresComplement!$G$8="No"),Q28*M_FactoresComplement!H20,Q28*VLOOKUP(M_FactoresComplement!$C$15&amp;M_Datos!$E$12&amp;M_Lista!G22,M_FactoresComplement!$F$15:$I$434,3,FALSE)))</f>
        <v>0</v>
      </c>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row>
    <row r="29" spans="1:841">
      <c r="B29" s="11"/>
      <c r="C29" s="657"/>
      <c r="D29" s="289" t="str">
        <f>IF(Idioma=Castellano,"Sin definir",IF(Idioma=Valencià,"Sense definir","Sin definir"))</f>
        <v>Sin definir</v>
      </c>
      <c r="E29" s="311">
        <f>SUMIFS(M_Datos!$N$59:$N$61,M_Datos!$O$59:$O$61,M_Lista!G24,M_Datos!$M$59:$M$61,M_Lista!$J$3)</f>
        <v>0</v>
      </c>
      <c r="F29" s="312">
        <f>IF(AND(M_FactoresComplement!$G$6="No",M_FactoresComplement!$G$8="No"),M_Cálculos_ND!E29*M_Factores!$D$213,IF(AND(M_FactoresComplement!$G$6="Sí",M_FactoresComplement!$G$8="No"),E29*M_FactoresComplement!G21,E29*VLOOKUP(M_FactoresComplement!$C$15&amp;M_Datos!$E$12&amp;M_Lista!G23,M_FactoresComplement!$F$15:$I$434,2,FALSE)))</f>
        <v>0</v>
      </c>
      <c r="G29" s="313">
        <f>IF(AND(M_FactoresComplement!$G$6="No",M_FactoresComplement!$G$8="No"),M_Cálculos_ND!E29*M_Factores!$E$213,IF(AND(M_FactoresComplement!$G$6="Sí",M_FactoresComplement!$G$8="No"),E29*M_FactoresComplement!H21,E29*VLOOKUP(M_FactoresComplement!$C$15&amp;M_Datos!$E$12&amp;M_Lista!G23,M_FactoresComplement!$F$15:$I$434,3,FALSE)))</f>
        <v>0</v>
      </c>
      <c r="H29" s="311">
        <f>SUMIFS(M_Datos!$P$59:$P$61,M_Datos!$Q$59:$Q$61,M_Lista!J24,M_Datos!$M$59:$M$61,M_Lista!$J$3)</f>
        <v>0</v>
      </c>
      <c r="I29" s="312">
        <f>IF(AND(M_FactoresComplement!$G$6="No",M_FactoresComplement!$G$8="No"),M_Cálculos_ND!H29*M_Factores!$D$213,IF(AND(M_FactoresComplement!$G$6="Sí",M_FactoresComplement!$G$8="No"),H29*M_FactoresComplement!G21,H29*VLOOKUP(M_FactoresComplement!$C$15&amp;M_Datos!$E$12&amp;M_Lista!G23,M_FactoresComplement!$F$15:$I$434,2,FALSE)))</f>
        <v>0</v>
      </c>
      <c r="J29" s="313">
        <f>IF(AND(M_FactoresComplement!$G$6="No",M_FactoresComplement!$G$8="No"),M_Cálculos_ND!H29*M_Factores!$E$213,IF(AND(M_FactoresComplement!$G$6="Sí",M_FactoresComplement!$G$8="No"),H29*M_FactoresComplement!H21,H29*VLOOKUP(M_FactoresComplement!$C$15&amp;M_Datos!$E$12&amp;M_Lista!G23,M_FactoresComplement!$F$15:$I$434,3,FALSE)))</f>
        <v>0</v>
      </c>
      <c r="K29" s="311">
        <f>SUMIFS(M_Datos!$R$59:$R$61,M_Datos!$S$59:$S$61,M_Lista!J24,M_Datos!$M$59:$M$61,M_Lista!$J$3)</f>
        <v>0</v>
      </c>
      <c r="L29" s="312">
        <f>IF(AND(M_FactoresComplement!$G$6="No",M_FactoresComplement!$G$8="No"),M_Cálculos_ND!K29*M_Factores!$D$213,IF(AND(M_FactoresComplement!$G$6="Sí",M_FactoresComplement!$G$8="No"),K29*M_FactoresComplement!G21,K29*VLOOKUP(M_FactoresComplement!$C$15&amp;M_Datos!$E$12&amp;M_Lista!G23,M_FactoresComplement!$F$15:$I$434,2,FALSE)))</f>
        <v>0</v>
      </c>
      <c r="M29" s="313">
        <f>IF(AND(M_FactoresComplement!$G$6="No",M_FactoresComplement!$G$8="No"),M_Cálculos_ND!K29*M_Factores!$E$213,IF(AND(M_FactoresComplement!$G$6="Sí",M_FactoresComplement!$G$8="No"),K29*M_FactoresComplement!H21,K29*VLOOKUP(M_FactoresComplement!$C$15&amp;M_Datos!$E$12&amp;M_Lista!G23,M_FactoresComplement!$F$15:$I$434,3,FALSE)))</f>
        <v>0</v>
      </c>
      <c r="N29" s="311">
        <f>SUMIFS(M_Datos!$T$59:$T$61,M_Datos!$U$59:$U$61,M_Lista!J24,M_Datos!$M$59:$M$61,M_Lista!$J$3)</f>
        <v>0</v>
      </c>
      <c r="O29" s="312">
        <f>IF(AND(M_FactoresComplement!$G$6="No",M_FactoresComplement!$G$8="No"),M_Cálculos_ND!N29*M_Factores!$D$213,IF(AND(M_FactoresComplement!$G$6="Sí",M_FactoresComplement!$G$8="No"),N29*M_FactoresComplement!G21,N29*VLOOKUP(M_FactoresComplement!$C$15&amp;M_Datos!$E$12&amp;M_Lista!G23,M_FactoresComplement!$F$15:$I$434,2,FALSE)))</f>
        <v>0</v>
      </c>
      <c r="P29" s="313">
        <f>IF(AND(M_FactoresComplement!$G$6="No",M_FactoresComplement!$G$8="No"),M_Cálculos_ND!N29*M_Factores!$E$213,IF(AND(M_FactoresComplement!$G$6="Sí",M_FactoresComplement!$G$8="No"),N29*M_FactoresComplement!H21,N29*VLOOKUP(M_FactoresComplement!$C$15&amp;M_Datos!$E$12&amp;M_Lista!G23,M_FactoresComplement!$F$15:$I$434,3,FALSE)))</f>
        <v>0</v>
      </c>
      <c r="Q29" s="311">
        <f>SUMIFS(M_Datos!$V$59:$V$61,M_Datos!$W$59:$W$61,M_Lista!J24,M_Datos!$M$59:$M$61,M_Lista!$J$3)</f>
        <v>0</v>
      </c>
      <c r="R29" s="312">
        <f>IF(AND(M_FactoresComplement!$G$6="No",M_FactoresComplement!$G$8="No"),M_Cálculos_ND!Q29*M_Factores!$D$213,IF(AND(M_FactoresComplement!$G$6="Sí",M_FactoresComplement!$G$8="No"),Q29*M_FactoresComplement!G21,Q29*VLOOKUP(M_FactoresComplement!$C$15&amp;M_Datos!$E$12&amp;M_Lista!G23,M_FactoresComplement!$F$15:$I$434,2,FALSE)))</f>
        <v>0</v>
      </c>
      <c r="S29" s="313">
        <f>IF(AND(M_FactoresComplement!$G$6="No",M_FactoresComplement!$G$8="No"),M_Cálculos_ND!Q29*M_Factores!$E$213,IF(AND(M_FactoresComplement!$G$6="Sí",M_FactoresComplement!$G$8="No"),Q29*M_FactoresComplement!H21,Q29*VLOOKUP(M_FactoresComplement!$C$15&amp;M_Datos!$E$12&amp;M_Lista!G23,M_FactoresComplement!$F$15:$I$434,3,FALSE)))</f>
        <v>0</v>
      </c>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row>
    <row r="30" spans="1:841">
      <c r="B30" s="11"/>
      <c r="C30" s="657"/>
      <c r="D30" s="289" t="str">
        <f>IF(Idioma=Castellano,"Consumo nulo",IF(Idioma=Valencià,"Consum nul","Consumo nulo"))</f>
        <v>Consumo nulo</v>
      </c>
      <c r="E30" s="311">
        <f>SUMIFS(M_Datos!$N$59:$N$61,M_Datos!$O$59:$O$61,M_Lista!G25,M_Datos!$M$59:$M$61,M_Lista!$J$3)</f>
        <v>0</v>
      </c>
      <c r="F30" s="312">
        <v>0</v>
      </c>
      <c r="G30" s="313">
        <v>0</v>
      </c>
      <c r="H30" s="311">
        <f>SUMIFS(M_Datos!$P$59:$P$61,M_Datos!$Q$59:$Q$61,M_Lista!J25,M_Datos!$M$59:$M$61,M_Lista!$J$3)</f>
        <v>0</v>
      </c>
      <c r="I30" s="312">
        <v>0</v>
      </c>
      <c r="J30" s="313">
        <v>0</v>
      </c>
      <c r="K30" s="311">
        <f>SUMIFS(M_Datos!$R$59:$R$61,M_Datos!$S$59:$S$61,M_Lista!J25,M_Datos!$M$59:$M$61,M_Lista!$J$3)</f>
        <v>0</v>
      </c>
      <c r="L30" s="312">
        <v>0</v>
      </c>
      <c r="M30" s="313">
        <v>0</v>
      </c>
      <c r="N30" s="311">
        <f>SUMIFS(M_Datos!$T$59:$T$61,M_Datos!$U$59:$U$61,M_Lista!J25,M_Datos!$M$59:$M$61,M_Lista!$J$3)</f>
        <v>0</v>
      </c>
      <c r="O30" s="312">
        <v>0</v>
      </c>
      <c r="P30" s="313">
        <v>0</v>
      </c>
      <c r="Q30" s="311">
        <f>SUMIFS(M_Datos!$V$59:$V$61,M_Datos!$W$59:$W$61,M_Lista!J25,M_Datos!$M$59:$M$61,M_Lista!$J$3)</f>
        <v>0</v>
      </c>
      <c r="R30" s="312">
        <v>0</v>
      </c>
      <c r="S30" s="313">
        <v>0</v>
      </c>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row>
    <row r="31" spans="1:841">
      <c r="B31" s="11"/>
      <c r="C31" s="657"/>
      <c r="D31" s="315" t="s">
        <v>925</v>
      </c>
      <c r="E31" s="316">
        <f t="shared" ref="E31:M31" si="1">SUM(E23:E30)</f>
        <v>0</v>
      </c>
      <c r="F31" s="314">
        <f t="shared" si="1"/>
        <v>0</v>
      </c>
      <c r="G31" s="317">
        <f t="shared" si="1"/>
        <v>0</v>
      </c>
      <c r="H31" s="316">
        <f t="shared" si="1"/>
        <v>0</v>
      </c>
      <c r="I31" s="314">
        <f t="shared" si="1"/>
        <v>0</v>
      </c>
      <c r="J31" s="317">
        <f t="shared" si="1"/>
        <v>0</v>
      </c>
      <c r="K31" s="316">
        <f t="shared" si="1"/>
        <v>0</v>
      </c>
      <c r="L31" s="314">
        <f t="shared" si="1"/>
        <v>0</v>
      </c>
      <c r="M31" s="317">
        <f t="shared" si="1"/>
        <v>0</v>
      </c>
      <c r="N31" s="311">
        <f>SUMIFS(M_Datos!$T$59:$T$61,M_Datos!$U$59:$U$61,M_Lista!J26)</f>
        <v>0</v>
      </c>
      <c r="O31" s="314">
        <f>SUM(O23:O30)</f>
        <v>0</v>
      </c>
      <c r="P31" s="317">
        <f>SUM(P23:P30)</f>
        <v>0</v>
      </c>
      <c r="Q31" s="316">
        <f>SUM(Q23:Q30)</f>
        <v>0</v>
      </c>
      <c r="R31" s="314">
        <f>SUM(R23:R30)</f>
        <v>0</v>
      </c>
      <c r="S31" s="317">
        <f>SUM(S23:S30)</f>
        <v>0</v>
      </c>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row>
    <row r="32" spans="1:841">
      <c r="B32" s="11"/>
      <c r="C32" s="657" t="str">
        <f>M_Datos!L62</f>
        <v>Comercio</v>
      </c>
      <c r="D32" s="289" t="s">
        <v>622</v>
      </c>
      <c r="E32" s="503" t="s">
        <v>623</v>
      </c>
      <c r="F32" s="503" t="s">
        <v>919</v>
      </c>
      <c r="G32" s="503" t="s">
        <v>624</v>
      </c>
      <c r="H32" s="503" t="s">
        <v>623</v>
      </c>
      <c r="I32" s="503" t="s">
        <v>919</v>
      </c>
      <c r="J32" s="503" t="s">
        <v>624</v>
      </c>
      <c r="K32" s="503" t="s">
        <v>623</v>
      </c>
      <c r="L32" s="503" t="s">
        <v>919</v>
      </c>
      <c r="M32" s="503" t="s">
        <v>624</v>
      </c>
      <c r="N32" s="503" t="s">
        <v>623</v>
      </c>
      <c r="O32" s="503" t="s">
        <v>919</v>
      </c>
      <c r="P32" s="503" t="s">
        <v>624</v>
      </c>
      <c r="Q32" s="503" t="s">
        <v>623</v>
      </c>
      <c r="R32" s="503" t="s">
        <v>919</v>
      </c>
      <c r="S32" s="503" t="s">
        <v>624</v>
      </c>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row>
    <row r="33" spans="2:841">
      <c r="B33" s="11"/>
      <c r="C33" s="657"/>
      <c r="D33" s="289" t="str">
        <f>IF(Idioma=Castellano,"Existente",IF(Idioma=Valencià,"Existent","Existente"))</f>
        <v>Existente</v>
      </c>
      <c r="E33" s="311">
        <f>SUMIFS(M_Datos!$N$62:$N$64,M_Datos!$O$62:$O$64,M_Lista!G18,M_Datos!$M$62:$M$64,M_Lista!$J$3)</f>
        <v>0</v>
      </c>
      <c r="F33" s="312">
        <f>IF(AND(M_FactoresComplement!$G$6="No",M_FactoresComplement!$G$8="No"),M_Cálculos_ND!E33*M_Factores!$D$213,IF(AND(M_FactoresComplement!$G$6="Sí",M_FactoresComplement!$G$8="No"),E33*M_FactoresComplement!G22,E33*VLOOKUP(M_FactoresComplement!$C$24&amp;M_Datos!$E$12&amp;M_Lista!G17,M_FactoresComplement!$F$15:$I$434,2,FALSE)))</f>
        <v>0</v>
      </c>
      <c r="G33" s="313">
        <f>IF(AND(M_FactoresComplement!$G$6="No",M_FactoresComplement!$G$8="No"),M_Cálculos_ND!E33*M_Factores!$E$213,IF(AND(M_FactoresComplement!$G$6="Sí",M_FactoresComplement!$G$8="No"),E33*M_FactoresComplement!H22,E33*VLOOKUP(M_FactoresComplement!$C$24&amp;M_Datos!$E$12&amp;M_Lista!G17,M_FactoresComplement!$F$15:$I$434,3,FALSE)))</f>
        <v>0</v>
      </c>
      <c r="H33" s="311">
        <f>SUMIFS(M_Datos!$P$62:$P$64,M_Datos!$Q$62:$Q$64,M_Lista!G18,M_Datos!$M$62:$M$64,M_Lista!$J$3)</f>
        <v>0</v>
      </c>
      <c r="I33" s="312">
        <f>IF(AND(M_FactoresComplement!$G$6="No",M_FactoresComplement!$G$8="No"),M_Cálculos_ND!H33*M_Factores!$D$213,IF(AND(M_FactoresComplement!$G$6="Sí",M_FactoresComplement!$G$8="No"),H33*M_FactoresComplement!G22,H33*VLOOKUP(M_FactoresComplement!$C$24&amp;M_Datos!$E$12&amp;M_Lista!G17,M_FactoresComplement!$F$15:$I$434,2,FALSE)))</f>
        <v>0</v>
      </c>
      <c r="J33" s="313">
        <f>IF(AND(M_FactoresComplement!$G$6="No",M_FactoresComplement!$G$8="No"),M_Cálculos_ND!H33*M_Factores!$E$213,IF(AND(M_FactoresComplement!$G$6="Sí",M_FactoresComplement!$G$8="No"),H33*M_FactoresComplement!H22,H33*VLOOKUP(M_FactoresComplement!$C$24&amp;M_Datos!$E$12&amp;M_Lista!G17,M_FactoresComplement!$F$15:$I$434,3,FALSE)))</f>
        <v>0</v>
      </c>
      <c r="K33" s="311">
        <f>SUMIFS(M_Datos!$R$62:$R$64,M_Datos!$S$62:$S$64,M_Lista!G18,M_Datos!$M$62:$M$64,M_Lista!$J$3)</f>
        <v>0</v>
      </c>
      <c r="L33" s="312">
        <f>IF(AND(M_FactoresComplement!$G$6="No",M_FactoresComplement!$G$8="No"),M_Cálculos_ND!K33*M_Factores!$D$213,IF(AND(M_FactoresComplement!$G$6="Sí",M_FactoresComplement!$G$8="No"),K33*M_FactoresComplement!G22,K33*VLOOKUP(M_FactoresComplement!$C$24&amp;M_Datos!$E$12&amp;M_Lista!G17,M_FactoresComplement!$F$15:$I$434,2,FALSE)))</f>
        <v>0</v>
      </c>
      <c r="M33" s="313">
        <f>IF(AND(M_FactoresComplement!$G$6="No",M_FactoresComplement!$G$8="No"),M_Cálculos_ND!K33*M_Factores!$E$213,IF(AND(M_FactoresComplement!$G$6="Sí",M_FactoresComplement!$G$8="No"),K33*M_FactoresComplement!H22,K33*VLOOKUP(M_FactoresComplement!$C$24&amp;M_Datos!$E$12&amp;M_Lista!G17,M_FactoresComplement!$F$15:$I$434,3,FALSE)))</f>
        <v>0</v>
      </c>
      <c r="N33" s="311">
        <f>SUMIFS(M_Datos!$T$62:$T$64,M_Datos!$U$62:$U$64,M_Lista!G18,M_Datos!$M$62:$M$64,M_Lista!$J$3)</f>
        <v>0</v>
      </c>
      <c r="O33" s="312">
        <f>IF(AND(M_FactoresComplement!$G$6="No",M_FactoresComplement!$G$8="No"),M_Cálculos_ND!N33*M_Factores!$D$213,IF(AND(M_FactoresComplement!$G$6="Sí",M_FactoresComplement!$G$8="No"),N33*M_FactoresComplement!G22,N33*VLOOKUP(M_FactoresComplement!$C$24&amp;M_Datos!$E$12&amp;M_Lista!G17,M_FactoresComplement!$F$15:$I$434,2,FALSE)))</f>
        <v>0</v>
      </c>
      <c r="P33" s="313">
        <f>IF(AND(M_FactoresComplement!$G$6="No",M_FactoresComplement!$G$8="No"),M_Cálculos_ND!N33*M_Factores!$E$213,IF(AND(M_FactoresComplement!$G$6="Sí",M_FactoresComplement!$G$8="No"),N33*M_FactoresComplement!H22,N33*VLOOKUP(M_FactoresComplement!$C$24&amp;M_Datos!$E$12&amp;M_Lista!G17,M_FactoresComplement!$F$15:$I$434,3,FALSE)))</f>
        <v>0</v>
      </c>
      <c r="Q33" s="311">
        <f>SUMIFS(M_Datos!$V$62:$V$64,M_Datos!$W$62:$W$64,M_Lista!G18, M_Datos!$M$62:$M$64,M_Lista!$J$3)</f>
        <v>0</v>
      </c>
      <c r="R33" s="312">
        <f>IF(AND(M_FactoresComplement!$G$6="No",M_FactoresComplement!$G$8="No"),M_Cálculos_ND!Q33*M_Factores!$D$213,IF(AND(M_FactoresComplement!$G$6="Sí",M_FactoresComplement!$G$8="No"),Q33*M_FactoresComplement!G22,Q33*VLOOKUP(M_FactoresComplement!$C$24&amp;M_Datos!$E$12&amp;M_Lista!G17,M_FactoresComplement!$F$15:$I$434,2,FALSE)))</f>
        <v>0</v>
      </c>
      <c r="S33" s="313">
        <f>IF(AND(M_FactoresComplement!$G$6="No",M_FactoresComplement!$G$8="No"),M_Cálculos_ND!Q33*M_Factores!$E$213,IF(AND(M_FactoresComplement!$G$6="Sí",M_FactoresComplement!$G$8="No"),Q33*M_FactoresComplement!H22,Q33*VLOOKUP(M_FactoresComplement!$C$24&amp;M_Datos!$E$12&amp;M_Lista!G17,M_FactoresComplement!$F$15:$I$434,3,FALSE)))</f>
        <v>0</v>
      </c>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row>
    <row r="34" spans="2:841">
      <c r="B34" s="11"/>
      <c r="C34" s="657"/>
      <c r="D34" s="289" t="s">
        <v>625</v>
      </c>
      <c r="E34" s="311">
        <f>SUMIFS(M_Datos!$N$62:$N$64,M_Datos!$O$62:$O$64,M_Lista!G19,M_Datos!$M$62:$M$64,M_Lista!$J$3)</f>
        <v>0</v>
      </c>
      <c r="F34" s="312">
        <f>IF(AND(M_FactoresComplement!$G$6="No",M_FactoresComplement!$G$8="No"),M_Cálculos_ND!E34*M_Factores!$D$213,IF(AND(M_FactoresComplement!$G$6="Sí",M_FactoresComplement!$G$8="No"),E34*M_FactoresComplement!G23,E34*VLOOKUP(M_FactoresComplement!$C$24&amp;M_Datos!$E$12&amp;M_Lista!G18,M_FactoresComplement!$F$15:$I$434,2,FALSE)))</f>
        <v>0</v>
      </c>
      <c r="G34" s="313">
        <f>IF(AND(M_FactoresComplement!$G$6="No",M_FactoresComplement!$G$8="No"),M_Cálculos_ND!E34*M_Factores!$E$213,IF(AND(M_FactoresComplement!$G$6="Sí",M_FactoresComplement!$G$8="No"),E34*M_FactoresComplement!H23,E34*VLOOKUP(M_FactoresComplement!$C$24&amp;M_Datos!$E$12&amp;M_Lista!G18,M_FactoresComplement!$F$15:$I$434,3,FALSE)))</f>
        <v>0</v>
      </c>
      <c r="H34" s="311">
        <f>SUMIFS(M_Datos!$P$62:$P$64,M_Datos!$Q$62:$Q$64,M_Lista!G19,M_Datos!$M$62:$M$64,M_Lista!$J$3)</f>
        <v>0</v>
      </c>
      <c r="I34" s="312">
        <f>IF(AND(M_FactoresComplement!$G$6="No",M_FactoresComplement!$G$8="No"),M_Cálculos_ND!H34*M_Factores!$D$213,IF(AND(M_FactoresComplement!$G$6="Sí",M_FactoresComplement!$G$8="No"),H34*M_FactoresComplement!G23,H34*VLOOKUP(M_FactoresComplement!$C$24&amp;M_Datos!$E$12&amp;M_Lista!G18,M_FactoresComplement!$F$15:$I$434,2,FALSE)))</f>
        <v>0</v>
      </c>
      <c r="J34" s="313">
        <f>IF(AND(M_FactoresComplement!$G$6="No",M_FactoresComplement!$G$8="No"),M_Cálculos_ND!H34*M_Factores!$E$213,IF(AND(M_FactoresComplement!$G$6="Sí",M_FactoresComplement!$G$8="No"),H34*M_FactoresComplement!H23,H34*VLOOKUP(M_FactoresComplement!$C$24&amp;M_Datos!$E$12&amp;M_Lista!G18,M_FactoresComplement!$F$15:$I$434,3,FALSE)))</f>
        <v>0</v>
      </c>
      <c r="K34" s="311">
        <f>SUMIFS(M_Datos!$R$62:$R$64,M_Datos!$S$62:$S$64,M_Lista!G19,M_Datos!$M$62:$M$64,M_Lista!$J$3)</f>
        <v>0</v>
      </c>
      <c r="L34" s="312">
        <f>IF(AND(M_FactoresComplement!$G$6="No",M_FactoresComplement!$G$8="No"),M_Cálculos_ND!K34*M_Factores!$D$213,IF(AND(M_FactoresComplement!$G$6="Sí",M_FactoresComplement!$G$8="No"),K34*M_FactoresComplement!G23,K34*VLOOKUP(M_FactoresComplement!$C$24&amp;M_Datos!$E$12&amp;M_Lista!G18,M_FactoresComplement!$F$15:$I$434,2,FALSE)))</f>
        <v>0</v>
      </c>
      <c r="M34" s="313">
        <f>IF(AND(M_FactoresComplement!$G$6="No",M_FactoresComplement!$G$8="No"),M_Cálculos_ND!K34*M_Factores!$E$213,IF(AND(M_FactoresComplement!$G$6="Sí",M_FactoresComplement!$G$8="No"),K34*M_FactoresComplement!H23,K34*VLOOKUP(M_FactoresComplement!$C$24&amp;M_Datos!$E$12&amp;M_Lista!G18,M_FactoresComplement!$F$15:$I$434,3,FALSE)))</f>
        <v>0</v>
      </c>
      <c r="N34" s="311">
        <f>SUMIFS(M_Datos!$T$62:$T$64,M_Datos!$U$62:$U$64,M_Lista!G19,M_Datos!$M$62:$M$64,M_Lista!$J$3)</f>
        <v>0</v>
      </c>
      <c r="O34" s="312">
        <f>IF(AND(M_FactoresComplement!$G$6="No",M_FactoresComplement!$G$8="No"),M_Cálculos_ND!N34*M_Factores!$D$213,IF(AND(M_FactoresComplement!$G$6="Sí",M_FactoresComplement!$G$8="No"),N34*M_FactoresComplement!G23,N34*VLOOKUP(M_FactoresComplement!$C$24&amp;M_Datos!$E$12&amp;M_Lista!G18,M_FactoresComplement!$F$15:$I$434,2,FALSE)))</f>
        <v>0</v>
      </c>
      <c r="P34" s="313">
        <f>IF(AND(M_FactoresComplement!$G$6="No",M_FactoresComplement!$G$8="No"),M_Cálculos_ND!N34*M_Factores!$E$213,IF(AND(M_FactoresComplement!$G$6="Sí",M_FactoresComplement!$G$8="No"),N34*M_FactoresComplement!H23,N34*VLOOKUP(M_FactoresComplement!$C$24&amp;M_Datos!$E$12&amp;M_Lista!G18,M_FactoresComplement!$F$15:$I$434,3,FALSE)))</f>
        <v>0</v>
      </c>
      <c r="Q34" s="311">
        <f>SUMIFS(M_Datos!$V$62:$V$64,M_Datos!$W$62:$W$64,M_Lista!G19, M_Datos!$M$62:$M$64,M_Lista!$J$3)</f>
        <v>0</v>
      </c>
      <c r="R34" s="312">
        <f>IF(AND(M_FactoresComplement!$G$6="No",M_FactoresComplement!$G$8="No"),M_Cálculos_ND!Q34*M_Factores!$D$213,IF(AND(M_FactoresComplement!$G$6="Sí",M_FactoresComplement!$G$8="No"),Q34*M_FactoresComplement!G23,Q34*VLOOKUP(M_FactoresComplement!$C$24&amp;M_Datos!$E$12&amp;M_Lista!G18,M_FactoresComplement!$F$15:$I$434,2,FALSE)))</f>
        <v>0</v>
      </c>
      <c r="S34" s="313">
        <f>IF(AND(M_FactoresComplement!$G$6="No",M_FactoresComplement!$G$8="No"),M_Cálculos_ND!Q34*M_Factores!$E$213,IF(AND(M_FactoresComplement!$G$6="Sí",M_FactoresComplement!$G$8="No"),Q34*M_FactoresComplement!H23,Q34*VLOOKUP(M_FactoresComplement!$C$24&amp;M_Datos!$E$12&amp;M_Lista!G18,M_FactoresComplement!$F$15:$I$434,3,FALSE)))</f>
        <v>0</v>
      </c>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row>
    <row r="35" spans="2:841">
      <c r="B35" s="11"/>
      <c r="C35" s="657"/>
      <c r="D35" s="289" t="s">
        <v>626</v>
      </c>
      <c r="E35" s="311">
        <f>SUMIFS(M_Datos!$N$62:$N$64,M_Datos!$O$62:$O$64,M_Lista!G20,M_Datos!$M$62:$M$64,M_Lista!$J$3)</f>
        <v>0</v>
      </c>
      <c r="F35" s="312">
        <f>IF(AND(M_FactoresComplement!$G$6="No",M_FactoresComplement!$G$8="No"),M_Cálculos_ND!E35*M_Factores!$D$213,IF(AND(M_FactoresComplement!$G$6="Sí",M_FactoresComplement!$G$8="No"),E35*M_FactoresComplement!G24,E35*VLOOKUP(M_FactoresComplement!$C$24&amp;M_Datos!$E$12&amp;M_Lista!G19,M_FactoresComplement!$F$15:$I$434,2,FALSE)))</f>
        <v>0</v>
      </c>
      <c r="G35" s="313">
        <f>IF(AND(M_FactoresComplement!$G$6="No",M_FactoresComplement!$G$8="No"),M_Cálculos_ND!E35*M_Factores!$E$213,IF(AND(M_FactoresComplement!$G$6="Sí",M_FactoresComplement!$G$8="No"),E35*M_FactoresComplement!H24,E35*VLOOKUP(M_FactoresComplement!$C$24&amp;M_Datos!$E$12&amp;M_Lista!G19,M_FactoresComplement!$F$15:$I$434,3,FALSE)))</f>
        <v>0</v>
      </c>
      <c r="H35" s="311">
        <f>SUMIFS(M_Datos!$P$62:$P$64,M_Datos!$Q$62:$Q$64,M_Lista!G20,M_Datos!$M$62:$M$64,M_Lista!$J$3)</f>
        <v>0</v>
      </c>
      <c r="I35" s="312">
        <f>IF(AND(M_FactoresComplement!$G$6="No",M_FactoresComplement!$G$8="No"),M_Cálculos_ND!H35*M_Factores!$D$213,IF(AND(M_FactoresComplement!$G$6="Sí",M_FactoresComplement!$G$8="No"),H35*M_FactoresComplement!G24,H35*VLOOKUP(M_FactoresComplement!$C$24&amp;M_Datos!$E$12&amp;M_Lista!G19,M_FactoresComplement!$F$15:$I$434,2,FALSE)))</f>
        <v>0</v>
      </c>
      <c r="J35" s="313">
        <f>IF(AND(M_FactoresComplement!$G$6="No",M_FactoresComplement!$G$8="No"),M_Cálculos_ND!H35*M_Factores!$E$213,IF(AND(M_FactoresComplement!$G$6="Sí",M_FactoresComplement!$G$8="No"),H35*M_FactoresComplement!H24,H35*VLOOKUP(M_FactoresComplement!$C$24&amp;M_Datos!$E$12&amp;M_Lista!G19,M_FactoresComplement!$F$15:$I$434,3,FALSE)))</f>
        <v>0</v>
      </c>
      <c r="K35" s="311">
        <f>SUMIFS(M_Datos!$R$62:$R$64,M_Datos!$S$62:$S$64,M_Lista!G20,M_Datos!$M$62:$M$64,M_Lista!$J$3)</f>
        <v>0</v>
      </c>
      <c r="L35" s="312">
        <f>IF(AND(M_FactoresComplement!$G$6="No",M_FactoresComplement!$G$8="No"),M_Cálculos_ND!K35*M_Factores!$D$213,IF(AND(M_FactoresComplement!$G$6="Sí",M_FactoresComplement!$G$8="No"),K35*M_FactoresComplement!G24,K35*VLOOKUP(M_FactoresComplement!$C$24&amp;M_Datos!$E$12&amp;M_Lista!G19,M_FactoresComplement!$F$15:$I$434,2,FALSE)))</f>
        <v>0</v>
      </c>
      <c r="M35" s="313">
        <f>IF(AND(M_FactoresComplement!$G$6="No",M_FactoresComplement!$G$8="No"),M_Cálculos_ND!K35*M_Factores!$E$213,IF(AND(M_FactoresComplement!$G$6="Sí",M_FactoresComplement!$G$8="No"),K35*M_FactoresComplement!H24,K35*VLOOKUP(M_FactoresComplement!$C$24&amp;M_Datos!$E$12&amp;M_Lista!G19,M_FactoresComplement!$F$15:$I$434,3,FALSE)))</f>
        <v>0</v>
      </c>
      <c r="N35" s="311">
        <f>SUMIFS(M_Datos!$T$62:$T$64,M_Datos!$U$62:$U$64,M_Lista!G20,M_Datos!$M$62:$M$64,M_Lista!$J$3)</f>
        <v>0</v>
      </c>
      <c r="O35" s="312">
        <f>IF(AND(M_FactoresComplement!$G$6="No",M_FactoresComplement!$G$8="No"),M_Cálculos_ND!N35*M_Factores!$D$213,IF(AND(M_FactoresComplement!$G$6="Sí",M_FactoresComplement!$G$8="No"),N35*M_FactoresComplement!G24,N35*VLOOKUP(M_FactoresComplement!$C$24&amp;M_Datos!$E$12&amp;M_Lista!G19,M_FactoresComplement!$F$15:$I$434,2,FALSE)))</f>
        <v>0</v>
      </c>
      <c r="P35" s="313">
        <f>IF(AND(M_FactoresComplement!$G$6="No",M_FactoresComplement!$G$8="No"),M_Cálculos_ND!N35*M_Factores!$E$213,IF(AND(M_FactoresComplement!$G$6="Sí",M_FactoresComplement!$G$8="No"),N35*M_FactoresComplement!H24,N35*VLOOKUP(M_FactoresComplement!$C$24&amp;M_Datos!$E$12&amp;M_Lista!G19,M_FactoresComplement!$F$15:$I$434,3,FALSE)))</f>
        <v>0</v>
      </c>
      <c r="Q35" s="311">
        <f>SUMIFS(M_Datos!$V$62:$V$64,M_Datos!$W$62:$W$64,M_Lista!G20, M_Datos!$M$62:$M$64,M_Lista!$J$3)</f>
        <v>0</v>
      </c>
      <c r="R35" s="312">
        <f>IF(AND(M_FactoresComplement!$G$6="No",M_FactoresComplement!$G$8="No"),M_Cálculos_ND!Q35*M_Factores!$D$213,IF(AND(M_FactoresComplement!$G$6="Sí",M_FactoresComplement!$G$8="No"),Q35*M_FactoresComplement!G24,Q35*VLOOKUP(M_FactoresComplement!$C$24&amp;M_Datos!$E$12&amp;M_Lista!G19,M_FactoresComplement!$F$15:$I$434,2,FALSE)))</f>
        <v>0</v>
      </c>
      <c r="S35" s="313">
        <f>IF(AND(M_FactoresComplement!$G$6="No",M_FactoresComplement!$G$8="No"),M_Cálculos_ND!Q35*M_Factores!$E$213,IF(AND(M_FactoresComplement!$G$6="Sí",M_FactoresComplement!$G$8="No"),Q35*M_FactoresComplement!H24,Q35*VLOOKUP(M_FactoresComplement!$C$24&amp;M_Datos!$E$12&amp;M_Lista!G19,M_FactoresComplement!$F$15:$I$434,3,FALSE)))</f>
        <v>0</v>
      </c>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row>
    <row r="36" spans="2:841">
      <c r="B36" s="11"/>
      <c r="C36" s="657"/>
      <c r="D36" s="289" t="s">
        <v>627</v>
      </c>
      <c r="E36" s="311">
        <f>SUMIFS(M_Datos!$N$62:$N$64,M_Datos!$O$62:$O$64,M_Lista!G21,M_Datos!$M$62:$M$64,M_Lista!$J$3)</f>
        <v>0</v>
      </c>
      <c r="F36" s="312">
        <f>IF(AND(M_FactoresComplement!$G$6="No",M_FactoresComplement!$G$8="No"),M_Cálculos_ND!E36*M_Factores!$D$213,IF(AND(M_FactoresComplement!$G$6="Sí",M_FactoresComplement!$G$8="No"),E36*M_FactoresComplement!G25,E36*VLOOKUP(M_FactoresComplement!$C$24&amp;M_Datos!$E$12&amp;M_Lista!G20,M_FactoresComplement!$F$15:$I$434,2,FALSE)))</f>
        <v>0</v>
      </c>
      <c r="G36" s="313">
        <f>IF(AND(M_FactoresComplement!$G$6="No",M_FactoresComplement!$G$8="No"),M_Cálculos_ND!E36*M_Factores!$E$213,IF(AND(M_FactoresComplement!$G$6="Sí",M_FactoresComplement!$G$8="No"),E36*M_FactoresComplement!H25,E36*VLOOKUP(M_FactoresComplement!$C$24&amp;M_Datos!$E$12&amp;M_Lista!G20,M_FactoresComplement!$F$15:$I$434,3,FALSE)))</f>
        <v>0</v>
      </c>
      <c r="H36" s="311">
        <f>SUMIFS(M_Datos!$P$62:$P$64,M_Datos!$Q$62:$Q$64,M_Lista!G21,M_Datos!$M$62:$M$64,M_Lista!$J$3)</f>
        <v>0</v>
      </c>
      <c r="I36" s="312">
        <f>IF(AND(M_FactoresComplement!$G$6="No",M_FactoresComplement!$G$8="No"),M_Cálculos_ND!H36*M_Factores!$D$213,IF(AND(M_FactoresComplement!$G$6="Sí",M_FactoresComplement!$G$8="No"),H36*M_FactoresComplement!G25,H36*VLOOKUP(M_FactoresComplement!$C$24&amp;M_Datos!$E$12&amp;M_Lista!G20,M_FactoresComplement!$F$15:$I$434,2,FALSE)))</f>
        <v>0</v>
      </c>
      <c r="J36" s="313">
        <f>IF(AND(M_FactoresComplement!$G$6="No",M_FactoresComplement!$G$8="No"),M_Cálculos_ND!H36*M_Factores!$E$213,IF(AND(M_FactoresComplement!$G$6="Sí",M_FactoresComplement!$G$8="No"),H36*M_FactoresComplement!H25,H36*VLOOKUP(M_FactoresComplement!$C$24&amp;M_Datos!$E$12&amp;M_Lista!G20,M_FactoresComplement!$F$15:$I$434,3,FALSE)))</f>
        <v>0</v>
      </c>
      <c r="K36" s="311">
        <f>SUMIFS(M_Datos!$R$62:$R$64,M_Datos!$S$62:$S$64,M_Lista!G21,M_Datos!$M$62:$M$64,M_Lista!$J$3)</f>
        <v>0</v>
      </c>
      <c r="L36" s="312">
        <f>IF(AND(M_FactoresComplement!$G$6="No",M_FactoresComplement!$G$8="No"),M_Cálculos_ND!K36*M_Factores!$D$213,IF(AND(M_FactoresComplement!$G$6="Sí",M_FactoresComplement!$G$8="No"),K36*M_FactoresComplement!G25,K36*VLOOKUP(M_FactoresComplement!$C$24&amp;M_Datos!$E$12&amp;M_Lista!G20,M_FactoresComplement!$F$15:$I$434,2,FALSE)))</f>
        <v>0</v>
      </c>
      <c r="M36" s="313">
        <f>IF(AND(M_FactoresComplement!$G$6="No",M_FactoresComplement!$G$8="No"),M_Cálculos_ND!K36*M_Factores!$E$213,IF(AND(M_FactoresComplement!$G$6="Sí",M_FactoresComplement!$G$8="No"),K36*M_FactoresComplement!H25,K36*VLOOKUP(M_FactoresComplement!$C$24&amp;M_Datos!$E$12&amp;M_Lista!G20,M_FactoresComplement!$F$15:$I$434,3,FALSE)))</f>
        <v>0</v>
      </c>
      <c r="N36" s="311">
        <f>SUMIFS(M_Datos!$T$62:$T$64,M_Datos!$U$62:$U$64,M_Lista!G21,M_Datos!$M$62:$M$64,M_Lista!$J$3)</f>
        <v>0</v>
      </c>
      <c r="O36" s="312">
        <f>IF(AND(M_FactoresComplement!$G$6="No",M_FactoresComplement!$G$8="No"),M_Cálculos_ND!N36*M_Factores!$D$213,IF(AND(M_FactoresComplement!$G$6="Sí",M_FactoresComplement!$G$8="No"),N36*M_FactoresComplement!G25,N36*VLOOKUP(M_FactoresComplement!$C$24&amp;M_Datos!$E$12&amp;M_Lista!G20,M_FactoresComplement!$F$15:$I$434,2,FALSE)))</f>
        <v>0</v>
      </c>
      <c r="P36" s="313">
        <f>IF(AND(M_FactoresComplement!$G$6="No",M_FactoresComplement!$G$8="No"),M_Cálculos_ND!N36*M_Factores!$E$213,IF(AND(M_FactoresComplement!$G$6="Sí",M_FactoresComplement!$G$8="No"),N36*M_FactoresComplement!H25,N36*VLOOKUP(M_FactoresComplement!$C$24&amp;M_Datos!$E$12&amp;M_Lista!G20,M_FactoresComplement!$F$15:$I$434,3,FALSE)))</f>
        <v>0</v>
      </c>
      <c r="Q36" s="311">
        <f>SUMIFS(M_Datos!$V$62:$V$64,M_Datos!$W$62:$W$64,M_Lista!G21, M_Datos!$M$62:$M$64,M_Lista!$J$3)</f>
        <v>0</v>
      </c>
      <c r="R36" s="312">
        <f>IF(AND(M_FactoresComplement!$G$6="No",M_FactoresComplement!$G$8="No"),M_Cálculos_ND!Q36*M_Factores!$D$213,IF(AND(M_FactoresComplement!$G$6="Sí",M_FactoresComplement!$G$8="No"),Q36*M_FactoresComplement!G25,Q36*VLOOKUP(M_FactoresComplement!$C$24&amp;M_Datos!$E$12&amp;M_Lista!G20,M_FactoresComplement!$F$15:$I$434,2,FALSE)))</f>
        <v>0</v>
      </c>
      <c r="S36" s="313">
        <f>IF(AND(M_FactoresComplement!$G$6="No",M_FactoresComplement!$G$8="No"),M_Cálculos_ND!Q36*M_Factores!$E$213,IF(AND(M_FactoresComplement!$G$6="Sí",M_FactoresComplement!$G$8="No"),Q36*M_FactoresComplement!H25,Q36*VLOOKUP(M_FactoresComplement!$C$24&amp;M_Datos!$E$12&amp;M_Lista!G20,M_FactoresComplement!$F$15:$I$434,3,FALSE)))</f>
        <v>0</v>
      </c>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row>
    <row r="37" spans="2:841">
      <c r="B37" s="11"/>
      <c r="C37" s="657"/>
      <c r="D37" s="289" t="s">
        <v>628</v>
      </c>
      <c r="E37" s="311">
        <f>SUMIFS(M_Datos!$N$62:$N$64,M_Datos!$O$62:$O$64,M_Lista!G22,M_Datos!$M$62:$M$64,M_Lista!$J$3)</f>
        <v>0</v>
      </c>
      <c r="F37" s="312">
        <f>IF(AND(M_FactoresComplement!$G$6="No",M_FactoresComplement!$G$8="No"),M_Cálculos_ND!E37*M_Factores!$D$213,IF(AND(M_FactoresComplement!$G$6="Sí",M_FactoresComplement!$G$8="No"),E37*M_FactoresComplement!G26,E37*VLOOKUP(M_FactoresComplement!$C$24&amp;M_Datos!$E$12&amp;M_Lista!G21,M_FactoresComplement!$F$15:$I$434,2,FALSE)))</f>
        <v>0</v>
      </c>
      <c r="G37" s="313">
        <f>IF(AND(M_FactoresComplement!$G$6="No",M_FactoresComplement!$G$8="No"),M_Cálculos_ND!E37*M_Factores!$E$213,IF(AND(M_FactoresComplement!$G$6="Sí",M_FactoresComplement!$G$8="No"),E37*M_FactoresComplement!H26,E37*VLOOKUP(M_FactoresComplement!$C$24&amp;M_Datos!$E$12&amp;M_Lista!G21,M_FactoresComplement!$F$15:$I$434,3,FALSE)))</f>
        <v>0</v>
      </c>
      <c r="H37" s="311">
        <f>SUMIFS(M_Datos!$P$62:$P$64,M_Datos!$Q$62:$Q$64,M_Lista!G22,M_Datos!$M$62:$M$64,M_Lista!$J$3)</f>
        <v>0</v>
      </c>
      <c r="I37" s="312">
        <f>IF(AND(M_FactoresComplement!$G$6="No",M_FactoresComplement!$G$8="No"),M_Cálculos_ND!H37*M_Factores!$D$213,IF(AND(M_FactoresComplement!$G$6="Sí",M_FactoresComplement!$G$8="No"),H37*M_FactoresComplement!G26,H37*VLOOKUP(M_FactoresComplement!$C$24&amp;M_Datos!$E$12&amp;M_Lista!G21,M_FactoresComplement!$F$15:$I$434,2,FALSE)))</f>
        <v>0</v>
      </c>
      <c r="J37" s="313">
        <f>IF(AND(M_FactoresComplement!$G$6="No",M_FactoresComplement!$G$8="No"),M_Cálculos_ND!H37*M_Factores!$E$213,IF(AND(M_FactoresComplement!$G$6="Sí",M_FactoresComplement!$G$8="No"),H37*M_FactoresComplement!H26,H37*VLOOKUP(M_FactoresComplement!$C$24&amp;M_Datos!$E$12&amp;M_Lista!G21,M_FactoresComplement!$F$15:$I$434,3,FALSE)))</f>
        <v>0</v>
      </c>
      <c r="K37" s="311">
        <f>SUMIFS(M_Datos!$R$62:$R$64,M_Datos!$S$62:$S$64,M_Lista!G22,M_Datos!$M$62:$M$64,M_Lista!$J$3)</f>
        <v>0</v>
      </c>
      <c r="L37" s="312">
        <f>IF(AND(M_FactoresComplement!$G$6="No",M_FactoresComplement!$G$8="No"),M_Cálculos_ND!K37*M_Factores!$D$213,IF(AND(M_FactoresComplement!$G$6="Sí",M_FactoresComplement!$G$8="No"),K37*M_FactoresComplement!G26,K37*VLOOKUP(M_FactoresComplement!$C$24&amp;M_Datos!$E$12&amp;M_Lista!G21,M_FactoresComplement!$F$15:$I$434,2,FALSE)))</f>
        <v>0</v>
      </c>
      <c r="M37" s="313">
        <f>IF(AND(M_FactoresComplement!$G$6="No",M_FactoresComplement!$G$8="No"),M_Cálculos_ND!K37*M_Factores!$E$213,IF(AND(M_FactoresComplement!$G$6="Sí",M_FactoresComplement!$G$8="No"),K37*M_FactoresComplement!H26,K37*VLOOKUP(M_FactoresComplement!$C$24&amp;M_Datos!$E$12&amp;M_Lista!G21,M_FactoresComplement!$F$15:$I$434,3,FALSE)))</f>
        <v>0</v>
      </c>
      <c r="N37" s="311">
        <f>SUMIFS(M_Datos!$T$62:$T$64,M_Datos!$U$62:$U$64,M_Lista!G22,M_Datos!$M$62:$M$64,M_Lista!$J$3)</f>
        <v>0</v>
      </c>
      <c r="O37" s="312">
        <f>IF(AND(M_FactoresComplement!$G$6="No",M_FactoresComplement!$G$8="No"),M_Cálculos_ND!N37*M_Factores!$D$213,IF(AND(M_FactoresComplement!$G$6="Sí",M_FactoresComplement!$G$8="No"),N37*M_FactoresComplement!G26,N37*VLOOKUP(M_FactoresComplement!$C$24&amp;M_Datos!$E$12&amp;M_Lista!G21,M_FactoresComplement!$F$15:$I$434,2,FALSE)))</f>
        <v>0</v>
      </c>
      <c r="P37" s="313">
        <f>IF(AND(M_FactoresComplement!$G$6="No",M_FactoresComplement!$G$8="No"),M_Cálculos_ND!N37*M_Factores!$E$213,IF(AND(M_FactoresComplement!$G$6="Sí",M_FactoresComplement!$G$8="No"),N37*M_FactoresComplement!H26,N37*VLOOKUP(M_FactoresComplement!$C$24&amp;M_Datos!$E$12&amp;M_Lista!G21,M_FactoresComplement!$F$15:$I$434,3,FALSE)))</f>
        <v>0</v>
      </c>
      <c r="Q37" s="311">
        <f>SUMIFS(M_Datos!$V$62:$V$64,M_Datos!$W$62:$W$64,M_Lista!G22, M_Datos!$M$62:$M$64,M_Lista!$J$3)</f>
        <v>0</v>
      </c>
      <c r="R37" s="312">
        <f>IF(AND(M_FactoresComplement!$G$6="No",M_FactoresComplement!$G$8="No"),M_Cálculos_ND!Q37*M_Factores!$D$213,IF(AND(M_FactoresComplement!$G$6="Sí",M_FactoresComplement!$G$8="No"),Q37*M_FactoresComplement!G26,Q37*VLOOKUP(M_FactoresComplement!$C$24&amp;M_Datos!$E$12&amp;M_Lista!G21,M_FactoresComplement!$F$15:$I$434,2,FALSE)))</f>
        <v>0</v>
      </c>
      <c r="S37" s="313">
        <f>IF(AND(M_FactoresComplement!$G$6="No",M_FactoresComplement!$G$8="No"),M_Cálculos_ND!Q37*M_Factores!$E$213,IF(AND(M_FactoresComplement!$G$6="Sí",M_FactoresComplement!$G$8="No"),Q37*M_FactoresComplement!H26,Q37*VLOOKUP(M_FactoresComplement!$C$24&amp;M_Datos!$E$12&amp;M_Lista!G21,M_FactoresComplement!$F$15:$I$434,3,FALSE)))</f>
        <v>0</v>
      </c>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row>
    <row r="38" spans="2:841">
      <c r="B38" s="11"/>
      <c r="C38" s="657"/>
      <c r="D38" s="289" t="s">
        <v>629</v>
      </c>
      <c r="E38" s="311">
        <f>SUMIFS(M_Datos!$N$62:$N$64,M_Datos!$O$62:$O$64,M_Lista!G23,M_Datos!$M$62:$M$64,M_Lista!$J$3)</f>
        <v>0</v>
      </c>
      <c r="F38" s="312">
        <f>IF(AND(M_FactoresComplement!$G$6="No",M_FactoresComplement!$G$8="No"),M_Cálculos_ND!E38*M_Factores!$D$213,IF(AND(M_FactoresComplement!$G$6="Sí",M_FactoresComplement!$G$8="No"),E38*M_FactoresComplement!G27,E38*VLOOKUP(M_FactoresComplement!$C$24&amp;M_Datos!$E$12&amp;M_Lista!G22,M_FactoresComplement!$F$15:$I$434,2,FALSE)))</f>
        <v>0</v>
      </c>
      <c r="G38" s="313">
        <f>IF(AND(M_FactoresComplement!$G$6="No",M_FactoresComplement!$G$8="No"),M_Cálculos_ND!E38*M_Factores!$E$213,IF(AND(M_FactoresComplement!$G$6="Sí",M_FactoresComplement!$G$8="No"),E38*M_FactoresComplement!H27,E38*VLOOKUP(M_FactoresComplement!$C$24&amp;M_Datos!$E$12&amp;M_Lista!G22,M_FactoresComplement!$F$15:$I$434,3,FALSE)))</f>
        <v>0</v>
      </c>
      <c r="H38" s="311">
        <f>SUMIFS(M_Datos!$P$62:$P$64,M_Datos!$Q$62:$Q$64,M_Lista!G23,M_Datos!$M$62:$M$64,M_Lista!$J$3)</f>
        <v>0</v>
      </c>
      <c r="I38" s="312">
        <f>IF(AND(M_FactoresComplement!$G$6="No",M_FactoresComplement!$G$8="No"),M_Cálculos_ND!H38*M_Factores!$D$213,IF(AND(M_FactoresComplement!$G$6="Sí",M_FactoresComplement!$G$8="No"),H38*M_FactoresComplement!G27,H38*VLOOKUP(M_FactoresComplement!$C$24&amp;M_Datos!$E$12&amp;M_Lista!G22,M_FactoresComplement!$F$15:$I$434,2,FALSE)))</f>
        <v>0</v>
      </c>
      <c r="J38" s="313">
        <f>IF(AND(M_FactoresComplement!$G$6="No",M_FactoresComplement!$G$8="No"),M_Cálculos_ND!H38*M_Factores!$E$213,IF(AND(M_FactoresComplement!$G$6="Sí",M_FactoresComplement!$G$8="No"),H38*M_FactoresComplement!H27,H38*VLOOKUP(M_FactoresComplement!$C$24&amp;M_Datos!$E$12&amp;M_Lista!G22,M_FactoresComplement!$F$15:$I$434,3,FALSE)))</f>
        <v>0</v>
      </c>
      <c r="K38" s="311">
        <f>SUMIFS(M_Datos!$R$62:$R$64,M_Datos!$S$62:$S$64,M_Lista!G23,M_Datos!$M$62:$M$64,M_Lista!$J$3)</f>
        <v>0</v>
      </c>
      <c r="L38" s="312">
        <f>IF(AND(M_FactoresComplement!$G$6="No",M_FactoresComplement!$G$8="No"),M_Cálculos_ND!K38*M_Factores!$D$213,IF(AND(M_FactoresComplement!$G$6="Sí",M_FactoresComplement!$G$8="No"),K38*M_FactoresComplement!G27,K38*VLOOKUP(M_FactoresComplement!$C$24&amp;M_Datos!$E$12&amp;M_Lista!G22,M_FactoresComplement!$F$15:$I$434,2,FALSE)))</f>
        <v>0</v>
      </c>
      <c r="M38" s="313">
        <f>IF(AND(M_FactoresComplement!$G$6="No",M_FactoresComplement!$G$8="No"),M_Cálculos_ND!K38*M_Factores!$E$213,IF(AND(M_FactoresComplement!$G$6="Sí",M_FactoresComplement!$G$8="No"),K38*M_FactoresComplement!H27,K38*VLOOKUP(M_FactoresComplement!$C$24&amp;M_Datos!$E$12&amp;M_Lista!G22,M_FactoresComplement!$F$15:$I$434,3,FALSE)))</f>
        <v>0</v>
      </c>
      <c r="N38" s="311">
        <f>SUMIFS(M_Datos!$T$62:$T$64,M_Datos!$U$62:$U$64,M_Lista!G23,M_Datos!$M$62:$M$64,M_Lista!$J$3)</f>
        <v>0</v>
      </c>
      <c r="O38" s="312">
        <f>IF(AND(M_FactoresComplement!$G$6="No",M_FactoresComplement!$G$8="No"),M_Cálculos_ND!N38*M_Factores!$D$213,IF(AND(M_FactoresComplement!$G$6="Sí",M_FactoresComplement!$G$8="No"),N38*M_FactoresComplement!G27,N38*VLOOKUP(M_FactoresComplement!$C$24&amp;M_Datos!$E$12&amp;M_Lista!G22,M_FactoresComplement!$F$15:$I$434,2,FALSE)))</f>
        <v>0</v>
      </c>
      <c r="P38" s="313">
        <f>IF(AND(M_FactoresComplement!$G$6="No",M_FactoresComplement!$G$8="No"),M_Cálculos_ND!N38*M_Factores!$E$213,IF(AND(M_FactoresComplement!$G$6="Sí",M_FactoresComplement!$G$8="No"),N38*M_FactoresComplement!H27,N38*VLOOKUP(M_FactoresComplement!$C$24&amp;M_Datos!$E$12&amp;M_Lista!G22,M_FactoresComplement!$F$15:$I$434,3,FALSE)))</f>
        <v>0</v>
      </c>
      <c r="Q38" s="311">
        <f>SUMIFS(M_Datos!$V$62:$V$64,M_Datos!$W$62:$W$64,M_Lista!G23, M_Datos!$M$62:$M$64,M_Lista!$J$3)</f>
        <v>0</v>
      </c>
      <c r="R38" s="312">
        <f>IF(AND(M_FactoresComplement!$G$6="No",M_FactoresComplement!$G$8="No"),M_Cálculos_ND!Q38*M_Factores!$D$213,IF(AND(M_FactoresComplement!$G$6="Sí",M_FactoresComplement!$G$8="No"),Q38*M_FactoresComplement!G27,Q38*VLOOKUP(M_FactoresComplement!$C$24&amp;M_Datos!$E$12&amp;M_Lista!G22,M_FactoresComplement!$F$15:$I$434,2,FALSE)))</f>
        <v>0</v>
      </c>
      <c r="S38" s="313">
        <f>IF(AND(M_FactoresComplement!$G$6="No",M_FactoresComplement!$G$8="No"),M_Cálculos_ND!Q38*M_Factores!$E$213,IF(AND(M_FactoresComplement!$G$6="Sí",M_FactoresComplement!$G$8="No"),Q38*M_FactoresComplement!H27,Q38*VLOOKUP(M_FactoresComplement!$C$24&amp;M_Datos!$E$12&amp;M_Lista!G22,M_FactoresComplement!$F$15:$I$434,3,FALSE)))</f>
        <v>0</v>
      </c>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row>
    <row r="39" spans="2:841">
      <c r="B39" s="11"/>
      <c r="C39" s="657"/>
      <c r="D39" s="289" t="str">
        <f>IF(Idioma=Castellano,"Sin definir",IF(Idioma=Valencià,"Sense definir","Sin definir"))</f>
        <v>Sin definir</v>
      </c>
      <c r="E39" s="311">
        <f>SUMIFS(M_Datos!$N$62:$N$64,M_Datos!$O$62:$O$64,M_Lista!G24,M_Datos!$M$62:$M$64,M_Lista!$J$3)</f>
        <v>0</v>
      </c>
      <c r="F39" s="312">
        <f>IF(AND(M_FactoresComplement!$G$6="No",M_FactoresComplement!$G$8="No"),M_Cálculos_ND!E39*M_Factores!$D$213,IF(AND(M_FactoresComplement!$G$6="Sí",M_FactoresComplement!$G$8="No"),E39*M_FactoresComplement!G28,E39*VLOOKUP(M_FactoresComplement!$C$24&amp;M_Datos!$E$12&amp;M_Lista!G23,M_FactoresComplement!$F$15:$I$434,2,FALSE)))</f>
        <v>0</v>
      </c>
      <c r="G39" s="313">
        <f>IF(AND(M_FactoresComplement!$G$6="No",M_FactoresComplement!$G$8="No"),M_Cálculos_ND!E39*M_Factores!$E$213,IF(AND(M_FactoresComplement!$G$6="Sí",M_FactoresComplement!$G$8="No"),E39*M_FactoresComplement!H28,E39*VLOOKUP(M_FactoresComplement!$C$24&amp;M_Datos!$E$12&amp;M_Lista!G23,M_FactoresComplement!$F$15:$I$434,3,FALSE)))</f>
        <v>0</v>
      </c>
      <c r="H39" s="311">
        <f>SUMIFS(M_Datos!$P$62:$P$64,M_Datos!$Q$62:$Q$64,M_Lista!G24,M_Datos!$M$62:$M$64,M_Lista!$J$3)</f>
        <v>0</v>
      </c>
      <c r="I39" s="312">
        <f>IF(AND(M_FactoresComplement!$G$6="No",M_FactoresComplement!$G$8="No"),M_Cálculos_ND!H39*M_Factores!$D$213,IF(AND(M_FactoresComplement!$G$6="Sí",M_FactoresComplement!$G$8="No"),H39*M_FactoresComplement!G28,H39*VLOOKUP(M_FactoresComplement!$C$24&amp;M_Datos!$E$12&amp;M_Lista!G23,M_FactoresComplement!$F$15:$I$434,2,FALSE)))</f>
        <v>0</v>
      </c>
      <c r="J39" s="313">
        <f>IF(AND(M_FactoresComplement!$G$6="No",M_FactoresComplement!$G$8="No"),M_Cálculos_ND!H39*M_Factores!$E$213,IF(AND(M_FactoresComplement!$G$6="Sí",M_FactoresComplement!$G$8="No"),H39*M_FactoresComplement!H28,H39*VLOOKUP(M_FactoresComplement!$C$24&amp;M_Datos!$E$12&amp;M_Lista!G23,M_FactoresComplement!$F$15:$I$434,3,FALSE)))</f>
        <v>0</v>
      </c>
      <c r="K39" s="311">
        <f>SUMIFS(M_Datos!$R$62:$R$64,M_Datos!$S$62:$S$64,M_Lista!G24,M_Datos!$M$62:$M$64,M_Lista!$J$3)</f>
        <v>0</v>
      </c>
      <c r="L39" s="312">
        <f>IF(AND(M_FactoresComplement!$G$6="No",M_FactoresComplement!$G$8="No"),M_Cálculos_ND!K39*M_Factores!$D$213,IF(AND(M_FactoresComplement!$G$6="Sí",M_FactoresComplement!$G$8="No"),K39*M_FactoresComplement!G28,K39*VLOOKUP(M_FactoresComplement!$C$24&amp;M_Datos!$E$12&amp;M_Lista!G23,M_FactoresComplement!$F$15:$I$434,2,FALSE)))</f>
        <v>0</v>
      </c>
      <c r="M39" s="313">
        <f>IF(AND(M_FactoresComplement!$G$6="No",M_FactoresComplement!$G$8="No"),M_Cálculos_ND!K39*M_Factores!$E$213,IF(AND(M_FactoresComplement!$G$6="Sí",M_FactoresComplement!$G$8="No"),K39*M_FactoresComplement!H28,K39*VLOOKUP(M_FactoresComplement!$C$24&amp;M_Datos!$E$12&amp;M_Lista!G23,M_FactoresComplement!$F$15:$I$434,3,FALSE)))</f>
        <v>0</v>
      </c>
      <c r="N39" s="311">
        <f>SUMIFS(M_Datos!$T$62:$T$64,M_Datos!$U$62:$U$64,M_Lista!G24,M_Datos!$M$62:$M$64,M_Lista!$J$3)</f>
        <v>0</v>
      </c>
      <c r="O39" s="312">
        <f>IF(AND(M_FactoresComplement!$G$6="No",M_FactoresComplement!$G$8="No"),M_Cálculos_ND!N39*M_Factores!$D$213,IF(AND(M_FactoresComplement!$G$6="Sí",M_FactoresComplement!$G$8="No"),N39*M_FactoresComplement!G28,N39*VLOOKUP(M_FactoresComplement!$C$24&amp;M_Datos!$E$12&amp;M_Lista!G23,M_FactoresComplement!$F$15:$I$434,2,FALSE)))</f>
        <v>0</v>
      </c>
      <c r="P39" s="313">
        <f>IF(AND(M_FactoresComplement!$G$6="No",M_FactoresComplement!$G$8="No"),M_Cálculos_ND!N39*M_Factores!$E$213,IF(AND(M_FactoresComplement!$G$6="Sí",M_FactoresComplement!$G$8="No"),N39*M_FactoresComplement!H28,N39*VLOOKUP(M_FactoresComplement!$C$24&amp;M_Datos!$E$12&amp;M_Lista!G23,M_FactoresComplement!$F$15:$I$434,3,FALSE)))</f>
        <v>0</v>
      </c>
      <c r="Q39" s="311">
        <f>SUMIFS(M_Datos!$V$62:$V$64,M_Datos!$W$62:$W$64,M_Lista!G24, M_Datos!$M$62:$M$64,M_Lista!$J$3)</f>
        <v>0</v>
      </c>
      <c r="R39" s="312">
        <f>IF(AND(M_FactoresComplement!$G$6="No",M_FactoresComplement!$G$8="No"),M_Cálculos_ND!Q39*M_Factores!$D$213,IF(AND(M_FactoresComplement!$G$6="Sí",M_FactoresComplement!$G$8="No"),Q39*M_FactoresComplement!G28,Q39*VLOOKUP(M_FactoresComplement!$C$24&amp;M_Datos!$E$12&amp;M_Lista!G23,M_FactoresComplement!$F$15:$I$434,2,FALSE)))</f>
        <v>0</v>
      </c>
      <c r="S39" s="313">
        <f>IF(AND(M_FactoresComplement!$G$6="No",M_FactoresComplement!$G$8="No"),M_Cálculos_ND!Q39*M_Factores!$E$213,IF(AND(M_FactoresComplement!$G$6="Sí",M_FactoresComplement!$G$8="No"),Q39*M_FactoresComplement!H28,Q39*VLOOKUP(M_FactoresComplement!$C$24&amp;M_Datos!$E$12&amp;M_Lista!G23,M_FactoresComplement!$F$15:$I$434,3,FALSE)))</f>
        <v>0</v>
      </c>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row>
    <row r="40" spans="2:841">
      <c r="B40" s="11"/>
      <c r="C40" s="657"/>
      <c r="D40" s="289" t="str">
        <f>IF(Idioma=Castellano,"Consumo nulo",IF(Idioma=Valencià,"Consum nul","Consumo nulo"))</f>
        <v>Consumo nulo</v>
      </c>
      <c r="E40" s="311">
        <f>SUMIFS(M_Datos!$N$62:$N$64,M_Datos!$O$62:$O$64,M_Lista!G25,M_Datos!$M$62:$M$64,M_Lista!$J$3)</f>
        <v>0</v>
      </c>
      <c r="F40" s="312">
        <v>0</v>
      </c>
      <c r="G40" s="313">
        <v>0</v>
      </c>
      <c r="H40" s="311">
        <f>SUMIFS(M_Datos!$P$62:$P$64,M_Datos!$Q$62:$Q$64,M_Lista!G25,M_Datos!$M$62:$M$64,M_Lista!$J$3)</f>
        <v>0</v>
      </c>
      <c r="I40" s="312">
        <v>0</v>
      </c>
      <c r="J40" s="313">
        <v>0</v>
      </c>
      <c r="K40" s="311">
        <f>SUMIFS(M_Datos!$R$62:$R$64,M_Datos!$S$62:$S$64,M_Lista!G25,M_Datos!$M$62:$M$64,M_Lista!$J$3)</f>
        <v>0</v>
      </c>
      <c r="L40" s="312">
        <v>0</v>
      </c>
      <c r="M40" s="313">
        <v>0</v>
      </c>
      <c r="N40" s="311">
        <f>SUMIFS(M_Datos!$T$62:$T$64,M_Datos!$U$62:$U$64,M_Lista!G25,M_Datos!$M$62:$M$64,M_Lista!$J$3)</f>
        <v>0</v>
      </c>
      <c r="O40" s="312">
        <v>0</v>
      </c>
      <c r="P40" s="313">
        <v>0</v>
      </c>
      <c r="Q40" s="311">
        <f>SUMIFS(M_Datos!$V$62:$V$64,M_Datos!$W$62:$W$64,M_Lista!G25, M_Datos!$M$62:$M$64,M_Lista!$J$3)</f>
        <v>0</v>
      </c>
      <c r="R40" s="312">
        <v>0</v>
      </c>
      <c r="S40" s="313">
        <v>0</v>
      </c>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row>
    <row r="41" spans="2:841">
      <c r="B41" s="11"/>
      <c r="C41" s="657"/>
      <c r="D41" s="315" t="s">
        <v>925</v>
      </c>
      <c r="E41" s="316">
        <f t="shared" ref="E41:S41" si="2">SUM(E33:E40)</f>
        <v>0</v>
      </c>
      <c r="F41" s="314">
        <f t="shared" si="2"/>
        <v>0</v>
      </c>
      <c r="G41" s="317">
        <f t="shared" si="2"/>
        <v>0</v>
      </c>
      <c r="H41" s="316">
        <f t="shared" si="2"/>
        <v>0</v>
      </c>
      <c r="I41" s="314">
        <f t="shared" si="2"/>
        <v>0</v>
      </c>
      <c r="J41" s="317">
        <f t="shared" si="2"/>
        <v>0</v>
      </c>
      <c r="K41" s="316">
        <f t="shared" si="2"/>
        <v>0</v>
      </c>
      <c r="L41" s="314">
        <f t="shared" si="2"/>
        <v>0</v>
      </c>
      <c r="M41" s="317">
        <f t="shared" si="2"/>
        <v>0</v>
      </c>
      <c r="N41" s="316">
        <f t="shared" si="2"/>
        <v>0</v>
      </c>
      <c r="O41" s="314">
        <f t="shared" si="2"/>
        <v>0</v>
      </c>
      <c r="P41" s="317">
        <f t="shared" si="2"/>
        <v>0</v>
      </c>
      <c r="Q41" s="316">
        <f t="shared" si="2"/>
        <v>0</v>
      </c>
      <c r="R41" s="314">
        <f t="shared" si="2"/>
        <v>0</v>
      </c>
      <c r="S41" s="317">
        <f t="shared" si="2"/>
        <v>0</v>
      </c>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row>
    <row r="42" spans="2:841">
      <c r="B42" s="11"/>
      <c r="C42" s="657" t="str">
        <f>M_Datos!L65</f>
        <v>Hotel</v>
      </c>
      <c r="D42" s="289" t="s">
        <v>622</v>
      </c>
      <c r="E42" s="503" t="s">
        <v>623</v>
      </c>
      <c r="F42" s="503" t="s">
        <v>919</v>
      </c>
      <c r="G42" s="503" t="s">
        <v>624</v>
      </c>
      <c r="H42" s="503" t="s">
        <v>623</v>
      </c>
      <c r="I42" s="503" t="s">
        <v>919</v>
      </c>
      <c r="J42" s="503" t="s">
        <v>624</v>
      </c>
      <c r="K42" s="503" t="s">
        <v>623</v>
      </c>
      <c r="L42" s="503" t="s">
        <v>919</v>
      </c>
      <c r="M42" s="503" t="s">
        <v>624</v>
      </c>
      <c r="N42" s="503" t="s">
        <v>623</v>
      </c>
      <c r="O42" s="503" t="s">
        <v>919</v>
      </c>
      <c r="P42" s="503" t="s">
        <v>624</v>
      </c>
      <c r="Q42" s="503" t="s">
        <v>623</v>
      </c>
      <c r="R42" s="503" t="s">
        <v>919</v>
      </c>
      <c r="S42" s="503" t="s">
        <v>624</v>
      </c>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row>
    <row r="43" spans="2:841">
      <c r="B43" s="11"/>
      <c r="C43" s="657"/>
      <c r="D43" s="289" t="str">
        <f>IF(Idioma=Castellano,"Existente",IF(Idioma=Valencià,"Existent","Existente"))</f>
        <v>Existente</v>
      </c>
      <c r="E43" s="311">
        <f>SUMIFS(M_Datos!$N$65:$N$67,M_Datos!$O$65:$O$67,M_Lista!G18,M_Datos!$M$65:$M$67,M_Lista!$J$3)</f>
        <v>0</v>
      </c>
      <c r="F43" s="312">
        <f>IF(AND(M_FactoresComplement!$G$6="No",M_FactoresComplement!$G$8="No"),M_Cálculos_ND!E43*M_Factores!$D$213,IF(AND(M_FactoresComplement!$G$6="Sí",M_FactoresComplement!$G$8="No"),E43*M_FactoresComplement!G29,E43*VLOOKUP(M_FactoresComplement!$C$30&amp;M_Datos!$E$12&amp;M_Lista!G17,M_FactoresComplement!$F$15:$I$434,2,FALSE)))</f>
        <v>0</v>
      </c>
      <c r="G43" s="313">
        <f>IF(AND(M_FactoresComplement!$G$6="No",M_FactoresComplement!$G$8="No"),M_Cálculos_ND!E43*M_Factores!$E$213,IF(AND(M_FactoresComplement!$G$6="Sí",M_FactoresComplement!$G$8="No"),E43*M_FactoresComplement!H29,E43*VLOOKUP(M_FactoresComplement!$C$30&amp;M_Datos!$E$12&amp;M_Lista!G17,M_FactoresComplement!$F$15:$I$434,3,FALSE)))</f>
        <v>0</v>
      </c>
      <c r="H43" s="311">
        <f>SUMIFS(M_Datos!$P$65:$P$67,M_Datos!$Q$65:$Q$67,M_Lista!G18,M_Datos!$M$65:$M$67,M_Lista!$J$3,M_Datos!$M$65:$M$67,M_Lista!$J$3)</f>
        <v>0</v>
      </c>
      <c r="I43" s="312">
        <f>IF(AND(M_FactoresComplement!$G$6="No",M_FactoresComplement!$G$8="No"),M_Cálculos_ND!H43*M_Factores!$D$213,IF(AND(M_FactoresComplement!$G$6="Sí",M_FactoresComplement!$G$8="No"),H43*M_FactoresComplement!G29,H43*VLOOKUP(M_FactoresComplement!$C$30&amp;M_Datos!$E$12&amp;M_Lista!G17,M_FactoresComplement!$F$15:$I$434,2,FALSE)))</f>
        <v>0</v>
      </c>
      <c r="J43" s="313">
        <f>IF(AND(M_FactoresComplement!$G$6="No",M_FactoresComplement!$G$8="No"),M_Cálculos_ND!H43*M_Factores!$E$213,IF(AND(M_FactoresComplement!$G$6="Sí",M_FactoresComplement!$G$8="No"),H43*M_FactoresComplement!H29,H43*VLOOKUP(M_FactoresComplement!$C$30&amp;M_Datos!$E$12&amp;M_Lista!G17,M_FactoresComplement!$F$15:$I$434,3,FALSE)))</f>
        <v>0</v>
      </c>
      <c r="K43" s="311">
        <f>SUMIFS(M_Datos!$R$65:$R$67,M_Datos!$S$65:$S$67,M_Lista!G18,M_Datos!$M$65:$M$67,M_Lista!$J$3,M_Datos!$M$65:$M$67,M_Lista!$J$3)</f>
        <v>0</v>
      </c>
      <c r="L43" s="312">
        <f>IF(AND(M_FactoresComplement!$G$6="No",M_FactoresComplement!$G$8="No"),M_Cálculos_ND!K43*M_Factores!$D$213,IF(AND(M_FactoresComplement!$G$6="Sí",M_FactoresComplement!$G$8="No"),K43*M_FactoresComplement!G29,K43*VLOOKUP(M_FactoresComplement!$C$30&amp;M_Datos!$E$12&amp;M_Lista!G17,M_FactoresComplement!$F$15:$I$434,2,FALSE)))</f>
        <v>0</v>
      </c>
      <c r="M43" s="313">
        <f>IF(AND(M_FactoresComplement!$G$6="No",M_FactoresComplement!$G$8="No"),M_Cálculos_ND!K43*M_Factores!$E$213,IF(AND(M_FactoresComplement!$G$6="Sí",M_FactoresComplement!$G$8="No"),K43*M_FactoresComplement!H29,K43*VLOOKUP(M_FactoresComplement!$C$30&amp;M_Datos!$E$12&amp;M_Lista!G17,M_FactoresComplement!$F$15:$I$434,3,FALSE)))</f>
        <v>0</v>
      </c>
      <c r="N43" s="311">
        <f>SUMIFS(M_Datos!$T$65:$T$67,M_Datos!$U$65:$U$67,M_Lista!G18,M_Datos!$M$65:$M$67,M_Lista!$J$3,M_Datos!$M$65:$M$67,M_Lista!$J$3)</f>
        <v>0</v>
      </c>
      <c r="O43" s="312">
        <f>IF(AND(M_FactoresComplement!$G$6="No",M_FactoresComplement!$G$8="No"),M_Cálculos_ND!N43*M_Factores!$D$213,IF(AND(M_FactoresComplement!$G$6="Sí",M_FactoresComplement!$G$8="No"),N43*M_FactoresComplement!G29,N43*VLOOKUP(M_FactoresComplement!$C$30&amp;M_Datos!$E$12&amp;M_Lista!G17,M_FactoresComplement!$F$15:$I$434,2,FALSE)))</f>
        <v>0</v>
      </c>
      <c r="P43" s="313">
        <f>IF(AND(M_FactoresComplement!$G$6="No",M_FactoresComplement!$G$8="No"),M_Cálculos_ND!N43*M_Factores!$E$213,IF(AND(M_FactoresComplement!$G$6="Sí",M_FactoresComplement!$G$8="No"),N43*M_FactoresComplement!H29,N43*VLOOKUP(M_FactoresComplement!$C$30&amp;M_Datos!$E$12&amp;M_Lista!G17,M_FactoresComplement!$F$15:$I$434,3,FALSE)))</f>
        <v>0</v>
      </c>
      <c r="Q43" s="311">
        <f>SUMIFS(M_Datos!$V$65:$V$67,M_Datos!$W$65:$W$67,M_Lista!G18,M_Datos!$M$65:$M$67,M_Lista!$J$3,M_Datos!$M$65:$M$67,M_Lista!$J$3)</f>
        <v>0</v>
      </c>
      <c r="R43" s="312">
        <f>IF(AND(M_FactoresComplement!$G$6="No",M_FactoresComplement!$G$8="No"),M_Cálculos_ND!Q43*M_Factores!$D$213,IF(AND(M_FactoresComplement!$G$6="Sí",M_FactoresComplement!$G$8="No"),Q43*M_FactoresComplement!G29,Q43*VLOOKUP(M_FactoresComplement!$C$30&amp;M_Datos!$E$12&amp;M_Lista!G17,M_FactoresComplement!$F$15:$I$434,2,FALSE)))</f>
        <v>0</v>
      </c>
      <c r="S43" s="313">
        <f>IF(AND(M_FactoresComplement!$G$6="No",M_FactoresComplement!$G$8="No"),M_Cálculos_ND!Q43*M_Factores!$E$213,IF(AND(M_FactoresComplement!$G$6="Sí",M_FactoresComplement!$G$8="No"),Q43*M_FactoresComplement!H29,Q43*VLOOKUP(M_FactoresComplement!$C$30&amp;M_Datos!$E$12&amp;M_Lista!G17,M_FactoresComplement!$F$15:$I$434,3,FALSE)))</f>
        <v>0</v>
      </c>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row>
    <row r="44" spans="2:841">
      <c r="B44" s="11"/>
      <c r="C44" s="657"/>
      <c r="D44" s="289" t="s">
        <v>625</v>
      </c>
      <c r="E44" s="311">
        <f>SUMIFS(M_Datos!$N$65:$N$67,M_Datos!$O$65:$O$67,M_Lista!G19,M_Datos!$M$65:$M$67,M_Lista!$J$3)</f>
        <v>0</v>
      </c>
      <c r="F44" s="312">
        <f>IF(AND(M_FactoresComplement!$G$6="No",M_FactoresComplement!$G$8="No"),M_Cálculos_ND!E44*M_Factores!$D$213,IF(AND(M_FactoresComplement!$G$6="Sí",M_FactoresComplement!$G$8="No"),E44*M_FactoresComplement!G30,E44*VLOOKUP(M_FactoresComplement!$C$30&amp;M_Datos!$E$12&amp;M_Lista!G18,M_FactoresComplement!$F$15:$I$434,2,FALSE)))</f>
        <v>0</v>
      </c>
      <c r="G44" s="313">
        <f>IF(AND(M_FactoresComplement!$G$6="No",M_FactoresComplement!$G$8="No"),M_Cálculos_ND!E44*M_Factores!$E$213,IF(AND(M_FactoresComplement!$G$6="Sí",M_FactoresComplement!$G$8="No"),E44*M_FactoresComplement!H30,E44*VLOOKUP(M_FactoresComplement!$C$30&amp;M_Datos!$E$12&amp;M_Lista!G18,M_FactoresComplement!$F$15:$I$434,3,FALSE)))</f>
        <v>0</v>
      </c>
      <c r="H44" s="311">
        <f>SUMIFS(M_Datos!$P$65:$P$67,M_Datos!$Q$65:$Q$67,M_Lista!G19,M_Datos!$M$65:$M$67,M_Lista!$J$3,M_Datos!$M$65:$M$67,M_Lista!$J$3)</f>
        <v>0</v>
      </c>
      <c r="I44" s="312">
        <f>IF(AND(M_FactoresComplement!$G$6="No",M_FactoresComplement!$G$8="No"),M_Cálculos_ND!H44*M_Factores!$D$213,IF(AND(M_FactoresComplement!$G$6="Sí",M_FactoresComplement!$G$8="No"),H44*M_FactoresComplement!G30,H44*VLOOKUP(M_FactoresComplement!$C$30&amp;M_Datos!$E$12&amp;M_Lista!G18,M_FactoresComplement!$F$15:$I$434,2,FALSE)))</f>
        <v>0</v>
      </c>
      <c r="J44" s="313">
        <f>IF(AND(M_FactoresComplement!$G$6="No",M_FactoresComplement!$G$8="No"),M_Cálculos_ND!H44*M_Factores!$E$213,IF(AND(M_FactoresComplement!$G$6="Sí",M_FactoresComplement!$G$8="No"),H44*M_FactoresComplement!H30,H44*VLOOKUP(M_FactoresComplement!$C$30&amp;M_Datos!$E$12&amp;M_Lista!G18,M_FactoresComplement!$F$15:$I$434,3,FALSE)))</f>
        <v>0</v>
      </c>
      <c r="K44" s="311">
        <f>SUMIFS(M_Datos!$R$65:$R$67,M_Datos!$S$65:$S$67,M_Lista!G19,M_Datos!$M$65:$M$67,M_Lista!$J$3,M_Datos!$M$65:$M$67,M_Lista!$J$3)</f>
        <v>0</v>
      </c>
      <c r="L44" s="312">
        <f>IF(AND(M_FactoresComplement!$G$6="No",M_FactoresComplement!$G$8="No"),M_Cálculos_ND!K44*M_Factores!$D$213,IF(AND(M_FactoresComplement!$G$6="Sí",M_FactoresComplement!$G$8="No"),K44*M_FactoresComplement!G30,K44*VLOOKUP(M_FactoresComplement!$C$30&amp;M_Datos!$E$12&amp;M_Lista!G18,M_FactoresComplement!$F$15:$I$434,2,FALSE)))</f>
        <v>0</v>
      </c>
      <c r="M44" s="313">
        <f>IF(AND(M_FactoresComplement!$G$6="No",M_FactoresComplement!$G$8="No"),M_Cálculos_ND!K44*M_Factores!$E$213,IF(AND(M_FactoresComplement!$G$6="Sí",M_FactoresComplement!$G$8="No"),K44*M_FactoresComplement!H30,K44*VLOOKUP(M_FactoresComplement!$C$30&amp;M_Datos!$E$12&amp;M_Lista!G18,M_FactoresComplement!$F$15:$I$434,3,FALSE)))</f>
        <v>0</v>
      </c>
      <c r="N44" s="311">
        <f>SUMIFS(M_Datos!$T$65:$T$67,M_Datos!$U$65:$U$67,M_Lista!G19,M_Datos!$M$65:$M$67,M_Lista!$J$3,M_Datos!$M$65:$M$67,M_Lista!$J$3)</f>
        <v>0</v>
      </c>
      <c r="O44" s="312">
        <f>IF(AND(M_FactoresComplement!$G$6="No",M_FactoresComplement!$G$8="No"),M_Cálculos_ND!N44*M_Factores!$D$213,IF(AND(M_FactoresComplement!$G$6="Sí",M_FactoresComplement!$G$8="No"),N44*M_FactoresComplement!G30,N44*VLOOKUP(M_FactoresComplement!$C$30&amp;M_Datos!$E$12&amp;M_Lista!G18,M_FactoresComplement!$F$15:$I$434,2,FALSE)))</f>
        <v>0</v>
      </c>
      <c r="P44" s="313">
        <f>IF(AND(M_FactoresComplement!$G$6="No",M_FactoresComplement!$G$8="No"),M_Cálculos_ND!N44*M_Factores!$E$213,IF(AND(M_FactoresComplement!$G$6="Sí",M_FactoresComplement!$G$8="No"),N44*M_FactoresComplement!H30,N44*VLOOKUP(M_FactoresComplement!$C$30&amp;M_Datos!$E$12&amp;M_Lista!G18,M_FactoresComplement!$F$15:$I$434,3,FALSE)))</f>
        <v>0</v>
      </c>
      <c r="Q44" s="311">
        <f>SUMIFS(M_Datos!$V$65:$V$67,M_Datos!$W$65:$W$67,M_Lista!G19,M_Datos!$M$65:$M$67,M_Lista!$J$3,M_Datos!$M$65:$M$67,M_Lista!$J$3)</f>
        <v>0</v>
      </c>
      <c r="R44" s="312">
        <f>IF(AND(M_FactoresComplement!$G$6="No",M_FactoresComplement!$G$8="No"),M_Cálculos_ND!Q44*M_Factores!$D$213,IF(AND(M_FactoresComplement!$G$6="Sí",M_FactoresComplement!$G$8="No"),Q44*M_FactoresComplement!G30,Q44*VLOOKUP(M_FactoresComplement!$C$30&amp;M_Datos!$E$12&amp;M_Lista!G18,M_FactoresComplement!$F$15:$I$434,2,FALSE)))</f>
        <v>0</v>
      </c>
      <c r="S44" s="313">
        <f>IF(AND(M_FactoresComplement!$G$6="No",M_FactoresComplement!$G$8="No"),M_Cálculos_ND!Q44*M_Factores!$E$213,IF(AND(M_FactoresComplement!$G$6="Sí",M_FactoresComplement!$G$8="No"),Q44*M_FactoresComplement!H30,Q44*VLOOKUP(M_FactoresComplement!$C$30&amp;M_Datos!$E$12&amp;M_Lista!G18,M_FactoresComplement!$F$15:$I$434,3,FALSE)))</f>
        <v>0</v>
      </c>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row>
    <row r="45" spans="2:841">
      <c r="B45" s="11"/>
      <c r="C45" s="657"/>
      <c r="D45" s="289" t="s">
        <v>626</v>
      </c>
      <c r="E45" s="311">
        <f>SUMIFS(M_Datos!$N$65:$N$67,M_Datos!$O$65:$O$67,M_Lista!G20,M_Datos!$M$65:$M$67,M_Lista!$J$3)</f>
        <v>0</v>
      </c>
      <c r="F45" s="312">
        <f>IF(AND(M_FactoresComplement!$G$6="No",M_FactoresComplement!$G$8="No"),M_Cálculos_ND!E45*M_Factores!$D$213,IF(AND(M_FactoresComplement!$G$6="Sí",M_FactoresComplement!$G$8="No"),E45*M_FactoresComplement!G31,E45*VLOOKUP(M_FactoresComplement!$C$30&amp;M_Datos!$E$12&amp;M_Lista!G19,M_FactoresComplement!$F$15:$I$434,2,FALSE)))</f>
        <v>0</v>
      </c>
      <c r="G45" s="313">
        <f>IF(AND(M_FactoresComplement!$G$6="No",M_FactoresComplement!$G$8="No"),M_Cálculos_ND!E45*M_Factores!$E$213,IF(AND(M_FactoresComplement!$G$6="Sí",M_FactoresComplement!$G$8="No"),E45*M_FactoresComplement!H31,E45*VLOOKUP(M_FactoresComplement!$C$30&amp;M_Datos!$E$12&amp;M_Lista!G19,M_FactoresComplement!$F$15:$I$434,3,FALSE)))</f>
        <v>0</v>
      </c>
      <c r="H45" s="311">
        <f>SUMIFS(M_Datos!$P$65:$P$67,M_Datos!$Q$65:$Q$67,M_Lista!G20,M_Datos!$M$65:$M$67,M_Lista!$J$3,M_Datos!$M$65:$M$67,M_Lista!$J$3)</f>
        <v>0</v>
      </c>
      <c r="I45" s="312">
        <f>IF(AND(M_FactoresComplement!$G$6="No",M_FactoresComplement!$G$8="No"),M_Cálculos_ND!H45*M_Factores!$D$213,IF(AND(M_FactoresComplement!$G$6="Sí",M_FactoresComplement!$G$8="No"),H45*M_FactoresComplement!G31,H45*VLOOKUP(M_FactoresComplement!$C$30&amp;M_Datos!$E$12&amp;M_Lista!G19,M_FactoresComplement!$F$15:$I$434,2,FALSE)))</f>
        <v>0</v>
      </c>
      <c r="J45" s="313">
        <f>IF(AND(M_FactoresComplement!$G$6="No",M_FactoresComplement!$G$8="No"),M_Cálculos_ND!H45*M_Factores!$E$213,IF(AND(M_FactoresComplement!$G$6="Sí",M_FactoresComplement!$G$8="No"),H45*M_FactoresComplement!H31,H45*VLOOKUP(M_FactoresComplement!$C$30&amp;M_Datos!$E$12&amp;M_Lista!G19,M_FactoresComplement!$F$15:$I$434,3,FALSE)))</f>
        <v>0</v>
      </c>
      <c r="K45" s="311">
        <f>SUMIFS(M_Datos!$R$65:$R$67,M_Datos!$S$65:$S$67,M_Lista!G20,M_Datos!$M$65:$M$67,M_Lista!$J$3,M_Datos!$M$65:$M$67,M_Lista!$J$3)</f>
        <v>0</v>
      </c>
      <c r="L45" s="312">
        <f>IF(AND(M_FactoresComplement!$G$6="No",M_FactoresComplement!$G$8="No"),M_Cálculos_ND!K45*M_Factores!$D$213,IF(AND(M_FactoresComplement!$G$6="Sí",M_FactoresComplement!$G$8="No"),K45*M_FactoresComplement!G31,K45*VLOOKUP(M_FactoresComplement!$C$30&amp;M_Datos!$E$12&amp;M_Lista!G19,M_FactoresComplement!$F$15:$I$434,2,FALSE)))</f>
        <v>0</v>
      </c>
      <c r="M45" s="313">
        <f>IF(AND(M_FactoresComplement!$G$6="No",M_FactoresComplement!$G$8="No"),M_Cálculos_ND!K45*M_Factores!$E$213,IF(AND(M_FactoresComplement!$G$6="Sí",M_FactoresComplement!$G$8="No"),K45*M_FactoresComplement!H31,K45*VLOOKUP(M_FactoresComplement!$C$30&amp;M_Datos!$E$12&amp;M_Lista!G19,M_FactoresComplement!$F$15:$I$434,3,FALSE)))</f>
        <v>0</v>
      </c>
      <c r="N45" s="311">
        <f>SUMIFS(M_Datos!$T$65:$T$67,M_Datos!$U$65:$U$67,M_Lista!G20,M_Datos!$M$65:$M$67,M_Lista!$J$3,M_Datos!$M$65:$M$67,M_Lista!$J$3)</f>
        <v>0</v>
      </c>
      <c r="O45" s="312">
        <f>IF(AND(M_FactoresComplement!$G$6="No",M_FactoresComplement!$G$8="No"),M_Cálculos_ND!N45*M_Factores!$D$213,IF(AND(M_FactoresComplement!$G$6="Sí",M_FactoresComplement!$G$8="No"),N45*M_FactoresComplement!G31,N45*VLOOKUP(M_FactoresComplement!$C$30&amp;M_Datos!$E$12&amp;M_Lista!G19,M_FactoresComplement!$F$15:$I$434,2,FALSE)))</f>
        <v>0</v>
      </c>
      <c r="P45" s="313">
        <f>IF(AND(M_FactoresComplement!$G$6="No",M_FactoresComplement!$G$8="No"),M_Cálculos_ND!N45*M_Factores!$E$213,IF(AND(M_FactoresComplement!$G$6="Sí",M_FactoresComplement!$G$8="No"),N45*M_FactoresComplement!H31,N45*VLOOKUP(M_FactoresComplement!$C$30&amp;M_Datos!$E$12&amp;M_Lista!G19,M_FactoresComplement!$F$15:$I$434,3,FALSE)))</f>
        <v>0</v>
      </c>
      <c r="Q45" s="311">
        <f>SUMIFS(M_Datos!$V$65:$V$67,M_Datos!$W$65:$W$67,M_Lista!G20,M_Datos!$M$65:$M$67,M_Lista!$J$3,M_Datos!$M$65:$M$67,M_Lista!$J$3)</f>
        <v>0</v>
      </c>
      <c r="R45" s="312">
        <f>IF(AND(M_FactoresComplement!$G$6="No",M_FactoresComplement!$G$8="No"),M_Cálculos_ND!Q45*M_Factores!$D$213,IF(AND(M_FactoresComplement!$G$6="Sí",M_FactoresComplement!$G$8="No"),Q45*M_FactoresComplement!G31,Q45*VLOOKUP(M_FactoresComplement!$C$30&amp;M_Datos!$E$12&amp;M_Lista!G19,M_FactoresComplement!$F$15:$I$434,2,FALSE)))</f>
        <v>0</v>
      </c>
      <c r="S45" s="313">
        <f>IF(AND(M_FactoresComplement!$G$6="No",M_FactoresComplement!$G$8="No"),M_Cálculos_ND!Q45*M_Factores!$E$213,IF(AND(M_FactoresComplement!$G$6="Sí",M_FactoresComplement!$G$8="No"),Q45*M_FactoresComplement!H31,Q45*VLOOKUP(M_FactoresComplement!$C$30&amp;M_Datos!$E$12&amp;M_Lista!G19,M_FactoresComplement!$F$15:$I$434,3,FALSE)))</f>
        <v>0</v>
      </c>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row>
    <row r="46" spans="2:841">
      <c r="B46" s="11"/>
      <c r="C46" s="657"/>
      <c r="D46" s="289" t="s">
        <v>627</v>
      </c>
      <c r="E46" s="311">
        <f>SUMIFS(M_Datos!$N$65:$N$67,M_Datos!$O$65:$O$67,M_Lista!G21,M_Datos!$M$65:$M$67,M_Lista!$J$3)</f>
        <v>0</v>
      </c>
      <c r="F46" s="312">
        <f>IF(AND(M_FactoresComplement!$G$6="No",M_FactoresComplement!$G$8="No"),M_Cálculos_ND!E46*M_Factores!$D$213,IF(AND(M_FactoresComplement!$G$6="Sí",M_FactoresComplement!$G$8="No"),E46*M_FactoresComplement!G32,E46*VLOOKUP(M_FactoresComplement!$C$30&amp;M_Datos!$E$12&amp;M_Lista!G20,M_FactoresComplement!$F$15:$I$434,2,FALSE)))</f>
        <v>0</v>
      </c>
      <c r="G46" s="313">
        <f>IF(AND(M_FactoresComplement!$G$6="No",M_FactoresComplement!$G$8="No"),M_Cálculos_ND!E46*M_Factores!$E$213,IF(AND(M_FactoresComplement!$G$6="Sí",M_FactoresComplement!$G$8="No"),E46*M_FactoresComplement!H32,E46*VLOOKUP(M_FactoresComplement!$C$30&amp;M_Datos!$E$12&amp;M_Lista!G20,M_FactoresComplement!$F$15:$I$434,3,FALSE)))</f>
        <v>0</v>
      </c>
      <c r="H46" s="311">
        <f>SUMIFS(M_Datos!$P$65:$P$67,M_Datos!$Q$65:$Q$67,M_Lista!G21,M_Datos!$M$65:$M$67,M_Lista!$J$3,M_Datos!$M$65:$M$67,M_Lista!$J$3)</f>
        <v>0</v>
      </c>
      <c r="I46" s="312">
        <f>IF(AND(M_FactoresComplement!$G$6="No",M_FactoresComplement!$G$8="No"),M_Cálculos_ND!H46*M_Factores!$D$213,IF(AND(M_FactoresComplement!$G$6="Sí",M_FactoresComplement!$G$8="No"),H46*M_FactoresComplement!G32,H46*VLOOKUP(M_FactoresComplement!$C$30&amp;M_Datos!$E$12&amp;M_Lista!G20,M_FactoresComplement!$F$15:$I$434,2,FALSE)))</f>
        <v>0</v>
      </c>
      <c r="J46" s="313">
        <f>IF(AND(M_FactoresComplement!$G$6="No",M_FactoresComplement!$G$8="No"),M_Cálculos_ND!H46*M_Factores!$E$213,IF(AND(M_FactoresComplement!$G$6="Sí",M_FactoresComplement!$G$8="No"),H46*M_FactoresComplement!H32,H46*VLOOKUP(M_FactoresComplement!$C$30&amp;M_Datos!$E$12&amp;M_Lista!G20,M_FactoresComplement!$F$15:$I$434,3,FALSE)))</f>
        <v>0</v>
      </c>
      <c r="K46" s="311">
        <f>SUMIFS(M_Datos!$R$65:$R$67,M_Datos!$S$65:$S$67,M_Lista!G21,M_Datos!$M$65:$M$67,M_Lista!$J$3,M_Datos!$M$65:$M$67,M_Lista!$J$3)</f>
        <v>0</v>
      </c>
      <c r="L46" s="312">
        <f>IF(AND(M_FactoresComplement!$G$6="No",M_FactoresComplement!$G$8="No"),M_Cálculos_ND!K46*M_Factores!$D$213,IF(AND(M_FactoresComplement!$G$6="Sí",M_FactoresComplement!$G$8="No"),K46*M_FactoresComplement!G32,K46*VLOOKUP(M_FactoresComplement!$C$30&amp;M_Datos!$E$12&amp;M_Lista!G20,M_FactoresComplement!$F$15:$I$434,2,FALSE)))</f>
        <v>0</v>
      </c>
      <c r="M46" s="313">
        <f>IF(AND(M_FactoresComplement!$G$6="No",M_FactoresComplement!$G$8="No"),M_Cálculos_ND!K46*M_Factores!$E$213,IF(AND(M_FactoresComplement!$G$6="Sí",M_FactoresComplement!$G$8="No"),K46*M_FactoresComplement!H32,K46*VLOOKUP(M_FactoresComplement!$C$30&amp;M_Datos!$E$12&amp;M_Lista!G20,M_FactoresComplement!$F$15:$I$434,3,FALSE)))</f>
        <v>0</v>
      </c>
      <c r="N46" s="311">
        <f>SUMIFS(M_Datos!$T$65:$T$67,M_Datos!$U$65:$U$67,M_Lista!G21,M_Datos!$M$65:$M$67,M_Lista!$J$3,M_Datos!$M$65:$M$67,M_Lista!$J$3)</f>
        <v>0</v>
      </c>
      <c r="O46" s="312">
        <f>IF(AND(M_FactoresComplement!$G$6="No",M_FactoresComplement!$G$8="No"),M_Cálculos_ND!N46*M_Factores!$D$213,IF(AND(M_FactoresComplement!$G$6="Sí",M_FactoresComplement!$G$8="No"),N46*M_FactoresComplement!G32,N46*VLOOKUP(M_FactoresComplement!$C$30&amp;M_Datos!$E$12&amp;M_Lista!G20,M_FactoresComplement!$F$15:$I$434,2,FALSE)))</f>
        <v>0</v>
      </c>
      <c r="P46" s="313">
        <f>IF(AND(M_FactoresComplement!$G$6="No",M_FactoresComplement!$G$8="No"),M_Cálculos_ND!N46*M_Factores!$E$213,IF(AND(M_FactoresComplement!$G$6="Sí",M_FactoresComplement!$G$8="No"),N46*M_FactoresComplement!H32,N46*VLOOKUP(M_FactoresComplement!$C$30&amp;M_Datos!$E$12&amp;M_Lista!G20,M_FactoresComplement!$F$15:$I$434,3,FALSE)))</f>
        <v>0</v>
      </c>
      <c r="Q46" s="311">
        <f>SUMIFS(M_Datos!$V$65:$V$67,M_Datos!$W$65:$W$67,M_Lista!G21,M_Datos!$M$65:$M$67,M_Lista!$J$3,M_Datos!$M$65:$M$67,M_Lista!$J$3)</f>
        <v>0</v>
      </c>
      <c r="R46" s="312">
        <f>IF(AND(M_FactoresComplement!$G$6="No",M_FactoresComplement!$G$8="No"),M_Cálculos_ND!Q46*M_Factores!$D$213,IF(AND(M_FactoresComplement!$G$6="Sí",M_FactoresComplement!$G$8="No"),Q46*M_FactoresComplement!G32,Q46*VLOOKUP(M_FactoresComplement!$C$30&amp;M_Datos!$E$12&amp;M_Lista!G20,M_FactoresComplement!$F$15:$I$434,2,FALSE)))</f>
        <v>0</v>
      </c>
      <c r="S46" s="313">
        <f>IF(AND(M_FactoresComplement!$G$6="No",M_FactoresComplement!$G$8="No"),M_Cálculos_ND!Q46*M_Factores!$E$213,IF(AND(M_FactoresComplement!$G$6="Sí",M_FactoresComplement!$G$8="No"),Q46*M_FactoresComplement!H32,Q46*VLOOKUP(M_FactoresComplement!$C$30&amp;M_Datos!$E$12&amp;M_Lista!G20,M_FactoresComplement!$F$15:$I$434,3,FALSE)))</f>
        <v>0</v>
      </c>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row>
    <row r="47" spans="2:841">
      <c r="B47" s="11"/>
      <c r="C47" s="657"/>
      <c r="D47" s="289" t="s">
        <v>628</v>
      </c>
      <c r="E47" s="311">
        <f>SUMIFS(M_Datos!$N$65:$N$67,M_Datos!$O$65:$O$67,M_Lista!G22,M_Datos!$M$65:$M$67,M_Lista!$J$3)</f>
        <v>0</v>
      </c>
      <c r="F47" s="312">
        <f>IF(AND(M_FactoresComplement!$G$6="No",M_FactoresComplement!$G$8="No"),M_Cálculos_ND!E47*M_Factores!$D$213,IF(AND(M_FactoresComplement!$G$6="Sí",M_FactoresComplement!$G$8="No"),E47*M_FactoresComplement!G33,E47*VLOOKUP(M_FactoresComplement!$C$30&amp;M_Datos!$E$12&amp;M_Lista!G21,M_FactoresComplement!$F$15:$I$434,2,FALSE)))</f>
        <v>0</v>
      </c>
      <c r="G47" s="313">
        <f>IF(AND(M_FactoresComplement!$G$6="No",M_FactoresComplement!$G$8="No"),M_Cálculos_ND!E47*M_Factores!$E$213,IF(AND(M_FactoresComplement!$G$6="Sí",M_FactoresComplement!$G$8="No"),E47*M_FactoresComplement!H33,E47*VLOOKUP(M_FactoresComplement!$C$30&amp;M_Datos!$E$12&amp;M_Lista!G21,M_FactoresComplement!$F$15:$I$434,3,FALSE)))</f>
        <v>0</v>
      </c>
      <c r="H47" s="311">
        <f>SUMIFS(M_Datos!$P$65:$P$67,M_Datos!$Q$65:$Q$67,M_Lista!G22,M_Datos!$M$65:$M$67,M_Lista!$J$3,M_Datos!$M$65:$M$67,M_Lista!$J$3)</f>
        <v>0</v>
      </c>
      <c r="I47" s="312">
        <f>IF(AND(M_FactoresComplement!$G$6="No",M_FactoresComplement!$G$8="No"),M_Cálculos_ND!H47*M_Factores!$D$213,IF(AND(M_FactoresComplement!$G$6="Sí",M_FactoresComplement!$G$8="No"),H47*M_FactoresComplement!G33,H47*VLOOKUP(M_FactoresComplement!$C$30&amp;M_Datos!$E$12&amp;M_Lista!G21,M_FactoresComplement!$F$15:$I$434,2,FALSE)))</f>
        <v>0</v>
      </c>
      <c r="J47" s="313">
        <f>IF(AND(M_FactoresComplement!$G$6="No",M_FactoresComplement!$G$8="No"),M_Cálculos_ND!H47*M_Factores!$E$213,IF(AND(M_FactoresComplement!$G$6="Sí",M_FactoresComplement!$G$8="No"),H47*M_FactoresComplement!H33,H47*VLOOKUP(M_FactoresComplement!$C$30&amp;M_Datos!$E$12&amp;M_Lista!G21,M_FactoresComplement!$F$15:$I$434,3,FALSE)))</f>
        <v>0</v>
      </c>
      <c r="K47" s="311">
        <f>SUMIFS(M_Datos!$R$65:$R$67,M_Datos!$S$65:$S$67,M_Lista!G22,M_Datos!$M$65:$M$67,M_Lista!$J$3,M_Datos!$M$65:$M$67,M_Lista!$J$3)</f>
        <v>0</v>
      </c>
      <c r="L47" s="312">
        <f>IF(AND(M_FactoresComplement!$G$6="No",M_FactoresComplement!$G$8="No"),M_Cálculos_ND!K47*M_Factores!$D$213,IF(AND(M_FactoresComplement!$G$6="Sí",M_FactoresComplement!$G$8="No"),K47*M_FactoresComplement!G33,K47*VLOOKUP(M_FactoresComplement!$C$30&amp;M_Datos!$E$12&amp;M_Lista!G21,M_FactoresComplement!$F$15:$I$434,2,FALSE)))</f>
        <v>0</v>
      </c>
      <c r="M47" s="313">
        <f>IF(AND(M_FactoresComplement!$G$6="No",M_FactoresComplement!$G$8="No"),M_Cálculos_ND!K47*M_Factores!$E$213,IF(AND(M_FactoresComplement!$G$6="Sí",M_FactoresComplement!$G$8="No"),K47*M_FactoresComplement!H33,K47*VLOOKUP(M_FactoresComplement!$C$30&amp;M_Datos!$E$12&amp;M_Lista!G21,M_FactoresComplement!$F$15:$I$434,3,FALSE)))</f>
        <v>0</v>
      </c>
      <c r="N47" s="311">
        <f>SUMIFS(M_Datos!$T$65:$T$67,M_Datos!$U$65:$U$67,M_Lista!G22,M_Datos!$M$65:$M$67,M_Lista!$J$3,M_Datos!$M$65:$M$67,M_Lista!$J$3)</f>
        <v>0</v>
      </c>
      <c r="O47" s="312">
        <f>IF(AND(M_FactoresComplement!$G$6="No",M_FactoresComplement!$G$8="No"),M_Cálculos_ND!N47*M_Factores!$D$213,IF(AND(M_FactoresComplement!$G$6="Sí",M_FactoresComplement!$G$8="No"),N47*M_FactoresComplement!G33,N47*VLOOKUP(M_FactoresComplement!$C$30&amp;M_Datos!$E$12&amp;M_Lista!G21,M_FactoresComplement!$F$15:$I$434,2,FALSE)))</f>
        <v>0</v>
      </c>
      <c r="P47" s="313">
        <f>IF(AND(M_FactoresComplement!$G$6="No",M_FactoresComplement!$G$8="No"),M_Cálculos_ND!N47*M_Factores!$E$213,IF(AND(M_FactoresComplement!$G$6="Sí",M_FactoresComplement!$G$8="No"),N47*M_FactoresComplement!H33,N47*VLOOKUP(M_FactoresComplement!$C$30&amp;M_Datos!$E$12&amp;M_Lista!G21,M_FactoresComplement!$F$15:$I$434,3,FALSE)))</f>
        <v>0</v>
      </c>
      <c r="Q47" s="311">
        <f>SUMIFS(M_Datos!$V$65:$V$67,M_Datos!$W$65:$W$67,M_Lista!G22,M_Datos!$M$65:$M$67,M_Lista!$J$3,M_Datos!$M$65:$M$67,M_Lista!$J$3)</f>
        <v>0</v>
      </c>
      <c r="R47" s="312">
        <f>IF(AND(M_FactoresComplement!$G$6="No",M_FactoresComplement!$G$8="No"),M_Cálculos_ND!Q47*M_Factores!$D$213,IF(AND(M_FactoresComplement!$G$6="Sí",M_FactoresComplement!$G$8="No"),Q47*M_FactoresComplement!G33,Q47*VLOOKUP(M_FactoresComplement!$C$30&amp;M_Datos!$E$12&amp;M_Lista!G21,M_FactoresComplement!$F$15:$I$434,2,FALSE)))</f>
        <v>0</v>
      </c>
      <c r="S47" s="313">
        <f>IF(AND(M_FactoresComplement!$G$6="No",M_FactoresComplement!$G$8="No"),M_Cálculos_ND!Q47*M_Factores!$E$213,IF(AND(M_FactoresComplement!$G$6="Sí",M_FactoresComplement!$G$8="No"),Q47*M_FactoresComplement!H33,Q47*VLOOKUP(M_FactoresComplement!$C$30&amp;M_Datos!$E$12&amp;M_Lista!G21,M_FactoresComplement!$F$15:$I$434,3,FALSE)))</f>
        <v>0</v>
      </c>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row>
    <row r="48" spans="2:841">
      <c r="B48" s="11"/>
      <c r="C48" s="657"/>
      <c r="D48" s="289" t="s">
        <v>629</v>
      </c>
      <c r="E48" s="311">
        <f>SUMIFS(M_Datos!$N$65:$N$67,M_Datos!$O$65:$O$67,M_Lista!G23,M_Datos!$M$65:$M$67,M_Lista!$J$3)</f>
        <v>0</v>
      </c>
      <c r="F48" s="312">
        <f>IF(AND(M_FactoresComplement!$G$6="No",M_FactoresComplement!$G$8="No"),M_Cálculos_ND!E48*M_Factores!$D$213,IF(AND(M_FactoresComplement!$G$6="Sí",M_FactoresComplement!$G$8="No"),E48*M_FactoresComplement!G34,E48*VLOOKUP(M_FactoresComplement!$C$30&amp;M_Datos!$E$12&amp;M_Lista!G22,M_FactoresComplement!$F$15:$I$434,2,FALSE)))</f>
        <v>0</v>
      </c>
      <c r="G48" s="313">
        <f>IF(AND(M_FactoresComplement!$G$6="No",M_FactoresComplement!$G$8="No"),M_Cálculos_ND!E48*M_Factores!$E$213,IF(AND(M_FactoresComplement!$G$6="Sí",M_FactoresComplement!$G$8="No"),E48*M_FactoresComplement!H34,E48*VLOOKUP(M_FactoresComplement!$C$30&amp;M_Datos!$E$12&amp;M_Lista!G22,M_FactoresComplement!$F$15:$I$434,3,FALSE)))</f>
        <v>0</v>
      </c>
      <c r="H48" s="311">
        <f>SUMIFS(M_Datos!$P$65:$P$67,M_Datos!$Q$65:$Q$67,M_Lista!G23,M_Datos!$M$65:$M$67,M_Lista!$J$3,M_Datos!$M$65:$M$67,M_Lista!$J$3)</f>
        <v>0</v>
      </c>
      <c r="I48" s="312">
        <f>IF(AND(M_FactoresComplement!$G$6="No",M_FactoresComplement!$G$8="No"),M_Cálculos_ND!H48*M_Factores!$D$213,IF(AND(M_FactoresComplement!$G$6="Sí",M_FactoresComplement!$G$8="No"),H48*M_FactoresComplement!G34,H48*VLOOKUP(M_FactoresComplement!$C$30&amp;M_Datos!$E$12&amp;M_Lista!G22,M_FactoresComplement!$F$15:$I$434,2,FALSE)))</f>
        <v>0</v>
      </c>
      <c r="J48" s="313">
        <f>IF(AND(M_FactoresComplement!$G$6="No",M_FactoresComplement!$G$8="No"),M_Cálculos_ND!H48*M_Factores!$E$213,IF(AND(M_FactoresComplement!$G$6="Sí",M_FactoresComplement!$G$8="No"),H48*M_FactoresComplement!H34,H48*VLOOKUP(M_FactoresComplement!$C$30&amp;M_Datos!$E$12&amp;M_Lista!G22,M_FactoresComplement!$F$15:$I$434,3,FALSE)))</f>
        <v>0</v>
      </c>
      <c r="K48" s="311">
        <f>SUMIFS(M_Datos!$R$65:$R$67,M_Datos!$S$65:$S$67,M_Lista!G23,M_Datos!$M$65:$M$67,M_Lista!$J$3,M_Datos!$M$65:$M$67,M_Lista!$J$3)</f>
        <v>0</v>
      </c>
      <c r="L48" s="312">
        <f>IF(AND(M_FactoresComplement!$G$6="No",M_FactoresComplement!$G$8="No"),M_Cálculos_ND!K48*M_Factores!$D$213,IF(AND(M_FactoresComplement!$G$6="Sí",M_FactoresComplement!$G$8="No"),K48*M_FactoresComplement!G34,K48*VLOOKUP(M_FactoresComplement!$C$30&amp;M_Datos!$E$12&amp;M_Lista!G22,M_FactoresComplement!$F$15:$I$434,2,FALSE)))</f>
        <v>0</v>
      </c>
      <c r="M48" s="313">
        <f>IF(AND(M_FactoresComplement!$G$6="No",M_FactoresComplement!$G$8="No"),M_Cálculos_ND!K48*M_Factores!$E$213,IF(AND(M_FactoresComplement!$G$6="Sí",M_FactoresComplement!$G$8="No"),K48*M_FactoresComplement!H34,K48*VLOOKUP(M_FactoresComplement!$C$30&amp;M_Datos!$E$12&amp;M_Lista!G22,M_FactoresComplement!$F$15:$I$434,3,FALSE)))</f>
        <v>0</v>
      </c>
      <c r="N48" s="311">
        <f>SUMIFS(M_Datos!$T$65:$T$67,M_Datos!$U$65:$U$67,M_Lista!G23,M_Datos!$M$65:$M$67,M_Lista!$J$3,M_Datos!$M$65:$M$67,M_Lista!$J$3)</f>
        <v>0</v>
      </c>
      <c r="O48" s="312">
        <f>IF(AND(M_FactoresComplement!$G$6="No",M_FactoresComplement!$G$8="No"),M_Cálculos_ND!N48*M_Factores!$D$213,IF(AND(M_FactoresComplement!$G$6="Sí",M_FactoresComplement!$G$8="No"),N48*M_FactoresComplement!G34,N48*VLOOKUP(M_FactoresComplement!$C$30&amp;M_Datos!$E$12&amp;M_Lista!G22,M_FactoresComplement!$F$15:$I$434,2,FALSE)))</f>
        <v>0</v>
      </c>
      <c r="P48" s="313">
        <f>IF(AND(M_FactoresComplement!$G$6="No",M_FactoresComplement!$G$8="No"),M_Cálculos_ND!N48*M_Factores!$E$213,IF(AND(M_FactoresComplement!$G$6="Sí",M_FactoresComplement!$G$8="No"),N48*M_FactoresComplement!H34,N48*VLOOKUP(M_FactoresComplement!$C$30&amp;M_Datos!$E$12&amp;M_Lista!G22,M_FactoresComplement!$F$15:$I$434,3,FALSE)))</f>
        <v>0</v>
      </c>
      <c r="Q48" s="311">
        <f>SUMIFS(M_Datos!$V$65:$V$67,M_Datos!$W$65:$W$67,M_Lista!G23,M_Datos!$M$65:$M$67,M_Lista!$J$3,M_Datos!$M$65:$M$67,M_Lista!$J$3)</f>
        <v>0</v>
      </c>
      <c r="R48" s="312">
        <f>IF(AND(M_FactoresComplement!$G$6="No",M_FactoresComplement!$G$8="No"),M_Cálculos_ND!Q48*M_Factores!$D$213,IF(AND(M_FactoresComplement!$G$6="Sí",M_FactoresComplement!$G$8="No"),Q48*M_FactoresComplement!G34,Q48*VLOOKUP(M_FactoresComplement!$C$30&amp;M_Datos!$E$12&amp;M_Lista!G22,M_FactoresComplement!$F$15:$I$434,2,FALSE)))</f>
        <v>0</v>
      </c>
      <c r="S48" s="313">
        <f>IF(AND(M_FactoresComplement!$G$6="No",M_FactoresComplement!$G$8="No"),M_Cálculos_ND!Q48*M_Factores!$E$213,IF(AND(M_FactoresComplement!$G$6="Sí",M_FactoresComplement!$G$8="No"),Q48*M_FactoresComplement!H34,Q48*VLOOKUP(M_FactoresComplement!$C$30&amp;M_Datos!$E$12&amp;M_Lista!G22,M_FactoresComplement!$F$15:$I$434,3,FALSE)))</f>
        <v>0</v>
      </c>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row>
    <row r="49" spans="2:841">
      <c r="B49" s="11"/>
      <c r="C49" s="657"/>
      <c r="D49" s="289" t="str">
        <f>IF(Idioma=Castellano,"Sin definir",IF(Idioma=Valencià,"Sense definir","Sin definir"))</f>
        <v>Sin definir</v>
      </c>
      <c r="E49" s="311">
        <f>SUMIFS(M_Datos!$N$65:$N$67,M_Datos!$O$65:$O$67,M_Lista!G24,M_Datos!$M$65:$M$67,M_Lista!$J$3)</f>
        <v>0</v>
      </c>
      <c r="F49" s="312">
        <f>IF(AND(M_FactoresComplement!$G$6="No",M_FactoresComplement!$G$8="No"),M_Cálculos_ND!E49*M_Factores!$D$213,IF(AND(M_FactoresComplement!$G$6="Sí",M_FactoresComplement!$G$8="No"),E49*M_FactoresComplement!G35,E49*VLOOKUP(M_FactoresComplement!$C$30&amp;M_Datos!$E$12&amp;M_Lista!G23,M_FactoresComplement!$F$15:$I$434,2,FALSE)))</f>
        <v>0</v>
      </c>
      <c r="G49" s="313">
        <f>IF(AND(M_FactoresComplement!$G$6="No",M_FactoresComplement!$G$8="No"),M_Cálculos_ND!E49*M_Factores!$E$213,IF(AND(M_FactoresComplement!$G$6="Sí",M_FactoresComplement!$G$8="No"),E49*M_FactoresComplement!H35,E49*VLOOKUP(M_FactoresComplement!$C$30&amp;M_Datos!$E$12&amp;M_Lista!G23,M_FactoresComplement!$F$15:$I$434,3,FALSE)))</f>
        <v>0</v>
      </c>
      <c r="H49" s="311">
        <f>SUMIFS(M_Datos!$P$65:$P$67,M_Datos!$Q$65:$Q$67,M_Lista!G24,M_Datos!$M$65:$M$67,M_Lista!$J$3,M_Datos!$M$65:$M$67,M_Lista!$J$3)</f>
        <v>0</v>
      </c>
      <c r="I49" s="312">
        <f>IF(AND(M_FactoresComplement!$G$6="No",M_FactoresComplement!$G$8="No"),M_Cálculos_ND!H49*M_Factores!$D$213,IF(AND(M_FactoresComplement!$G$6="Sí",M_FactoresComplement!$G$8="No"),H49*M_FactoresComplement!G35,H49*VLOOKUP(M_FactoresComplement!$C$30&amp;M_Datos!$E$12&amp;M_Lista!G23,M_FactoresComplement!$F$15:$I$434,2,FALSE)))</f>
        <v>0</v>
      </c>
      <c r="J49" s="313">
        <f>IF(AND(M_FactoresComplement!$G$6="No",M_FactoresComplement!$G$8="No"),M_Cálculos_ND!H49*M_Factores!$E$213,IF(AND(M_FactoresComplement!$G$6="Sí",M_FactoresComplement!$G$8="No"),H49*M_FactoresComplement!H35,H49*VLOOKUP(M_FactoresComplement!$C$30&amp;M_Datos!$E$12&amp;M_Lista!G23,M_FactoresComplement!$F$15:$I$434,3,FALSE)))</f>
        <v>0</v>
      </c>
      <c r="K49" s="311">
        <f>SUMIFS(M_Datos!$R$65:$R$67,M_Datos!$S$65:$S$67,M_Lista!G24,M_Datos!$M$65:$M$67,M_Lista!$J$3,M_Datos!$M$65:$M$67,M_Lista!$J$3)</f>
        <v>0</v>
      </c>
      <c r="L49" s="312">
        <f>IF(AND(M_FactoresComplement!$G$6="No",M_FactoresComplement!$G$8="No"),M_Cálculos_ND!K49*M_Factores!$D$213,IF(AND(M_FactoresComplement!$G$6="Sí",M_FactoresComplement!$G$8="No"),K49*M_FactoresComplement!G35,K49*VLOOKUP(M_FactoresComplement!$C$30&amp;M_Datos!$E$12&amp;M_Lista!G23,M_FactoresComplement!$F$15:$I$434,2,FALSE)))</f>
        <v>0</v>
      </c>
      <c r="M49" s="313">
        <f>IF(AND(M_FactoresComplement!$G$6="No",M_FactoresComplement!$G$8="No"),M_Cálculos_ND!K49*M_Factores!$E$213,IF(AND(M_FactoresComplement!$G$6="Sí",M_FactoresComplement!$G$8="No"),K49*M_FactoresComplement!H35,K49*VLOOKUP(M_FactoresComplement!$C$30&amp;M_Datos!$E$12&amp;M_Lista!G23,M_FactoresComplement!$F$15:$I$434,3,FALSE)))</f>
        <v>0</v>
      </c>
      <c r="N49" s="311">
        <f>SUMIFS(M_Datos!$T$65:$T$67,M_Datos!$U$65:$U$67,M_Lista!G24,M_Datos!$M$65:$M$67,M_Lista!$J$3,M_Datos!$M$65:$M$67,M_Lista!$J$3)</f>
        <v>0</v>
      </c>
      <c r="O49" s="312">
        <f>IF(AND(M_FactoresComplement!$G$6="No",M_FactoresComplement!$G$8="No"),M_Cálculos_ND!N49*M_Factores!$D$213,IF(AND(M_FactoresComplement!$G$6="Sí",M_FactoresComplement!$G$8="No"),N49*M_FactoresComplement!G35,N49*VLOOKUP(M_FactoresComplement!$C$30&amp;M_Datos!$E$12&amp;M_Lista!G23,M_FactoresComplement!$F$15:$I$434,2,FALSE)))</f>
        <v>0</v>
      </c>
      <c r="P49" s="313">
        <f>IF(AND(M_FactoresComplement!$G$6="No",M_FactoresComplement!$G$8="No"),M_Cálculos_ND!N49*M_Factores!$E$213,IF(AND(M_FactoresComplement!$G$6="Sí",M_FactoresComplement!$G$8="No"),N49*M_FactoresComplement!H35,N49*VLOOKUP(M_FactoresComplement!$C$30&amp;M_Datos!$E$12&amp;M_Lista!G23,M_FactoresComplement!$F$15:$I$434,3,FALSE)))</f>
        <v>0</v>
      </c>
      <c r="Q49" s="311">
        <f>SUMIFS(M_Datos!$V$65:$V$67,M_Datos!$W$65:$W$67,M_Lista!G24,M_Datos!$M$65:$M$67,M_Lista!$J$3,M_Datos!$M$65:$M$67,M_Lista!$J$3)</f>
        <v>0</v>
      </c>
      <c r="R49" s="312">
        <f>IF(AND(M_FactoresComplement!$G$6="No",M_FactoresComplement!$G$8="No"),M_Cálculos_ND!Q49*M_Factores!$D$213,IF(AND(M_FactoresComplement!$G$6="Sí",M_FactoresComplement!$G$8="No"),Q49*M_FactoresComplement!G35,Q49*VLOOKUP(M_FactoresComplement!$C$30&amp;M_Datos!$E$12&amp;M_Lista!G23,M_FactoresComplement!$F$15:$I$434,2,FALSE)))</f>
        <v>0</v>
      </c>
      <c r="S49" s="313">
        <f>IF(AND(M_FactoresComplement!$G$6="No",M_FactoresComplement!$G$8="No"),M_Cálculos_ND!Q49*M_Factores!$E$213,IF(AND(M_FactoresComplement!$G$6="Sí",M_FactoresComplement!$G$8="No"),Q49*M_FactoresComplement!H35,Q49*VLOOKUP(M_FactoresComplement!$C$30&amp;M_Datos!$E$12&amp;M_Lista!G23,M_FactoresComplement!$F$15:$I$434,3,FALSE)))</f>
        <v>0</v>
      </c>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row>
    <row r="50" spans="2:841">
      <c r="B50" s="11"/>
      <c r="C50" s="657"/>
      <c r="D50" s="289" t="str">
        <f>IF(Idioma=Castellano,"Consumo nulo",IF(Idioma=Valencià,"Consum nul","Consumo nulo"))</f>
        <v>Consumo nulo</v>
      </c>
      <c r="E50" s="311">
        <f>SUMIFS(M_Datos!$N$65:$N$67,M_Datos!$O$65:$O$67,M_Lista!G25,M_Datos!$M$65:$M$67,M_Lista!$J$3)</f>
        <v>0</v>
      </c>
      <c r="F50" s="312">
        <v>0</v>
      </c>
      <c r="G50" s="313">
        <v>0</v>
      </c>
      <c r="H50" s="311">
        <f>SUMIFS(M_Datos!$P$65:$P$67,M_Datos!$Q$65:$Q$67,M_Lista!G25,M_Datos!$M$65:$M$67,M_Lista!$J$3,M_Datos!$M$65:$M$67,M_Lista!$J$3)</f>
        <v>0</v>
      </c>
      <c r="I50" s="312">
        <v>0</v>
      </c>
      <c r="J50" s="313">
        <v>0</v>
      </c>
      <c r="K50" s="311">
        <f>SUMIFS(M_Datos!$R$65:$R$67,M_Datos!$S$65:$S$67,M_Lista!G25,M_Datos!$M$65:$M$67,M_Lista!$J$3,M_Datos!$M$65:$M$67,M_Lista!$J$3)</f>
        <v>0</v>
      </c>
      <c r="L50" s="312">
        <v>0</v>
      </c>
      <c r="M50" s="313">
        <v>0</v>
      </c>
      <c r="N50" s="311">
        <f>SUMIFS(M_Datos!$T$65:$T$67,M_Datos!$U$65:$U$67,M_Lista!G25,M_Datos!$M$65:$M$67,M_Lista!$J$3,M_Datos!$M$65:$M$67,M_Lista!$J$3)</f>
        <v>0</v>
      </c>
      <c r="O50" s="312">
        <v>0</v>
      </c>
      <c r="P50" s="313">
        <v>0</v>
      </c>
      <c r="Q50" s="311">
        <f>SUMIFS(M_Datos!$V$65:$V$67,M_Datos!$W$65:$W$67,M_Lista!G25,M_Datos!$M$65:$M$67,M_Lista!$J$3,M_Datos!$M$65:$M$67,M_Lista!$J$3)</f>
        <v>0</v>
      </c>
      <c r="R50" s="312">
        <v>0</v>
      </c>
      <c r="S50" s="313">
        <v>0</v>
      </c>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c r="XX50" s="11"/>
      <c r="XY50" s="11"/>
      <c r="XZ50" s="11"/>
      <c r="YA50" s="11"/>
      <c r="YB50" s="11"/>
      <c r="YC50" s="11"/>
      <c r="YD50" s="11"/>
      <c r="YE50" s="11"/>
      <c r="YF50" s="11"/>
      <c r="YG50" s="11"/>
      <c r="YH50" s="11"/>
      <c r="YI50" s="11"/>
      <c r="YJ50" s="11"/>
      <c r="YK50" s="11"/>
      <c r="YL50" s="11"/>
      <c r="YM50" s="11"/>
      <c r="YN50" s="11"/>
      <c r="YO50" s="11"/>
      <c r="YP50" s="11"/>
      <c r="YQ50" s="11"/>
      <c r="YR50" s="11"/>
      <c r="YS50" s="11"/>
      <c r="YT50" s="11"/>
      <c r="YU50" s="11"/>
      <c r="YV50" s="11"/>
      <c r="YW50" s="11"/>
      <c r="YX50" s="11"/>
      <c r="YY50" s="11"/>
      <c r="YZ50" s="11"/>
      <c r="ZA50" s="11"/>
      <c r="ZB50" s="11"/>
      <c r="ZC50" s="11"/>
      <c r="ZD50" s="11"/>
      <c r="ZE50" s="11"/>
      <c r="ZF50" s="11"/>
      <c r="ZG50" s="11"/>
      <c r="ZH50" s="11"/>
      <c r="ZI50" s="11"/>
      <c r="ZJ50" s="11"/>
      <c r="ZK50" s="11"/>
      <c r="ZL50" s="11"/>
      <c r="ZM50" s="11"/>
      <c r="ZN50" s="11"/>
      <c r="ZO50" s="11"/>
      <c r="ZP50" s="11"/>
      <c r="ZQ50" s="11"/>
      <c r="ZR50" s="11"/>
      <c r="ZS50" s="11"/>
      <c r="ZT50" s="11"/>
      <c r="ZU50" s="11"/>
      <c r="ZV50" s="11"/>
      <c r="ZW50" s="11"/>
      <c r="ZX50" s="11"/>
      <c r="ZY50" s="11"/>
      <c r="ZZ50" s="11"/>
      <c r="AAA50" s="11"/>
      <c r="AAB50" s="11"/>
      <c r="AAC50" s="11"/>
      <c r="AAD50" s="11"/>
      <c r="AAE50" s="11"/>
      <c r="AAF50" s="11"/>
      <c r="AAG50" s="11"/>
      <c r="AAH50" s="11"/>
      <c r="AAI50" s="11"/>
      <c r="AAJ50" s="11"/>
      <c r="AAK50" s="11"/>
      <c r="AAL50" s="11"/>
      <c r="AAM50" s="11"/>
      <c r="AAN50" s="11"/>
      <c r="AAO50" s="11"/>
      <c r="AAP50" s="11"/>
      <c r="AAQ50" s="11"/>
      <c r="AAR50" s="11"/>
      <c r="AAS50" s="11"/>
      <c r="AAT50" s="11"/>
      <c r="AAU50" s="11"/>
      <c r="AAV50" s="11"/>
      <c r="AAW50" s="11"/>
      <c r="AAX50" s="11"/>
      <c r="AAY50" s="11"/>
      <c r="AAZ50" s="11"/>
      <c r="ABA50" s="11"/>
      <c r="ABB50" s="11"/>
      <c r="ABC50" s="11"/>
      <c r="ABD50" s="11"/>
      <c r="ABE50" s="11"/>
      <c r="ABF50" s="11"/>
      <c r="ABG50" s="11"/>
      <c r="ABH50" s="11"/>
      <c r="ABI50" s="11"/>
      <c r="ABJ50" s="11"/>
      <c r="ABK50" s="11"/>
      <c r="ABL50" s="11"/>
      <c r="ABM50" s="11"/>
      <c r="ABN50" s="11"/>
      <c r="ABO50" s="11"/>
      <c r="ABP50" s="11"/>
      <c r="ABQ50" s="11"/>
      <c r="ABR50" s="11"/>
      <c r="ABS50" s="11"/>
      <c r="ABT50" s="11"/>
      <c r="ABU50" s="11"/>
      <c r="ABV50" s="11"/>
      <c r="ABW50" s="11"/>
      <c r="ABX50" s="11"/>
      <c r="ABY50" s="11"/>
      <c r="ABZ50" s="11"/>
      <c r="ACA50" s="11"/>
      <c r="ACB50" s="11"/>
      <c r="ACC50" s="11"/>
      <c r="ACD50" s="11"/>
      <c r="ACE50" s="11"/>
      <c r="ACF50" s="11"/>
      <c r="ACG50" s="11"/>
      <c r="ACH50" s="11"/>
      <c r="ACI50" s="11"/>
      <c r="ACJ50" s="11"/>
      <c r="ACK50" s="11"/>
      <c r="ACL50" s="11"/>
      <c r="ACM50" s="11"/>
      <c r="ACN50" s="11"/>
      <c r="ACO50" s="11"/>
      <c r="ACP50" s="11"/>
      <c r="ACQ50" s="11"/>
      <c r="ACR50" s="11"/>
      <c r="ACS50" s="11"/>
      <c r="ACT50" s="11"/>
      <c r="ACU50" s="11"/>
      <c r="ACV50" s="11"/>
      <c r="ACW50" s="11"/>
      <c r="ACX50" s="11"/>
      <c r="ACY50" s="11"/>
      <c r="ACZ50" s="11"/>
      <c r="ADA50" s="11"/>
      <c r="ADB50" s="11"/>
      <c r="ADC50" s="11"/>
      <c r="ADD50" s="11"/>
      <c r="ADE50" s="11"/>
      <c r="ADF50" s="11"/>
      <c r="ADG50" s="11"/>
      <c r="ADH50" s="11"/>
      <c r="ADI50" s="11"/>
      <c r="ADJ50" s="11"/>
      <c r="ADK50" s="11"/>
      <c r="ADL50" s="11"/>
      <c r="ADM50" s="11"/>
      <c r="ADN50" s="11"/>
      <c r="ADO50" s="11"/>
      <c r="ADP50" s="11"/>
      <c r="ADQ50" s="11"/>
      <c r="ADR50" s="11"/>
      <c r="ADS50" s="11"/>
      <c r="ADT50" s="11"/>
      <c r="ADU50" s="11"/>
      <c r="ADV50" s="11"/>
      <c r="ADW50" s="11"/>
      <c r="ADX50" s="11"/>
      <c r="ADY50" s="11"/>
      <c r="ADZ50" s="11"/>
      <c r="AEA50" s="11"/>
      <c r="AEB50" s="11"/>
      <c r="AEC50" s="11"/>
      <c r="AED50" s="11"/>
      <c r="AEE50" s="11"/>
      <c r="AEF50" s="11"/>
      <c r="AEG50" s="11"/>
      <c r="AEH50" s="11"/>
      <c r="AEI50" s="11"/>
      <c r="AEJ50" s="11"/>
      <c r="AEK50" s="11"/>
      <c r="AEL50" s="11"/>
      <c r="AEM50" s="11"/>
      <c r="AEN50" s="11"/>
      <c r="AEO50" s="11"/>
      <c r="AEP50" s="11"/>
      <c r="AEQ50" s="11"/>
      <c r="AER50" s="11"/>
      <c r="AES50" s="11"/>
      <c r="AET50" s="11"/>
      <c r="AEU50" s="11"/>
      <c r="AEV50" s="11"/>
      <c r="AEW50" s="11"/>
      <c r="AEX50" s="11"/>
      <c r="AEY50" s="11"/>
      <c r="AEZ50" s="11"/>
      <c r="AFA50" s="11"/>
      <c r="AFB50" s="11"/>
      <c r="AFC50" s="11"/>
      <c r="AFD50" s="11"/>
      <c r="AFE50" s="11"/>
      <c r="AFF50" s="11"/>
      <c r="AFG50" s="11"/>
      <c r="AFH50" s="11"/>
      <c r="AFI50" s="11"/>
    </row>
    <row r="51" spans="2:841">
      <c r="B51" s="11"/>
      <c r="C51" s="657"/>
      <c r="D51" s="315" t="s">
        <v>925</v>
      </c>
      <c r="E51" s="316">
        <f t="shared" ref="E51:S51" si="3">SUM(E43:E50)</f>
        <v>0</v>
      </c>
      <c r="F51" s="314">
        <f t="shared" si="3"/>
        <v>0</v>
      </c>
      <c r="G51" s="317">
        <f t="shared" si="3"/>
        <v>0</v>
      </c>
      <c r="H51" s="316">
        <f t="shared" si="3"/>
        <v>0</v>
      </c>
      <c r="I51" s="314">
        <f t="shared" si="3"/>
        <v>0</v>
      </c>
      <c r="J51" s="317">
        <f t="shared" si="3"/>
        <v>0</v>
      </c>
      <c r="K51" s="316">
        <f t="shared" si="3"/>
        <v>0</v>
      </c>
      <c r="L51" s="314">
        <f t="shared" si="3"/>
        <v>0</v>
      </c>
      <c r="M51" s="317">
        <f t="shared" si="3"/>
        <v>0</v>
      </c>
      <c r="N51" s="316">
        <f t="shared" si="3"/>
        <v>0</v>
      </c>
      <c r="O51" s="314">
        <f t="shared" si="3"/>
        <v>0</v>
      </c>
      <c r="P51" s="317">
        <f t="shared" si="3"/>
        <v>0</v>
      </c>
      <c r="Q51" s="316">
        <f t="shared" si="3"/>
        <v>0</v>
      </c>
      <c r="R51" s="314">
        <f t="shared" si="3"/>
        <v>0</v>
      </c>
      <c r="S51" s="317">
        <f t="shared" si="3"/>
        <v>0</v>
      </c>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c r="XX51" s="11"/>
      <c r="XY51" s="11"/>
      <c r="XZ51" s="11"/>
      <c r="YA51" s="11"/>
      <c r="YB51" s="11"/>
      <c r="YC51" s="11"/>
      <c r="YD51" s="11"/>
      <c r="YE51" s="11"/>
      <c r="YF51" s="11"/>
      <c r="YG51" s="11"/>
      <c r="YH51" s="11"/>
      <c r="YI51" s="11"/>
      <c r="YJ51" s="11"/>
      <c r="YK51" s="11"/>
      <c r="YL51" s="11"/>
      <c r="YM51" s="11"/>
      <c r="YN51" s="11"/>
      <c r="YO51" s="11"/>
      <c r="YP51" s="11"/>
      <c r="YQ51" s="11"/>
      <c r="YR51" s="11"/>
      <c r="YS51" s="11"/>
      <c r="YT51" s="11"/>
      <c r="YU51" s="11"/>
      <c r="YV51" s="11"/>
      <c r="YW51" s="11"/>
      <c r="YX51" s="11"/>
      <c r="YY51" s="11"/>
      <c r="YZ51" s="11"/>
      <c r="ZA51" s="11"/>
      <c r="ZB51" s="11"/>
      <c r="ZC51" s="11"/>
      <c r="ZD51" s="11"/>
      <c r="ZE51" s="11"/>
      <c r="ZF51" s="11"/>
      <c r="ZG51" s="11"/>
      <c r="ZH51" s="11"/>
      <c r="ZI51" s="11"/>
      <c r="ZJ51" s="11"/>
      <c r="ZK51" s="11"/>
      <c r="ZL51" s="11"/>
      <c r="ZM51" s="11"/>
      <c r="ZN51" s="11"/>
      <c r="ZO51" s="11"/>
      <c r="ZP51" s="11"/>
      <c r="ZQ51" s="11"/>
      <c r="ZR51" s="11"/>
      <c r="ZS51" s="11"/>
      <c r="ZT51" s="11"/>
      <c r="ZU51" s="11"/>
      <c r="ZV51" s="11"/>
      <c r="ZW51" s="11"/>
      <c r="ZX51" s="11"/>
      <c r="ZY51" s="11"/>
      <c r="ZZ51" s="11"/>
      <c r="AAA51" s="11"/>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11"/>
      <c r="ABE51" s="11"/>
      <c r="ABF51" s="11"/>
      <c r="ABG51" s="11"/>
      <c r="ABH51" s="11"/>
      <c r="ABI51" s="11"/>
      <c r="ABJ51" s="11"/>
      <c r="ABK51" s="11"/>
      <c r="ABL51" s="11"/>
      <c r="ABM51" s="11"/>
      <c r="ABN51" s="11"/>
      <c r="ABO51" s="11"/>
      <c r="ABP51" s="11"/>
      <c r="ABQ51" s="11"/>
      <c r="ABR51" s="11"/>
      <c r="ABS51" s="11"/>
      <c r="ABT51" s="11"/>
      <c r="ABU51" s="11"/>
      <c r="ABV51" s="11"/>
      <c r="ABW51" s="11"/>
      <c r="ABX51" s="11"/>
      <c r="ABY51" s="11"/>
      <c r="ABZ51" s="11"/>
      <c r="ACA51" s="11"/>
      <c r="ACB51" s="11"/>
      <c r="ACC51" s="11"/>
      <c r="ACD51" s="11"/>
      <c r="ACE51" s="11"/>
      <c r="ACF51" s="11"/>
      <c r="ACG51" s="11"/>
      <c r="ACH51" s="11"/>
      <c r="ACI51" s="11"/>
      <c r="ACJ51" s="11"/>
      <c r="ACK51" s="11"/>
      <c r="ACL51" s="11"/>
      <c r="ACM51" s="11"/>
      <c r="ACN51" s="11"/>
      <c r="ACO51" s="11"/>
      <c r="ACP51" s="11"/>
      <c r="ACQ51" s="11"/>
      <c r="ACR51" s="11"/>
      <c r="ACS51" s="11"/>
      <c r="ACT51" s="11"/>
      <c r="ACU51" s="11"/>
      <c r="ACV51" s="11"/>
      <c r="ACW51" s="11"/>
      <c r="ACX51" s="11"/>
      <c r="ACY51" s="11"/>
      <c r="ACZ51" s="11"/>
      <c r="ADA51" s="11"/>
      <c r="ADB51" s="11"/>
      <c r="ADC51" s="11"/>
      <c r="ADD51" s="11"/>
      <c r="ADE51" s="11"/>
      <c r="ADF51" s="11"/>
      <c r="ADG51" s="11"/>
      <c r="ADH51" s="11"/>
      <c r="ADI51" s="11"/>
      <c r="ADJ51" s="11"/>
      <c r="ADK51" s="11"/>
      <c r="ADL51" s="11"/>
      <c r="ADM51" s="11"/>
      <c r="ADN51" s="11"/>
      <c r="ADO51" s="11"/>
      <c r="ADP51" s="11"/>
      <c r="ADQ51" s="11"/>
      <c r="ADR51" s="11"/>
      <c r="ADS51" s="11"/>
      <c r="ADT51" s="11"/>
      <c r="ADU51" s="11"/>
      <c r="ADV51" s="11"/>
      <c r="ADW51" s="11"/>
      <c r="ADX51" s="11"/>
      <c r="ADY51" s="11"/>
      <c r="ADZ51" s="11"/>
      <c r="AEA51" s="11"/>
      <c r="AEB51" s="11"/>
      <c r="AEC51" s="11"/>
      <c r="AED51" s="11"/>
      <c r="AEE51" s="11"/>
      <c r="AEF51" s="11"/>
      <c r="AEG51" s="11"/>
      <c r="AEH51" s="11"/>
      <c r="AEI51" s="11"/>
      <c r="AEJ51" s="11"/>
      <c r="AEK51" s="11"/>
      <c r="AEL51" s="11"/>
      <c r="AEM51" s="11"/>
      <c r="AEN51" s="11"/>
      <c r="AEO51" s="11"/>
      <c r="AEP51" s="11"/>
      <c r="AEQ51" s="11"/>
      <c r="AER51" s="11"/>
      <c r="AES51" s="11"/>
      <c r="AET51" s="11"/>
      <c r="AEU51" s="11"/>
      <c r="AEV51" s="11"/>
      <c r="AEW51" s="11"/>
      <c r="AEX51" s="11"/>
      <c r="AEY51" s="11"/>
      <c r="AEZ51" s="11"/>
      <c r="AFA51" s="11"/>
      <c r="AFB51" s="11"/>
      <c r="AFC51" s="11"/>
      <c r="AFD51" s="11"/>
      <c r="AFE51" s="11"/>
      <c r="AFF51" s="11"/>
      <c r="AFG51" s="11"/>
      <c r="AFH51" s="11"/>
      <c r="AFI51" s="11"/>
    </row>
    <row r="52" spans="2:841">
      <c r="B52" s="11"/>
      <c r="C52" s="657" t="str">
        <f>M_Datos!L68</f>
        <v>Restauración</v>
      </c>
      <c r="D52" s="289" t="s">
        <v>622</v>
      </c>
      <c r="E52" s="503" t="s">
        <v>623</v>
      </c>
      <c r="F52" s="503" t="s">
        <v>919</v>
      </c>
      <c r="G52" s="503" t="s">
        <v>624</v>
      </c>
      <c r="H52" s="503" t="s">
        <v>623</v>
      </c>
      <c r="I52" s="503" t="s">
        <v>919</v>
      </c>
      <c r="J52" s="503" t="s">
        <v>624</v>
      </c>
      <c r="K52" s="503" t="s">
        <v>623</v>
      </c>
      <c r="L52" s="503" t="s">
        <v>919</v>
      </c>
      <c r="M52" s="503" t="s">
        <v>624</v>
      </c>
      <c r="N52" s="503" t="s">
        <v>623</v>
      </c>
      <c r="O52" s="503" t="s">
        <v>919</v>
      </c>
      <c r="P52" s="503" t="s">
        <v>624</v>
      </c>
      <c r="Q52" s="503" t="s">
        <v>623</v>
      </c>
      <c r="R52" s="503" t="s">
        <v>919</v>
      </c>
      <c r="S52" s="503" t="s">
        <v>624</v>
      </c>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c r="KJ52" s="11"/>
      <c r="KK52" s="11"/>
      <c r="KL52" s="11"/>
      <c r="KM52" s="11"/>
      <c r="KN52" s="11"/>
      <c r="KO52" s="11"/>
      <c r="KP52" s="11"/>
      <c r="KQ52" s="11"/>
      <c r="KR52" s="11"/>
      <c r="KS52" s="11"/>
      <c r="KT52" s="11"/>
      <c r="KU52" s="11"/>
      <c r="KV52" s="11"/>
      <c r="KW52" s="11"/>
      <c r="KX52" s="11"/>
      <c r="KY52" s="11"/>
      <c r="KZ52" s="11"/>
      <c r="LA52" s="11"/>
      <c r="LB52" s="11"/>
      <c r="LC52" s="11"/>
      <c r="LD52" s="11"/>
      <c r="LE52" s="11"/>
      <c r="LF52" s="11"/>
      <c r="LG52" s="11"/>
      <c r="LH52" s="11"/>
      <c r="LI52" s="11"/>
      <c r="LJ52" s="11"/>
      <c r="LK52" s="11"/>
      <c r="LL52" s="11"/>
      <c r="LM52" s="11"/>
      <c r="LN52" s="11"/>
      <c r="LO52" s="11"/>
      <c r="LP52" s="11"/>
      <c r="LQ52" s="11"/>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c r="QL52" s="11"/>
      <c r="QM52" s="11"/>
      <c r="QN52" s="11"/>
      <c r="QO52" s="11"/>
      <c r="QP52" s="11"/>
      <c r="QQ52" s="11"/>
      <c r="QR52" s="11"/>
      <c r="QS52" s="11"/>
      <c r="QT52" s="11"/>
      <c r="QU52" s="11"/>
      <c r="QV52" s="11"/>
      <c r="QW52" s="11"/>
      <c r="QX52" s="11"/>
      <c r="QY52" s="11"/>
      <c r="QZ52" s="11"/>
      <c r="RA52" s="11"/>
      <c r="RB52" s="11"/>
      <c r="RC52" s="11"/>
      <c r="RD52" s="11"/>
      <c r="RE52" s="11"/>
      <c r="RF52" s="11"/>
      <c r="RG52" s="11"/>
      <c r="RH52" s="11"/>
      <c r="RI52" s="11"/>
      <c r="RJ52" s="11"/>
      <c r="RK52" s="11"/>
      <c r="RL52" s="11"/>
      <c r="RM52" s="11"/>
      <c r="RN52" s="11"/>
      <c r="RO52" s="11"/>
      <c r="RP52" s="11"/>
      <c r="RQ52" s="11"/>
      <c r="RR52" s="11"/>
      <c r="RS52" s="11"/>
      <c r="RT52" s="11"/>
      <c r="RU52" s="11"/>
      <c r="RV52" s="11"/>
      <c r="RW52" s="11"/>
      <c r="RX52" s="11"/>
      <c r="RY52" s="11"/>
      <c r="RZ52" s="11"/>
      <c r="SA52" s="11"/>
      <c r="SB52" s="11"/>
      <c r="SC52" s="11"/>
      <c r="SD52" s="11"/>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c r="TR52" s="11"/>
      <c r="TS52" s="11"/>
      <c r="TT52" s="11"/>
      <c r="TU52" s="11"/>
      <c r="TV52" s="11"/>
      <c r="TW52" s="11"/>
      <c r="TX52" s="11"/>
      <c r="TY52" s="11"/>
      <c r="TZ52" s="11"/>
      <c r="UA52" s="11"/>
      <c r="UB52" s="11"/>
      <c r="UC52" s="11"/>
      <c r="UD52" s="11"/>
      <c r="UE52" s="11"/>
      <c r="UF52" s="11"/>
      <c r="UG52" s="11"/>
      <c r="UH52" s="11"/>
      <c r="UI52" s="11"/>
      <c r="UJ52" s="11"/>
      <c r="UK52" s="11"/>
      <c r="UL52" s="11"/>
      <c r="UM52" s="11"/>
      <c r="UN52" s="11"/>
      <c r="UO52" s="11"/>
      <c r="UP52" s="11"/>
      <c r="UQ52" s="11"/>
      <c r="UR52" s="11"/>
      <c r="US52" s="11"/>
      <c r="UT52" s="11"/>
      <c r="UU52" s="11"/>
      <c r="UV52" s="11"/>
      <c r="UW52" s="11"/>
      <c r="UX52" s="11"/>
      <c r="UY52" s="11"/>
      <c r="UZ52" s="11"/>
      <c r="VA52" s="11"/>
      <c r="VB52" s="11"/>
      <c r="VC52" s="11"/>
      <c r="VD52" s="11"/>
      <c r="VE52" s="11"/>
      <c r="VF52" s="11"/>
      <c r="VG52" s="11"/>
      <c r="VH52" s="11"/>
      <c r="VI52" s="11"/>
      <c r="VJ52" s="11"/>
      <c r="VK52" s="11"/>
      <c r="VL52" s="11"/>
      <c r="VM52" s="11"/>
      <c r="VN52" s="11"/>
      <c r="VO52" s="11"/>
      <c r="VP52" s="11"/>
      <c r="VQ52" s="11"/>
      <c r="VR52" s="11"/>
      <c r="VS52" s="11"/>
      <c r="VT52" s="11"/>
      <c r="VU52" s="11"/>
      <c r="VV52" s="11"/>
      <c r="VW52" s="11"/>
      <c r="VX52" s="11"/>
      <c r="VY52" s="11"/>
      <c r="VZ52" s="11"/>
      <c r="WA52" s="11"/>
      <c r="WB52" s="11"/>
      <c r="WC52" s="11"/>
      <c r="WD52" s="11"/>
      <c r="WE52" s="11"/>
      <c r="WF52" s="11"/>
      <c r="WG52" s="11"/>
      <c r="WH52" s="11"/>
      <c r="WI52" s="11"/>
      <c r="WJ52" s="11"/>
      <c r="WK52" s="11"/>
      <c r="WL52" s="11"/>
      <c r="WM52" s="11"/>
      <c r="WN52" s="11"/>
      <c r="WO52" s="11"/>
      <c r="WP52" s="11"/>
      <c r="WQ52" s="11"/>
      <c r="WR52" s="11"/>
      <c r="WS52" s="11"/>
      <c r="WT52" s="11"/>
      <c r="WU52" s="11"/>
      <c r="WV52" s="11"/>
      <c r="WW52" s="11"/>
      <c r="WX52" s="11"/>
      <c r="WY52" s="11"/>
      <c r="WZ52" s="11"/>
      <c r="XA52" s="11"/>
      <c r="XB52" s="11"/>
      <c r="XC52" s="11"/>
      <c r="XD52" s="11"/>
      <c r="XE52" s="11"/>
      <c r="XF52" s="11"/>
      <c r="XG52" s="11"/>
      <c r="XH52" s="11"/>
      <c r="XI52" s="11"/>
      <c r="XJ52" s="11"/>
      <c r="XK52" s="11"/>
      <c r="XL52" s="11"/>
      <c r="XM52" s="11"/>
      <c r="XN52" s="11"/>
      <c r="XO52" s="11"/>
      <c r="XP52" s="11"/>
      <c r="XQ52" s="11"/>
      <c r="XR52" s="11"/>
      <c r="XS52" s="11"/>
      <c r="XT52" s="11"/>
      <c r="XU52" s="11"/>
      <c r="XV52" s="11"/>
      <c r="XW52" s="11"/>
      <c r="XX52" s="11"/>
      <c r="XY52" s="11"/>
      <c r="XZ52" s="11"/>
      <c r="YA52" s="11"/>
      <c r="YB52" s="11"/>
      <c r="YC52" s="11"/>
      <c r="YD52" s="11"/>
      <c r="YE52" s="11"/>
      <c r="YF52" s="11"/>
      <c r="YG52" s="11"/>
      <c r="YH52" s="11"/>
      <c r="YI52" s="11"/>
      <c r="YJ52" s="11"/>
      <c r="YK52" s="11"/>
      <c r="YL52" s="11"/>
      <c r="YM52" s="11"/>
      <c r="YN52" s="11"/>
      <c r="YO52" s="11"/>
      <c r="YP52" s="11"/>
      <c r="YQ52" s="11"/>
      <c r="YR52" s="11"/>
      <c r="YS52" s="11"/>
      <c r="YT52" s="11"/>
      <c r="YU52" s="11"/>
      <c r="YV52" s="11"/>
      <c r="YW52" s="11"/>
      <c r="YX52" s="11"/>
      <c r="YY52" s="11"/>
      <c r="YZ52" s="11"/>
      <c r="ZA52" s="11"/>
      <c r="ZB52" s="11"/>
      <c r="ZC52" s="11"/>
      <c r="ZD52" s="11"/>
      <c r="ZE52" s="11"/>
      <c r="ZF52" s="11"/>
      <c r="ZG52" s="11"/>
      <c r="ZH52" s="11"/>
      <c r="ZI52" s="11"/>
      <c r="ZJ52" s="11"/>
      <c r="ZK52" s="11"/>
      <c r="ZL52" s="11"/>
      <c r="ZM52" s="11"/>
      <c r="ZN52" s="11"/>
      <c r="ZO52" s="11"/>
      <c r="ZP52" s="11"/>
      <c r="ZQ52" s="11"/>
      <c r="ZR52" s="11"/>
      <c r="ZS52" s="11"/>
      <c r="ZT52" s="11"/>
      <c r="ZU52" s="11"/>
      <c r="ZV52" s="11"/>
      <c r="ZW52" s="11"/>
      <c r="ZX52" s="11"/>
      <c r="ZY52" s="11"/>
      <c r="ZZ52" s="11"/>
      <c r="AAA52" s="11"/>
      <c r="AAB52" s="11"/>
      <c r="AAC52" s="11"/>
      <c r="AAD52" s="11"/>
      <c r="AAE52" s="11"/>
      <c r="AAF52" s="11"/>
      <c r="AAG52" s="11"/>
      <c r="AAH52" s="11"/>
      <c r="AAI52" s="11"/>
      <c r="AAJ52" s="11"/>
      <c r="AAK52" s="11"/>
      <c r="AAL52" s="11"/>
      <c r="AAM52" s="11"/>
      <c r="AAN52" s="11"/>
      <c r="AAO52" s="11"/>
      <c r="AAP52" s="11"/>
      <c r="AAQ52" s="11"/>
      <c r="AAR52" s="11"/>
      <c r="AAS52" s="11"/>
      <c r="AAT52" s="11"/>
      <c r="AAU52" s="11"/>
      <c r="AAV52" s="11"/>
      <c r="AAW52" s="11"/>
      <c r="AAX52" s="11"/>
      <c r="AAY52" s="11"/>
      <c r="AAZ52" s="11"/>
      <c r="ABA52" s="11"/>
      <c r="ABB52" s="11"/>
      <c r="ABC52" s="11"/>
      <c r="ABD52" s="11"/>
      <c r="ABE52" s="11"/>
      <c r="ABF52" s="11"/>
      <c r="ABG52" s="11"/>
      <c r="ABH52" s="11"/>
      <c r="ABI52" s="11"/>
      <c r="ABJ52" s="11"/>
      <c r="ABK52" s="11"/>
      <c r="ABL52" s="11"/>
      <c r="ABM52" s="11"/>
      <c r="ABN52" s="11"/>
      <c r="ABO52" s="11"/>
      <c r="ABP52" s="11"/>
      <c r="ABQ52" s="11"/>
      <c r="ABR52" s="11"/>
      <c r="ABS52" s="11"/>
      <c r="ABT52" s="11"/>
      <c r="ABU52" s="11"/>
      <c r="ABV52" s="11"/>
      <c r="ABW52" s="11"/>
      <c r="ABX52" s="11"/>
      <c r="ABY52" s="11"/>
      <c r="ABZ52" s="11"/>
      <c r="ACA52" s="11"/>
      <c r="ACB52" s="11"/>
      <c r="ACC52" s="11"/>
      <c r="ACD52" s="11"/>
      <c r="ACE52" s="11"/>
      <c r="ACF52" s="11"/>
      <c r="ACG52" s="11"/>
      <c r="ACH52" s="11"/>
      <c r="ACI52" s="11"/>
      <c r="ACJ52" s="11"/>
      <c r="ACK52" s="11"/>
      <c r="ACL52" s="11"/>
      <c r="ACM52" s="11"/>
      <c r="ACN52" s="11"/>
      <c r="ACO52" s="11"/>
      <c r="ACP52" s="11"/>
      <c r="ACQ52" s="11"/>
      <c r="ACR52" s="11"/>
      <c r="ACS52" s="11"/>
      <c r="ACT52" s="11"/>
      <c r="ACU52" s="11"/>
      <c r="ACV52" s="11"/>
      <c r="ACW52" s="11"/>
      <c r="ACX52" s="11"/>
      <c r="ACY52" s="11"/>
      <c r="ACZ52" s="11"/>
      <c r="ADA52" s="11"/>
      <c r="ADB52" s="11"/>
      <c r="ADC52" s="11"/>
      <c r="ADD52" s="11"/>
      <c r="ADE52" s="11"/>
      <c r="ADF52" s="11"/>
      <c r="ADG52" s="11"/>
      <c r="ADH52" s="11"/>
      <c r="ADI52" s="11"/>
      <c r="ADJ52" s="11"/>
      <c r="ADK52" s="11"/>
      <c r="ADL52" s="11"/>
      <c r="ADM52" s="11"/>
      <c r="ADN52" s="11"/>
      <c r="ADO52" s="11"/>
      <c r="ADP52" s="11"/>
      <c r="ADQ52" s="11"/>
      <c r="ADR52" s="11"/>
      <c r="ADS52" s="11"/>
      <c r="ADT52" s="11"/>
      <c r="ADU52" s="11"/>
      <c r="ADV52" s="11"/>
      <c r="ADW52" s="11"/>
      <c r="ADX52" s="11"/>
      <c r="ADY52" s="11"/>
      <c r="ADZ52" s="11"/>
      <c r="AEA52" s="11"/>
      <c r="AEB52" s="11"/>
      <c r="AEC52" s="11"/>
      <c r="AED52" s="11"/>
      <c r="AEE52" s="11"/>
      <c r="AEF52" s="11"/>
      <c r="AEG52" s="11"/>
      <c r="AEH52" s="11"/>
      <c r="AEI52" s="11"/>
      <c r="AEJ52" s="11"/>
      <c r="AEK52" s="11"/>
      <c r="AEL52" s="11"/>
      <c r="AEM52" s="11"/>
      <c r="AEN52" s="11"/>
      <c r="AEO52" s="11"/>
      <c r="AEP52" s="11"/>
      <c r="AEQ52" s="11"/>
      <c r="AER52" s="11"/>
      <c r="AES52" s="11"/>
      <c r="AET52" s="11"/>
      <c r="AEU52" s="11"/>
      <c r="AEV52" s="11"/>
      <c r="AEW52" s="11"/>
      <c r="AEX52" s="11"/>
      <c r="AEY52" s="11"/>
      <c r="AEZ52" s="11"/>
      <c r="AFA52" s="11"/>
      <c r="AFB52" s="11"/>
      <c r="AFC52" s="11"/>
      <c r="AFD52" s="11"/>
      <c r="AFE52" s="11"/>
      <c r="AFF52" s="11"/>
      <c r="AFG52" s="11"/>
      <c r="AFH52" s="11"/>
      <c r="AFI52" s="11"/>
    </row>
    <row r="53" spans="2:841">
      <c r="B53" s="11"/>
      <c r="C53" s="657"/>
      <c r="D53" s="289" t="s">
        <v>1005</v>
      </c>
      <c r="E53" s="311">
        <f>SUMIFS(M_Datos!$N$68:$N$70,M_Datos!$O$68:$O$70,M_Lista!G18,M_Datos!$M$68:$M$70,M_Lista!$J$3)</f>
        <v>0</v>
      </c>
      <c r="F53" s="312">
        <f>IF(AND(M_FactoresComplement!$G$6="No",M_FactoresComplement!$G$8="No"),M_Cálculos_ND!E53*M_Factores!$D$213,IF(AND(M_FactoresComplement!$G$6="Sí",M_FactoresComplement!$G$8="No"),E53*M_FactoresComplement!G36,E53*VLOOKUP(M_FactoresComplement!$C$38&amp;M_Datos!$E$12&amp;M_Lista!G17,M_FactoresComplement!$F$15:$I$434,2,FALSE)))</f>
        <v>0</v>
      </c>
      <c r="G53" s="313">
        <f>IF(AND(M_FactoresComplement!$G$6="No",M_FactoresComplement!$G$8="No"),M_Cálculos_ND!E53*M_Factores!$D$213,IF(AND(M_FactoresComplement!$G$6="Sí",M_FactoresComplement!$G$8="No"),E53*M_FactoresComplement!H36,E53*VLOOKUP(M_FactoresComplement!$C$38&amp;M_Datos!$E$12&amp;M_Lista!G17,M_FactoresComplement!$F$15:$I$434,3,FALSE)))</f>
        <v>0</v>
      </c>
      <c r="H53" s="311">
        <f>SUMIFS(M_Datos!$P$68:$P$70,M_Datos!$Q$68:$Q$70,M_Lista!G18,M_Datos!$M$68:$M$70,M_Lista!$J$3)</f>
        <v>0</v>
      </c>
      <c r="I53" s="312">
        <f>IF(AND(M_FactoresComplement!$G$6="No",M_FactoresComplement!$G$8="No"),M_Cálculos_ND!H53*M_Factores!$D$213,IF(AND(M_FactoresComplement!$G$6="Sí",M_FactoresComplement!$G$8="No"),H53*M_FactoresComplement!G36,H53*VLOOKUP(M_FactoresComplement!$C$38&amp;M_Datos!$E$12&amp;M_Lista!G17,M_FactoresComplement!$F$15:$I$434,2,FALSE)))</f>
        <v>0</v>
      </c>
      <c r="J53" s="313">
        <f>IF(AND(M_FactoresComplement!$G$6="No",M_FactoresComplement!$G$8="No"),M_Cálculos_ND!H53*M_Factores!$D$213,IF(AND(M_FactoresComplement!$G$6="Sí",M_FactoresComplement!$G$8="No"),H53*M_FactoresComplement!H36,H53*VLOOKUP(M_FactoresComplement!$C$38&amp;M_Datos!$E$12&amp;M_Lista!G17,M_FactoresComplement!$F$15:$I$434,3,FALSE)))</f>
        <v>0</v>
      </c>
      <c r="K53" s="311">
        <f>SUMIFS(M_Datos!$R$68:$R$70,M_Datos!$S$68:$S$70,M_Lista!G18,M_Datos!$M$68:$M$70,M_Lista!$J$3)</f>
        <v>0</v>
      </c>
      <c r="L53" s="312">
        <f>IF(AND(M_FactoresComplement!$G$6="No",M_FactoresComplement!$G$8="No"),M_Cálculos_ND!K53*M_Factores!$D$213,IF(AND(M_FactoresComplement!$G$6="Sí",M_FactoresComplement!$G$8="No"),K53*M_FactoresComplement!G36,K53*VLOOKUP(M_FactoresComplement!$C$38&amp;M_Datos!$E$12&amp;M_Lista!G17,M_FactoresComplement!$F$15:$I$434,2,FALSE)))</f>
        <v>0</v>
      </c>
      <c r="M53" s="313">
        <f>IF(AND(M_FactoresComplement!$G$6="No",M_FactoresComplement!$G$8="No"),M_Cálculos_ND!K53*M_Factores!$D$213,IF(AND(M_FactoresComplement!$G$6="Sí",M_FactoresComplement!$G$8="No"),K53*M_FactoresComplement!H36,K53*VLOOKUP(M_FactoresComplement!$C$38&amp;M_Datos!$E$12&amp;M_Lista!G17,M_FactoresComplement!$F$15:$I$434,3,FALSE)))</f>
        <v>0</v>
      </c>
      <c r="N53" s="311">
        <f>SUMIFS(M_Datos!$T$68:$T$70,M_Datos!$U$68:$U$70,M_Lista!G18,M_Datos!$M$68:$M$70,M_Lista!$J$3)</f>
        <v>0</v>
      </c>
      <c r="O53" s="312">
        <f>IF(AND(M_FactoresComplement!$G$6="No",M_FactoresComplement!$G$8="No"),M_Cálculos_ND!N53*M_Factores!$D$213,IF(AND(M_FactoresComplement!$G$6="Sí",M_FactoresComplement!$G$8="No"),N53*M_FactoresComplement!G36,N53*VLOOKUP(M_FactoresComplement!$C$38&amp;M_Datos!$E$12&amp;M_Lista!G17,M_FactoresComplement!$F$15:$I$434,2,FALSE)))</f>
        <v>0</v>
      </c>
      <c r="P53" s="313">
        <f>IF(AND(M_FactoresComplement!$G$6="No",M_FactoresComplement!$G$8="No"),M_Cálculos_ND!N53*M_Factores!$D$213,IF(AND(M_FactoresComplement!$G$6="Sí",M_FactoresComplement!$G$8="No"),N53*M_FactoresComplement!H36,N53*VLOOKUP(M_FactoresComplement!$C$38&amp;M_Datos!$E$12&amp;M_Lista!G17,M_FactoresComplement!$F$15:$I$434,3,FALSE)))</f>
        <v>0</v>
      </c>
      <c r="Q53" s="311">
        <f>SUMIFS(M_Datos!$V$68:$V$70,M_Datos!$W$68:$W$70,M_Lista!G18,M_Datos!$M$68:$M$70,M_Lista!$J$3)</f>
        <v>0</v>
      </c>
      <c r="R53" s="312">
        <f>IF(AND(M_FactoresComplement!$G$6="No",M_FactoresComplement!$G$8="No"),M_Cálculos_ND!Q53*M_Factores!$D$213,IF(AND(M_FactoresComplement!$G$6="Sí",M_FactoresComplement!$G$8="No"),Q53*M_FactoresComplement!G36,Q53*VLOOKUP(M_FactoresComplement!$C$38&amp;M_Datos!$E$12&amp;M_Lista!G17,M_FactoresComplement!$F$15:$I$434,2,FALSE)))</f>
        <v>0</v>
      </c>
      <c r="S53" s="313">
        <f>IF(AND(M_FactoresComplement!$G$6="No",M_FactoresComplement!$G$8="No"),M_Cálculos_ND!Q53*M_Factores!$D$213,IF(AND(M_FactoresComplement!$G$6="Sí",M_FactoresComplement!$G$8="No"),Q53*M_FactoresComplement!H36,Q53*VLOOKUP(M_FactoresComplement!$C$38&amp;M_Datos!$E$12&amp;M_Lista!G17,M_FactoresComplement!$F$15:$I$434,3,FALSE)))</f>
        <v>0</v>
      </c>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c r="KK53" s="11"/>
      <c r="KL53" s="11"/>
      <c r="KM53" s="11"/>
      <c r="KN53" s="11"/>
      <c r="KO53" s="11"/>
      <c r="KP53" s="11"/>
      <c r="KQ53" s="11"/>
      <c r="KR53" s="11"/>
      <c r="KS53" s="11"/>
      <c r="KT53" s="11"/>
      <c r="KU53" s="11"/>
      <c r="KV53" s="11"/>
      <c r="KW53" s="11"/>
      <c r="KX53" s="11"/>
      <c r="KY53" s="11"/>
      <c r="KZ53" s="11"/>
      <c r="LA53" s="11"/>
      <c r="LB53" s="11"/>
      <c r="LC53" s="11"/>
      <c r="LD53" s="11"/>
      <c r="LE53" s="11"/>
      <c r="LF53" s="11"/>
      <c r="LG53" s="11"/>
      <c r="LH53" s="11"/>
      <c r="LI53" s="11"/>
      <c r="LJ53" s="11"/>
      <c r="LK53" s="11"/>
      <c r="LL53" s="11"/>
      <c r="LM53" s="11"/>
      <c r="LN53" s="11"/>
      <c r="LO53" s="11"/>
      <c r="LP53" s="11"/>
      <c r="LQ53" s="11"/>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c r="TR53" s="11"/>
      <c r="TS53" s="11"/>
      <c r="TT53" s="11"/>
      <c r="TU53" s="11"/>
      <c r="TV53" s="11"/>
      <c r="TW53" s="11"/>
      <c r="TX53" s="11"/>
      <c r="TY53" s="11"/>
      <c r="TZ53" s="11"/>
      <c r="UA53" s="11"/>
      <c r="UB53" s="11"/>
      <c r="UC53" s="11"/>
      <c r="UD53" s="11"/>
      <c r="UE53" s="11"/>
      <c r="UF53" s="11"/>
      <c r="UG53" s="11"/>
      <c r="UH53" s="11"/>
      <c r="UI53" s="11"/>
      <c r="UJ53" s="11"/>
      <c r="UK53" s="11"/>
      <c r="UL53" s="11"/>
      <c r="UM53" s="11"/>
      <c r="UN53" s="11"/>
      <c r="UO53" s="11"/>
      <c r="UP53" s="11"/>
      <c r="UQ53" s="11"/>
      <c r="UR53" s="11"/>
      <c r="US53" s="11"/>
      <c r="UT53" s="11"/>
      <c r="UU53" s="11"/>
      <c r="UV53" s="11"/>
      <c r="UW53" s="11"/>
      <c r="UX53" s="11"/>
      <c r="UY53" s="11"/>
      <c r="UZ53" s="11"/>
      <c r="VA53" s="11"/>
      <c r="VB53" s="11"/>
      <c r="VC53" s="11"/>
      <c r="VD53" s="11"/>
      <c r="VE53" s="11"/>
      <c r="VF53" s="11"/>
      <c r="VG53" s="11"/>
      <c r="VH53" s="11"/>
      <c r="VI53" s="11"/>
      <c r="VJ53" s="11"/>
      <c r="VK53" s="11"/>
      <c r="VL53" s="11"/>
      <c r="VM53" s="11"/>
      <c r="VN53" s="11"/>
      <c r="VO53" s="11"/>
      <c r="VP53" s="11"/>
      <c r="VQ53" s="11"/>
      <c r="VR53" s="11"/>
      <c r="VS53" s="11"/>
      <c r="VT53" s="11"/>
      <c r="VU53" s="11"/>
      <c r="VV53" s="11"/>
      <c r="VW53" s="11"/>
      <c r="VX53" s="11"/>
      <c r="VY53" s="11"/>
      <c r="VZ53" s="11"/>
      <c r="WA53" s="11"/>
      <c r="WB53" s="11"/>
      <c r="WC53" s="11"/>
      <c r="WD53" s="11"/>
      <c r="WE53" s="11"/>
      <c r="WF53" s="11"/>
      <c r="WG53" s="11"/>
      <c r="WH53" s="11"/>
      <c r="WI53" s="11"/>
      <c r="WJ53" s="11"/>
      <c r="WK53" s="11"/>
      <c r="WL53" s="11"/>
      <c r="WM53" s="11"/>
      <c r="WN53" s="11"/>
      <c r="WO53" s="11"/>
      <c r="WP53" s="11"/>
      <c r="WQ53" s="11"/>
      <c r="WR53" s="11"/>
      <c r="WS53" s="11"/>
      <c r="WT53" s="11"/>
      <c r="WU53" s="11"/>
      <c r="WV53" s="11"/>
      <c r="WW53" s="11"/>
      <c r="WX53" s="11"/>
      <c r="WY53" s="11"/>
      <c r="WZ53" s="11"/>
      <c r="XA53" s="11"/>
      <c r="XB53" s="11"/>
      <c r="XC53" s="11"/>
      <c r="XD53" s="11"/>
      <c r="XE53" s="11"/>
      <c r="XF53" s="11"/>
      <c r="XG53" s="11"/>
      <c r="XH53" s="11"/>
      <c r="XI53" s="11"/>
      <c r="XJ53" s="11"/>
      <c r="XK53" s="11"/>
      <c r="XL53" s="11"/>
      <c r="XM53" s="11"/>
      <c r="XN53" s="11"/>
      <c r="XO53" s="11"/>
      <c r="XP53" s="11"/>
      <c r="XQ53" s="11"/>
      <c r="XR53" s="11"/>
      <c r="XS53" s="11"/>
      <c r="XT53" s="11"/>
      <c r="XU53" s="11"/>
      <c r="XV53" s="11"/>
      <c r="XW53" s="11"/>
      <c r="XX53" s="11"/>
      <c r="XY53" s="11"/>
      <c r="XZ53" s="11"/>
      <c r="YA53" s="11"/>
      <c r="YB53" s="11"/>
      <c r="YC53" s="11"/>
      <c r="YD53" s="11"/>
      <c r="YE53" s="11"/>
      <c r="YF53" s="11"/>
      <c r="YG53" s="11"/>
      <c r="YH53" s="11"/>
      <c r="YI53" s="11"/>
      <c r="YJ53" s="11"/>
      <c r="YK53" s="11"/>
      <c r="YL53" s="11"/>
      <c r="YM53" s="11"/>
      <c r="YN53" s="11"/>
      <c r="YO53" s="11"/>
      <c r="YP53" s="11"/>
      <c r="YQ53" s="11"/>
      <c r="YR53" s="11"/>
      <c r="YS53" s="11"/>
      <c r="YT53" s="11"/>
      <c r="YU53" s="11"/>
      <c r="YV53" s="11"/>
      <c r="YW53" s="11"/>
      <c r="YX53" s="11"/>
      <c r="YY53" s="11"/>
      <c r="YZ53" s="11"/>
      <c r="ZA53" s="11"/>
      <c r="ZB53" s="11"/>
      <c r="ZC53" s="11"/>
      <c r="ZD53" s="11"/>
      <c r="ZE53" s="11"/>
      <c r="ZF53" s="11"/>
      <c r="ZG53" s="11"/>
      <c r="ZH53" s="11"/>
      <c r="ZI53" s="11"/>
      <c r="ZJ53" s="11"/>
      <c r="ZK53" s="11"/>
      <c r="ZL53" s="11"/>
      <c r="ZM53" s="11"/>
      <c r="ZN53" s="11"/>
      <c r="ZO53" s="11"/>
      <c r="ZP53" s="11"/>
      <c r="ZQ53" s="11"/>
      <c r="ZR53" s="11"/>
      <c r="ZS53" s="11"/>
      <c r="ZT53" s="11"/>
      <c r="ZU53" s="11"/>
      <c r="ZV53" s="11"/>
      <c r="ZW53" s="11"/>
      <c r="ZX53" s="11"/>
      <c r="ZY53" s="11"/>
      <c r="ZZ53" s="11"/>
      <c r="AAA53" s="11"/>
      <c r="AAB53" s="11"/>
      <c r="AAC53" s="11"/>
      <c r="AAD53" s="11"/>
      <c r="AAE53" s="11"/>
      <c r="AAF53" s="11"/>
      <c r="AAG53" s="11"/>
      <c r="AAH53" s="11"/>
      <c r="AAI53" s="11"/>
      <c r="AAJ53" s="11"/>
      <c r="AAK53" s="11"/>
      <c r="AAL53" s="11"/>
      <c r="AAM53" s="11"/>
      <c r="AAN53" s="11"/>
      <c r="AAO53" s="11"/>
      <c r="AAP53" s="11"/>
      <c r="AAQ53" s="11"/>
      <c r="AAR53" s="11"/>
      <c r="AAS53" s="11"/>
      <c r="AAT53" s="11"/>
      <c r="AAU53" s="11"/>
      <c r="AAV53" s="11"/>
      <c r="AAW53" s="11"/>
      <c r="AAX53" s="11"/>
      <c r="AAY53" s="11"/>
      <c r="AAZ53" s="11"/>
      <c r="ABA53" s="11"/>
      <c r="ABB53" s="11"/>
      <c r="ABC53" s="11"/>
      <c r="ABD53" s="11"/>
      <c r="ABE53" s="11"/>
      <c r="ABF53" s="11"/>
      <c r="ABG53" s="11"/>
      <c r="ABH53" s="11"/>
      <c r="ABI53" s="11"/>
      <c r="ABJ53" s="11"/>
      <c r="ABK53" s="11"/>
      <c r="ABL53" s="11"/>
      <c r="ABM53" s="11"/>
      <c r="ABN53" s="11"/>
      <c r="ABO53" s="11"/>
      <c r="ABP53" s="11"/>
      <c r="ABQ53" s="11"/>
      <c r="ABR53" s="11"/>
      <c r="ABS53" s="11"/>
      <c r="ABT53" s="11"/>
      <c r="ABU53" s="11"/>
      <c r="ABV53" s="11"/>
      <c r="ABW53" s="11"/>
      <c r="ABX53" s="11"/>
      <c r="ABY53" s="11"/>
      <c r="ABZ53" s="11"/>
      <c r="ACA53" s="11"/>
      <c r="ACB53" s="11"/>
      <c r="ACC53" s="11"/>
      <c r="ACD53" s="11"/>
      <c r="ACE53" s="11"/>
      <c r="ACF53" s="11"/>
      <c r="ACG53" s="11"/>
      <c r="ACH53" s="11"/>
      <c r="ACI53" s="11"/>
      <c r="ACJ53" s="11"/>
      <c r="ACK53" s="11"/>
      <c r="ACL53" s="11"/>
      <c r="ACM53" s="11"/>
      <c r="ACN53" s="11"/>
      <c r="ACO53" s="11"/>
      <c r="ACP53" s="11"/>
      <c r="ACQ53" s="11"/>
      <c r="ACR53" s="11"/>
      <c r="ACS53" s="11"/>
      <c r="ACT53" s="11"/>
      <c r="ACU53" s="11"/>
      <c r="ACV53" s="11"/>
      <c r="ACW53" s="11"/>
      <c r="ACX53" s="11"/>
      <c r="ACY53" s="11"/>
      <c r="ACZ53" s="11"/>
      <c r="ADA53" s="11"/>
      <c r="ADB53" s="11"/>
      <c r="ADC53" s="11"/>
      <c r="ADD53" s="11"/>
      <c r="ADE53" s="11"/>
      <c r="ADF53" s="11"/>
      <c r="ADG53" s="11"/>
      <c r="ADH53" s="11"/>
      <c r="ADI53" s="11"/>
      <c r="ADJ53" s="11"/>
      <c r="ADK53" s="11"/>
      <c r="ADL53" s="11"/>
      <c r="ADM53" s="11"/>
      <c r="ADN53" s="11"/>
      <c r="ADO53" s="11"/>
      <c r="ADP53" s="11"/>
      <c r="ADQ53" s="11"/>
      <c r="ADR53" s="11"/>
      <c r="ADS53" s="11"/>
      <c r="ADT53" s="11"/>
      <c r="ADU53" s="11"/>
      <c r="ADV53" s="11"/>
      <c r="ADW53" s="11"/>
      <c r="ADX53" s="11"/>
      <c r="ADY53" s="11"/>
      <c r="ADZ53" s="11"/>
      <c r="AEA53" s="11"/>
      <c r="AEB53" s="11"/>
      <c r="AEC53" s="11"/>
      <c r="AED53" s="11"/>
      <c r="AEE53" s="11"/>
      <c r="AEF53" s="11"/>
      <c r="AEG53" s="11"/>
      <c r="AEH53" s="11"/>
      <c r="AEI53" s="11"/>
      <c r="AEJ53" s="11"/>
      <c r="AEK53" s="11"/>
      <c r="AEL53" s="11"/>
      <c r="AEM53" s="11"/>
      <c r="AEN53" s="11"/>
      <c r="AEO53" s="11"/>
      <c r="AEP53" s="11"/>
      <c r="AEQ53" s="11"/>
      <c r="AER53" s="11"/>
      <c r="AES53" s="11"/>
      <c r="AET53" s="11"/>
      <c r="AEU53" s="11"/>
      <c r="AEV53" s="11"/>
      <c r="AEW53" s="11"/>
      <c r="AEX53" s="11"/>
      <c r="AEY53" s="11"/>
      <c r="AEZ53" s="11"/>
      <c r="AFA53" s="11"/>
      <c r="AFB53" s="11"/>
      <c r="AFC53" s="11"/>
      <c r="AFD53" s="11"/>
      <c r="AFE53" s="11"/>
      <c r="AFF53" s="11"/>
      <c r="AFG53" s="11"/>
      <c r="AFH53" s="11"/>
      <c r="AFI53" s="11"/>
    </row>
    <row r="54" spans="2:841">
      <c r="B54" s="11"/>
      <c r="C54" s="657"/>
      <c r="D54" s="289" t="s">
        <v>625</v>
      </c>
      <c r="E54" s="311">
        <f>SUMIFS(M_Datos!$N$68:$N$70,M_Datos!$O$68:$O$70,M_Lista!G19,M_Datos!$M$68:$M$70,M_Lista!$J$3)</f>
        <v>0</v>
      </c>
      <c r="F54" s="312">
        <f>IF(AND(M_FactoresComplement!$G$6="No",M_FactoresComplement!$G$8="No"),M_Cálculos_ND!E54*M_Factores!$D$213,IF(AND(M_FactoresComplement!$G$6="Sí",M_FactoresComplement!$G$8="No"),E54*M_FactoresComplement!G37,E54*VLOOKUP(M_FactoresComplement!$C$38&amp;M_Datos!$E$12&amp;M_Lista!G18,M_FactoresComplement!$F$15:$I$434,2,FALSE)))</f>
        <v>0</v>
      </c>
      <c r="G54" s="313">
        <f>IF(AND(M_FactoresComplement!$G$6="No",M_FactoresComplement!$G$8="No"),M_Cálculos_ND!E54*M_Factores!$D$213,IF(AND(M_FactoresComplement!$G$6="Sí",M_FactoresComplement!$G$8="No"),E54*M_FactoresComplement!H37,E54*VLOOKUP(M_FactoresComplement!$C$38&amp;M_Datos!$E$12&amp;M_Lista!G18,M_FactoresComplement!$F$15:$I$434,3,FALSE)))</f>
        <v>0</v>
      </c>
      <c r="H54" s="311">
        <f>SUMIFS(M_Datos!$P$68:$P$70,M_Datos!$Q$68:$Q$70,M_Lista!G19,M_Datos!$M$68:$M$70,M_Lista!$J$3)</f>
        <v>0</v>
      </c>
      <c r="I54" s="312">
        <f>IF(AND(M_FactoresComplement!$G$6="No",M_FactoresComplement!$G$8="No"),M_Cálculos_ND!H54*M_Factores!$D$213,IF(AND(M_FactoresComplement!$G$6="Sí",M_FactoresComplement!$G$8="No"),H54*M_FactoresComplement!G37,H54*VLOOKUP(M_FactoresComplement!$C$38&amp;M_Datos!$E$12&amp;M_Lista!G18,M_FactoresComplement!$F$15:$I$434,2,FALSE)))</f>
        <v>0</v>
      </c>
      <c r="J54" s="313">
        <f>IF(AND(M_FactoresComplement!$G$6="No",M_FactoresComplement!$G$8="No"),M_Cálculos_ND!H54*M_Factores!$D$213,IF(AND(M_FactoresComplement!$G$6="Sí",M_FactoresComplement!$G$8="No"),H54*M_FactoresComplement!H37,H54*VLOOKUP(M_FactoresComplement!$C$38&amp;M_Datos!$E$12&amp;M_Lista!G18,M_FactoresComplement!$F$15:$I$434,3,FALSE)))</f>
        <v>0</v>
      </c>
      <c r="K54" s="311">
        <f>SUMIFS(M_Datos!$R$68:$R$70,M_Datos!$S$68:$S$70,M_Lista!G19,M_Datos!$M$68:$M$70,M_Lista!$J$3)</f>
        <v>0</v>
      </c>
      <c r="L54" s="312">
        <f>IF(AND(M_FactoresComplement!$G$6="No",M_FactoresComplement!$G$8="No"),M_Cálculos_ND!K54*M_Factores!$D$213,IF(AND(M_FactoresComplement!$G$6="Sí",M_FactoresComplement!$G$8="No"),K54*M_FactoresComplement!G37,K54*VLOOKUP(M_FactoresComplement!$C$38&amp;M_Datos!$E$12&amp;M_Lista!G18,M_FactoresComplement!$F$15:$I$434,2,FALSE)))</f>
        <v>0</v>
      </c>
      <c r="M54" s="313">
        <f>IF(AND(M_FactoresComplement!$G$6="No",M_FactoresComplement!$G$8="No"),M_Cálculos_ND!K54*M_Factores!$D$213,IF(AND(M_FactoresComplement!$G$6="Sí",M_FactoresComplement!$G$8="No"),K54*M_FactoresComplement!H37,K54*VLOOKUP(M_FactoresComplement!$C$38&amp;M_Datos!$E$12&amp;M_Lista!G18,M_FactoresComplement!$F$15:$I$434,3,FALSE)))</f>
        <v>0</v>
      </c>
      <c r="N54" s="311">
        <f>SUMIFS(M_Datos!$T$68:$T$70,M_Datos!$U$68:$U$70,M_Lista!G19,M_Datos!$M$68:$M$70,M_Lista!$J$3)</f>
        <v>0</v>
      </c>
      <c r="O54" s="312">
        <f>IF(AND(M_FactoresComplement!$G$6="No",M_FactoresComplement!$G$8="No"),M_Cálculos_ND!N54*M_Factores!$D$213,IF(AND(M_FactoresComplement!$G$6="Sí",M_FactoresComplement!$G$8="No"),N54*M_FactoresComplement!G37,N54*VLOOKUP(M_FactoresComplement!$C$38&amp;M_Datos!$E$12&amp;M_Lista!G18,M_FactoresComplement!$F$15:$I$434,2,FALSE)))</f>
        <v>0</v>
      </c>
      <c r="P54" s="313">
        <f>IF(AND(M_FactoresComplement!$G$6="No",M_FactoresComplement!$G$8="No"),M_Cálculos_ND!N54*M_Factores!$D$213,IF(AND(M_FactoresComplement!$G$6="Sí",M_FactoresComplement!$G$8="No"),N54*M_FactoresComplement!H37,N54*VLOOKUP(M_FactoresComplement!$C$38&amp;M_Datos!$E$12&amp;M_Lista!G18,M_FactoresComplement!$F$15:$I$434,3,FALSE)))</f>
        <v>0</v>
      </c>
      <c r="Q54" s="311">
        <f>SUMIFS(M_Datos!$V$68:$V$70,M_Datos!$W$68:$W$70,M_Lista!G19,M_Datos!$M$68:$M$70,M_Lista!$J$3)</f>
        <v>0</v>
      </c>
      <c r="R54" s="312">
        <f>IF(AND(M_FactoresComplement!$G$6="No",M_FactoresComplement!$G$8="No"),M_Cálculos_ND!Q54*M_Factores!$D$213,IF(AND(M_FactoresComplement!$G$6="Sí",M_FactoresComplement!$G$8="No"),Q54*M_FactoresComplement!G37,Q54*VLOOKUP(M_FactoresComplement!$C$38&amp;M_Datos!$E$12&amp;M_Lista!G18,M_FactoresComplement!$F$15:$I$434,2,FALSE)))</f>
        <v>0</v>
      </c>
      <c r="S54" s="313">
        <f>IF(AND(M_FactoresComplement!$G$6="No",M_FactoresComplement!$G$8="No"),M_Cálculos_ND!Q54*M_Factores!$D$213,IF(AND(M_FactoresComplement!$G$6="Sí",M_FactoresComplement!$G$8="No"),Q54*M_FactoresComplement!H37,Q54*VLOOKUP(M_FactoresComplement!$C$38&amp;M_Datos!$E$12&amp;M_Lista!G18,M_FactoresComplement!$F$15:$I$434,3,FALSE)))</f>
        <v>0</v>
      </c>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11"/>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c r="PU54" s="11"/>
      <c r="PV54" s="11"/>
      <c r="PW54" s="11"/>
      <c r="PX54" s="11"/>
      <c r="PY54" s="11"/>
      <c r="PZ54" s="11"/>
      <c r="QA54" s="11"/>
      <c r="QB54" s="11"/>
      <c r="QC54" s="11"/>
      <c r="QD54" s="11"/>
      <c r="QE54" s="11"/>
      <c r="QF54" s="11"/>
      <c r="QG54" s="11"/>
      <c r="QH54" s="11"/>
      <c r="QI54" s="11"/>
      <c r="QJ54" s="11"/>
      <c r="QK54" s="11"/>
      <c r="QL54" s="11"/>
      <c r="QM54" s="11"/>
      <c r="QN54" s="11"/>
      <c r="QO54" s="11"/>
      <c r="QP54" s="11"/>
      <c r="QQ54" s="11"/>
      <c r="QR54" s="11"/>
      <c r="QS54" s="11"/>
      <c r="QT54" s="11"/>
      <c r="QU54" s="11"/>
      <c r="QV54" s="11"/>
      <c r="QW54" s="11"/>
      <c r="QX54" s="11"/>
      <c r="QY54" s="11"/>
      <c r="QZ54" s="11"/>
      <c r="RA54" s="11"/>
      <c r="RB54" s="11"/>
      <c r="RC54" s="11"/>
      <c r="RD54" s="11"/>
      <c r="RE54" s="11"/>
      <c r="RF54" s="11"/>
      <c r="RG54" s="11"/>
      <c r="RH54" s="11"/>
      <c r="RI54" s="11"/>
      <c r="RJ54" s="11"/>
      <c r="RK54" s="11"/>
      <c r="RL54" s="11"/>
      <c r="RM54" s="11"/>
      <c r="RN54" s="11"/>
      <c r="RO54" s="11"/>
      <c r="RP54" s="11"/>
      <c r="RQ54" s="11"/>
      <c r="RR54" s="11"/>
      <c r="RS54" s="11"/>
      <c r="RT54" s="11"/>
      <c r="RU54" s="11"/>
      <c r="RV54" s="11"/>
      <c r="RW54" s="11"/>
      <c r="RX54" s="11"/>
      <c r="RY54" s="11"/>
      <c r="RZ54" s="11"/>
      <c r="SA54" s="11"/>
      <c r="SB54" s="11"/>
      <c r="SC54" s="11"/>
      <c r="SD54" s="11"/>
      <c r="SE54" s="11"/>
      <c r="SF54" s="11"/>
      <c r="SG54" s="11"/>
      <c r="SH54" s="11"/>
      <c r="SI54" s="11"/>
      <c r="SJ54" s="11"/>
      <c r="SK54" s="11"/>
      <c r="SL54" s="11"/>
      <c r="SM54" s="11"/>
      <c r="SN54" s="11"/>
      <c r="SO54" s="11"/>
      <c r="SP54" s="11"/>
      <c r="SQ54" s="11"/>
      <c r="SR54" s="11"/>
      <c r="SS54" s="11"/>
      <c r="ST54" s="11"/>
      <c r="SU54" s="11"/>
      <c r="SV54" s="11"/>
      <c r="SW54" s="11"/>
      <c r="SX54" s="11"/>
      <c r="SY54" s="11"/>
      <c r="SZ54" s="11"/>
      <c r="TA54" s="11"/>
      <c r="TB54" s="11"/>
      <c r="TC54" s="11"/>
      <c r="TD54" s="11"/>
      <c r="TE54" s="11"/>
      <c r="TF54" s="11"/>
      <c r="TG54" s="11"/>
      <c r="TH54" s="11"/>
      <c r="TI54" s="11"/>
      <c r="TJ54" s="11"/>
      <c r="TK54" s="11"/>
      <c r="TL54" s="11"/>
      <c r="TM54" s="11"/>
      <c r="TN54" s="11"/>
      <c r="TO54" s="11"/>
      <c r="TP54" s="11"/>
      <c r="TQ54" s="11"/>
      <c r="TR54" s="11"/>
      <c r="TS54" s="11"/>
      <c r="TT54" s="11"/>
      <c r="TU54" s="11"/>
      <c r="TV54" s="11"/>
      <c r="TW54" s="11"/>
      <c r="TX54" s="11"/>
      <c r="TY54" s="11"/>
      <c r="TZ54" s="11"/>
      <c r="UA54" s="11"/>
      <c r="UB54" s="11"/>
      <c r="UC54" s="11"/>
      <c r="UD54" s="11"/>
      <c r="UE54" s="11"/>
      <c r="UF54" s="11"/>
      <c r="UG54" s="11"/>
      <c r="UH54" s="11"/>
      <c r="UI54" s="11"/>
      <c r="UJ54" s="11"/>
      <c r="UK54" s="11"/>
      <c r="UL54" s="11"/>
      <c r="UM54" s="11"/>
      <c r="UN54" s="11"/>
      <c r="UO54" s="11"/>
      <c r="UP54" s="11"/>
      <c r="UQ54" s="11"/>
      <c r="UR54" s="11"/>
      <c r="US54" s="11"/>
      <c r="UT54" s="11"/>
      <c r="UU54" s="11"/>
      <c r="UV54" s="11"/>
      <c r="UW54" s="11"/>
      <c r="UX54" s="11"/>
      <c r="UY54" s="11"/>
      <c r="UZ54" s="11"/>
      <c r="VA54" s="11"/>
      <c r="VB54" s="11"/>
      <c r="VC54" s="11"/>
      <c r="VD54" s="11"/>
      <c r="VE54" s="11"/>
      <c r="VF54" s="11"/>
      <c r="VG54" s="11"/>
      <c r="VH54" s="11"/>
      <c r="VI54" s="11"/>
      <c r="VJ54" s="11"/>
      <c r="VK54" s="11"/>
      <c r="VL54" s="11"/>
      <c r="VM54" s="11"/>
      <c r="VN54" s="11"/>
      <c r="VO54" s="11"/>
      <c r="VP54" s="11"/>
      <c r="VQ54" s="11"/>
      <c r="VR54" s="11"/>
      <c r="VS54" s="11"/>
      <c r="VT54" s="11"/>
      <c r="VU54" s="11"/>
      <c r="VV54" s="11"/>
      <c r="VW54" s="11"/>
      <c r="VX54" s="11"/>
      <c r="VY54" s="11"/>
      <c r="VZ54" s="11"/>
      <c r="WA54" s="11"/>
      <c r="WB54" s="11"/>
      <c r="WC54" s="11"/>
      <c r="WD54" s="11"/>
      <c r="WE54" s="11"/>
      <c r="WF54" s="11"/>
      <c r="WG54" s="11"/>
      <c r="WH54" s="11"/>
      <c r="WI54" s="11"/>
      <c r="WJ54" s="11"/>
      <c r="WK54" s="11"/>
      <c r="WL54" s="11"/>
      <c r="WM54" s="11"/>
      <c r="WN54" s="11"/>
      <c r="WO54" s="11"/>
      <c r="WP54" s="11"/>
      <c r="WQ54" s="11"/>
      <c r="WR54" s="11"/>
      <c r="WS54" s="11"/>
      <c r="WT54" s="11"/>
      <c r="WU54" s="11"/>
      <c r="WV54" s="11"/>
      <c r="WW54" s="11"/>
      <c r="WX54" s="11"/>
      <c r="WY54" s="11"/>
      <c r="WZ54" s="11"/>
      <c r="XA54" s="11"/>
      <c r="XB54" s="11"/>
      <c r="XC54" s="11"/>
      <c r="XD54" s="11"/>
      <c r="XE54" s="11"/>
      <c r="XF54" s="11"/>
      <c r="XG54" s="11"/>
      <c r="XH54" s="11"/>
      <c r="XI54" s="11"/>
      <c r="XJ54" s="11"/>
      <c r="XK54" s="11"/>
      <c r="XL54" s="11"/>
      <c r="XM54" s="11"/>
      <c r="XN54" s="11"/>
      <c r="XO54" s="11"/>
      <c r="XP54" s="11"/>
      <c r="XQ54" s="11"/>
      <c r="XR54" s="11"/>
      <c r="XS54" s="11"/>
      <c r="XT54" s="11"/>
      <c r="XU54" s="11"/>
      <c r="XV54" s="11"/>
      <c r="XW54" s="11"/>
      <c r="XX54" s="11"/>
      <c r="XY54" s="11"/>
      <c r="XZ54" s="11"/>
      <c r="YA54" s="11"/>
      <c r="YB54" s="11"/>
      <c r="YC54" s="11"/>
      <c r="YD54" s="11"/>
      <c r="YE54" s="11"/>
      <c r="YF54" s="11"/>
      <c r="YG54" s="11"/>
      <c r="YH54" s="11"/>
      <c r="YI54" s="11"/>
      <c r="YJ54" s="11"/>
      <c r="YK54" s="11"/>
      <c r="YL54" s="11"/>
      <c r="YM54" s="11"/>
      <c r="YN54" s="11"/>
      <c r="YO54" s="11"/>
      <c r="YP54" s="11"/>
      <c r="YQ54" s="11"/>
      <c r="YR54" s="11"/>
      <c r="YS54" s="11"/>
      <c r="YT54" s="11"/>
      <c r="YU54" s="11"/>
      <c r="YV54" s="11"/>
      <c r="YW54" s="11"/>
      <c r="YX54" s="11"/>
      <c r="YY54" s="11"/>
      <c r="YZ54" s="11"/>
      <c r="ZA54" s="11"/>
      <c r="ZB54" s="11"/>
      <c r="ZC54" s="11"/>
      <c r="ZD54" s="11"/>
      <c r="ZE54" s="11"/>
      <c r="ZF54" s="11"/>
      <c r="ZG54" s="11"/>
      <c r="ZH54" s="11"/>
      <c r="ZI54" s="11"/>
      <c r="ZJ54" s="11"/>
      <c r="ZK54" s="11"/>
      <c r="ZL54" s="11"/>
      <c r="ZM54" s="11"/>
      <c r="ZN54" s="11"/>
      <c r="ZO54" s="11"/>
      <c r="ZP54" s="11"/>
      <c r="ZQ54" s="11"/>
      <c r="ZR54" s="11"/>
      <c r="ZS54" s="11"/>
      <c r="ZT54" s="11"/>
      <c r="ZU54" s="11"/>
      <c r="ZV54" s="11"/>
      <c r="ZW54" s="11"/>
      <c r="ZX54" s="11"/>
      <c r="ZY54" s="11"/>
      <c r="ZZ54" s="11"/>
      <c r="AAA54" s="11"/>
      <c r="AAB54" s="11"/>
      <c r="AAC54" s="11"/>
      <c r="AAD54" s="11"/>
      <c r="AAE54" s="11"/>
      <c r="AAF54" s="11"/>
      <c r="AAG54" s="11"/>
      <c r="AAH54" s="11"/>
      <c r="AAI54" s="11"/>
      <c r="AAJ54" s="11"/>
      <c r="AAK54" s="11"/>
      <c r="AAL54" s="11"/>
      <c r="AAM54" s="11"/>
      <c r="AAN54" s="11"/>
      <c r="AAO54" s="11"/>
      <c r="AAP54" s="11"/>
      <c r="AAQ54" s="11"/>
      <c r="AAR54" s="11"/>
      <c r="AAS54" s="11"/>
      <c r="AAT54" s="11"/>
      <c r="AAU54" s="11"/>
      <c r="AAV54" s="11"/>
      <c r="AAW54" s="11"/>
      <c r="AAX54" s="11"/>
      <c r="AAY54" s="11"/>
      <c r="AAZ54" s="11"/>
      <c r="ABA54" s="11"/>
      <c r="ABB54" s="11"/>
      <c r="ABC54" s="11"/>
      <c r="ABD54" s="11"/>
      <c r="ABE54" s="11"/>
      <c r="ABF54" s="11"/>
      <c r="ABG54" s="11"/>
      <c r="ABH54" s="11"/>
      <c r="ABI54" s="11"/>
      <c r="ABJ54" s="11"/>
      <c r="ABK54" s="11"/>
      <c r="ABL54" s="11"/>
      <c r="ABM54" s="11"/>
      <c r="ABN54" s="11"/>
      <c r="ABO54" s="11"/>
      <c r="ABP54" s="11"/>
      <c r="ABQ54" s="11"/>
      <c r="ABR54" s="11"/>
      <c r="ABS54" s="11"/>
      <c r="ABT54" s="11"/>
      <c r="ABU54" s="11"/>
      <c r="ABV54" s="11"/>
      <c r="ABW54" s="11"/>
      <c r="ABX54" s="11"/>
      <c r="ABY54" s="11"/>
      <c r="ABZ54" s="11"/>
      <c r="ACA54" s="11"/>
      <c r="ACB54" s="11"/>
      <c r="ACC54" s="11"/>
      <c r="ACD54" s="11"/>
      <c r="ACE54" s="11"/>
      <c r="ACF54" s="11"/>
      <c r="ACG54" s="11"/>
      <c r="ACH54" s="11"/>
      <c r="ACI54" s="11"/>
      <c r="ACJ54" s="11"/>
      <c r="ACK54" s="11"/>
      <c r="ACL54" s="11"/>
      <c r="ACM54" s="11"/>
      <c r="ACN54" s="11"/>
      <c r="ACO54" s="11"/>
      <c r="ACP54" s="11"/>
      <c r="ACQ54" s="11"/>
      <c r="ACR54" s="11"/>
      <c r="ACS54" s="11"/>
      <c r="ACT54" s="11"/>
      <c r="ACU54" s="11"/>
      <c r="ACV54" s="11"/>
      <c r="ACW54" s="11"/>
      <c r="ACX54" s="11"/>
      <c r="ACY54" s="11"/>
      <c r="ACZ54" s="11"/>
      <c r="ADA54" s="11"/>
      <c r="ADB54" s="11"/>
      <c r="ADC54" s="11"/>
      <c r="ADD54" s="11"/>
      <c r="ADE54" s="11"/>
      <c r="ADF54" s="11"/>
      <c r="ADG54" s="11"/>
      <c r="ADH54" s="11"/>
      <c r="ADI54" s="11"/>
      <c r="ADJ54" s="11"/>
      <c r="ADK54" s="11"/>
      <c r="ADL54" s="11"/>
      <c r="ADM54" s="11"/>
      <c r="ADN54" s="11"/>
      <c r="ADO54" s="11"/>
      <c r="ADP54" s="11"/>
      <c r="ADQ54" s="11"/>
      <c r="ADR54" s="11"/>
      <c r="ADS54" s="11"/>
      <c r="ADT54" s="11"/>
      <c r="ADU54" s="11"/>
      <c r="ADV54" s="11"/>
      <c r="ADW54" s="11"/>
      <c r="ADX54" s="11"/>
      <c r="ADY54" s="11"/>
      <c r="ADZ54" s="11"/>
      <c r="AEA54" s="11"/>
      <c r="AEB54" s="11"/>
      <c r="AEC54" s="11"/>
      <c r="AED54" s="11"/>
      <c r="AEE54" s="11"/>
      <c r="AEF54" s="11"/>
      <c r="AEG54" s="11"/>
      <c r="AEH54" s="11"/>
      <c r="AEI54" s="11"/>
      <c r="AEJ54" s="11"/>
      <c r="AEK54" s="11"/>
      <c r="AEL54" s="11"/>
      <c r="AEM54" s="11"/>
      <c r="AEN54" s="11"/>
      <c r="AEO54" s="11"/>
      <c r="AEP54" s="11"/>
      <c r="AEQ54" s="11"/>
      <c r="AER54" s="11"/>
      <c r="AES54" s="11"/>
      <c r="AET54" s="11"/>
      <c r="AEU54" s="11"/>
      <c r="AEV54" s="11"/>
      <c r="AEW54" s="11"/>
      <c r="AEX54" s="11"/>
      <c r="AEY54" s="11"/>
      <c r="AEZ54" s="11"/>
      <c r="AFA54" s="11"/>
      <c r="AFB54" s="11"/>
      <c r="AFC54" s="11"/>
      <c r="AFD54" s="11"/>
      <c r="AFE54" s="11"/>
      <c r="AFF54" s="11"/>
      <c r="AFG54" s="11"/>
      <c r="AFH54" s="11"/>
      <c r="AFI54" s="11"/>
    </row>
    <row r="55" spans="2:841">
      <c r="B55" s="11"/>
      <c r="C55" s="657"/>
      <c r="D55" s="289" t="s">
        <v>626</v>
      </c>
      <c r="E55" s="311">
        <f>SUMIFS(M_Datos!$N$68:$N$70,M_Datos!$O$68:$O$70,M_Lista!G20,M_Datos!$M$68:$M$70,M_Lista!$J$3)</f>
        <v>0</v>
      </c>
      <c r="F55" s="312">
        <f>IF(AND(M_FactoresComplement!$G$6="No",M_FactoresComplement!$G$8="No"),M_Cálculos_ND!E55*M_Factores!$D$213,IF(AND(M_FactoresComplement!$G$6="Sí",M_FactoresComplement!$G$8="No"),E55*M_FactoresComplement!G38,E55*VLOOKUP(M_FactoresComplement!$C$38&amp;M_Datos!$E$12&amp;M_Lista!G19,M_FactoresComplement!$F$15:$I$434,2,FALSE)))</f>
        <v>0</v>
      </c>
      <c r="G55" s="313">
        <f>IF(AND(M_FactoresComplement!$G$6="No",M_FactoresComplement!$G$8="No"),M_Cálculos_ND!E55*M_Factores!$D$213,IF(AND(M_FactoresComplement!$G$6="Sí",M_FactoresComplement!$G$8="No"),E55*M_FactoresComplement!H38,E55*VLOOKUP(M_FactoresComplement!$C$38&amp;M_Datos!$E$12&amp;M_Lista!G19,M_FactoresComplement!$F$15:$I$434,3,FALSE)))</f>
        <v>0</v>
      </c>
      <c r="H55" s="311">
        <f>SUMIFS(M_Datos!$P$68:$P$70,M_Datos!$Q$68:$Q$70,M_Lista!G20,M_Datos!$M$68:$M$70,M_Lista!$J$3)</f>
        <v>0</v>
      </c>
      <c r="I55" s="312">
        <f>IF(AND(M_FactoresComplement!$G$6="No",M_FactoresComplement!$G$8="No"),M_Cálculos_ND!H55*M_Factores!$D$213,IF(AND(M_FactoresComplement!$G$6="Sí",M_FactoresComplement!$G$8="No"),H55*M_FactoresComplement!G38,H55*VLOOKUP(M_FactoresComplement!$C$38&amp;M_Datos!$E$12&amp;M_Lista!G19,M_FactoresComplement!$F$15:$I$434,2,FALSE)))</f>
        <v>0</v>
      </c>
      <c r="J55" s="313">
        <f>IF(AND(M_FactoresComplement!$G$6="No",M_FactoresComplement!$G$8="No"),M_Cálculos_ND!H55*M_Factores!$D$213,IF(AND(M_FactoresComplement!$G$6="Sí",M_FactoresComplement!$G$8="No"),H55*M_FactoresComplement!H38,H55*VLOOKUP(M_FactoresComplement!$C$38&amp;M_Datos!$E$12&amp;M_Lista!G19,M_FactoresComplement!$F$15:$I$434,3,FALSE)))</f>
        <v>0</v>
      </c>
      <c r="K55" s="311">
        <f>SUMIFS(M_Datos!$R$68:$R$70,M_Datos!$S$68:$S$70,M_Lista!G20,M_Datos!$M$68:$M$70,M_Lista!$J$3)</f>
        <v>0</v>
      </c>
      <c r="L55" s="312">
        <f>IF(AND(M_FactoresComplement!$G$6="No",M_FactoresComplement!$G$8="No"),M_Cálculos_ND!K55*M_Factores!$D$213,IF(AND(M_FactoresComplement!$G$6="Sí",M_FactoresComplement!$G$8="No"),K55*M_FactoresComplement!G38,K55*VLOOKUP(M_FactoresComplement!$C$38&amp;M_Datos!$E$12&amp;M_Lista!G19,M_FactoresComplement!$F$15:$I$434,2,FALSE)))</f>
        <v>0</v>
      </c>
      <c r="M55" s="313">
        <f>IF(AND(M_FactoresComplement!$G$6="No",M_FactoresComplement!$G$8="No"),M_Cálculos_ND!K55*M_Factores!$D$213,IF(AND(M_FactoresComplement!$G$6="Sí",M_FactoresComplement!$G$8="No"),K55*M_FactoresComplement!H38,K55*VLOOKUP(M_FactoresComplement!$C$38&amp;M_Datos!$E$12&amp;M_Lista!G19,M_FactoresComplement!$F$15:$I$434,3,FALSE)))</f>
        <v>0</v>
      </c>
      <c r="N55" s="311">
        <f>SUMIFS(M_Datos!$T$68:$T$70,M_Datos!$U$68:$U$70,M_Lista!G20,M_Datos!$M$68:$M$70,M_Lista!$J$3)</f>
        <v>0</v>
      </c>
      <c r="O55" s="312">
        <f>IF(AND(M_FactoresComplement!$G$6="No",M_FactoresComplement!$G$8="No"),M_Cálculos_ND!N55*M_Factores!$D$213,IF(AND(M_FactoresComplement!$G$6="Sí",M_FactoresComplement!$G$8="No"),N55*M_FactoresComplement!G38,N55*VLOOKUP(M_FactoresComplement!$C$38&amp;M_Datos!$E$12&amp;M_Lista!G19,M_FactoresComplement!$F$15:$I$434,2,FALSE)))</f>
        <v>0</v>
      </c>
      <c r="P55" s="313">
        <f>IF(AND(M_FactoresComplement!$G$6="No",M_FactoresComplement!$G$8="No"),M_Cálculos_ND!N55*M_Factores!$D$213,IF(AND(M_FactoresComplement!$G$6="Sí",M_FactoresComplement!$G$8="No"),N55*M_FactoresComplement!H38,N55*VLOOKUP(M_FactoresComplement!$C$38&amp;M_Datos!$E$12&amp;M_Lista!G19,M_FactoresComplement!$F$15:$I$434,3,FALSE)))</f>
        <v>0</v>
      </c>
      <c r="Q55" s="311">
        <f>SUMIFS(M_Datos!$V$68:$V$70,M_Datos!$W$68:$W$70,M_Lista!G20,M_Datos!$M$68:$M$70,M_Lista!$J$3)</f>
        <v>0</v>
      </c>
      <c r="R55" s="312">
        <f>IF(AND(M_FactoresComplement!$G$6="No",M_FactoresComplement!$G$8="No"),M_Cálculos_ND!Q55*M_Factores!$D$213,IF(AND(M_FactoresComplement!$G$6="Sí",M_FactoresComplement!$G$8="No"),Q55*M_FactoresComplement!G38,Q55*VLOOKUP(M_FactoresComplement!$C$38&amp;M_Datos!$E$12&amp;M_Lista!G19,M_FactoresComplement!$F$15:$I$434,2,FALSE)))</f>
        <v>0</v>
      </c>
      <c r="S55" s="313">
        <f>IF(AND(M_FactoresComplement!$G$6="No",M_FactoresComplement!$G$8="No"),M_Cálculos_ND!Q55*M_Factores!$D$213,IF(AND(M_FactoresComplement!$G$6="Sí",M_FactoresComplement!$G$8="No"),Q55*M_FactoresComplement!H38,Q55*VLOOKUP(M_FactoresComplement!$C$38&amp;M_Datos!$E$12&amp;M_Lista!G19,M_FactoresComplement!$F$15:$I$434,3,FALSE)))</f>
        <v>0</v>
      </c>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c r="TR55" s="11"/>
      <c r="TS55" s="11"/>
      <c r="TT55" s="11"/>
      <c r="TU55" s="11"/>
      <c r="TV55" s="11"/>
      <c r="TW55" s="11"/>
      <c r="TX55" s="11"/>
      <c r="TY55" s="11"/>
      <c r="TZ55" s="11"/>
      <c r="UA55" s="11"/>
      <c r="UB55" s="11"/>
      <c r="UC55" s="11"/>
      <c r="UD55" s="11"/>
      <c r="UE55" s="11"/>
      <c r="UF55" s="11"/>
      <c r="UG55" s="11"/>
      <c r="UH55" s="11"/>
      <c r="UI55" s="11"/>
      <c r="UJ55" s="11"/>
      <c r="UK55" s="11"/>
      <c r="UL55" s="11"/>
      <c r="UM55" s="11"/>
      <c r="UN55" s="11"/>
      <c r="UO55" s="11"/>
      <c r="UP55" s="11"/>
      <c r="UQ55" s="11"/>
      <c r="UR55" s="11"/>
      <c r="US55" s="11"/>
      <c r="UT55" s="11"/>
      <c r="UU55" s="11"/>
      <c r="UV55" s="11"/>
      <c r="UW55" s="11"/>
      <c r="UX55" s="11"/>
      <c r="UY55" s="11"/>
      <c r="UZ55" s="11"/>
      <c r="VA55" s="11"/>
      <c r="VB55" s="11"/>
      <c r="VC55" s="11"/>
      <c r="VD55" s="11"/>
      <c r="VE55" s="11"/>
      <c r="VF55" s="11"/>
      <c r="VG55" s="11"/>
      <c r="VH55" s="11"/>
      <c r="VI55" s="11"/>
      <c r="VJ55" s="11"/>
      <c r="VK55" s="11"/>
      <c r="VL55" s="11"/>
      <c r="VM55" s="11"/>
      <c r="VN55" s="11"/>
      <c r="VO55" s="11"/>
      <c r="VP55" s="11"/>
      <c r="VQ55" s="11"/>
      <c r="VR55" s="11"/>
      <c r="VS55" s="11"/>
      <c r="VT55" s="11"/>
      <c r="VU55" s="11"/>
      <c r="VV55" s="11"/>
      <c r="VW55" s="11"/>
      <c r="VX55" s="11"/>
      <c r="VY55" s="11"/>
      <c r="VZ55" s="11"/>
      <c r="WA55" s="11"/>
      <c r="WB55" s="11"/>
      <c r="WC55" s="11"/>
      <c r="WD55" s="11"/>
      <c r="WE55" s="11"/>
      <c r="WF55" s="11"/>
      <c r="WG55" s="11"/>
      <c r="WH55" s="11"/>
      <c r="WI55" s="11"/>
      <c r="WJ55" s="11"/>
      <c r="WK55" s="11"/>
      <c r="WL55" s="11"/>
      <c r="WM55" s="11"/>
      <c r="WN55" s="11"/>
      <c r="WO55" s="11"/>
      <c r="WP55" s="11"/>
      <c r="WQ55" s="11"/>
      <c r="WR55" s="11"/>
      <c r="WS55" s="11"/>
      <c r="WT55" s="11"/>
      <c r="WU55" s="11"/>
      <c r="WV55" s="11"/>
      <c r="WW55" s="11"/>
      <c r="WX55" s="11"/>
      <c r="WY55" s="11"/>
      <c r="WZ55" s="11"/>
      <c r="XA55" s="11"/>
      <c r="XB55" s="11"/>
      <c r="XC55" s="11"/>
      <c r="XD55" s="11"/>
      <c r="XE55" s="11"/>
      <c r="XF55" s="11"/>
      <c r="XG55" s="11"/>
      <c r="XH55" s="11"/>
      <c r="XI55" s="11"/>
      <c r="XJ55" s="11"/>
      <c r="XK55" s="11"/>
      <c r="XL55" s="11"/>
      <c r="XM55" s="11"/>
      <c r="XN55" s="11"/>
      <c r="XO55" s="11"/>
      <c r="XP55" s="11"/>
      <c r="XQ55" s="11"/>
      <c r="XR55" s="11"/>
      <c r="XS55" s="11"/>
      <c r="XT55" s="11"/>
      <c r="XU55" s="11"/>
      <c r="XV55" s="11"/>
      <c r="XW55" s="11"/>
      <c r="XX55" s="11"/>
      <c r="XY55" s="11"/>
      <c r="XZ55" s="11"/>
      <c r="YA55" s="11"/>
      <c r="YB55" s="11"/>
      <c r="YC55" s="11"/>
      <c r="YD55" s="11"/>
      <c r="YE55" s="11"/>
      <c r="YF55" s="11"/>
      <c r="YG55" s="11"/>
      <c r="YH55" s="11"/>
      <c r="YI55" s="11"/>
      <c r="YJ55" s="11"/>
      <c r="YK55" s="11"/>
      <c r="YL55" s="11"/>
      <c r="YM55" s="11"/>
      <c r="YN55" s="11"/>
      <c r="YO55" s="11"/>
      <c r="YP55" s="11"/>
      <c r="YQ55" s="11"/>
      <c r="YR55" s="11"/>
      <c r="YS55" s="11"/>
      <c r="YT55" s="11"/>
      <c r="YU55" s="11"/>
      <c r="YV55" s="11"/>
      <c r="YW55" s="11"/>
      <c r="YX55" s="11"/>
      <c r="YY55" s="11"/>
      <c r="YZ55" s="11"/>
      <c r="ZA55" s="11"/>
      <c r="ZB55" s="11"/>
      <c r="ZC55" s="11"/>
      <c r="ZD55" s="11"/>
      <c r="ZE55" s="11"/>
      <c r="ZF55" s="11"/>
      <c r="ZG55" s="11"/>
      <c r="ZH55" s="11"/>
      <c r="ZI55" s="11"/>
      <c r="ZJ55" s="11"/>
      <c r="ZK55" s="11"/>
      <c r="ZL55" s="11"/>
      <c r="ZM55" s="11"/>
      <c r="ZN55" s="11"/>
      <c r="ZO55" s="11"/>
      <c r="ZP55" s="11"/>
      <c r="ZQ55" s="11"/>
      <c r="ZR55" s="11"/>
      <c r="ZS55" s="11"/>
      <c r="ZT55" s="11"/>
      <c r="ZU55" s="11"/>
      <c r="ZV55" s="11"/>
      <c r="ZW55" s="11"/>
      <c r="ZX55" s="11"/>
      <c r="ZY55" s="11"/>
      <c r="ZZ55" s="11"/>
      <c r="AAA55" s="11"/>
      <c r="AAB55" s="11"/>
      <c r="AAC55" s="11"/>
      <c r="AAD55" s="11"/>
      <c r="AAE55" s="11"/>
      <c r="AAF55" s="11"/>
      <c r="AAG55" s="11"/>
      <c r="AAH55" s="11"/>
      <c r="AAI55" s="11"/>
      <c r="AAJ55" s="11"/>
      <c r="AAK55" s="11"/>
      <c r="AAL55" s="11"/>
      <c r="AAM55" s="11"/>
      <c r="AAN55" s="11"/>
      <c r="AAO55" s="11"/>
      <c r="AAP55" s="11"/>
      <c r="AAQ55" s="11"/>
      <c r="AAR55" s="11"/>
      <c r="AAS55" s="11"/>
      <c r="AAT55" s="11"/>
      <c r="AAU55" s="11"/>
      <c r="AAV55" s="11"/>
      <c r="AAW55" s="11"/>
      <c r="AAX55" s="11"/>
      <c r="AAY55" s="11"/>
      <c r="AAZ55" s="11"/>
      <c r="ABA55" s="11"/>
      <c r="ABB55" s="11"/>
      <c r="ABC55" s="11"/>
      <c r="ABD55" s="11"/>
      <c r="ABE55" s="11"/>
      <c r="ABF55" s="11"/>
      <c r="ABG55" s="11"/>
      <c r="ABH55" s="11"/>
      <c r="ABI55" s="11"/>
      <c r="ABJ55" s="11"/>
      <c r="ABK55" s="11"/>
      <c r="ABL55" s="11"/>
      <c r="ABM55" s="11"/>
      <c r="ABN55" s="11"/>
      <c r="ABO55" s="11"/>
      <c r="ABP55" s="11"/>
      <c r="ABQ55" s="11"/>
      <c r="ABR55" s="11"/>
      <c r="ABS55" s="11"/>
      <c r="ABT55" s="11"/>
      <c r="ABU55" s="11"/>
      <c r="ABV55" s="11"/>
      <c r="ABW55" s="11"/>
      <c r="ABX55" s="11"/>
      <c r="ABY55" s="11"/>
      <c r="ABZ55" s="11"/>
      <c r="ACA55" s="11"/>
      <c r="ACB55" s="11"/>
      <c r="ACC55" s="11"/>
      <c r="ACD55" s="11"/>
      <c r="ACE55" s="11"/>
      <c r="ACF55" s="11"/>
      <c r="ACG55" s="11"/>
      <c r="ACH55" s="11"/>
      <c r="ACI55" s="11"/>
      <c r="ACJ55" s="11"/>
      <c r="ACK55" s="11"/>
      <c r="ACL55" s="11"/>
      <c r="ACM55" s="11"/>
      <c r="ACN55" s="11"/>
      <c r="ACO55" s="11"/>
      <c r="ACP55" s="11"/>
      <c r="ACQ55" s="11"/>
      <c r="ACR55" s="11"/>
      <c r="ACS55" s="11"/>
      <c r="ACT55" s="11"/>
      <c r="ACU55" s="11"/>
      <c r="ACV55" s="11"/>
      <c r="ACW55" s="11"/>
      <c r="ACX55" s="11"/>
      <c r="ACY55" s="11"/>
      <c r="ACZ55" s="11"/>
      <c r="ADA55" s="11"/>
      <c r="ADB55" s="11"/>
      <c r="ADC55" s="11"/>
      <c r="ADD55" s="11"/>
      <c r="ADE55" s="11"/>
      <c r="ADF55" s="11"/>
      <c r="ADG55" s="11"/>
      <c r="ADH55" s="11"/>
      <c r="ADI55" s="11"/>
      <c r="ADJ55" s="11"/>
      <c r="ADK55" s="11"/>
      <c r="ADL55" s="11"/>
      <c r="ADM55" s="11"/>
      <c r="ADN55" s="11"/>
      <c r="ADO55" s="11"/>
      <c r="ADP55" s="11"/>
      <c r="ADQ55" s="11"/>
      <c r="ADR55" s="11"/>
      <c r="ADS55" s="11"/>
      <c r="ADT55" s="11"/>
      <c r="ADU55" s="11"/>
      <c r="ADV55" s="11"/>
      <c r="ADW55" s="11"/>
      <c r="ADX55" s="11"/>
      <c r="ADY55" s="11"/>
      <c r="ADZ55" s="11"/>
      <c r="AEA55" s="11"/>
      <c r="AEB55" s="11"/>
      <c r="AEC55" s="11"/>
      <c r="AED55" s="11"/>
      <c r="AEE55" s="11"/>
      <c r="AEF55" s="11"/>
      <c r="AEG55" s="11"/>
      <c r="AEH55" s="11"/>
      <c r="AEI55" s="11"/>
      <c r="AEJ55" s="11"/>
      <c r="AEK55" s="11"/>
      <c r="AEL55" s="11"/>
      <c r="AEM55" s="11"/>
      <c r="AEN55" s="11"/>
      <c r="AEO55" s="11"/>
      <c r="AEP55" s="11"/>
      <c r="AEQ55" s="11"/>
      <c r="AER55" s="11"/>
      <c r="AES55" s="11"/>
      <c r="AET55" s="11"/>
      <c r="AEU55" s="11"/>
      <c r="AEV55" s="11"/>
      <c r="AEW55" s="11"/>
      <c r="AEX55" s="11"/>
      <c r="AEY55" s="11"/>
      <c r="AEZ55" s="11"/>
      <c r="AFA55" s="11"/>
      <c r="AFB55" s="11"/>
      <c r="AFC55" s="11"/>
      <c r="AFD55" s="11"/>
      <c r="AFE55" s="11"/>
      <c r="AFF55" s="11"/>
      <c r="AFG55" s="11"/>
      <c r="AFH55" s="11"/>
      <c r="AFI55" s="11"/>
    </row>
    <row r="56" spans="2:841">
      <c r="B56" s="11"/>
      <c r="C56" s="657"/>
      <c r="D56" s="289" t="s">
        <v>627</v>
      </c>
      <c r="E56" s="311">
        <f>SUMIFS(M_Datos!$N$68:$N$70,M_Datos!$O$68:$O$70,M_Lista!G21,M_Datos!$M$68:$M$70,M_Lista!$J$3)</f>
        <v>0</v>
      </c>
      <c r="F56" s="312">
        <f>IF(AND(M_FactoresComplement!$G$6="No",M_FactoresComplement!$G$8="No"),M_Cálculos_ND!E56*M_Factores!$D$213,IF(AND(M_FactoresComplement!$G$6="Sí",M_FactoresComplement!$G$8="No"),E56*M_FactoresComplement!G39,E56*VLOOKUP(M_FactoresComplement!$C$38&amp;M_Datos!$E$12&amp;M_Lista!G20,M_FactoresComplement!$F$15:$I$434,2,FALSE)))</f>
        <v>0</v>
      </c>
      <c r="G56" s="313">
        <f>IF(AND(M_FactoresComplement!$G$6="No",M_FactoresComplement!$G$8="No"),M_Cálculos_ND!E56*M_Factores!$D$213,IF(AND(M_FactoresComplement!$G$6="Sí",M_FactoresComplement!$G$8="No"),E56*M_FactoresComplement!H39,E56*VLOOKUP(M_FactoresComplement!$C$38&amp;M_Datos!$E$12&amp;M_Lista!G20,M_FactoresComplement!$F$15:$I$434,3,FALSE)))</f>
        <v>0</v>
      </c>
      <c r="H56" s="311">
        <f>SUMIFS(M_Datos!$P$68:$P$70,M_Datos!$Q$68:$Q$70,M_Lista!G21,M_Datos!$M$68:$M$70,M_Lista!$J$3)</f>
        <v>0</v>
      </c>
      <c r="I56" s="312">
        <f>IF(AND(M_FactoresComplement!$G$6="No",M_FactoresComplement!$G$8="No"),M_Cálculos_ND!H56*M_Factores!$D$213,IF(AND(M_FactoresComplement!$G$6="Sí",M_FactoresComplement!$G$8="No"),H56*M_FactoresComplement!G39,H56*VLOOKUP(M_FactoresComplement!$C$38&amp;M_Datos!$E$12&amp;M_Lista!G20,M_FactoresComplement!$F$15:$I$434,2,FALSE)))</f>
        <v>0</v>
      </c>
      <c r="J56" s="313">
        <f>IF(AND(M_FactoresComplement!$G$6="No",M_FactoresComplement!$G$8="No"),M_Cálculos_ND!H56*M_Factores!$D$213,IF(AND(M_FactoresComplement!$G$6="Sí",M_FactoresComplement!$G$8="No"),H56*M_FactoresComplement!H39,H56*VLOOKUP(M_FactoresComplement!$C$38&amp;M_Datos!$E$12&amp;M_Lista!G20,M_FactoresComplement!$F$15:$I$434,3,FALSE)))</f>
        <v>0</v>
      </c>
      <c r="K56" s="311">
        <f>SUMIFS(M_Datos!$R$68:$R$70,M_Datos!$S$68:$S$70,M_Lista!G21,M_Datos!$M$68:$M$70,M_Lista!$J$3)</f>
        <v>0</v>
      </c>
      <c r="L56" s="312">
        <f>IF(AND(M_FactoresComplement!$G$6="No",M_FactoresComplement!$G$8="No"),M_Cálculos_ND!K56*M_Factores!$D$213,IF(AND(M_FactoresComplement!$G$6="Sí",M_FactoresComplement!$G$8="No"),K56*M_FactoresComplement!G39,K56*VLOOKUP(M_FactoresComplement!$C$38&amp;M_Datos!$E$12&amp;M_Lista!G20,M_FactoresComplement!$F$15:$I$434,2,FALSE)))</f>
        <v>0</v>
      </c>
      <c r="M56" s="313">
        <f>IF(AND(M_FactoresComplement!$G$6="No",M_FactoresComplement!$G$8="No"),M_Cálculos_ND!K56*M_Factores!$D$213,IF(AND(M_FactoresComplement!$G$6="Sí",M_FactoresComplement!$G$8="No"),K56*M_FactoresComplement!H39,K56*VLOOKUP(M_FactoresComplement!$C$38&amp;M_Datos!$E$12&amp;M_Lista!G20,M_FactoresComplement!$F$15:$I$434,3,FALSE)))</f>
        <v>0</v>
      </c>
      <c r="N56" s="311">
        <f>SUMIFS(M_Datos!$T$68:$T$70,M_Datos!$U$68:$U$70,M_Lista!G21,M_Datos!$M$68:$M$70,M_Lista!$J$3)</f>
        <v>0</v>
      </c>
      <c r="O56" s="312">
        <f>IF(AND(M_FactoresComplement!$G$6="No",M_FactoresComplement!$G$8="No"),M_Cálculos_ND!N56*M_Factores!$D$213,IF(AND(M_FactoresComplement!$G$6="Sí",M_FactoresComplement!$G$8="No"),N56*M_FactoresComplement!G39,N56*VLOOKUP(M_FactoresComplement!$C$38&amp;M_Datos!$E$12&amp;M_Lista!G20,M_FactoresComplement!$F$15:$I$434,2,FALSE)))</f>
        <v>0</v>
      </c>
      <c r="P56" s="313">
        <f>IF(AND(M_FactoresComplement!$G$6="No",M_FactoresComplement!$G$8="No"),M_Cálculos_ND!N56*M_Factores!$D$213,IF(AND(M_FactoresComplement!$G$6="Sí",M_FactoresComplement!$G$8="No"),N56*M_FactoresComplement!H39,N56*VLOOKUP(M_FactoresComplement!$C$38&amp;M_Datos!$E$12&amp;M_Lista!G20,M_FactoresComplement!$F$15:$I$434,3,FALSE)))</f>
        <v>0</v>
      </c>
      <c r="Q56" s="311">
        <f>SUMIFS(M_Datos!$V$68:$V$70,M_Datos!$W$68:$W$70,M_Lista!G21,M_Datos!$M$68:$M$70,M_Lista!$J$3)</f>
        <v>0</v>
      </c>
      <c r="R56" s="312">
        <f>IF(AND(M_FactoresComplement!$G$6="No",M_FactoresComplement!$G$8="No"),M_Cálculos_ND!Q56*M_Factores!$D$213,IF(AND(M_FactoresComplement!$G$6="Sí",M_FactoresComplement!$G$8="No"),Q56*M_FactoresComplement!G39,Q56*VLOOKUP(M_FactoresComplement!$C$38&amp;M_Datos!$E$12&amp;M_Lista!G20,M_FactoresComplement!$F$15:$I$434,2,FALSE)))</f>
        <v>0</v>
      </c>
      <c r="S56" s="313">
        <f>IF(AND(M_FactoresComplement!$G$6="No",M_FactoresComplement!$G$8="No"),M_Cálculos_ND!Q56*M_Factores!$D$213,IF(AND(M_FactoresComplement!$G$6="Sí",M_FactoresComplement!$G$8="No"),Q56*M_FactoresComplement!H39,Q56*VLOOKUP(M_FactoresComplement!$C$38&amp;M_Datos!$E$12&amp;M_Lista!G20,M_FactoresComplement!$F$15:$I$434,3,FALSE)))</f>
        <v>0</v>
      </c>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row>
    <row r="57" spans="2:841">
      <c r="B57" s="11"/>
      <c r="C57" s="657"/>
      <c r="D57" s="289" t="s">
        <v>628</v>
      </c>
      <c r="E57" s="311">
        <f>SUMIFS(M_Datos!$N$68:$N$70,M_Datos!$O$68:$O$70,M_Lista!G22,M_Datos!$M$68:$M$70,M_Lista!$J$3)</f>
        <v>0</v>
      </c>
      <c r="F57" s="312">
        <f>IF(AND(M_FactoresComplement!$G$6="No",M_FactoresComplement!$G$8="No"),M_Cálculos_ND!E57*M_Factores!$D$213,IF(AND(M_FactoresComplement!$G$6="Sí",M_FactoresComplement!$G$8="No"),E57*M_FactoresComplement!G40,E57*VLOOKUP(M_FactoresComplement!$C$38&amp;M_Datos!$E$12&amp;M_Lista!G21,M_FactoresComplement!$F$15:$I$434,2,FALSE)))</f>
        <v>0</v>
      </c>
      <c r="G57" s="313">
        <f>IF(AND(M_FactoresComplement!$G$6="No",M_FactoresComplement!$G$8="No"),M_Cálculos_ND!E57*M_Factores!$D$213,IF(AND(M_FactoresComplement!$G$6="Sí",M_FactoresComplement!$G$8="No"),E57*M_FactoresComplement!H40,E57*VLOOKUP(M_FactoresComplement!$C$38&amp;M_Datos!$E$12&amp;M_Lista!G21,M_FactoresComplement!$F$15:$I$434,3,FALSE)))</f>
        <v>0</v>
      </c>
      <c r="H57" s="311">
        <f>SUMIFS(M_Datos!$P$68:$P$70,M_Datos!$Q$68:$Q$70,M_Lista!G22,M_Datos!$M$68:$M$70,M_Lista!$J$3)</f>
        <v>0</v>
      </c>
      <c r="I57" s="312">
        <f>IF(AND(M_FactoresComplement!$G$6="No",M_FactoresComplement!$G$8="No"),M_Cálculos_ND!H57*M_Factores!$D$213,IF(AND(M_FactoresComplement!$G$6="Sí",M_FactoresComplement!$G$8="No"),H57*M_FactoresComplement!G40,H57*VLOOKUP(M_FactoresComplement!$C$38&amp;M_Datos!$E$12&amp;M_Lista!G21,M_FactoresComplement!$F$15:$I$434,2,FALSE)))</f>
        <v>0</v>
      </c>
      <c r="J57" s="313">
        <f>IF(AND(M_FactoresComplement!$G$6="No",M_FactoresComplement!$G$8="No"),M_Cálculos_ND!H57*M_Factores!$D$213,IF(AND(M_FactoresComplement!$G$6="Sí",M_FactoresComplement!$G$8="No"),H57*M_FactoresComplement!H40,H57*VLOOKUP(M_FactoresComplement!$C$38&amp;M_Datos!$E$12&amp;M_Lista!G21,M_FactoresComplement!$F$15:$I$434,3,FALSE)))</f>
        <v>0</v>
      </c>
      <c r="K57" s="311">
        <f>SUMIFS(M_Datos!$R$68:$R$70,M_Datos!$S$68:$S$70,M_Lista!G22,M_Datos!$M$68:$M$70,M_Lista!$J$3)</f>
        <v>0</v>
      </c>
      <c r="L57" s="312">
        <f>IF(AND(M_FactoresComplement!$G$6="No",M_FactoresComplement!$G$8="No"),M_Cálculos_ND!K57*M_Factores!$D$213,IF(AND(M_FactoresComplement!$G$6="Sí",M_FactoresComplement!$G$8="No"),K57*M_FactoresComplement!G40,K57*VLOOKUP(M_FactoresComplement!$C$38&amp;M_Datos!$E$12&amp;M_Lista!G21,M_FactoresComplement!$F$15:$I$434,2,FALSE)))</f>
        <v>0</v>
      </c>
      <c r="M57" s="313">
        <f>IF(AND(M_FactoresComplement!$G$6="No",M_FactoresComplement!$G$8="No"),M_Cálculos_ND!K57*M_Factores!$D$213,IF(AND(M_FactoresComplement!$G$6="Sí",M_FactoresComplement!$G$8="No"),K57*M_FactoresComplement!H40,K57*VLOOKUP(M_FactoresComplement!$C$38&amp;M_Datos!$E$12&amp;M_Lista!G21,M_FactoresComplement!$F$15:$I$434,3,FALSE)))</f>
        <v>0</v>
      </c>
      <c r="N57" s="311">
        <f>SUMIFS(M_Datos!$T$68:$T$70,M_Datos!$U$68:$U$70,M_Lista!G22,M_Datos!$M$68:$M$70,M_Lista!$J$3)</f>
        <v>0</v>
      </c>
      <c r="O57" s="312">
        <f>IF(AND(M_FactoresComplement!$G$6="No",M_FactoresComplement!$G$8="No"),M_Cálculos_ND!N57*M_Factores!$D$213,IF(AND(M_FactoresComplement!$G$6="Sí",M_FactoresComplement!$G$8="No"),N57*M_FactoresComplement!G40,N57*VLOOKUP(M_FactoresComplement!$C$38&amp;M_Datos!$E$12&amp;M_Lista!G21,M_FactoresComplement!$F$15:$I$434,2,FALSE)))</f>
        <v>0</v>
      </c>
      <c r="P57" s="313">
        <f>IF(AND(M_FactoresComplement!$G$6="No",M_FactoresComplement!$G$8="No"),M_Cálculos_ND!N57*M_Factores!$D$213,IF(AND(M_FactoresComplement!$G$6="Sí",M_FactoresComplement!$G$8="No"),N57*M_FactoresComplement!H40,N57*VLOOKUP(M_FactoresComplement!$C$38&amp;M_Datos!$E$12&amp;M_Lista!G21,M_FactoresComplement!$F$15:$I$434,3,FALSE)))</f>
        <v>0</v>
      </c>
      <c r="Q57" s="311">
        <f>SUMIFS(M_Datos!$V$68:$V$70,M_Datos!$W$68:$W$70,M_Lista!G22,M_Datos!$M$68:$M$70,M_Lista!$J$3)</f>
        <v>0</v>
      </c>
      <c r="R57" s="312">
        <f>IF(AND(M_FactoresComplement!$G$6="No",M_FactoresComplement!$G$8="No"),M_Cálculos_ND!Q57*M_Factores!$D$213,IF(AND(M_FactoresComplement!$G$6="Sí",M_FactoresComplement!$G$8="No"),Q57*M_FactoresComplement!G40,Q57*VLOOKUP(M_FactoresComplement!$C$38&amp;M_Datos!$E$12&amp;M_Lista!G21,M_FactoresComplement!$F$15:$I$434,2,FALSE)))</f>
        <v>0</v>
      </c>
      <c r="S57" s="313">
        <f>IF(AND(M_FactoresComplement!$G$6="No",M_FactoresComplement!$G$8="No"),M_Cálculos_ND!Q57*M_Factores!$D$213,IF(AND(M_FactoresComplement!$G$6="Sí",M_FactoresComplement!$G$8="No"),Q57*M_FactoresComplement!H40,Q57*VLOOKUP(M_FactoresComplement!$C$38&amp;M_Datos!$E$12&amp;M_Lista!G21,M_FactoresComplement!$F$15:$I$434,3,FALSE)))</f>
        <v>0</v>
      </c>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row>
    <row r="58" spans="2:841">
      <c r="B58" s="11"/>
      <c r="C58" s="657"/>
      <c r="D58" s="289" t="s">
        <v>629</v>
      </c>
      <c r="E58" s="311">
        <f>SUMIFS(M_Datos!$N$68:$N$70,M_Datos!$O$68:$O$70,M_Lista!G23,M_Datos!$M$68:$M$70,M_Lista!$J$3)</f>
        <v>0</v>
      </c>
      <c r="F58" s="312">
        <f>IF(AND(M_FactoresComplement!$G$6="No",M_FactoresComplement!$G$8="No"),M_Cálculos_ND!E58*M_Factores!$D$213,IF(AND(M_FactoresComplement!$G$6="Sí",M_FactoresComplement!$G$8="No"),E58*M_FactoresComplement!G41,E58*VLOOKUP(M_FactoresComplement!$C$38&amp;M_Datos!$E$12&amp;M_Lista!G22,M_FactoresComplement!$F$15:$I$434,2,FALSE)))</f>
        <v>0</v>
      </c>
      <c r="G58" s="313">
        <f>IF(AND(M_FactoresComplement!$G$6="No",M_FactoresComplement!$G$8="No"),M_Cálculos_ND!E58*M_Factores!$D$213,IF(AND(M_FactoresComplement!$G$6="Sí",M_FactoresComplement!$G$8="No"),E58*M_FactoresComplement!H41,E58*VLOOKUP(M_FactoresComplement!$C$38&amp;M_Datos!$E$12&amp;M_Lista!G22,M_FactoresComplement!$F$15:$I$434,3,FALSE)))</f>
        <v>0</v>
      </c>
      <c r="H58" s="311">
        <f>SUMIFS(M_Datos!$P$68:$P$70,M_Datos!$Q$68:$Q$70,M_Lista!G23,M_Datos!$M$68:$M$70,M_Lista!$J$3)</f>
        <v>0</v>
      </c>
      <c r="I58" s="312">
        <f>IF(AND(M_FactoresComplement!$G$6="No",M_FactoresComplement!$G$8="No"),M_Cálculos_ND!H58*M_Factores!$D$213,IF(AND(M_FactoresComplement!$G$6="Sí",M_FactoresComplement!$G$8="No"),H58*M_FactoresComplement!G41,H58*VLOOKUP(M_FactoresComplement!$C$38&amp;M_Datos!$E$12&amp;M_Lista!G22,M_FactoresComplement!$F$15:$I$434,2,FALSE)))</f>
        <v>0</v>
      </c>
      <c r="J58" s="313">
        <f>IF(AND(M_FactoresComplement!$G$6="No",M_FactoresComplement!$G$8="No"),M_Cálculos_ND!H58*M_Factores!$D$213,IF(AND(M_FactoresComplement!$G$6="Sí",M_FactoresComplement!$G$8="No"),H58*M_FactoresComplement!H41,H58*VLOOKUP(M_FactoresComplement!$C$38&amp;M_Datos!$E$12&amp;M_Lista!G22,M_FactoresComplement!$F$15:$I$434,3,FALSE)))</f>
        <v>0</v>
      </c>
      <c r="K58" s="311">
        <f>SUMIFS(M_Datos!$R$68:$R$70,M_Datos!$S$68:$S$70,M_Lista!G23,M_Datos!$M$68:$M$70,M_Lista!$J$3)</f>
        <v>0</v>
      </c>
      <c r="L58" s="312">
        <f>IF(AND(M_FactoresComplement!$G$6="No",M_FactoresComplement!$G$8="No"),M_Cálculos_ND!K58*M_Factores!$D$213,IF(AND(M_FactoresComplement!$G$6="Sí",M_FactoresComplement!$G$8="No"),K58*M_FactoresComplement!G41,K58*VLOOKUP(M_FactoresComplement!$C$38&amp;M_Datos!$E$12&amp;M_Lista!G22,M_FactoresComplement!$F$15:$I$434,2,FALSE)))</f>
        <v>0</v>
      </c>
      <c r="M58" s="313">
        <f>IF(AND(M_FactoresComplement!$G$6="No",M_FactoresComplement!$G$8="No"),M_Cálculos_ND!K58*M_Factores!$D$213,IF(AND(M_FactoresComplement!$G$6="Sí",M_FactoresComplement!$G$8="No"),K58*M_FactoresComplement!H41,K58*VLOOKUP(M_FactoresComplement!$C$38&amp;M_Datos!$E$12&amp;M_Lista!G22,M_FactoresComplement!$F$15:$I$434,3,FALSE)))</f>
        <v>0</v>
      </c>
      <c r="N58" s="311">
        <f>SUMIFS(M_Datos!$T$68:$T$70,M_Datos!$U$68:$U$70,M_Lista!G23,M_Datos!$M$68:$M$70,M_Lista!$J$3)</f>
        <v>0</v>
      </c>
      <c r="O58" s="312">
        <f>IF(AND(M_FactoresComplement!$G$6="No",M_FactoresComplement!$G$8="No"),M_Cálculos_ND!N58*M_Factores!$D$213,IF(AND(M_FactoresComplement!$G$6="Sí",M_FactoresComplement!$G$8="No"),N58*M_FactoresComplement!G41,N58*VLOOKUP(M_FactoresComplement!$C$38&amp;M_Datos!$E$12&amp;M_Lista!G22,M_FactoresComplement!$F$15:$I$434,2,FALSE)))</f>
        <v>0</v>
      </c>
      <c r="P58" s="313">
        <f>IF(AND(M_FactoresComplement!$G$6="No",M_FactoresComplement!$G$8="No"),M_Cálculos_ND!N58*M_Factores!$D$213,IF(AND(M_FactoresComplement!$G$6="Sí",M_FactoresComplement!$G$8="No"),N58*M_FactoresComplement!H41,N58*VLOOKUP(M_FactoresComplement!$C$38&amp;M_Datos!$E$12&amp;M_Lista!G22,M_FactoresComplement!$F$15:$I$434,3,FALSE)))</f>
        <v>0</v>
      </c>
      <c r="Q58" s="311">
        <f>SUMIFS(M_Datos!$V$68:$V$70,M_Datos!$W$68:$W$70,M_Lista!G23,M_Datos!$M$68:$M$70,M_Lista!$J$3)</f>
        <v>0</v>
      </c>
      <c r="R58" s="312">
        <f>IF(AND(M_FactoresComplement!$G$6="No",M_FactoresComplement!$G$8="No"),M_Cálculos_ND!Q58*M_Factores!$D$213,IF(AND(M_FactoresComplement!$G$6="Sí",M_FactoresComplement!$G$8="No"),Q58*M_FactoresComplement!G41,Q58*VLOOKUP(M_FactoresComplement!$C$38&amp;M_Datos!$E$12&amp;M_Lista!G22,M_FactoresComplement!$F$15:$I$434,2,FALSE)))</f>
        <v>0</v>
      </c>
      <c r="S58" s="313">
        <f>IF(AND(M_FactoresComplement!$G$6="No",M_FactoresComplement!$G$8="No"),M_Cálculos_ND!Q58*M_Factores!$D$213,IF(AND(M_FactoresComplement!$G$6="Sí",M_FactoresComplement!$G$8="No"),Q58*M_FactoresComplement!H41,Q58*VLOOKUP(M_FactoresComplement!$C$38&amp;M_Datos!$E$12&amp;M_Lista!G22,M_FactoresComplement!$F$15:$I$434,3,FALSE)))</f>
        <v>0</v>
      </c>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row>
    <row r="59" spans="2:841">
      <c r="B59" s="11"/>
      <c r="C59" s="657"/>
      <c r="D59" s="289" t="str">
        <f>IF(Idioma=Castellano,"Sin definir",IF(Idioma=Valencià,"Sense definir","Sin definir"))</f>
        <v>Sin definir</v>
      </c>
      <c r="E59" s="311">
        <f>SUMIFS(M_Datos!$N$68:$N$70,M_Datos!$O$68:$O$70,M_Lista!G24,M_Datos!$M$68:$M$70,M_Lista!$J$3)</f>
        <v>0</v>
      </c>
      <c r="F59" s="312">
        <f>IF(AND(M_FactoresComplement!$G$6="No",M_FactoresComplement!$G$8="No"),M_Cálculos_ND!E59*M_Factores!$D$213,IF(AND(M_FactoresComplement!$G$6="Sí",M_FactoresComplement!$G$8="No"),E59*M_FactoresComplement!G42,E59*VLOOKUP(M_FactoresComplement!$C$38&amp;M_Datos!$E$12&amp;M_Lista!G23,M_FactoresComplement!$F$15:$I$434,2,FALSE)))</f>
        <v>0</v>
      </c>
      <c r="G59" s="313">
        <f>IF(AND(M_FactoresComplement!$G$6="No",M_FactoresComplement!$G$8="No"),M_Cálculos_ND!E59*M_Factores!$D$213,IF(AND(M_FactoresComplement!$G$6="Sí",M_FactoresComplement!$G$8="No"),E59*M_FactoresComplement!H42,E59*VLOOKUP(M_FactoresComplement!$C$38&amp;M_Datos!$E$12&amp;M_Lista!G23,M_FactoresComplement!$F$15:$I$434,3,FALSE)))</f>
        <v>0</v>
      </c>
      <c r="H59" s="311">
        <f>SUMIFS(M_Datos!$P$68:$P$70,M_Datos!$Q$68:$Q$70,M_Lista!G24,M_Datos!$M$68:$M$70,M_Lista!$J$3)</f>
        <v>0</v>
      </c>
      <c r="I59" s="312">
        <f>IF(AND(M_FactoresComplement!$G$6="No",M_FactoresComplement!$G$8="No"),M_Cálculos_ND!H59*M_Factores!$D$213,IF(AND(M_FactoresComplement!$G$6="Sí",M_FactoresComplement!$G$8="No"),H59*M_FactoresComplement!G42,H59*VLOOKUP(M_FactoresComplement!$C$38&amp;M_Datos!$E$12&amp;M_Lista!G23,M_FactoresComplement!$F$15:$I$434,2,FALSE)))</f>
        <v>0</v>
      </c>
      <c r="J59" s="313">
        <f>IF(AND(M_FactoresComplement!$G$6="No",M_FactoresComplement!$G$8="No"),M_Cálculos_ND!H59*M_Factores!$D$213,IF(AND(M_FactoresComplement!$G$6="Sí",M_FactoresComplement!$G$8="No"),H59*M_FactoresComplement!H42,H59*VLOOKUP(M_FactoresComplement!$C$38&amp;M_Datos!$E$12&amp;M_Lista!G23,M_FactoresComplement!$F$15:$I$434,3,FALSE)))</f>
        <v>0</v>
      </c>
      <c r="K59" s="311">
        <f>SUMIFS(M_Datos!$R$68:$R$70,M_Datos!$S$68:$S$70,M_Lista!G24,M_Datos!$M$68:$M$70,M_Lista!$J$3)</f>
        <v>0</v>
      </c>
      <c r="L59" s="312">
        <f>IF(AND(M_FactoresComplement!$G$6="No",M_FactoresComplement!$G$8="No"),M_Cálculos_ND!K59*M_Factores!$D$213,IF(AND(M_FactoresComplement!$G$6="Sí",M_FactoresComplement!$G$8="No"),K59*M_FactoresComplement!G42,K59*VLOOKUP(M_FactoresComplement!$C$38&amp;M_Datos!$E$12&amp;M_Lista!G23,M_FactoresComplement!$F$15:$I$434,2,FALSE)))</f>
        <v>0</v>
      </c>
      <c r="M59" s="313">
        <f>IF(AND(M_FactoresComplement!$G$6="No",M_FactoresComplement!$G$8="No"),M_Cálculos_ND!K59*M_Factores!$D$213,IF(AND(M_FactoresComplement!$G$6="Sí",M_FactoresComplement!$G$8="No"),K59*M_FactoresComplement!H42,K59*VLOOKUP(M_FactoresComplement!$C$38&amp;M_Datos!$E$12&amp;M_Lista!G23,M_FactoresComplement!$F$15:$I$434,3,FALSE)))</f>
        <v>0</v>
      </c>
      <c r="N59" s="311">
        <f>SUMIFS(M_Datos!$T$68:$T$70,M_Datos!$U$68:$U$70,M_Lista!G24,M_Datos!$M$68:$M$70,M_Lista!$J$3)</f>
        <v>0</v>
      </c>
      <c r="O59" s="312">
        <f>IF(AND(M_FactoresComplement!$G$6="No",M_FactoresComplement!$G$8="No"),M_Cálculos_ND!N59*M_Factores!$D$213,IF(AND(M_FactoresComplement!$G$6="Sí",M_FactoresComplement!$G$8="No"),N59*M_FactoresComplement!G42,N59*VLOOKUP(M_FactoresComplement!$C$38&amp;M_Datos!$E$12&amp;M_Lista!G23,M_FactoresComplement!$F$15:$I$434,2,FALSE)))</f>
        <v>0</v>
      </c>
      <c r="P59" s="313">
        <f>IF(AND(M_FactoresComplement!$G$6="No",M_FactoresComplement!$G$8="No"),M_Cálculos_ND!N59*M_Factores!$D$213,IF(AND(M_FactoresComplement!$G$6="Sí",M_FactoresComplement!$G$8="No"),N59*M_FactoresComplement!H42,N59*VLOOKUP(M_FactoresComplement!$C$38&amp;M_Datos!$E$12&amp;M_Lista!G23,M_FactoresComplement!$F$15:$I$434,3,FALSE)))</f>
        <v>0</v>
      </c>
      <c r="Q59" s="311">
        <f>SUMIFS(M_Datos!$V$68:$V$70,M_Datos!$W$68:$W$70,M_Lista!G24,M_Datos!$M$68:$M$70,M_Lista!$J$3)</f>
        <v>0</v>
      </c>
      <c r="R59" s="312">
        <f>IF(AND(M_FactoresComplement!$G$6="No",M_FactoresComplement!$G$8="No"),M_Cálculos_ND!Q59*M_Factores!$D$213,IF(AND(M_FactoresComplement!$G$6="Sí",M_FactoresComplement!$G$8="No"),Q59*M_FactoresComplement!G42,Q59*VLOOKUP(M_FactoresComplement!$C$38&amp;M_Datos!$E$12&amp;M_Lista!G23,M_FactoresComplement!$F$15:$I$434,2,FALSE)))</f>
        <v>0</v>
      </c>
      <c r="S59" s="313">
        <f>IF(AND(M_FactoresComplement!$G$6="No",M_FactoresComplement!$G$8="No"),M_Cálculos_ND!Q59*M_Factores!$D$213,IF(AND(M_FactoresComplement!$G$6="Sí",M_FactoresComplement!$G$8="No"),Q59*M_FactoresComplement!H42,Q59*VLOOKUP(M_FactoresComplement!$C$38&amp;M_Datos!$E$12&amp;M_Lista!G23,M_FactoresComplement!$F$15:$I$434,3,FALSE)))</f>
        <v>0</v>
      </c>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row>
    <row r="60" spans="2:841">
      <c r="B60" s="11"/>
      <c r="C60" s="657"/>
      <c r="D60" s="289" t="str">
        <f>IF(Idioma=Castellano,"Consumo nulo",IF(Idioma=Valencià,"Consum nul","Consumo nulo"))</f>
        <v>Consumo nulo</v>
      </c>
      <c r="E60" s="311">
        <f>SUMIFS(M_Datos!$N$68:$N$70,M_Datos!$O$68:$O$70,M_Lista!G25,M_Datos!$M$68:$M$70,M_Lista!$J$3)</f>
        <v>0</v>
      </c>
      <c r="F60" s="312">
        <v>0</v>
      </c>
      <c r="G60" s="313">
        <v>0</v>
      </c>
      <c r="H60" s="311">
        <f>SUMIFS(M_Datos!$P$68:$P$70,M_Datos!$Q$68:$Q$70,M_Lista!G25,M_Datos!$M$68:$M$70,M_Lista!$J$3)</f>
        <v>0</v>
      </c>
      <c r="I60" s="312">
        <v>0</v>
      </c>
      <c r="J60" s="313">
        <v>0</v>
      </c>
      <c r="K60" s="311">
        <f>SUMIFS(M_Datos!$R$68:$R$70,M_Datos!$S$68:$S$70,M_Lista!G25,M_Datos!$M$68:$M$70,M_Lista!$J$3)</f>
        <v>0</v>
      </c>
      <c r="L60" s="312">
        <v>0</v>
      </c>
      <c r="M60" s="313">
        <v>0</v>
      </c>
      <c r="N60" s="311">
        <f>SUMIFS(M_Datos!$T$68:$T$70,M_Datos!$U$68:$U$70,M_Lista!G25,M_Datos!$M$68:$M$70,M_Lista!$J$3)</f>
        <v>0</v>
      </c>
      <c r="O60" s="312">
        <v>0</v>
      </c>
      <c r="P60" s="313">
        <v>0</v>
      </c>
      <c r="Q60" s="311">
        <f>SUMIFS(M_Datos!$V$68:$V$70,M_Datos!$W$68:$W$70,M_Lista!G25,M_Datos!$M$68:$M$70,M_Lista!$J$3)</f>
        <v>0</v>
      </c>
      <c r="R60" s="312">
        <v>0</v>
      </c>
      <c r="S60" s="313">
        <v>0</v>
      </c>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c r="XX60" s="11"/>
      <c r="XY60" s="11"/>
      <c r="XZ60" s="11"/>
      <c r="YA60" s="11"/>
      <c r="YB60" s="11"/>
      <c r="YC60" s="11"/>
      <c r="YD60" s="11"/>
      <c r="YE60" s="11"/>
      <c r="YF60" s="11"/>
      <c r="YG60" s="11"/>
      <c r="YH60" s="11"/>
      <c r="YI60" s="11"/>
      <c r="YJ60" s="11"/>
      <c r="YK60" s="11"/>
      <c r="YL60" s="11"/>
      <c r="YM60" s="11"/>
      <c r="YN60" s="11"/>
      <c r="YO60" s="11"/>
      <c r="YP60" s="11"/>
      <c r="YQ60" s="11"/>
      <c r="YR60" s="11"/>
      <c r="YS60" s="11"/>
      <c r="YT60" s="11"/>
      <c r="YU60" s="11"/>
      <c r="YV60" s="11"/>
      <c r="YW60" s="11"/>
      <c r="YX60" s="11"/>
      <c r="YY60" s="11"/>
      <c r="YZ60" s="11"/>
      <c r="ZA60" s="11"/>
      <c r="ZB60" s="11"/>
      <c r="ZC60" s="11"/>
      <c r="ZD60" s="11"/>
      <c r="ZE60" s="11"/>
      <c r="ZF60" s="11"/>
      <c r="ZG60" s="11"/>
      <c r="ZH60" s="11"/>
      <c r="ZI60" s="11"/>
      <c r="ZJ60" s="11"/>
      <c r="ZK60" s="11"/>
      <c r="ZL60" s="11"/>
      <c r="ZM60" s="11"/>
      <c r="ZN60" s="11"/>
      <c r="ZO60" s="11"/>
      <c r="ZP60" s="11"/>
      <c r="ZQ60" s="11"/>
      <c r="ZR60" s="11"/>
      <c r="ZS60" s="11"/>
      <c r="ZT60" s="11"/>
      <c r="ZU60" s="11"/>
      <c r="ZV60" s="11"/>
      <c r="ZW60" s="11"/>
      <c r="ZX60" s="11"/>
      <c r="ZY60" s="11"/>
      <c r="ZZ60" s="11"/>
      <c r="AAA60" s="11"/>
      <c r="AAB60" s="11"/>
      <c r="AAC60" s="11"/>
      <c r="AAD60" s="11"/>
      <c r="AAE60" s="11"/>
      <c r="AAF60" s="11"/>
      <c r="AAG60" s="11"/>
      <c r="AAH60" s="11"/>
      <c r="AAI60" s="11"/>
      <c r="AAJ60" s="11"/>
      <c r="AAK60" s="11"/>
      <c r="AAL60" s="11"/>
      <c r="AAM60" s="11"/>
      <c r="AAN60" s="11"/>
      <c r="AAO60" s="11"/>
      <c r="AAP60" s="11"/>
      <c r="AAQ60" s="11"/>
      <c r="AAR60" s="11"/>
      <c r="AAS60" s="11"/>
      <c r="AAT60" s="11"/>
      <c r="AAU60" s="11"/>
      <c r="AAV60" s="11"/>
      <c r="AAW60" s="11"/>
      <c r="AAX60" s="11"/>
      <c r="AAY60" s="11"/>
      <c r="AAZ60" s="11"/>
      <c r="ABA60" s="11"/>
      <c r="ABB60" s="11"/>
      <c r="ABC60" s="11"/>
      <c r="ABD60" s="11"/>
      <c r="ABE60" s="11"/>
      <c r="ABF60" s="11"/>
      <c r="ABG60" s="11"/>
      <c r="ABH60" s="11"/>
      <c r="ABI60" s="11"/>
      <c r="ABJ60" s="11"/>
      <c r="ABK60" s="11"/>
      <c r="ABL60" s="11"/>
      <c r="ABM60" s="11"/>
      <c r="ABN60" s="11"/>
      <c r="ABO60" s="11"/>
      <c r="ABP60" s="11"/>
      <c r="ABQ60" s="11"/>
      <c r="ABR60" s="11"/>
      <c r="ABS60" s="11"/>
      <c r="ABT60" s="11"/>
      <c r="ABU60" s="11"/>
      <c r="ABV60" s="11"/>
      <c r="ABW60" s="11"/>
      <c r="ABX60" s="11"/>
      <c r="ABY60" s="11"/>
      <c r="ABZ60" s="11"/>
      <c r="ACA60" s="11"/>
      <c r="ACB60" s="11"/>
      <c r="ACC60" s="11"/>
      <c r="ACD60" s="11"/>
      <c r="ACE60" s="11"/>
      <c r="ACF60" s="11"/>
      <c r="ACG60" s="11"/>
      <c r="ACH60" s="11"/>
      <c r="ACI60" s="11"/>
      <c r="ACJ60" s="11"/>
      <c r="ACK60" s="11"/>
      <c r="ACL60" s="11"/>
      <c r="ACM60" s="11"/>
      <c r="ACN60" s="11"/>
      <c r="ACO60" s="11"/>
      <c r="ACP60" s="11"/>
      <c r="ACQ60" s="11"/>
      <c r="ACR60" s="11"/>
      <c r="ACS60" s="11"/>
      <c r="ACT60" s="11"/>
      <c r="ACU60" s="11"/>
      <c r="ACV60" s="11"/>
      <c r="ACW60" s="11"/>
      <c r="ACX60" s="11"/>
      <c r="ACY60" s="11"/>
      <c r="ACZ60" s="11"/>
      <c r="ADA60" s="11"/>
      <c r="ADB60" s="11"/>
      <c r="ADC60" s="11"/>
      <c r="ADD60" s="11"/>
      <c r="ADE60" s="11"/>
      <c r="ADF60" s="11"/>
      <c r="ADG60" s="11"/>
      <c r="ADH60" s="11"/>
      <c r="ADI60" s="11"/>
      <c r="ADJ60" s="11"/>
      <c r="ADK60" s="11"/>
      <c r="ADL60" s="11"/>
      <c r="ADM60" s="11"/>
      <c r="ADN60" s="11"/>
      <c r="ADO60" s="11"/>
      <c r="ADP60" s="11"/>
      <c r="ADQ60" s="11"/>
      <c r="ADR60" s="11"/>
      <c r="ADS60" s="11"/>
      <c r="ADT60" s="11"/>
      <c r="ADU60" s="11"/>
      <c r="ADV60" s="11"/>
      <c r="ADW60" s="11"/>
      <c r="ADX60" s="11"/>
      <c r="ADY60" s="11"/>
      <c r="ADZ60" s="11"/>
      <c r="AEA60" s="11"/>
      <c r="AEB60" s="11"/>
      <c r="AEC60" s="11"/>
      <c r="AED60" s="11"/>
      <c r="AEE60" s="11"/>
      <c r="AEF60" s="11"/>
      <c r="AEG60" s="11"/>
      <c r="AEH60" s="11"/>
      <c r="AEI60" s="11"/>
      <c r="AEJ60" s="11"/>
      <c r="AEK60" s="11"/>
      <c r="AEL60" s="11"/>
      <c r="AEM60" s="11"/>
      <c r="AEN60" s="11"/>
      <c r="AEO60" s="11"/>
      <c r="AEP60" s="11"/>
      <c r="AEQ60" s="11"/>
      <c r="AER60" s="11"/>
      <c r="AES60" s="11"/>
      <c r="AET60" s="11"/>
      <c r="AEU60" s="11"/>
      <c r="AEV60" s="11"/>
      <c r="AEW60" s="11"/>
      <c r="AEX60" s="11"/>
      <c r="AEY60" s="11"/>
      <c r="AEZ60" s="11"/>
      <c r="AFA60" s="11"/>
      <c r="AFB60" s="11"/>
      <c r="AFC60" s="11"/>
      <c r="AFD60" s="11"/>
      <c r="AFE60" s="11"/>
      <c r="AFF60" s="11"/>
      <c r="AFG60" s="11"/>
      <c r="AFH60" s="11"/>
      <c r="AFI60" s="11"/>
    </row>
    <row r="61" spans="2:841">
      <c r="B61" s="11"/>
      <c r="C61" s="657"/>
      <c r="D61" s="315" t="s">
        <v>925</v>
      </c>
      <c r="E61" s="316">
        <f t="shared" ref="E61:S61" si="4">SUM(E53:E60)</f>
        <v>0</v>
      </c>
      <c r="F61" s="314">
        <f t="shared" si="4"/>
        <v>0</v>
      </c>
      <c r="G61" s="317">
        <f t="shared" si="4"/>
        <v>0</v>
      </c>
      <c r="H61" s="316">
        <f t="shared" si="4"/>
        <v>0</v>
      </c>
      <c r="I61" s="314">
        <f t="shared" si="4"/>
        <v>0</v>
      </c>
      <c r="J61" s="317">
        <f t="shared" si="4"/>
        <v>0</v>
      </c>
      <c r="K61" s="316">
        <f t="shared" si="4"/>
        <v>0</v>
      </c>
      <c r="L61" s="314">
        <f t="shared" si="4"/>
        <v>0</v>
      </c>
      <c r="M61" s="317">
        <f t="shared" si="4"/>
        <v>0</v>
      </c>
      <c r="N61" s="316">
        <f t="shared" si="4"/>
        <v>0</v>
      </c>
      <c r="O61" s="314">
        <f t="shared" si="4"/>
        <v>0</v>
      </c>
      <c r="P61" s="317">
        <f t="shared" si="4"/>
        <v>0</v>
      </c>
      <c r="Q61" s="316">
        <f t="shared" si="4"/>
        <v>0</v>
      </c>
      <c r="R61" s="314">
        <f t="shared" si="4"/>
        <v>0</v>
      </c>
      <c r="S61" s="317">
        <f t="shared" si="4"/>
        <v>0</v>
      </c>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c r="PU61" s="11"/>
      <c r="PV61" s="11"/>
      <c r="PW61" s="11"/>
      <c r="PX61" s="11"/>
      <c r="PY61" s="11"/>
      <c r="PZ61" s="11"/>
      <c r="QA61" s="11"/>
      <c r="QB61" s="11"/>
      <c r="QC61" s="11"/>
      <c r="QD61" s="11"/>
      <c r="QE61" s="11"/>
      <c r="QF61" s="11"/>
      <c r="QG61" s="11"/>
      <c r="QH61" s="11"/>
      <c r="QI61" s="11"/>
      <c r="QJ61" s="11"/>
      <c r="QK61" s="11"/>
      <c r="QL61" s="11"/>
      <c r="QM61" s="11"/>
      <c r="QN61" s="11"/>
      <c r="QO61" s="11"/>
      <c r="QP61" s="11"/>
      <c r="QQ61" s="11"/>
      <c r="QR61" s="11"/>
      <c r="QS61" s="11"/>
      <c r="QT61" s="11"/>
      <c r="QU61" s="11"/>
      <c r="QV61" s="11"/>
      <c r="QW61" s="11"/>
      <c r="QX61" s="11"/>
      <c r="QY61" s="11"/>
      <c r="QZ61" s="11"/>
      <c r="RA61" s="11"/>
      <c r="RB61" s="11"/>
      <c r="RC61" s="11"/>
      <c r="RD61" s="11"/>
      <c r="RE61" s="11"/>
      <c r="RF61" s="11"/>
      <c r="RG61" s="11"/>
      <c r="RH61" s="11"/>
      <c r="RI61" s="11"/>
      <c r="RJ61" s="11"/>
      <c r="RK61" s="11"/>
      <c r="RL61" s="11"/>
      <c r="RM61" s="11"/>
      <c r="RN61" s="11"/>
      <c r="RO61" s="11"/>
      <c r="RP61" s="11"/>
      <c r="RQ61" s="11"/>
      <c r="RR61" s="11"/>
      <c r="RS61" s="11"/>
      <c r="RT61" s="11"/>
      <c r="RU61" s="11"/>
      <c r="RV61" s="11"/>
      <c r="RW61" s="11"/>
      <c r="RX61" s="11"/>
      <c r="RY61" s="11"/>
      <c r="RZ61" s="11"/>
      <c r="SA61" s="11"/>
      <c r="SB61" s="11"/>
      <c r="SC61" s="11"/>
      <c r="SD61" s="11"/>
      <c r="SE61" s="11"/>
      <c r="SF61" s="11"/>
      <c r="SG61" s="11"/>
      <c r="SH61" s="11"/>
      <c r="SI61" s="11"/>
      <c r="SJ61" s="11"/>
      <c r="SK61" s="11"/>
      <c r="SL61" s="11"/>
      <c r="SM61" s="11"/>
      <c r="SN61" s="11"/>
      <c r="SO61" s="11"/>
      <c r="SP61" s="11"/>
      <c r="SQ61" s="11"/>
      <c r="SR61" s="11"/>
      <c r="SS61" s="11"/>
      <c r="ST61" s="11"/>
      <c r="SU61" s="11"/>
      <c r="SV61" s="11"/>
      <c r="SW61" s="11"/>
      <c r="SX61" s="11"/>
      <c r="SY61" s="11"/>
      <c r="SZ61" s="11"/>
      <c r="TA61" s="11"/>
      <c r="TB61" s="11"/>
      <c r="TC61" s="11"/>
      <c r="TD61" s="11"/>
      <c r="TE61" s="11"/>
      <c r="TF61" s="11"/>
      <c r="TG61" s="11"/>
      <c r="TH61" s="11"/>
      <c r="TI61" s="11"/>
      <c r="TJ61" s="11"/>
      <c r="TK61" s="11"/>
      <c r="TL61" s="11"/>
      <c r="TM61" s="11"/>
      <c r="TN61" s="11"/>
      <c r="TO61" s="11"/>
      <c r="TP61" s="11"/>
      <c r="TQ61" s="11"/>
      <c r="TR61" s="11"/>
      <c r="TS61" s="11"/>
      <c r="TT61" s="11"/>
      <c r="TU61" s="11"/>
      <c r="TV61" s="11"/>
      <c r="TW61" s="11"/>
      <c r="TX61" s="11"/>
      <c r="TY61" s="11"/>
      <c r="TZ61" s="11"/>
      <c r="UA61" s="11"/>
      <c r="UB61" s="11"/>
      <c r="UC61" s="11"/>
      <c r="UD61" s="11"/>
      <c r="UE61" s="11"/>
      <c r="UF61" s="11"/>
      <c r="UG61" s="11"/>
      <c r="UH61" s="11"/>
      <c r="UI61" s="11"/>
      <c r="UJ61" s="11"/>
      <c r="UK61" s="11"/>
      <c r="UL61" s="11"/>
      <c r="UM61" s="11"/>
      <c r="UN61" s="11"/>
      <c r="UO61" s="11"/>
      <c r="UP61" s="11"/>
      <c r="UQ61" s="11"/>
      <c r="UR61" s="11"/>
      <c r="US61" s="11"/>
      <c r="UT61" s="11"/>
      <c r="UU61" s="11"/>
      <c r="UV61" s="11"/>
      <c r="UW61" s="11"/>
      <c r="UX61" s="11"/>
      <c r="UY61" s="11"/>
      <c r="UZ61" s="11"/>
      <c r="VA61" s="11"/>
      <c r="VB61" s="11"/>
      <c r="VC61" s="11"/>
      <c r="VD61" s="11"/>
      <c r="VE61" s="11"/>
      <c r="VF61" s="11"/>
      <c r="VG61" s="11"/>
      <c r="VH61" s="11"/>
      <c r="VI61" s="11"/>
      <c r="VJ61" s="11"/>
      <c r="VK61" s="11"/>
      <c r="VL61" s="11"/>
      <c r="VM61" s="11"/>
      <c r="VN61" s="11"/>
      <c r="VO61" s="11"/>
      <c r="VP61" s="11"/>
      <c r="VQ61" s="11"/>
      <c r="VR61" s="11"/>
      <c r="VS61" s="11"/>
      <c r="VT61" s="11"/>
      <c r="VU61" s="11"/>
      <c r="VV61" s="11"/>
      <c r="VW61" s="11"/>
      <c r="VX61" s="11"/>
      <c r="VY61" s="11"/>
      <c r="VZ61" s="11"/>
      <c r="WA61" s="11"/>
      <c r="WB61" s="11"/>
      <c r="WC61" s="11"/>
      <c r="WD61" s="11"/>
      <c r="WE61" s="11"/>
      <c r="WF61" s="11"/>
      <c r="WG61" s="11"/>
      <c r="WH61" s="11"/>
      <c r="WI61" s="11"/>
      <c r="WJ61" s="11"/>
      <c r="WK61" s="11"/>
      <c r="WL61" s="11"/>
      <c r="WM61" s="11"/>
      <c r="WN61" s="11"/>
      <c r="WO61" s="11"/>
      <c r="WP61" s="11"/>
      <c r="WQ61" s="11"/>
      <c r="WR61" s="11"/>
      <c r="WS61" s="11"/>
      <c r="WT61" s="11"/>
      <c r="WU61" s="11"/>
      <c r="WV61" s="11"/>
      <c r="WW61" s="11"/>
      <c r="WX61" s="11"/>
      <c r="WY61" s="11"/>
      <c r="WZ61" s="11"/>
      <c r="XA61" s="11"/>
      <c r="XB61" s="11"/>
      <c r="XC61" s="11"/>
      <c r="XD61" s="11"/>
      <c r="XE61" s="11"/>
      <c r="XF61" s="11"/>
      <c r="XG61" s="11"/>
      <c r="XH61" s="11"/>
      <c r="XI61" s="11"/>
      <c r="XJ61" s="11"/>
      <c r="XK61" s="11"/>
      <c r="XL61" s="11"/>
      <c r="XM61" s="11"/>
      <c r="XN61" s="11"/>
      <c r="XO61" s="11"/>
      <c r="XP61" s="11"/>
      <c r="XQ61" s="11"/>
      <c r="XR61" s="11"/>
      <c r="XS61" s="11"/>
      <c r="XT61" s="11"/>
      <c r="XU61" s="11"/>
      <c r="XV61" s="11"/>
      <c r="XW61" s="11"/>
      <c r="XX61" s="11"/>
      <c r="XY61" s="11"/>
      <c r="XZ61" s="11"/>
      <c r="YA61" s="11"/>
      <c r="YB61" s="11"/>
      <c r="YC61" s="11"/>
      <c r="YD61" s="11"/>
      <c r="YE61" s="11"/>
      <c r="YF61" s="11"/>
      <c r="YG61" s="11"/>
      <c r="YH61" s="11"/>
      <c r="YI61" s="11"/>
      <c r="YJ61" s="11"/>
      <c r="YK61" s="11"/>
      <c r="YL61" s="11"/>
      <c r="YM61" s="11"/>
      <c r="YN61" s="11"/>
      <c r="YO61" s="11"/>
      <c r="YP61" s="11"/>
      <c r="YQ61" s="11"/>
      <c r="YR61" s="11"/>
      <c r="YS61" s="11"/>
      <c r="YT61" s="11"/>
      <c r="YU61" s="11"/>
      <c r="YV61" s="11"/>
      <c r="YW61" s="11"/>
      <c r="YX61" s="11"/>
      <c r="YY61" s="11"/>
      <c r="YZ61" s="11"/>
      <c r="ZA61" s="11"/>
      <c r="ZB61" s="11"/>
      <c r="ZC61" s="11"/>
      <c r="ZD61" s="11"/>
      <c r="ZE61" s="11"/>
      <c r="ZF61" s="11"/>
      <c r="ZG61" s="11"/>
      <c r="ZH61" s="11"/>
      <c r="ZI61" s="11"/>
      <c r="ZJ61" s="11"/>
      <c r="ZK61" s="11"/>
      <c r="ZL61" s="11"/>
      <c r="ZM61" s="11"/>
      <c r="ZN61" s="11"/>
      <c r="ZO61" s="11"/>
      <c r="ZP61" s="11"/>
      <c r="ZQ61" s="11"/>
      <c r="ZR61" s="11"/>
      <c r="ZS61" s="11"/>
      <c r="ZT61" s="11"/>
      <c r="ZU61" s="11"/>
      <c r="ZV61" s="11"/>
      <c r="ZW61" s="11"/>
      <c r="ZX61" s="11"/>
      <c r="ZY61" s="11"/>
      <c r="ZZ61" s="11"/>
      <c r="AAA61" s="11"/>
      <c r="AAB61" s="11"/>
      <c r="AAC61" s="11"/>
      <c r="AAD61" s="11"/>
      <c r="AAE61" s="11"/>
      <c r="AAF61" s="11"/>
      <c r="AAG61" s="11"/>
      <c r="AAH61" s="11"/>
      <c r="AAI61" s="11"/>
      <c r="AAJ61" s="11"/>
      <c r="AAK61" s="11"/>
      <c r="AAL61" s="11"/>
      <c r="AAM61" s="11"/>
      <c r="AAN61" s="11"/>
      <c r="AAO61" s="11"/>
      <c r="AAP61" s="11"/>
      <c r="AAQ61" s="11"/>
      <c r="AAR61" s="11"/>
      <c r="AAS61" s="11"/>
      <c r="AAT61" s="11"/>
      <c r="AAU61" s="11"/>
      <c r="AAV61" s="11"/>
      <c r="AAW61" s="11"/>
      <c r="AAX61" s="11"/>
      <c r="AAY61" s="11"/>
      <c r="AAZ61" s="11"/>
      <c r="ABA61" s="11"/>
      <c r="ABB61" s="11"/>
      <c r="ABC61" s="11"/>
      <c r="ABD61" s="11"/>
      <c r="ABE61" s="11"/>
      <c r="ABF61" s="11"/>
      <c r="ABG61" s="11"/>
      <c r="ABH61" s="11"/>
      <c r="ABI61" s="11"/>
      <c r="ABJ61" s="11"/>
      <c r="ABK61" s="11"/>
      <c r="ABL61" s="11"/>
      <c r="ABM61" s="11"/>
      <c r="ABN61" s="11"/>
      <c r="ABO61" s="11"/>
      <c r="ABP61" s="11"/>
      <c r="ABQ61" s="11"/>
      <c r="ABR61" s="11"/>
      <c r="ABS61" s="11"/>
      <c r="ABT61" s="11"/>
      <c r="ABU61" s="11"/>
      <c r="ABV61" s="11"/>
      <c r="ABW61" s="11"/>
      <c r="ABX61" s="11"/>
      <c r="ABY61" s="11"/>
      <c r="ABZ61" s="11"/>
      <c r="ACA61" s="11"/>
      <c r="ACB61" s="11"/>
      <c r="ACC61" s="11"/>
      <c r="ACD61" s="11"/>
      <c r="ACE61" s="11"/>
      <c r="ACF61" s="11"/>
      <c r="ACG61" s="11"/>
      <c r="ACH61" s="11"/>
      <c r="ACI61" s="11"/>
      <c r="ACJ61" s="11"/>
      <c r="ACK61" s="11"/>
      <c r="ACL61" s="11"/>
      <c r="ACM61" s="11"/>
      <c r="ACN61" s="11"/>
      <c r="ACO61" s="11"/>
      <c r="ACP61" s="11"/>
      <c r="ACQ61" s="11"/>
      <c r="ACR61" s="11"/>
      <c r="ACS61" s="11"/>
      <c r="ACT61" s="11"/>
      <c r="ACU61" s="11"/>
      <c r="ACV61" s="11"/>
      <c r="ACW61" s="11"/>
      <c r="ACX61" s="11"/>
      <c r="ACY61" s="11"/>
      <c r="ACZ61" s="11"/>
      <c r="ADA61" s="11"/>
      <c r="ADB61" s="11"/>
      <c r="ADC61" s="11"/>
      <c r="ADD61" s="11"/>
      <c r="ADE61" s="11"/>
      <c r="ADF61" s="11"/>
      <c r="ADG61" s="11"/>
      <c r="ADH61" s="11"/>
      <c r="ADI61" s="11"/>
      <c r="ADJ61" s="11"/>
      <c r="ADK61" s="11"/>
      <c r="ADL61" s="11"/>
      <c r="ADM61" s="11"/>
      <c r="ADN61" s="11"/>
      <c r="ADO61" s="11"/>
      <c r="ADP61" s="11"/>
      <c r="ADQ61" s="11"/>
      <c r="ADR61" s="11"/>
      <c r="ADS61" s="11"/>
      <c r="ADT61" s="11"/>
      <c r="ADU61" s="11"/>
      <c r="ADV61" s="11"/>
      <c r="ADW61" s="11"/>
      <c r="ADX61" s="11"/>
      <c r="ADY61" s="11"/>
      <c r="ADZ61" s="11"/>
      <c r="AEA61" s="11"/>
      <c r="AEB61" s="11"/>
      <c r="AEC61" s="11"/>
      <c r="AED61" s="11"/>
      <c r="AEE61" s="11"/>
      <c r="AEF61" s="11"/>
      <c r="AEG61" s="11"/>
      <c r="AEH61" s="11"/>
      <c r="AEI61" s="11"/>
      <c r="AEJ61" s="11"/>
      <c r="AEK61" s="11"/>
      <c r="AEL61" s="11"/>
      <c r="AEM61" s="11"/>
      <c r="AEN61" s="11"/>
      <c r="AEO61" s="11"/>
      <c r="AEP61" s="11"/>
      <c r="AEQ61" s="11"/>
      <c r="AER61" s="11"/>
      <c r="AES61" s="11"/>
      <c r="AET61" s="11"/>
      <c r="AEU61" s="11"/>
      <c r="AEV61" s="11"/>
      <c r="AEW61" s="11"/>
      <c r="AEX61" s="11"/>
      <c r="AEY61" s="11"/>
      <c r="AEZ61" s="11"/>
      <c r="AFA61" s="11"/>
      <c r="AFB61" s="11"/>
      <c r="AFC61" s="11"/>
      <c r="AFD61" s="11"/>
      <c r="AFE61" s="11"/>
      <c r="AFF61" s="11"/>
      <c r="AFG61" s="11"/>
      <c r="AFH61" s="11"/>
      <c r="AFI61" s="11"/>
    </row>
    <row r="62" spans="2:84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c r="KG62" s="11"/>
      <c r="KH62" s="11"/>
      <c r="KI62" s="11"/>
      <c r="KJ62" s="11"/>
      <c r="KK62" s="11"/>
      <c r="KL62" s="11"/>
      <c r="KM62" s="11"/>
      <c r="KN62" s="11"/>
      <c r="KO62" s="11"/>
      <c r="KP62" s="11"/>
      <c r="KQ62" s="11"/>
      <c r="KR62" s="11"/>
      <c r="KS62" s="11"/>
      <c r="KT62" s="11"/>
      <c r="KU62" s="11"/>
      <c r="KV62" s="11"/>
      <c r="KW62" s="11"/>
      <c r="KX62" s="11"/>
      <c r="KY62" s="11"/>
      <c r="KZ62" s="11"/>
      <c r="LA62" s="11"/>
      <c r="LB62" s="11"/>
      <c r="LC62" s="11"/>
      <c r="LD62" s="11"/>
      <c r="LE62" s="11"/>
      <c r="LF62" s="11"/>
      <c r="LG62" s="11"/>
      <c r="LH62" s="11"/>
      <c r="LI62" s="11"/>
      <c r="LJ62" s="11"/>
      <c r="LK62" s="11"/>
      <c r="LL62" s="11"/>
      <c r="LM62" s="11"/>
      <c r="LN62" s="11"/>
      <c r="LO62" s="11"/>
      <c r="LP62" s="11"/>
      <c r="LQ62" s="11"/>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c r="PE62" s="11"/>
      <c r="PF62" s="11"/>
      <c r="PG62" s="11"/>
      <c r="PH62" s="11"/>
      <c r="PI62" s="11"/>
      <c r="PJ62" s="11"/>
      <c r="PK62" s="11"/>
      <c r="PL62" s="11"/>
      <c r="PM62" s="11"/>
      <c r="PN62" s="11"/>
      <c r="PO62" s="11"/>
      <c r="PP62" s="11"/>
      <c r="PQ62" s="11"/>
      <c r="PR62" s="11"/>
      <c r="PS62" s="11"/>
      <c r="PT62" s="11"/>
      <c r="PU62" s="11"/>
      <c r="PV62" s="11"/>
      <c r="PW62" s="11"/>
      <c r="PX62" s="11"/>
      <c r="PY62" s="11"/>
      <c r="PZ62" s="11"/>
      <c r="QA62" s="11"/>
      <c r="QB62" s="11"/>
      <c r="QC62" s="11"/>
      <c r="QD62" s="11"/>
      <c r="QE62" s="11"/>
      <c r="QF62" s="11"/>
      <c r="QG62" s="11"/>
      <c r="QH62" s="11"/>
      <c r="QI62" s="11"/>
      <c r="QJ62" s="11"/>
      <c r="QK62" s="11"/>
      <c r="QL62" s="11"/>
      <c r="QM62" s="11"/>
      <c r="QN62" s="11"/>
      <c r="QO62" s="11"/>
      <c r="QP62" s="11"/>
      <c r="QQ62" s="11"/>
      <c r="QR62" s="11"/>
      <c r="QS62" s="11"/>
      <c r="QT62" s="11"/>
      <c r="QU62" s="11"/>
      <c r="QV62" s="11"/>
      <c r="QW62" s="11"/>
      <c r="QX62" s="11"/>
      <c r="QY62" s="11"/>
      <c r="QZ62" s="11"/>
      <c r="RA62" s="11"/>
      <c r="RB62" s="11"/>
      <c r="RC62" s="11"/>
      <c r="RD62" s="11"/>
      <c r="RE62" s="11"/>
      <c r="RF62" s="11"/>
      <c r="RG62" s="11"/>
      <c r="RH62" s="11"/>
      <c r="RI62" s="11"/>
      <c r="RJ62" s="11"/>
      <c r="RK62" s="11"/>
      <c r="RL62" s="11"/>
      <c r="RM62" s="11"/>
      <c r="RN62" s="11"/>
      <c r="RO62" s="11"/>
      <c r="RP62" s="11"/>
      <c r="RQ62" s="11"/>
      <c r="RR62" s="11"/>
      <c r="RS62" s="11"/>
      <c r="RT62" s="11"/>
      <c r="RU62" s="11"/>
      <c r="RV62" s="11"/>
      <c r="RW62" s="11"/>
      <c r="RX62" s="11"/>
      <c r="RY62" s="11"/>
      <c r="RZ62" s="11"/>
      <c r="SA62" s="11"/>
      <c r="SB62" s="11"/>
      <c r="SC62" s="11"/>
      <c r="SD62" s="11"/>
      <c r="SE62" s="11"/>
      <c r="SF62" s="11"/>
      <c r="SG62" s="11"/>
      <c r="SH62" s="11"/>
      <c r="SI62" s="11"/>
      <c r="SJ62" s="11"/>
      <c r="SK62" s="11"/>
      <c r="SL62" s="11"/>
      <c r="SM62" s="11"/>
      <c r="SN62" s="11"/>
      <c r="SO62" s="11"/>
      <c r="SP62" s="11"/>
      <c r="SQ62" s="11"/>
      <c r="SR62" s="11"/>
      <c r="SS62" s="11"/>
      <c r="ST62" s="11"/>
      <c r="SU62" s="11"/>
      <c r="SV62" s="11"/>
      <c r="SW62" s="11"/>
      <c r="SX62" s="11"/>
      <c r="SY62" s="11"/>
      <c r="SZ62" s="11"/>
      <c r="TA62" s="11"/>
      <c r="TB62" s="11"/>
      <c r="TC62" s="11"/>
      <c r="TD62" s="11"/>
      <c r="TE62" s="11"/>
      <c r="TF62" s="11"/>
      <c r="TG62" s="11"/>
      <c r="TH62" s="11"/>
      <c r="TI62" s="11"/>
      <c r="TJ62" s="11"/>
      <c r="TK62" s="11"/>
      <c r="TL62" s="11"/>
      <c r="TM62" s="11"/>
      <c r="TN62" s="11"/>
      <c r="TO62" s="11"/>
      <c r="TP62" s="11"/>
      <c r="TQ62" s="11"/>
      <c r="TR62" s="11"/>
      <c r="TS62" s="11"/>
      <c r="TT62" s="11"/>
      <c r="TU62" s="11"/>
      <c r="TV62" s="11"/>
      <c r="TW62" s="11"/>
      <c r="TX62" s="11"/>
      <c r="TY62" s="11"/>
      <c r="TZ62" s="11"/>
      <c r="UA62" s="11"/>
      <c r="UB62" s="11"/>
      <c r="UC62" s="11"/>
      <c r="UD62" s="11"/>
      <c r="UE62" s="11"/>
      <c r="UF62" s="11"/>
      <c r="UG62" s="11"/>
      <c r="UH62" s="11"/>
      <c r="UI62" s="11"/>
      <c r="UJ62" s="11"/>
      <c r="UK62" s="11"/>
      <c r="UL62" s="11"/>
      <c r="UM62" s="11"/>
      <c r="UN62" s="11"/>
      <c r="UO62" s="11"/>
      <c r="UP62" s="11"/>
      <c r="UQ62" s="11"/>
      <c r="UR62" s="11"/>
      <c r="US62" s="11"/>
      <c r="UT62" s="11"/>
      <c r="UU62" s="11"/>
      <c r="UV62" s="11"/>
      <c r="UW62" s="11"/>
      <c r="UX62" s="11"/>
      <c r="UY62" s="11"/>
      <c r="UZ62" s="11"/>
      <c r="VA62" s="11"/>
      <c r="VB62" s="11"/>
      <c r="VC62" s="11"/>
      <c r="VD62" s="11"/>
      <c r="VE62" s="11"/>
      <c r="VF62" s="11"/>
      <c r="VG62" s="11"/>
      <c r="VH62" s="11"/>
      <c r="VI62" s="11"/>
      <c r="VJ62" s="11"/>
      <c r="VK62" s="11"/>
      <c r="VL62" s="11"/>
      <c r="VM62" s="11"/>
      <c r="VN62" s="11"/>
      <c r="VO62" s="11"/>
      <c r="VP62" s="11"/>
      <c r="VQ62" s="11"/>
      <c r="VR62" s="11"/>
      <c r="VS62" s="11"/>
      <c r="VT62" s="11"/>
      <c r="VU62" s="11"/>
      <c r="VV62" s="11"/>
      <c r="VW62" s="11"/>
      <c r="VX62" s="11"/>
      <c r="VY62" s="11"/>
      <c r="VZ62" s="11"/>
      <c r="WA62" s="11"/>
      <c r="WB62" s="11"/>
      <c r="WC62" s="11"/>
      <c r="WD62" s="11"/>
      <c r="WE62" s="11"/>
      <c r="WF62" s="11"/>
      <c r="WG62" s="11"/>
      <c r="WH62" s="11"/>
      <c r="WI62" s="11"/>
      <c r="WJ62" s="11"/>
      <c r="WK62" s="11"/>
      <c r="WL62" s="11"/>
      <c r="WM62" s="11"/>
      <c r="WN62" s="11"/>
      <c r="WO62" s="11"/>
      <c r="WP62" s="11"/>
      <c r="WQ62" s="11"/>
      <c r="WR62" s="11"/>
      <c r="WS62" s="11"/>
      <c r="WT62" s="11"/>
      <c r="WU62" s="11"/>
      <c r="WV62" s="11"/>
      <c r="WW62" s="11"/>
      <c r="WX62" s="11"/>
      <c r="WY62" s="11"/>
      <c r="WZ62" s="11"/>
      <c r="XA62" s="11"/>
      <c r="XB62" s="11"/>
      <c r="XC62" s="11"/>
      <c r="XD62" s="11"/>
      <c r="XE62" s="11"/>
      <c r="XF62" s="11"/>
      <c r="XG62" s="11"/>
      <c r="XH62" s="11"/>
      <c r="XI62" s="11"/>
      <c r="XJ62" s="11"/>
      <c r="XK62" s="11"/>
      <c r="XL62" s="11"/>
      <c r="XM62" s="11"/>
      <c r="XN62" s="11"/>
      <c r="XO62" s="11"/>
      <c r="XP62" s="11"/>
      <c r="XQ62" s="11"/>
      <c r="XR62" s="11"/>
      <c r="XS62" s="11"/>
      <c r="XT62" s="11"/>
      <c r="XU62" s="11"/>
      <c r="XV62" s="11"/>
      <c r="XW62" s="11"/>
      <c r="XX62" s="11"/>
      <c r="XY62" s="11"/>
      <c r="XZ62" s="11"/>
      <c r="YA62" s="11"/>
      <c r="YB62" s="11"/>
      <c r="YC62" s="11"/>
      <c r="YD62" s="11"/>
      <c r="YE62" s="11"/>
      <c r="YF62" s="11"/>
      <c r="YG62" s="11"/>
      <c r="YH62" s="11"/>
      <c r="YI62" s="11"/>
      <c r="YJ62" s="11"/>
      <c r="YK62" s="11"/>
      <c r="YL62" s="11"/>
      <c r="YM62" s="11"/>
      <c r="YN62" s="11"/>
      <c r="YO62" s="11"/>
      <c r="YP62" s="11"/>
      <c r="YQ62" s="11"/>
      <c r="YR62" s="11"/>
      <c r="YS62" s="11"/>
      <c r="YT62" s="11"/>
      <c r="YU62" s="11"/>
      <c r="YV62" s="11"/>
      <c r="YW62" s="11"/>
      <c r="YX62" s="11"/>
      <c r="YY62" s="11"/>
      <c r="YZ62" s="11"/>
      <c r="ZA62" s="11"/>
      <c r="ZB62" s="11"/>
      <c r="ZC62" s="11"/>
      <c r="ZD62" s="11"/>
      <c r="ZE62" s="11"/>
      <c r="ZF62" s="11"/>
      <c r="ZG62" s="11"/>
      <c r="ZH62" s="11"/>
      <c r="ZI62" s="11"/>
      <c r="ZJ62" s="11"/>
      <c r="ZK62" s="11"/>
      <c r="ZL62" s="11"/>
      <c r="ZM62" s="11"/>
      <c r="ZN62" s="11"/>
      <c r="ZO62" s="11"/>
      <c r="ZP62" s="11"/>
      <c r="ZQ62" s="11"/>
      <c r="ZR62" s="11"/>
      <c r="ZS62" s="11"/>
      <c r="ZT62" s="11"/>
      <c r="ZU62" s="11"/>
      <c r="ZV62" s="11"/>
      <c r="ZW62" s="11"/>
      <c r="ZX62" s="11"/>
      <c r="ZY62" s="11"/>
      <c r="ZZ62" s="11"/>
      <c r="AAA62" s="11"/>
      <c r="AAB62" s="11"/>
      <c r="AAC62" s="11"/>
      <c r="AAD62" s="11"/>
      <c r="AAE62" s="11"/>
      <c r="AAF62" s="11"/>
      <c r="AAG62" s="11"/>
      <c r="AAH62" s="11"/>
      <c r="AAI62" s="11"/>
      <c r="AAJ62" s="11"/>
      <c r="AAK62" s="11"/>
      <c r="AAL62" s="11"/>
      <c r="AAM62" s="11"/>
      <c r="AAN62" s="11"/>
      <c r="AAO62" s="11"/>
      <c r="AAP62" s="11"/>
      <c r="AAQ62" s="11"/>
      <c r="AAR62" s="11"/>
      <c r="AAS62" s="11"/>
      <c r="AAT62" s="11"/>
      <c r="AAU62" s="11"/>
      <c r="AAV62" s="11"/>
      <c r="AAW62" s="11"/>
      <c r="AAX62" s="11"/>
      <c r="AAY62" s="11"/>
      <c r="AAZ62" s="11"/>
      <c r="ABA62" s="11"/>
      <c r="ABB62" s="11"/>
      <c r="ABC62" s="11"/>
      <c r="ABD62" s="11"/>
      <c r="ABE62" s="11"/>
      <c r="ABF62" s="11"/>
      <c r="ABG62" s="11"/>
      <c r="ABH62" s="11"/>
      <c r="ABI62" s="11"/>
      <c r="ABJ62" s="11"/>
      <c r="ABK62" s="11"/>
      <c r="ABL62" s="11"/>
      <c r="ABM62" s="11"/>
      <c r="ABN62" s="11"/>
      <c r="ABO62" s="11"/>
      <c r="ABP62" s="11"/>
      <c r="ABQ62" s="11"/>
      <c r="ABR62" s="11"/>
      <c r="ABS62" s="11"/>
      <c r="ABT62" s="11"/>
      <c r="ABU62" s="11"/>
      <c r="ABV62" s="11"/>
      <c r="ABW62" s="11"/>
      <c r="ABX62" s="11"/>
      <c r="ABY62" s="11"/>
      <c r="ABZ62" s="11"/>
      <c r="ACA62" s="11"/>
      <c r="ACB62" s="11"/>
      <c r="ACC62" s="11"/>
      <c r="ACD62" s="11"/>
      <c r="ACE62" s="11"/>
      <c r="ACF62" s="11"/>
      <c r="ACG62" s="11"/>
      <c r="ACH62" s="11"/>
      <c r="ACI62" s="11"/>
      <c r="ACJ62" s="11"/>
      <c r="ACK62" s="11"/>
      <c r="ACL62" s="11"/>
      <c r="ACM62" s="11"/>
      <c r="ACN62" s="11"/>
      <c r="ACO62" s="11"/>
      <c r="ACP62" s="11"/>
      <c r="ACQ62" s="11"/>
      <c r="ACR62" s="11"/>
      <c r="ACS62" s="11"/>
      <c r="ACT62" s="11"/>
      <c r="ACU62" s="11"/>
      <c r="ACV62" s="11"/>
      <c r="ACW62" s="11"/>
      <c r="ACX62" s="11"/>
      <c r="ACY62" s="11"/>
      <c r="ACZ62" s="11"/>
      <c r="ADA62" s="11"/>
      <c r="ADB62" s="11"/>
      <c r="ADC62" s="11"/>
      <c r="ADD62" s="11"/>
      <c r="ADE62" s="11"/>
      <c r="ADF62" s="11"/>
      <c r="ADG62" s="11"/>
      <c r="ADH62" s="11"/>
      <c r="ADI62" s="11"/>
      <c r="ADJ62" s="11"/>
      <c r="ADK62" s="11"/>
      <c r="ADL62" s="11"/>
      <c r="ADM62" s="11"/>
      <c r="ADN62" s="11"/>
      <c r="ADO62" s="11"/>
      <c r="ADP62" s="11"/>
      <c r="ADQ62" s="11"/>
      <c r="ADR62" s="11"/>
      <c r="ADS62" s="11"/>
      <c r="ADT62" s="11"/>
      <c r="ADU62" s="11"/>
      <c r="ADV62" s="11"/>
      <c r="ADW62" s="11"/>
      <c r="ADX62" s="11"/>
      <c r="ADY62" s="11"/>
      <c r="ADZ62" s="11"/>
      <c r="AEA62" s="11"/>
      <c r="AEB62" s="11"/>
      <c r="AEC62" s="11"/>
      <c r="AED62" s="11"/>
      <c r="AEE62" s="11"/>
      <c r="AEF62" s="11"/>
      <c r="AEG62" s="11"/>
      <c r="AEH62" s="11"/>
      <c r="AEI62" s="11"/>
      <c r="AEJ62" s="11"/>
      <c r="AEK62" s="11"/>
      <c r="AEL62" s="11"/>
      <c r="AEM62" s="11"/>
      <c r="AEN62" s="11"/>
      <c r="AEO62" s="11"/>
      <c r="AEP62" s="11"/>
      <c r="AEQ62" s="11"/>
      <c r="AER62" s="11"/>
      <c r="AES62" s="11"/>
      <c r="AET62" s="11"/>
      <c r="AEU62" s="11"/>
      <c r="AEV62" s="11"/>
      <c r="AEW62" s="11"/>
      <c r="AEX62" s="11"/>
      <c r="AEY62" s="11"/>
      <c r="AEZ62" s="11"/>
      <c r="AFA62" s="11"/>
      <c r="AFB62" s="11"/>
      <c r="AFC62" s="11"/>
      <c r="AFD62" s="11"/>
      <c r="AFE62" s="11"/>
      <c r="AFF62" s="11"/>
      <c r="AFG62" s="11"/>
      <c r="AFH62" s="11"/>
      <c r="AFI62" s="11"/>
    </row>
    <row r="63" spans="2:841">
      <c r="B63" s="11"/>
      <c r="C63" s="14" t="s">
        <v>602</v>
      </c>
      <c r="D63" s="14"/>
      <c r="E63" s="507">
        <f t="shared" ref="E63:S63" si="5">E21+E31+E41+E51+E61</f>
        <v>0</v>
      </c>
      <c r="F63" s="507">
        <f t="shared" si="5"/>
        <v>0</v>
      </c>
      <c r="G63" s="507">
        <f t="shared" si="5"/>
        <v>0</v>
      </c>
      <c r="H63" s="507">
        <f t="shared" si="5"/>
        <v>0</v>
      </c>
      <c r="I63" s="507">
        <f t="shared" si="5"/>
        <v>0</v>
      </c>
      <c r="J63" s="507">
        <f t="shared" si="5"/>
        <v>0</v>
      </c>
      <c r="K63" s="507">
        <f t="shared" si="5"/>
        <v>0</v>
      </c>
      <c r="L63" s="507">
        <f t="shared" si="5"/>
        <v>0</v>
      </c>
      <c r="M63" s="507">
        <f t="shared" si="5"/>
        <v>0</v>
      </c>
      <c r="N63" s="507">
        <f t="shared" si="5"/>
        <v>0</v>
      </c>
      <c r="O63" s="507">
        <f t="shared" si="5"/>
        <v>0</v>
      </c>
      <c r="P63" s="507">
        <f t="shared" si="5"/>
        <v>0</v>
      </c>
      <c r="Q63" s="507">
        <f t="shared" si="5"/>
        <v>0</v>
      </c>
      <c r="R63" s="507">
        <f t="shared" si="5"/>
        <v>0</v>
      </c>
      <c r="S63" s="507">
        <f t="shared" si="5"/>
        <v>0</v>
      </c>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c r="PE63" s="11"/>
      <c r="PF63" s="11"/>
      <c r="PG63" s="11"/>
      <c r="PH63" s="11"/>
      <c r="PI63" s="11"/>
      <c r="PJ63" s="11"/>
      <c r="PK63" s="11"/>
      <c r="PL63" s="11"/>
      <c r="PM63" s="11"/>
      <c r="PN63" s="11"/>
      <c r="PO63" s="11"/>
      <c r="PP63" s="11"/>
      <c r="PQ63" s="11"/>
      <c r="PR63" s="11"/>
      <c r="PS63" s="11"/>
      <c r="PT63" s="11"/>
      <c r="PU63" s="11"/>
      <c r="PV63" s="11"/>
      <c r="PW63" s="11"/>
      <c r="PX63" s="11"/>
      <c r="PY63" s="11"/>
      <c r="PZ63" s="11"/>
      <c r="QA63" s="11"/>
      <c r="QB63" s="11"/>
      <c r="QC63" s="11"/>
      <c r="QD63" s="11"/>
      <c r="QE63" s="11"/>
      <c r="QF63" s="11"/>
      <c r="QG63" s="11"/>
      <c r="QH63" s="11"/>
      <c r="QI63" s="11"/>
      <c r="QJ63" s="11"/>
      <c r="QK63" s="11"/>
      <c r="QL63" s="11"/>
      <c r="QM63" s="11"/>
      <c r="QN63" s="11"/>
      <c r="QO63" s="11"/>
      <c r="QP63" s="11"/>
      <c r="QQ63" s="11"/>
      <c r="QR63" s="11"/>
      <c r="QS63" s="11"/>
      <c r="QT63" s="11"/>
      <c r="QU63" s="11"/>
      <c r="QV63" s="11"/>
      <c r="QW63" s="11"/>
      <c r="QX63" s="11"/>
      <c r="QY63" s="11"/>
      <c r="QZ63" s="11"/>
      <c r="RA63" s="11"/>
      <c r="RB63" s="11"/>
      <c r="RC63" s="11"/>
      <c r="RD63" s="11"/>
      <c r="RE63" s="11"/>
      <c r="RF63" s="11"/>
      <c r="RG63" s="11"/>
      <c r="RH63" s="11"/>
      <c r="RI63" s="11"/>
      <c r="RJ63" s="11"/>
      <c r="RK63" s="11"/>
      <c r="RL63" s="11"/>
      <c r="RM63" s="11"/>
      <c r="RN63" s="11"/>
      <c r="RO63" s="11"/>
      <c r="RP63" s="11"/>
      <c r="RQ63" s="11"/>
      <c r="RR63" s="11"/>
      <c r="RS63" s="11"/>
      <c r="RT63" s="11"/>
      <c r="RU63" s="11"/>
      <c r="RV63" s="11"/>
      <c r="RW63" s="11"/>
      <c r="RX63" s="11"/>
      <c r="RY63" s="11"/>
      <c r="RZ63" s="11"/>
      <c r="SA63" s="11"/>
      <c r="SB63" s="11"/>
      <c r="SC63" s="11"/>
      <c r="SD63" s="11"/>
      <c r="SE63" s="11"/>
      <c r="SF63" s="11"/>
      <c r="SG63" s="11"/>
      <c r="SH63" s="11"/>
      <c r="SI63" s="11"/>
      <c r="SJ63" s="11"/>
      <c r="SK63" s="11"/>
      <c r="SL63" s="11"/>
      <c r="SM63" s="11"/>
      <c r="SN63" s="11"/>
      <c r="SO63" s="11"/>
      <c r="SP63" s="11"/>
      <c r="SQ63" s="11"/>
      <c r="SR63" s="11"/>
      <c r="SS63" s="11"/>
      <c r="ST63" s="11"/>
      <c r="SU63" s="11"/>
      <c r="SV63" s="11"/>
      <c r="SW63" s="11"/>
      <c r="SX63" s="11"/>
      <c r="SY63" s="11"/>
      <c r="SZ63" s="11"/>
      <c r="TA63" s="11"/>
      <c r="TB63" s="11"/>
      <c r="TC63" s="11"/>
      <c r="TD63" s="11"/>
      <c r="TE63" s="11"/>
      <c r="TF63" s="11"/>
      <c r="TG63" s="11"/>
      <c r="TH63" s="11"/>
      <c r="TI63" s="11"/>
      <c r="TJ63" s="11"/>
      <c r="TK63" s="11"/>
      <c r="TL63" s="11"/>
      <c r="TM63" s="11"/>
      <c r="TN63" s="11"/>
      <c r="TO63" s="11"/>
      <c r="TP63" s="11"/>
      <c r="TQ63" s="11"/>
      <c r="TR63" s="11"/>
      <c r="TS63" s="11"/>
      <c r="TT63" s="11"/>
      <c r="TU63" s="11"/>
      <c r="TV63" s="11"/>
      <c r="TW63" s="11"/>
      <c r="TX63" s="11"/>
      <c r="TY63" s="11"/>
      <c r="TZ63" s="11"/>
      <c r="UA63" s="11"/>
      <c r="UB63" s="11"/>
      <c r="UC63" s="11"/>
      <c r="UD63" s="11"/>
      <c r="UE63" s="11"/>
      <c r="UF63" s="11"/>
      <c r="UG63" s="11"/>
      <c r="UH63" s="11"/>
      <c r="UI63" s="11"/>
      <c r="UJ63" s="11"/>
      <c r="UK63" s="11"/>
      <c r="UL63" s="11"/>
      <c r="UM63" s="11"/>
      <c r="UN63" s="11"/>
      <c r="UO63" s="11"/>
      <c r="UP63" s="11"/>
      <c r="UQ63" s="11"/>
      <c r="UR63" s="11"/>
      <c r="US63" s="11"/>
      <c r="UT63" s="11"/>
      <c r="UU63" s="11"/>
      <c r="UV63" s="11"/>
      <c r="UW63" s="11"/>
      <c r="UX63" s="11"/>
      <c r="UY63" s="11"/>
      <c r="UZ63" s="11"/>
      <c r="VA63" s="11"/>
      <c r="VB63" s="11"/>
      <c r="VC63" s="11"/>
      <c r="VD63" s="11"/>
      <c r="VE63" s="11"/>
      <c r="VF63" s="11"/>
      <c r="VG63" s="11"/>
      <c r="VH63" s="11"/>
      <c r="VI63" s="11"/>
      <c r="VJ63" s="11"/>
      <c r="VK63" s="11"/>
      <c r="VL63" s="11"/>
      <c r="VM63" s="11"/>
      <c r="VN63" s="11"/>
      <c r="VO63" s="11"/>
      <c r="VP63" s="11"/>
      <c r="VQ63" s="11"/>
      <c r="VR63" s="11"/>
      <c r="VS63" s="11"/>
      <c r="VT63" s="11"/>
      <c r="VU63" s="11"/>
      <c r="VV63" s="11"/>
      <c r="VW63" s="11"/>
      <c r="VX63" s="11"/>
      <c r="VY63" s="11"/>
      <c r="VZ63" s="11"/>
      <c r="WA63" s="11"/>
      <c r="WB63" s="11"/>
      <c r="WC63" s="11"/>
      <c r="WD63" s="11"/>
      <c r="WE63" s="11"/>
      <c r="WF63" s="11"/>
      <c r="WG63" s="11"/>
      <c r="WH63" s="11"/>
      <c r="WI63" s="11"/>
      <c r="WJ63" s="11"/>
      <c r="WK63" s="11"/>
      <c r="WL63" s="11"/>
      <c r="WM63" s="11"/>
      <c r="WN63" s="11"/>
      <c r="WO63" s="11"/>
      <c r="WP63" s="11"/>
      <c r="WQ63" s="11"/>
      <c r="WR63" s="11"/>
      <c r="WS63" s="11"/>
      <c r="WT63" s="11"/>
      <c r="WU63" s="11"/>
      <c r="WV63" s="11"/>
      <c r="WW63" s="11"/>
      <c r="WX63" s="11"/>
      <c r="WY63" s="11"/>
      <c r="WZ63" s="11"/>
      <c r="XA63" s="11"/>
      <c r="XB63" s="11"/>
      <c r="XC63" s="11"/>
      <c r="XD63" s="11"/>
      <c r="XE63" s="11"/>
      <c r="XF63" s="11"/>
      <c r="XG63" s="11"/>
      <c r="XH63" s="11"/>
      <c r="XI63" s="11"/>
      <c r="XJ63" s="11"/>
      <c r="XK63" s="11"/>
      <c r="XL63" s="11"/>
      <c r="XM63" s="11"/>
      <c r="XN63" s="11"/>
      <c r="XO63" s="11"/>
      <c r="XP63" s="11"/>
      <c r="XQ63" s="11"/>
      <c r="XR63" s="11"/>
      <c r="XS63" s="11"/>
      <c r="XT63" s="11"/>
      <c r="XU63" s="11"/>
      <c r="XV63" s="11"/>
      <c r="XW63" s="11"/>
      <c r="XX63" s="11"/>
      <c r="XY63" s="11"/>
      <c r="XZ63" s="11"/>
      <c r="YA63" s="11"/>
      <c r="YB63" s="11"/>
      <c r="YC63" s="11"/>
      <c r="YD63" s="11"/>
      <c r="YE63" s="11"/>
      <c r="YF63" s="11"/>
      <c r="YG63" s="11"/>
      <c r="YH63" s="11"/>
      <c r="YI63" s="11"/>
      <c r="YJ63" s="11"/>
      <c r="YK63" s="11"/>
      <c r="YL63" s="11"/>
      <c r="YM63" s="11"/>
      <c r="YN63" s="11"/>
      <c r="YO63" s="11"/>
      <c r="YP63" s="11"/>
      <c r="YQ63" s="11"/>
      <c r="YR63" s="11"/>
      <c r="YS63" s="11"/>
      <c r="YT63" s="11"/>
      <c r="YU63" s="11"/>
      <c r="YV63" s="11"/>
      <c r="YW63" s="11"/>
      <c r="YX63" s="11"/>
      <c r="YY63" s="11"/>
      <c r="YZ63" s="11"/>
      <c r="ZA63" s="11"/>
      <c r="ZB63" s="11"/>
      <c r="ZC63" s="11"/>
      <c r="ZD63" s="11"/>
      <c r="ZE63" s="11"/>
      <c r="ZF63" s="11"/>
      <c r="ZG63" s="11"/>
      <c r="ZH63" s="11"/>
      <c r="ZI63" s="11"/>
      <c r="ZJ63" s="11"/>
      <c r="ZK63" s="11"/>
      <c r="ZL63" s="11"/>
      <c r="ZM63" s="11"/>
      <c r="ZN63" s="11"/>
      <c r="ZO63" s="11"/>
      <c r="ZP63" s="11"/>
      <c r="ZQ63" s="11"/>
      <c r="ZR63" s="11"/>
      <c r="ZS63" s="11"/>
      <c r="ZT63" s="11"/>
      <c r="ZU63" s="11"/>
      <c r="ZV63" s="11"/>
      <c r="ZW63" s="11"/>
      <c r="ZX63" s="11"/>
      <c r="ZY63" s="11"/>
      <c r="ZZ63" s="11"/>
      <c r="AAA63" s="11"/>
      <c r="AAB63" s="11"/>
      <c r="AAC63" s="11"/>
      <c r="AAD63" s="11"/>
      <c r="AAE63" s="11"/>
      <c r="AAF63" s="11"/>
      <c r="AAG63" s="11"/>
      <c r="AAH63" s="11"/>
      <c r="AAI63" s="11"/>
      <c r="AAJ63" s="11"/>
      <c r="AAK63" s="11"/>
      <c r="AAL63" s="11"/>
      <c r="AAM63" s="11"/>
      <c r="AAN63" s="11"/>
      <c r="AAO63" s="11"/>
      <c r="AAP63" s="11"/>
      <c r="AAQ63" s="11"/>
      <c r="AAR63" s="11"/>
      <c r="AAS63" s="11"/>
      <c r="AAT63" s="11"/>
      <c r="AAU63" s="11"/>
      <c r="AAV63" s="11"/>
      <c r="AAW63" s="11"/>
      <c r="AAX63" s="11"/>
      <c r="AAY63" s="11"/>
      <c r="AAZ63" s="11"/>
      <c r="ABA63" s="11"/>
      <c r="ABB63" s="11"/>
      <c r="ABC63" s="11"/>
      <c r="ABD63" s="11"/>
      <c r="ABE63" s="11"/>
      <c r="ABF63" s="11"/>
      <c r="ABG63" s="11"/>
      <c r="ABH63" s="11"/>
      <c r="ABI63" s="11"/>
      <c r="ABJ63" s="11"/>
      <c r="ABK63" s="11"/>
      <c r="ABL63" s="11"/>
      <c r="ABM63" s="11"/>
      <c r="ABN63" s="11"/>
      <c r="ABO63" s="11"/>
      <c r="ABP63" s="11"/>
      <c r="ABQ63" s="11"/>
      <c r="ABR63" s="11"/>
      <c r="ABS63" s="11"/>
      <c r="ABT63" s="11"/>
      <c r="ABU63" s="11"/>
      <c r="ABV63" s="11"/>
      <c r="ABW63" s="11"/>
      <c r="ABX63" s="11"/>
      <c r="ABY63" s="11"/>
      <c r="ABZ63" s="11"/>
      <c r="ACA63" s="11"/>
      <c r="ACB63" s="11"/>
      <c r="ACC63" s="11"/>
      <c r="ACD63" s="11"/>
      <c r="ACE63" s="11"/>
      <c r="ACF63" s="11"/>
      <c r="ACG63" s="11"/>
      <c r="ACH63" s="11"/>
      <c r="ACI63" s="11"/>
      <c r="ACJ63" s="11"/>
      <c r="ACK63" s="11"/>
      <c r="ACL63" s="11"/>
      <c r="ACM63" s="11"/>
      <c r="ACN63" s="11"/>
      <c r="ACO63" s="11"/>
      <c r="ACP63" s="11"/>
      <c r="ACQ63" s="11"/>
      <c r="ACR63" s="11"/>
      <c r="ACS63" s="11"/>
      <c r="ACT63" s="11"/>
      <c r="ACU63" s="11"/>
      <c r="ACV63" s="11"/>
      <c r="ACW63" s="11"/>
      <c r="ACX63" s="11"/>
      <c r="ACY63" s="11"/>
      <c r="ACZ63" s="11"/>
      <c r="ADA63" s="11"/>
      <c r="ADB63" s="11"/>
      <c r="ADC63" s="11"/>
      <c r="ADD63" s="11"/>
      <c r="ADE63" s="11"/>
      <c r="ADF63" s="11"/>
      <c r="ADG63" s="11"/>
      <c r="ADH63" s="11"/>
      <c r="ADI63" s="11"/>
      <c r="ADJ63" s="11"/>
      <c r="ADK63" s="11"/>
      <c r="ADL63" s="11"/>
      <c r="ADM63" s="11"/>
      <c r="ADN63" s="11"/>
      <c r="ADO63" s="11"/>
      <c r="ADP63" s="11"/>
      <c r="ADQ63" s="11"/>
      <c r="ADR63" s="11"/>
      <c r="ADS63" s="11"/>
      <c r="ADT63" s="11"/>
      <c r="ADU63" s="11"/>
      <c r="ADV63" s="11"/>
      <c r="ADW63" s="11"/>
      <c r="ADX63" s="11"/>
      <c r="ADY63" s="11"/>
      <c r="ADZ63" s="11"/>
      <c r="AEA63" s="11"/>
      <c r="AEB63" s="11"/>
      <c r="AEC63" s="11"/>
      <c r="AED63" s="11"/>
      <c r="AEE63" s="11"/>
      <c r="AEF63" s="11"/>
      <c r="AEG63" s="11"/>
      <c r="AEH63" s="11"/>
      <c r="AEI63" s="11"/>
      <c r="AEJ63" s="11"/>
      <c r="AEK63" s="11"/>
      <c r="AEL63" s="11"/>
      <c r="AEM63" s="11"/>
      <c r="AEN63" s="11"/>
      <c r="AEO63" s="11"/>
      <c r="AEP63" s="11"/>
      <c r="AEQ63" s="11"/>
      <c r="AER63" s="11"/>
      <c r="AES63" s="11"/>
      <c r="AET63" s="11"/>
      <c r="AEU63" s="11"/>
      <c r="AEV63" s="11"/>
      <c r="AEW63" s="11"/>
      <c r="AEX63" s="11"/>
      <c r="AEY63" s="11"/>
      <c r="AEZ63" s="11"/>
      <c r="AFA63" s="11"/>
      <c r="AFB63" s="11"/>
      <c r="AFC63" s="11"/>
      <c r="AFD63" s="11"/>
      <c r="AFE63" s="11"/>
      <c r="AFF63" s="11"/>
      <c r="AFG63" s="11"/>
      <c r="AFH63" s="11"/>
      <c r="AFI63" s="11"/>
    </row>
    <row r="64" spans="2:84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c r="PE64" s="11"/>
      <c r="PF64" s="11"/>
      <c r="PG64" s="11"/>
      <c r="PH64" s="11"/>
      <c r="PI64" s="11"/>
      <c r="PJ64" s="11"/>
      <c r="PK64" s="11"/>
      <c r="PL64" s="11"/>
      <c r="PM64" s="11"/>
      <c r="PN64" s="11"/>
      <c r="PO64" s="11"/>
      <c r="PP64" s="11"/>
      <c r="PQ64" s="11"/>
      <c r="PR64" s="11"/>
      <c r="PS64" s="11"/>
      <c r="PT64" s="11"/>
      <c r="PU64" s="11"/>
      <c r="PV64" s="11"/>
      <c r="PW64" s="11"/>
      <c r="PX64" s="11"/>
      <c r="PY64" s="11"/>
      <c r="PZ64" s="11"/>
      <c r="QA64" s="11"/>
      <c r="QB64" s="11"/>
      <c r="QC64" s="11"/>
      <c r="QD64" s="11"/>
      <c r="QE64" s="11"/>
      <c r="QF64" s="11"/>
      <c r="QG64" s="11"/>
      <c r="QH64" s="11"/>
      <c r="QI64" s="11"/>
      <c r="QJ64" s="11"/>
      <c r="QK64" s="11"/>
      <c r="QL64" s="11"/>
      <c r="QM64" s="11"/>
      <c r="QN64" s="11"/>
      <c r="QO64" s="11"/>
      <c r="QP64" s="11"/>
      <c r="QQ64" s="11"/>
      <c r="QR64" s="11"/>
      <c r="QS64" s="11"/>
      <c r="QT64" s="11"/>
      <c r="QU64" s="11"/>
      <c r="QV64" s="11"/>
      <c r="QW64" s="11"/>
      <c r="QX64" s="11"/>
      <c r="QY64" s="11"/>
      <c r="QZ64" s="11"/>
      <c r="RA64" s="11"/>
      <c r="RB64" s="11"/>
      <c r="RC64" s="11"/>
      <c r="RD64" s="11"/>
      <c r="RE64" s="11"/>
      <c r="RF64" s="11"/>
      <c r="RG64" s="11"/>
      <c r="RH64" s="11"/>
      <c r="RI64" s="11"/>
      <c r="RJ64" s="11"/>
      <c r="RK64" s="11"/>
      <c r="RL64" s="11"/>
      <c r="RM64" s="11"/>
      <c r="RN64" s="11"/>
      <c r="RO64" s="11"/>
      <c r="RP64" s="11"/>
      <c r="RQ64" s="11"/>
      <c r="RR64" s="11"/>
      <c r="RS64" s="11"/>
      <c r="RT64" s="11"/>
      <c r="RU64" s="11"/>
      <c r="RV64" s="11"/>
      <c r="RW64" s="11"/>
      <c r="RX64" s="11"/>
      <c r="RY64" s="11"/>
      <c r="RZ64" s="11"/>
      <c r="SA64" s="11"/>
      <c r="SB64" s="11"/>
      <c r="SC64" s="11"/>
      <c r="SD64" s="11"/>
      <c r="SE64" s="11"/>
      <c r="SF64" s="11"/>
      <c r="SG64" s="11"/>
      <c r="SH64" s="11"/>
      <c r="SI64" s="11"/>
      <c r="SJ64" s="11"/>
      <c r="SK64" s="11"/>
      <c r="SL64" s="11"/>
      <c r="SM64" s="11"/>
      <c r="SN64" s="11"/>
      <c r="SO64" s="11"/>
      <c r="SP64" s="11"/>
      <c r="SQ64" s="11"/>
      <c r="SR64" s="11"/>
      <c r="SS64" s="11"/>
      <c r="ST64" s="11"/>
      <c r="SU64" s="11"/>
      <c r="SV64" s="11"/>
      <c r="SW64" s="11"/>
      <c r="SX64" s="11"/>
      <c r="SY64" s="11"/>
      <c r="SZ64" s="11"/>
      <c r="TA64" s="11"/>
      <c r="TB64" s="11"/>
      <c r="TC64" s="11"/>
      <c r="TD64" s="11"/>
      <c r="TE64" s="11"/>
      <c r="TF64" s="11"/>
      <c r="TG64" s="11"/>
      <c r="TH64" s="11"/>
      <c r="TI64" s="11"/>
      <c r="TJ64" s="11"/>
      <c r="TK64" s="11"/>
      <c r="TL64" s="11"/>
      <c r="TM64" s="11"/>
      <c r="TN64" s="11"/>
      <c r="TO64" s="11"/>
      <c r="TP64" s="11"/>
      <c r="TQ64" s="11"/>
      <c r="TR64" s="11"/>
      <c r="TS64" s="11"/>
      <c r="TT64" s="11"/>
      <c r="TU64" s="11"/>
      <c r="TV64" s="11"/>
      <c r="TW64" s="11"/>
      <c r="TX64" s="11"/>
      <c r="TY64" s="11"/>
      <c r="TZ64" s="11"/>
      <c r="UA64" s="11"/>
      <c r="UB64" s="11"/>
      <c r="UC64" s="11"/>
      <c r="UD64" s="11"/>
      <c r="UE64" s="11"/>
      <c r="UF64" s="11"/>
      <c r="UG64" s="11"/>
      <c r="UH64" s="11"/>
      <c r="UI64" s="11"/>
      <c r="UJ64" s="11"/>
      <c r="UK64" s="11"/>
      <c r="UL64" s="11"/>
      <c r="UM64" s="11"/>
      <c r="UN64" s="11"/>
      <c r="UO64" s="11"/>
      <c r="UP64" s="11"/>
      <c r="UQ64" s="11"/>
      <c r="UR64" s="11"/>
      <c r="US64" s="11"/>
      <c r="UT64" s="11"/>
      <c r="UU64" s="11"/>
      <c r="UV64" s="11"/>
      <c r="UW64" s="11"/>
      <c r="UX64" s="11"/>
      <c r="UY64" s="11"/>
      <c r="UZ64" s="11"/>
      <c r="VA64" s="11"/>
      <c r="VB64" s="11"/>
      <c r="VC64" s="11"/>
      <c r="VD64" s="11"/>
      <c r="VE64" s="11"/>
      <c r="VF64" s="11"/>
      <c r="VG64" s="11"/>
      <c r="VH64" s="11"/>
      <c r="VI64" s="11"/>
      <c r="VJ64" s="11"/>
      <c r="VK64" s="11"/>
      <c r="VL64" s="11"/>
      <c r="VM64" s="11"/>
      <c r="VN64" s="11"/>
      <c r="VO64" s="11"/>
      <c r="VP64" s="11"/>
      <c r="VQ64" s="11"/>
      <c r="VR64" s="11"/>
      <c r="VS64" s="11"/>
      <c r="VT64" s="11"/>
      <c r="VU64" s="11"/>
      <c r="VV64" s="11"/>
      <c r="VW64" s="11"/>
      <c r="VX64" s="11"/>
      <c r="VY64" s="11"/>
      <c r="VZ64" s="11"/>
      <c r="WA64" s="11"/>
      <c r="WB64" s="11"/>
      <c r="WC64" s="11"/>
      <c r="WD64" s="11"/>
      <c r="WE64" s="11"/>
      <c r="WF64" s="11"/>
      <c r="WG64" s="11"/>
      <c r="WH64" s="11"/>
      <c r="WI64" s="11"/>
      <c r="WJ64" s="11"/>
      <c r="WK64" s="11"/>
      <c r="WL64" s="11"/>
      <c r="WM64" s="11"/>
      <c r="WN64" s="11"/>
      <c r="WO64" s="11"/>
      <c r="WP64" s="11"/>
      <c r="WQ64" s="11"/>
      <c r="WR64" s="11"/>
      <c r="WS64" s="11"/>
      <c r="WT64" s="11"/>
      <c r="WU64" s="11"/>
      <c r="WV64" s="11"/>
      <c r="WW64" s="11"/>
      <c r="WX64" s="11"/>
      <c r="WY64" s="11"/>
      <c r="WZ64" s="11"/>
      <c r="XA64" s="11"/>
      <c r="XB64" s="11"/>
      <c r="XC64" s="11"/>
      <c r="XD64" s="11"/>
      <c r="XE64" s="11"/>
      <c r="XF64" s="11"/>
      <c r="XG64" s="11"/>
      <c r="XH64" s="11"/>
      <c r="XI64" s="11"/>
      <c r="XJ64" s="11"/>
      <c r="XK64" s="11"/>
      <c r="XL64" s="11"/>
      <c r="XM64" s="11"/>
      <c r="XN64" s="11"/>
      <c r="XO64" s="11"/>
      <c r="XP64" s="11"/>
      <c r="XQ64" s="11"/>
      <c r="XR64" s="11"/>
      <c r="XS64" s="11"/>
      <c r="XT64" s="11"/>
      <c r="XU64" s="11"/>
      <c r="XV64" s="11"/>
      <c r="XW64" s="11"/>
      <c r="XX64" s="11"/>
      <c r="XY64" s="11"/>
      <c r="XZ64" s="11"/>
      <c r="YA64" s="11"/>
      <c r="YB64" s="11"/>
      <c r="YC64" s="11"/>
      <c r="YD64" s="11"/>
      <c r="YE64" s="11"/>
      <c r="YF64" s="11"/>
      <c r="YG64" s="11"/>
      <c r="YH64" s="11"/>
      <c r="YI64" s="11"/>
      <c r="YJ64" s="11"/>
      <c r="YK64" s="11"/>
      <c r="YL64" s="11"/>
      <c r="YM64" s="11"/>
      <c r="YN64" s="11"/>
      <c r="YO64" s="11"/>
      <c r="YP64" s="11"/>
      <c r="YQ64" s="11"/>
      <c r="YR64" s="11"/>
      <c r="YS64" s="11"/>
      <c r="YT64" s="11"/>
      <c r="YU64" s="11"/>
      <c r="YV64" s="11"/>
      <c r="YW64" s="11"/>
      <c r="YX64" s="11"/>
      <c r="YY64" s="11"/>
      <c r="YZ64" s="11"/>
      <c r="ZA64" s="11"/>
      <c r="ZB64" s="11"/>
      <c r="ZC64" s="11"/>
      <c r="ZD64" s="11"/>
      <c r="ZE64" s="11"/>
      <c r="ZF64" s="11"/>
      <c r="ZG64" s="11"/>
      <c r="ZH64" s="11"/>
      <c r="ZI64" s="11"/>
      <c r="ZJ64" s="11"/>
      <c r="ZK64" s="11"/>
      <c r="ZL64" s="11"/>
      <c r="ZM64" s="11"/>
      <c r="ZN64" s="11"/>
      <c r="ZO64" s="11"/>
      <c r="ZP64" s="11"/>
      <c r="ZQ64" s="11"/>
      <c r="ZR64" s="11"/>
      <c r="ZS64" s="11"/>
      <c r="ZT64" s="11"/>
      <c r="ZU64" s="11"/>
      <c r="ZV64" s="11"/>
      <c r="ZW64" s="11"/>
      <c r="ZX64" s="11"/>
      <c r="ZY64" s="11"/>
      <c r="ZZ64" s="11"/>
      <c r="AAA64" s="11"/>
      <c r="AAB64" s="11"/>
      <c r="AAC64" s="11"/>
      <c r="AAD64" s="11"/>
      <c r="AAE64" s="11"/>
      <c r="AAF64" s="11"/>
      <c r="AAG64" s="11"/>
      <c r="AAH64" s="11"/>
      <c r="AAI64" s="11"/>
      <c r="AAJ64" s="11"/>
      <c r="AAK64" s="11"/>
      <c r="AAL64" s="11"/>
      <c r="AAM64" s="11"/>
      <c r="AAN64" s="11"/>
      <c r="AAO64" s="11"/>
      <c r="AAP64" s="11"/>
      <c r="AAQ64" s="11"/>
      <c r="AAR64" s="11"/>
      <c r="AAS64" s="11"/>
      <c r="AAT64" s="11"/>
      <c r="AAU64" s="11"/>
      <c r="AAV64" s="11"/>
      <c r="AAW64" s="11"/>
      <c r="AAX64" s="11"/>
      <c r="AAY64" s="11"/>
      <c r="AAZ64" s="11"/>
      <c r="ABA64" s="11"/>
      <c r="ABB64" s="11"/>
      <c r="ABC64" s="11"/>
      <c r="ABD64" s="11"/>
      <c r="ABE64" s="11"/>
      <c r="ABF64" s="11"/>
      <c r="ABG64" s="11"/>
      <c r="ABH64" s="11"/>
      <c r="ABI64" s="11"/>
      <c r="ABJ64" s="11"/>
      <c r="ABK64" s="11"/>
      <c r="ABL64" s="11"/>
      <c r="ABM64" s="11"/>
      <c r="ABN64" s="11"/>
      <c r="ABO64" s="11"/>
      <c r="ABP64" s="11"/>
      <c r="ABQ64" s="11"/>
      <c r="ABR64" s="11"/>
      <c r="ABS64" s="11"/>
      <c r="ABT64" s="11"/>
      <c r="ABU64" s="11"/>
      <c r="ABV64" s="11"/>
      <c r="ABW64" s="11"/>
      <c r="ABX64" s="11"/>
      <c r="ABY64" s="11"/>
      <c r="ABZ64" s="11"/>
      <c r="ACA64" s="11"/>
      <c r="ACB64" s="11"/>
      <c r="ACC64" s="11"/>
      <c r="ACD64" s="11"/>
      <c r="ACE64" s="11"/>
      <c r="ACF64" s="11"/>
      <c r="ACG64" s="11"/>
      <c r="ACH64" s="11"/>
      <c r="ACI64" s="11"/>
      <c r="ACJ64" s="11"/>
      <c r="ACK64" s="11"/>
      <c r="ACL64" s="11"/>
      <c r="ACM64" s="11"/>
      <c r="ACN64" s="11"/>
      <c r="ACO64" s="11"/>
      <c r="ACP64" s="11"/>
      <c r="ACQ64" s="11"/>
      <c r="ACR64" s="11"/>
      <c r="ACS64" s="11"/>
      <c r="ACT64" s="11"/>
      <c r="ACU64" s="11"/>
      <c r="ACV64" s="11"/>
      <c r="ACW64" s="11"/>
      <c r="ACX64" s="11"/>
      <c r="ACY64" s="11"/>
      <c r="ACZ64" s="11"/>
      <c r="ADA64" s="11"/>
      <c r="ADB64" s="11"/>
      <c r="ADC64" s="11"/>
      <c r="ADD64" s="11"/>
      <c r="ADE64" s="11"/>
      <c r="ADF64" s="11"/>
      <c r="ADG64" s="11"/>
      <c r="ADH64" s="11"/>
      <c r="ADI64" s="11"/>
      <c r="ADJ64" s="11"/>
      <c r="ADK64" s="11"/>
      <c r="ADL64" s="11"/>
      <c r="ADM64" s="11"/>
      <c r="ADN64" s="11"/>
      <c r="ADO64" s="11"/>
      <c r="ADP64" s="11"/>
      <c r="ADQ64" s="11"/>
      <c r="ADR64" s="11"/>
      <c r="ADS64" s="11"/>
      <c r="ADT64" s="11"/>
      <c r="ADU64" s="11"/>
      <c r="ADV64" s="11"/>
      <c r="ADW64" s="11"/>
      <c r="ADX64" s="11"/>
      <c r="ADY64" s="11"/>
      <c r="ADZ64" s="11"/>
      <c r="AEA64" s="11"/>
      <c r="AEB64" s="11"/>
      <c r="AEC64" s="11"/>
      <c r="AED64" s="11"/>
      <c r="AEE64" s="11"/>
      <c r="AEF64" s="11"/>
      <c r="AEG64" s="11"/>
      <c r="AEH64" s="11"/>
      <c r="AEI64" s="11"/>
      <c r="AEJ64" s="11"/>
      <c r="AEK64" s="11"/>
      <c r="AEL64" s="11"/>
      <c r="AEM64" s="11"/>
      <c r="AEN64" s="11"/>
      <c r="AEO64" s="11"/>
      <c r="AEP64" s="11"/>
      <c r="AEQ64" s="11"/>
      <c r="AER64" s="11"/>
      <c r="AES64" s="11"/>
      <c r="AET64" s="11"/>
      <c r="AEU64" s="11"/>
      <c r="AEV64" s="11"/>
      <c r="AEW64" s="11"/>
      <c r="AEX64" s="11"/>
      <c r="AEY64" s="11"/>
      <c r="AEZ64" s="11"/>
      <c r="AFA64" s="11"/>
      <c r="AFB64" s="11"/>
      <c r="AFC64" s="11"/>
      <c r="AFD64" s="11"/>
      <c r="AFE64" s="11"/>
      <c r="AFF64" s="11"/>
      <c r="AFG64" s="11"/>
      <c r="AFH64" s="11"/>
      <c r="AFI64" s="11"/>
    </row>
    <row r="65" spans="2:84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c r="XX65" s="11"/>
      <c r="XY65" s="11"/>
      <c r="XZ65" s="11"/>
      <c r="YA65" s="11"/>
      <c r="YB65" s="11"/>
      <c r="YC65" s="11"/>
      <c r="YD65" s="11"/>
      <c r="YE65" s="11"/>
      <c r="YF65" s="11"/>
      <c r="YG65" s="11"/>
      <c r="YH65" s="11"/>
      <c r="YI65" s="11"/>
      <c r="YJ65" s="11"/>
      <c r="YK65" s="11"/>
      <c r="YL65" s="11"/>
      <c r="YM65" s="11"/>
      <c r="YN65" s="11"/>
      <c r="YO65" s="11"/>
      <c r="YP65" s="11"/>
      <c r="YQ65" s="11"/>
      <c r="YR65" s="11"/>
      <c r="YS65" s="11"/>
      <c r="YT65" s="11"/>
      <c r="YU65" s="11"/>
      <c r="YV65" s="11"/>
      <c r="YW65" s="11"/>
      <c r="YX65" s="11"/>
      <c r="YY65" s="11"/>
      <c r="YZ65" s="11"/>
      <c r="ZA65" s="11"/>
      <c r="ZB65" s="11"/>
      <c r="ZC65" s="11"/>
      <c r="ZD65" s="11"/>
      <c r="ZE65" s="11"/>
      <c r="ZF65" s="11"/>
      <c r="ZG65" s="11"/>
      <c r="ZH65" s="11"/>
      <c r="ZI65" s="11"/>
      <c r="ZJ65" s="11"/>
      <c r="ZK65" s="11"/>
      <c r="ZL65" s="11"/>
      <c r="ZM65" s="11"/>
      <c r="ZN65" s="11"/>
      <c r="ZO65" s="11"/>
      <c r="ZP65" s="11"/>
      <c r="ZQ65" s="11"/>
      <c r="ZR65" s="11"/>
      <c r="ZS65" s="11"/>
      <c r="ZT65" s="11"/>
      <c r="ZU65" s="11"/>
      <c r="ZV65" s="11"/>
      <c r="ZW65" s="11"/>
      <c r="ZX65" s="11"/>
      <c r="ZY65" s="11"/>
      <c r="ZZ65" s="11"/>
      <c r="AAA65" s="11"/>
      <c r="AAB65" s="11"/>
      <c r="AAC65" s="11"/>
      <c r="AAD65" s="11"/>
      <c r="AAE65" s="11"/>
      <c r="AAF65" s="11"/>
      <c r="AAG65" s="11"/>
      <c r="AAH65" s="11"/>
      <c r="AAI65" s="11"/>
      <c r="AAJ65" s="11"/>
      <c r="AAK65" s="11"/>
      <c r="AAL65" s="11"/>
      <c r="AAM65" s="11"/>
      <c r="AAN65" s="11"/>
      <c r="AAO65" s="11"/>
      <c r="AAP65" s="11"/>
      <c r="AAQ65" s="11"/>
      <c r="AAR65" s="11"/>
      <c r="AAS65" s="11"/>
      <c r="AAT65" s="11"/>
      <c r="AAU65" s="11"/>
      <c r="AAV65" s="11"/>
      <c r="AAW65" s="11"/>
      <c r="AAX65" s="11"/>
      <c r="AAY65" s="11"/>
      <c r="AAZ65" s="11"/>
      <c r="ABA65" s="11"/>
      <c r="ABB65" s="11"/>
      <c r="ABC65" s="11"/>
      <c r="ABD65" s="11"/>
      <c r="ABE65" s="11"/>
      <c r="ABF65" s="11"/>
      <c r="ABG65" s="11"/>
      <c r="ABH65" s="11"/>
      <c r="ABI65" s="11"/>
      <c r="ABJ65" s="11"/>
      <c r="ABK65" s="11"/>
      <c r="ABL65" s="11"/>
      <c r="ABM65" s="11"/>
      <c r="ABN65" s="11"/>
      <c r="ABO65" s="11"/>
      <c r="ABP65" s="11"/>
      <c r="ABQ65" s="11"/>
      <c r="ABR65" s="11"/>
      <c r="ABS65" s="11"/>
      <c r="ABT65" s="11"/>
      <c r="ABU65" s="11"/>
      <c r="ABV65" s="11"/>
      <c r="ABW65" s="11"/>
      <c r="ABX65" s="11"/>
      <c r="ABY65" s="11"/>
      <c r="ABZ65" s="11"/>
      <c r="ACA65" s="11"/>
      <c r="ACB65" s="11"/>
      <c r="ACC65" s="11"/>
      <c r="ACD65" s="11"/>
      <c r="ACE65" s="11"/>
      <c r="ACF65" s="11"/>
      <c r="ACG65" s="11"/>
      <c r="ACH65" s="11"/>
      <c r="ACI65" s="11"/>
      <c r="ACJ65" s="11"/>
      <c r="ACK65" s="11"/>
      <c r="ACL65" s="11"/>
      <c r="ACM65" s="11"/>
      <c r="ACN65" s="11"/>
      <c r="ACO65" s="11"/>
      <c r="ACP65" s="11"/>
      <c r="ACQ65" s="11"/>
      <c r="ACR65" s="11"/>
      <c r="ACS65" s="11"/>
      <c r="ACT65" s="11"/>
      <c r="ACU65" s="11"/>
      <c r="ACV65" s="11"/>
      <c r="ACW65" s="11"/>
      <c r="ACX65" s="11"/>
      <c r="ACY65" s="11"/>
      <c r="ACZ65" s="11"/>
      <c r="ADA65" s="11"/>
      <c r="ADB65" s="11"/>
      <c r="ADC65" s="11"/>
      <c r="ADD65" s="11"/>
      <c r="ADE65" s="11"/>
      <c r="ADF65" s="11"/>
      <c r="ADG65" s="11"/>
      <c r="ADH65" s="11"/>
      <c r="ADI65" s="11"/>
      <c r="ADJ65" s="11"/>
      <c r="ADK65" s="11"/>
      <c r="ADL65" s="11"/>
      <c r="ADM65" s="11"/>
      <c r="ADN65" s="11"/>
      <c r="ADO65" s="11"/>
      <c r="ADP65" s="11"/>
      <c r="ADQ65" s="11"/>
      <c r="ADR65" s="11"/>
      <c r="ADS65" s="11"/>
      <c r="ADT65" s="11"/>
      <c r="ADU65" s="11"/>
      <c r="ADV65" s="11"/>
      <c r="ADW65" s="11"/>
      <c r="ADX65" s="11"/>
      <c r="ADY65" s="11"/>
      <c r="ADZ65" s="11"/>
      <c r="AEA65" s="11"/>
      <c r="AEB65" s="11"/>
      <c r="AEC65" s="11"/>
      <c r="AED65" s="11"/>
      <c r="AEE65" s="11"/>
      <c r="AEF65" s="11"/>
      <c r="AEG65" s="11"/>
      <c r="AEH65" s="11"/>
      <c r="AEI65" s="11"/>
      <c r="AEJ65" s="11"/>
      <c r="AEK65" s="11"/>
      <c r="AEL65" s="11"/>
      <c r="AEM65" s="11"/>
      <c r="AEN65" s="11"/>
      <c r="AEO65" s="11"/>
      <c r="AEP65" s="11"/>
      <c r="AEQ65" s="11"/>
      <c r="AER65" s="11"/>
      <c r="AES65" s="11"/>
      <c r="AET65" s="11"/>
      <c r="AEU65" s="11"/>
      <c r="AEV65" s="11"/>
      <c r="AEW65" s="11"/>
      <c r="AEX65" s="11"/>
      <c r="AEY65" s="11"/>
      <c r="AEZ65" s="11"/>
      <c r="AFA65" s="11"/>
      <c r="AFB65" s="11"/>
      <c r="AFC65" s="11"/>
      <c r="AFD65" s="11"/>
      <c r="AFE65" s="11"/>
      <c r="AFF65" s="11"/>
      <c r="AFG65" s="11"/>
      <c r="AFH65" s="11"/>
      <c r="AFI65" s="11"/>
    </row>
    <row r="66" spans="2:84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c r="XX66" s="11"/>
      <c r="XY66" s="11"/>
      <c r="XZ66" s="11"/>
      <c r="YA66" s="11"/>
      <c r="YB66" s="11"/>
      <c r="YC66" s="11"/>
      <c r="YD66" s="11"/>
      <c r="YE66" s="11"/>
      <c r="YF66" s="11"/>
      <c r="YG66" s="11"/>
      <c r="YH66" s="11"/>
      <c r="YI66" s="11"/>
      <c r="YJ66" s="11"/>
      <c r="YK66" s="11"/>
      <c r="YL66" s="11"/>
      <c r="YM66" s="11"/>
      <c r="YN66" s="11"/>
      <c r="YO66" s="11"/>
      <c r="YP66" s="11"/>
      <c r="YQ66" s="11"/>
      <c r="YR66" s="11"/>
      <c r="YS66" s="11"/>
      <c r="YT66" s="11"/>
      <c r="YU66" s="11"/>
      <c r="YV66" s="11"/>
      <c r="YW66" s="11"/>
      <c r="YX66" s="11"/>
      <c r="YY66" s="11"/>
      <c r="YZ66" s="11"/>
      <c r="ZA66" s="11"/>
      <c r="ZB66" s="11"/>
      <c r="ZC66" s="11"/>
      <c r="ZD66" s="11"/>
      <c r="ZE66" s="11"/>
      <c r="ZF66" s="11"/>
      <c r="ZG66" s="11"/>
      <c r="ZH66" s="11"/>
      <c r="ZI66" s="11"/>
      <c r="ZJ66" s="11"/>
      <c r="ZK66" s="11"/>
      <c r="ZL66" s="11"/>
      <c r="ZM66" s="11"/>
      <c r="ZN66" s="11"/>
      <c r="ZO66" s="11"/>
      <c r="ZP66" s="11"/>
      <c r="ZQ66" s="11"/>
      <c r="ZR66" s="11"/>
      <c r="ZS66" s="11"/>
      <c r="ZT66" s="11"/>
      <c r="ZU66" s="11"/>
      <c r="ZV66" s="11"/>
      <c r="ZW66" s="11"/>
      <c r="ZX66" s="11"/>
      <c r="ZY66" s="11"/>
      <c r="ZZ66" s="11"/>
      <c r="AAA66" s="11"/>
      <c r="AAB66" s="11"/>
      <c r="AAC66" s="11"/>
      <c r="AAD66" s="11"/>
      <c r="AAE66" s="11"/>
      <c r="AAF66" s="11"/>
      <c r="AAG66" s="11"/>
      <c r="AAH66" s="11"/>
      <c r="AAI66" s="11"/>
      <c r="AAJ66" s="11"/>
      <c r="AAK66" s="11"/>
      <c r="AAL66" s="11"/>
      <c r="AAM66" s="11"/>
      <c r="AAN66" s="11"/>
      <c r="AAO66" s="11"/>
      <c r="AAP66" s="11"/>
      <c r="AAQ66" s="11"/>
      <c r="AAR66" s="11"/>
      <c r="AAS66" s="11"/>
      <c r="AAT66" s="11"/>
      <c r="AAU66" s="11"/>
      <c r="AAV66" s="11"/>
      <c r="AAW66" s="11"/>
      <c r="AAX66" s="11"/>
      <c r="AAY66" s="11"/>
      <c r="AAZ66" s="11"/>
      <c r="ABA66" s="11"/>
      <c r="ABB66" s="11"/>
      <c r="ABC66" s="11"/>
      <c r="ABD66" s="11"/>
      <c r="ABE66" s="11"/>
      <c r="ABF66" s="11"/>
      <c r="ABG66" s="11"/>
      <c r="ABH66" s="11"/>
      <c r="ABI66" s="11"/>
      <c r="ABJ66" s="11"/>
      <c r="ABK66" s="11"/>
      <c r="ABL66" s="11"/>
      <c r="ABM66" s="11"/>
      <c r="ABN66" s="11"/>
      <c r="ABO66" s="11"/>
      <c r="ABP66" s="11"/>
      <c r="ABQ66" s="11"/>
      <c r="ABR66" s="11"/>
      <c r="ABS66" s="11"/>
      <c r="ABT66" s="11"/>
      <c r="ABU66" s="11"/>
      <c r="ABV66" s="11"/>
      <c r="ABW66" s="11"/>
      <c r="ABX66" s="11"/>
      <c r="ABY66" s="11"/>
      <c r="ABZ66" s="11"/>
      <c r="ACA66" s="11"/>
      <c r="ACB66" s="11"/>
      <c r="ACC66" s="11"/>
      <c r="ACD66" s="11"/>
      <c r="ACE66" s="11"/>
      <c r="ACF66" s="11"/>
      <c r="ACG66" s="11"/>
      <c r="ACH66" s="11"/>
      <c r="ACI66" s="11"/>
      <c r="ACJ66" s="11"/>
      <c r="ACK66" s="11"/>
      <c r="ACL66" s="11"/>
      <c r="ACM66" s="11"/>
      <c r="ACN66" s="11"/>
      <c r="ACO66" s="11"/>
      <c r="ACP66" s="11"/>
      <c r="ACQ66" s="11"/>
      <c r="ACR66" s="11"/>
      <c r="ACS66" s="11"/>
      <c r="ACT66" s="11"/>
      <c r="ACU66" s="11"/>
      <c r="ACV66" s="11"/>
      <c r="ACW66" s="11"/>
      <c r="ACX66" s="11"/>
      <c r="ACY66" s="11"/>
      <c r="ACZ66" s="11"/>
      <c r="ADA66" s="11"/>
      <c r="ADB66" s="11"/>
      <c r="ADC66" s="11"/>
      <c r="ADD66" s="11"/>
      <c r="ADE66" s="11"/>
      <c r="ADF66" s="11"/>
      <c r="ADG66" s="11"/>
      <c r="ADH66" s="11"/>
      <c r="ADI66" s="11"/>
      <c r="ADJ66" s="11"/>
      <c r="ADK66" s="11"/>
      <c r="ADL66" s="11"/>
      <c r="ADM66" s="11"/>
      <c r="ADN66" s="11"/>
      <c r="ADO66" s="11"/>
      <c r="ADP66" s="11"/>
      <c r="ADQ66" s="11"/>
      <c r="ADR66" s="11"/>
      <c r="ADS66" s="11"/>
      <c r="ADT66" s="11"/>
      <c r="ADU66" s="11"/>
      <c r="ADV66" s="11"/>
      <c r="ADW66" s="11"/>
      <c r="ADX66" s="11"/>
      <c r="ADY66" s="11"/>
      <c r="ADZ66" s="11"/>
      <c r="AEA66" s="11"/>
      <c r="AEB66" s="11"/>
      <c r="AEC66" s="11"/>
      <c r="AED66" s="11"/>
      <c r="AEE66" s="11"/>
      <c r="AEF66" s="11"/>
      <c r="AEG66" s="11"/>
      <c r="AEH66" s="11"/>
      <c r="AEI66" s="11"/>
      <c r="AEJ66" s="11"/>
      <c r="AEK66" s="11"/>
      <c r="AEL66" s="11"/>
      <c r="AEM66" s="11"/>
      <c r="AEN66" s="11"/>
      <c r="AEO66" s="11"/>
      <c r="AEP66" s="11"/>
      <c r="AEQ66" s="11"/>
      <c r="AER66" s="11"/>
      <c r="AES66" s="11"/>
      <c r="AET66" s="11"/>
      <c r="AEU66" s="11"/>
      <c r="AEV66" s="11"/>
      <c r="AEW66" s="11"/>
      <c r="AEX66" s="11"/>
      <c r="AEY66" s="11"/>
      <c r="AEZ66" s="11"/>
      <c r="AFA66" s="11"/>
      <c r="AFB66" s="11"/>
      <c r="AFC66" s="11"/>
      <c r="AFD66" s="11"/>
      <c r="AFE66" s="11"/>
      <c r="AFF66" s="11"/>
      <c r="AFG66" s="11"/>
      <c r="AFH66" s="11"/>
      <c r="AFI66" s="11"/>
    </row>
    <row r="67" spans="2:841">
      <c r="B67" s="11"/>
      <c r="C67" s="246" t="s">
        <v>926</v>
      </c>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row>
    <row r="68" spans="2:841">
      <c r="B68" s="11"/>
      <c r="D68" s="47"/>
      <c r="E68" s="500" t="s">
        <v>23</v>
      </c>
      <c r="F68" s="501"/>
      <c r="G68" s="502"/>
      <c r="H68" s="496" t="s">
        <v>31</v>
      </c>
      <c r="I68" s="497"/>
      <c r="J68" s="498"/>
      <c r="K68" s="496" t="s">
        <v>36</v>
      </c>
      <c r="L68" s="497"/>
      <c r="M68" s="498"/>
      <c r="N68" s="496" t="s">
        <v>39</v>
      </c>
      <c r="O68" s="497"/>
      <c r="P68" s="498"/>
      <c r="Q68" s="496" t="s">
        <v>42</v>
      </c>
      <c r="R68" s="497"/>
      <c r="S68" s="498"/>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row>
    <row r="69" spans="2:841">
      <c r="B69" s="11"/>
      <c r="C69" s="657" t="str">
        <f>M_Datos!L38</f>
        <v>Equipamientos - Sin especificar</v>
      </c>
      <c r="D69" s="289" t="s">
        <v>622</v>
      </c>
      <c r="E69" s="503" t="s">
        <v>623</v>
      </c>
      <c r="F69" s="503" t="s">
        <v>919</v>
      </c>
      <c r="G69" s="503" t="s">
        <v>624</v>
      </c>
      <c r="H69" s="503" t="s">
        <v>623</v>
      </c>
      <c r="I69" s="503" t="s">
        <v>919</v>
      </c>
      <c r="J69" s="503" t="s">
        <v>624</v>
      </c>
      <c r="K69" s="503" t="s">
        <v>623</v>
      </c>
      <c r="L69" s="503" t="s">
        <v>919</v>
      </c>
      <c r="M69" s="503" t="s">
        <v>624</v>
      </c>
      <c r="N69" s="503" t="s">
        <v>623</v>
      </c>
      <c r="O69" s="503" t="s">
        <v>919</v>
      </c>
      <c r="P69" s="503" t="s">
        <v>624</v>
      </c>
      <c r="Q69" s="503" t="s">
        <v>623</v>
      </c>
      <c r="R69" s="503" t="s">
        <v>919</v>
      </c>
      <c r="S69" s="503" t="s">
        <v>624</v>
      </c>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row>
    <row r="70" spans="2:841">
      <c r="B70" s="11"/>
      <c r="C70" s="657"/>
      <c r="D70" s="289" t="str">
        <f>IF(Idioma=Castellano,"Existente",IF(Idioma=Valencià,"Existent","Existente"))</f>
        <v>Existente</v>
      </c>
      <c r="E70" s="311">
        <f>SUMIFS(M_Datos!$N$38:$N$40,M_Datos!$O$38:$O$40,M_Lista!G18,M_Datos!$M$38:$M$40,M_Lista!$J$3)</f>
        <v>0</v>
      </c>
      <c r="F70" s="312" t="e">
        <f>IF(AND(M_FactoresComplement!$G$439="No",M_FactoresComplement!$G$441="No"),M_Cálculos_ND!E70*VLOOKUP(M_Datos!$E$12&amp;M_Cálculos_ND!D70,M_Factores!$M$10:$P$108,2,FALSE),IF(AND(M_FactoresComplement!$G$439="Sí",M_FactoresComplement!$G$441="No"),E70*M_FactoresComplement!G467,E70*VLOOKUP(M_FactoresComplement!$C$467&amp;M_Datos!$E$12&amp;M_Lista!G17,M_FactoresComplement!$F$446:$I$781,2,FALSE)))</f>
        <v>#N/A</v>
      </c>
      <c r="G70" s="313" t="e">
        <f>IF(AND(M_FactoresComplement!$G$439="No",M_FactoresComplement!$G$441="No"),M_Cálculos_ND!E70*VLOOKUP(M_Datos!$E$12&amp;M_Cálculos_ND!D70,M_Factores!$M$10:$P$108,3,FALSE),IF(AND(M_FactoresComplement!$G$439="Sí",M_FactoresComplement!$G$441="No"),E70*M_FactoresComplement!H467,E70*VLOOKUP(M_FactoresComplement!$C$467&amp;M_Datos!$E$12&amp;M_Lista!G17,M_FactoresComplement!$F$446:$I$781,3,FALSE)))</f>
        <v>#N/A</v>
      </c>
      <c r="H70" s="311">
        <f>SUMIFS(M_Datos!$P$38:$P$40,M_Datos!$Q$38:$Q$40,M_Lista!G18,M_Datos!$M$38:$M$40,M_Lista!$J$3)</f>
        <v>0</v>
      </c>
      <c r="I70" s="312" t="e">
        <f>IF(AND(M_FactoresComplement!$G$439="No",M_FactoresComplement!$G$441="No"),M_Cálculos_ND!H70*VLOOKUP(M_Datos!$E$12&amp;M_Cálculos_ND!D70,M_Factores!$M$10:$P$108,2,FALSE),IF(AND(M_FactoresComplement!$G$439="Sí",M_FactoresComplement!$G$441="No"),H70*M_FactoresComplement!G467,H70*VLOOKUP(M_FactoresComplement!$C$467&amp;M_Datos!$E$12&amp;M_Lista!G17,M_FactoresComplement!$F$446:$I$781,2,FALSE)))</f>
        <v>#N/A</v>
      </c>
      <c r="J70" s="313" t="e">
        <f>IF(AND(M_FactoresComplement!$G$439="No",M_FactoresComplement!$G$441="No"),M_Cálculos_ND!H70*VLOOKUP(M_Datos!$E$12&amp;M_Cálculos_ND!D70,M_Factores!$M$10:$P$108,3,FALSE),IF(AND(M_FactoresComplement!$G$439="Sí",M_FactoresComplement!$G$441="No"),H70*M_FactoresComplement!H467,H70*VLOOKUP(M_FactoresComplement!$C$467&amp;M_Datos!$E$12&amp;M_Lista!G17,M_FactoresComplement!$F$446:$I$781,3,FALSE)))</f>
        <v>#N/A</v>
      </c>
      <c r="K70" s="311">
        <f>SUMIFS(M_Datos!$R$38:$R$40,M_Datos!$S$38:$S$40,M_Lista!G18,M_Datos!$M$38:$M$40,M_Lista!$J$3)</f>
        <v>0</v>
      </c>
      <c r="L70" s="312" t="e">
        <f>IF(AND(M_FactoresComplement!$G$439="No",M_FactoresComplement!$G$441="No"),M_Cálculos_ND!K70*VLOOKUP(M_Datos!$E$12&amp;M_Cálculos_ND!D70,M_Factores!$M$10:$P$108,2,FALSE),IF(AND(M_FactoresComplement!$G$439="Sí",M_FactoresComplement!$G$441="No"),K70*M_FactoresComplement!G467,K70*VLOOKUP(M_FactoresComplement!$C$467&amp;M_Datos!$E$12&amp;M_Lista!G17,M_FactoresComplement!$F$446:$I$781,2,FALSE)))</f>
        <v>#N/A</v>
      </c>
      <c r="M70" s="313" t="e">
        <f>IF(AND(M_FactoresComplement!$G$439="No",M_FactoresComplement!$G$441="No"),M_Cálculos_ND!K70*VLOOKUP(M_Datos!$E$12&amp;M_Cálculos_ND!D70,M_Factores!$M$10:$P$108,3,FALSE),IF(AND(M_FactoresComplement!$G$439="Sí",M_FactoresComplement!$G$441="No"),K70*M_FactoresComplement!H467,K70*VLOOKUP(M_FactoresComplement!$C$467&amp;M_Datos!$E$12&amp;M_Lista!G17,M_FactoresComplement!$F$446:$I$781,3,FALSE)))</f>
        <v>#N/A</v>
      </c>
      <c r="N70" s="311">
        <f>SUMIFS(M_Datos!$T$38:$T$40,M_Datos!$U$38:$U$40,M_Lista!G18,M_Datos!$M$38:$M$40,M_Lista!$J$3)</f>
        <v>0</v>
      </c>
      <c r="O70" s="312" t="e">
        <f>IF(AND(M_FactoresComplement!$G$439="No",M_FactoresComplement!$G$441="No"),M_Cálculos_ND!N70*VLOOKUP(M_Datos!$E$12&amp;M_Cálculos_ND!D70,M_Factores!$M$10:$P$108,2,FALSE),IF(AND(M_FactoresComplement!$G$439="Sí",M_FactoresComplement!$G$441="No"),N70*M_FactoresComplement!G467,N70*VLOOKUP(M_FactoresComplement!$C$467&amp;M_Datos!$E$12&amp;M_Lista!G17,M_FactoresComplement!$F$446:$I$781,2,FALSE)))</f>
        <v>#N/A</v>
      </c>
      <c r="P70" s="313" t="e">
        <f>IF(AND(M_FactoresComplement!$G$439="No",M_FactoresComplement!$G$441="No"),M_Cálculos_ND!N70*VLOOKUP(M_Datos!$E$12&amp;M_Cálculos_ND!D70,M_Factores!$M$10:$P$108,3,FALSE),IF(AND(M_FactoresComplement!$G$439="Sí",M_FactoresComplement!$G$441="No"),N70*M_FactoresComplement!H467,N70*VLOOKUP(M_FactoresComplement!$C$467&amp;M_Datos!$E$12&amp;M_Lista!G17,M_FactoresComplement!$F$446:$I$781,3,FALSE)))</f>
        <v>#N/A</v>
      </c>
      <c r="Q70" s="311">
        <f>SUMIFS(M_Datos!$V$38:$V$40,M_Datos!$W$38:$W$40,M_Lista!G18,M_Datos!$M$38:$M$40,M_Lista!$J$3)</f>
        <v>0</v>
      </c>
      <c r="R70" s="312" t="e">
        <f>IF(AND(M_FactoresComplement!$G$439="No",M_FactoresComplement!$G$441="No"),M_Cálculos_ND!Q70*VLOOKUP(M_Datos!$E$12&amp;M_Cálculos_ND!D70,M_Factores!$M$10:$P$108,2,FALSE),IF(AND(M_FactoresComplement!$G$439="Sí",M_FactoresComplement!$G$441="No"),Q70*M_FactoresComplement!G467,Q70*VLOOKUP(M_FactoresComplement!$C$467&amp;M_Datos!$E$12&amp;M_Lista!G17,M_FactoresComplement!$F$446:$I$781,2,FALSE)))</f>
        <v>#N/A</v>
      </c>
      <c r="S70" s="313" t="e">
        <f>IF(AND(M_FactoresComplement!$G$439="No",M_FactoresComplement!$G$441="No"),M_Cálculos_ND!Q70*VLOOKUP(M_Datos!$E$12&amp;M_Cálculos_ND!D70,M_Factores!$M$10:$P$108,3,FALSE),IF(AND(M_FactoresComplement!$G$439="Sí",M_FactoresComplement!$G$441="No"),Q70*M_FactoresComplement!H467,Q70*VLOOKUP(M_FactoresComplement!$C$467&amp;M_Datos!$E$12&amp;M_Lista!G17,M_FactoresComplement!$F$446:$I$781,3,FALSE)))</f>
        <v>#N/A</v>
      </c>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c r="XX70" s="11"/>
      <c r="XY70" s="11"/>
      <c r="XZ70" s="11"/>
      <c r="YA70" s="11"/>
      <c r="YB70" s="11"/>
      <c r="YC70" s="11"/>
      <c r="YD70" s="11"/>
      <c r="YE70" s="11"/>
      <c r="YF70" s="11"/>
      <c r="YG70" s="11"/>
      <c r="YH70" s="11"/>
      <c r="YI70" s="11"/>
      <c r="YJ70" s="11"/>
      <c r="YK70" s="11"/>
      <c r="YL70" s="11"/>
      <c r="YM70" s="11"/>
      <c r="YN70" s="11"/>
      <c r="YO70" s="11"/>
      <c r="YP70" s="11"/>
      <c r="YQ70" s="11"/>
      <c r="YR70" s="11"/>
      <c r="YS70" s="11"/>
      <c r="YT70" s="11"/>
      <c r="YU70" s="11"/>
      <c r="YV70" s="11"/>
      <c r="YW70" s="11"/>
      <c r="YX70" s="11"/>
      <c r="YY70" s="11"/>
      <c r="YZ70" s="11"/>
      <c r="ZA70" s="11"/>
      <c r="ZB70" s="11"/>
      <c r="ZC70" s="11"/>
      <c r="ZD70" s="11"/>
      <c r="ZE70" s="11"/>
      <c r="ZF70" s="11"/>
      <c r="ZG70" s="11"/>
      <c r="ZH70" s="11"/>
      <c r="ZI70" s="11"/>
      <c r="ZJ70" s="11"/>
      <c r="ZK70" s="11"/>
      <c r="ZL70" s="11"/>
      <c r="ZM70" s="11"/>
      <c r="ZN70" s="11"/>
      <c r="ZO70" s="11"/>
      <c r="ZP70" s="11"/>
      <c r="ZQ70" s="11"/>
      <c r="ZR70" s="11"/>
      <c r="ZS70" s="11"/>
      <c r="ZT70" s="11"/>
      <c r="ZU70" s="11"/>
      <c r="ZV70" s="11"/>
      <c r="ZW70" s="11"/>
      <c r="ZX70" s="11"/>
      <c r="ZY70" s="11"/>
      <c r="ZZ70" s="11"/>
      <c r="AAA70" s="11"/>
      <c r="AAB70" s="11"/>
      <c r="AAC70" s="11"/>
      <c r="AAD70" s="11"/>
      <c r="AAE70" s="11"/>
      <c r="AAF70" s="11"/>
      <c r="AAG70" s="11"/>
      <c r="AAH70" s="11"/>
      <c r="AAI70" s="11"/>
      <c r="AAJ70" s="11"/>
      <c r="AAK70" s="11"/>
      <c r="AAL70" s="11"/>
      <c r="AAM70" s="11"/>
      <c r="AAN70" s="11"/>
      <c r="AAO70" s="11"/>
      <c r="AAP70" s="11"/>
      <c r="AAQ70" s="11"/>
      <c r="AAR70" s="11"/>
      <c r="AAS70" s="11"/>
      <c r="AAT70" s="11"/>
      <c r="AAU70" s="11"/>
      <c r="AAV70" s="11"/>
      <c r="AAW70" s="11"/>
      <c r="AAX70" s="11"/>
      <c r="AAY70" s="11"/>
      <c r="AAZ70" s="11"/>
      <c r="ABA70" s="11"/>
      <c r="ABB70" s="11"/>
      <c r="ABC70" s="11"/>
      <c r="ABD70" s="11"/>
      <c r="ABE70" s="11"/>
      <c r="ABF70" s="11"/>
      <c r="ABG70" s="11"/>
      <c r="ABH70" s="11"/>
      <c r="ABI70" s="11"/>
      <c r="ABJ70" s="11"/>
      <c r="ABK70" s="11"/>
      <c r="ABL70" s="11"/>
      <c r="ABM70" s="11"/>
      <c r="ABN70" s="11"/>
      <c r="ABO70" s="11"/>
      <c r="ABP70" s="11"/>
      <c r="ABQ70" s="11"/>
      <c r="ABR70" s="11"/>
      <c r="ABS70" s="11"/>
      <c r="ABT70" s="11"/>
      <c r="ABU70" s="11"/>
      <c r="ABV70" s="11"/>
      <c r="ABW70" s="11"/>
      <c r="ABX70" s="11"/>
      <c r="ABY70" s="11"/>
      <c r="ABZ70" s="11"/>
      <c r="ACA70" s="11"/>
      <c r="ACB70" s="11"/>
      <c r="ACC70" s="11"/>
      <c r="ACD70" s="11"/>
      <c r="ACE70" s="11"/>
      <c r="ACF70" s="11"/>
      <c r="ACG70" s="11"/>
      <c r="ACH70" s="11"/>
      <c r="ACI70" s="11"/>
      <c r="ACJ70" s="11"/>
      <c r="ACK70" s="11"/>
      <c r="ACL70" s="11"/>
      <c r="ACM70" s="11"/>
      <c r="ACN70" s="11"/>
      <c r="ACO70" s="11"/>
      <c r="ACP70" s="11"/>
      <c r="ACQ70" s="11"/>
      <c r="ACR70" s="11"/>
      <c r="ACS70" s="11"/>
      <c r="ACT70" s="11"/>
      <c r="ACU70" s="11"/>
      <c r="ACV70" s="11"/>
      <c r="ACW70" s="11"/>
      <c r="ACX70" s="11"/>
      <c r="ACY70" s="11"/>
      <c r="ACZ70" s="11"/>
      <c r="ADA70" s="11"/>
      <c r="ADB70" s="11"/>
      <c r="ADC70" s="11"/>
      <c r="ADD70" s="11"/>
      <c r="ADE70" s="11"/>
      <c r="ADF70" s="11"/>
      <c r="ADG70" s="11"/>
      <c r="ADH70" s="11"/>
      <c r="ADI70" s="11"/>
      <c r="ADJ70" s="11"/>
      <c r="ADK70" s="11"/>
      <c r="ADL70" s="11"/>
      <c r="ADM70" s="11"/>
      <c r="ADN70" s="11"/>
      <c r="ADO70" s="11"/>
      <c r="ADP70" s="11"/>
      <c r="ADQ70" s="11"/>
      <c r="ADR70" s="11"/>
      <c r="ADS70" s="11"/>
      <c r="ADT70" s="11"/>
      <c r="ADU70" s="11"/>
      <c r="ADV70" s="11"/>
      <c r="ADW70" s="11"/>
      <c r="ADX70" s="11"/>
      <c r="ADY70" s="11"/>
      <c r="ADZ70" s="11"/>
      <c r="AEA70" s="11"/>
      <c r="AEB70" s="11"/>
      <c r="AEC70" s="11"/>
      <c r="AED70" s="11"/>
      <c r="AEE70" s="11"/>
      <c r="AEF70" s="11"/>
      <c r="AEG70" s="11"/>
      <c r="AEH70" s="11"/>
      <c r="AEI70" s="11"/>
      <c r="AEJ70" s="11"/>
      <c r="AEK70" s="11"/>
      <c r="AEL70" s="11"/>
      <c r="AEM70" s="11"/>
      <c r="AEN70" s="11"/>
      <c r="AEO70" s="11"/>
      <c r="AEP70" s="11"/>
      <c r="AEQ70" s="11"/>
      <c r="AER70" s="11"/>
      <c r="AES70" s="11"/>
      <c r="AET70" s="11"/>
      <c r="AEU70" s="11"/>
      <c r="AEV70" s="11"/>
      <c r="AEW70" s="11"/>
      <c r="AEX70" s="11"/>
      <c r="AEY70" s="11"/>
      <c r="AEZ70" s="11"/>
      <c r="AFA70" s="11"/>
      <c r="AFB70" s="11"/>
      <c r="AFC70" s="11"/>
      <c r="AFD70" s="11"/>
      <c r="AFE70" s="11"/>
      <c r="AFF70" s="11"/>
      <c r="AFG70" s="11"/>
      <c r="AFH70" s="11"/>
      <c r="AFI70" s="11"/>
    </row>
    <row r="71" spans="2:841">
      <c r="B71" s="11"/>
      <c r="C71" s="657"/>
      <c r="D71" s="289" t="s">
        <v>625</v>
      </c>
      <c r="E71" s="311">
        <f>SUMIFS(M_Datos!$N$38:$N$40,M_Datos!$O$38:$O$40,M_Lista!G19,M_Datos!$M$38:$M$40,M_Lista!$J$3)</f>
        <v>0</v>
      </c>
      <c r="F71" s="312" t="e">
        <f>IF(AND(M_FactoresComplement!$G$439="No",M_FactoresComplement!$G$441="No"),M_Cálculos_ND!E71*VLOOKUP(M_Datos!$E$12&amp;M_Cálculos_ND!D71,M_Factores!$M$10:$P$108,2,FALSE),IF(AND(M_FactoresComplement!$G$439="Sí",M_FactoresComplement!$G$441="No"),E71*M_FactoresComplement!G468,E71*VLOOKUP(M_FactoresComplement!$C$467&amp;M_Datos!$E$12&amp;M_Lista!G18,M_FactoresComplement!$F$446:$I$781,2,FALSE)))</f>
        <v>#N/A</v>
      </c>
      <c r="G71" s="313" t="e">
        <f>IF(AND(M_FactoresComplement!$G$439="No",M_FactoresComplement!$G$441="No"),M_Cálculos_ND!E71*VLOOKUP(M_Datos!$E$12&amp;M_Cálculos_ND!D71,M_Factores!$M$10:$P$108,3,FALSE),IF(AND(M_FactoresComplement!$G$439="Sí",M_FactoresComplement!$G$441="No"),E71*M_FactoresComplement!H468,E71*VLOOKUP(M_FactoresComplement!$C$467&amp;M_Datos!$E$12&amp;M_Lista!G18,M_FactoresComplement!$F$446:$I$781,3,FALSE)))</f>
        <v>#N/A</v>
      </c>
      <c r="H71" s="311">
        <f>SUMIFS(M_Datos!$P$38:$P$40,M_Datos!$Q$38:$Q$40,M_Lista!G19,M_Datos!$M$38:$M$40,M_Lista!$J$3)</f>
        <v>0</v>
      </c>
      <c r="I71" s="312" t="e">
        <f>IF(AND(M_FactoresComplement!$G$439="No",M_FactoresComplement!$G$441="No"),M_Cálculos_ND!H71*VLOOKUP(M_Datos!$E$12&amp;M_Cálculos_ND!D71,M_Factores!$M$10:$P$108,2,FALSE),IF(AND(M_FactoresComplement!$G$439="Sí",M_FactoresComplement!$G$441="No"),H71*M_FactoresComplement!G468,H71*VLOOKUP(M_FactoresComplement!$C$467&amp;M_Datos!$E$12&amp;M_Lista!G18,M_FactoresComplement!$F$446:$I$781,2,FALSE)))</f>
        <v>#N/A</v>
      </c>
      <c r="J71" s="313" t="e">
        <f>IF(AND(M_FactoresComplement!$G$439="No",M_FactoresComplement!$G$441="No"),M_Cálculos_ND!H71*VLOOKUP(M_Datos!$E$12&amp;M_Cálculos_ND!D71,M_Factores!$M$10:$P$108,3,FALSE),IF(AND(M_FactoresComplement!$G$439="Sí",M_FactoresComplement!$G$441="No"),H71*M_FactoresComplement!H468,H71*VLOOKUP(M_FactoresComplement!$C$467&amp;M_Datos!$E$12&amp;M_Lista!G18,M_FactoresComplement!$F$446:$I$781,3,FALSE)))</f>
        <v>#N/A</v>
      </c>
      <c r="K71" s="311">
        <f>SUMIFS(M_Datos!$R$38:$R$40,M_Datos!$S$38:$S$40,M_Lista!G19,M_Datos!$M$38:$M$40,M_Lista!$J$3)</f>
        <v>0</v>
      </c>
      <c r="L71" s="312" t="e">
        <f>IF(AND(M_FactoresComplement!$G$439="No",M_FactoresComplement!$G$441="No"),M_Cálculos_ND!K71*VLOOKUP(M_Datos!$E$12&amp;M_Cálculos_ND!D71,M_Factores!$M$10:$P$108,2,FALSE),IF(AND(M_FactoresComplement!$G$439="Sí",M_FactoresComplement!$G$441="No"),K71*M_FactoresComplement!G468,K71*VLOOKUP(M_FactoresComplement!$C$467&amp;M_Datos!$E$12&amp;M_Lista!G18,M_FactoresComplement!$F$446:$I$781,2,FALSE)))</f>
        <v>#N/A</v>
      </c>
      <c r="M71" s="313" t="e">
        <f>IF(AND(M_FactoresComplement!$G$439="No",M_FactoresComplement!$G$441="No"),M_Cálculos_ND!K71*VLOOKUP(M_Datos!$E$12&amp;M_Cálculos_ND!D71,M_Factores!$M$10:$P$108,3,FALSE),IF(AND(M_FactoresComplement!$G$439="Sí",M_FactoresComplement!$G$441="No"),K71*M_FactoresComplement!H468,K71*VLOOKUP(M_FactoresComplement!$C$467&amp;M_Datos!$E$12&amp;M_Lista!G18,M_FactoresComplement!$F$446:$I$781,3,FALSE)))</f>
        <v>#N/A</v>
      </c>
      <c r="N71" s="311">
        <f>SUMIFS(M_Datos!$T$38:$T$40,M_Datos!$U$38:$U$40,M_Lista!G19,M_Datos!$M$38:$M$40,M_Lista!$J$3)</f>
        <v>0</v>
      </c>
      <c r="O71" s="312" t="e">
        <f>IF(AND(M_FactoresComplement!$G$439="No",M_FactoresComplement!$G$441="No"),M_Cálculos_ND!N71*VLOOKUP(M_Datos!$E$12&amp;M_Cálculos_ND!D71,M_Factores!$M$10:$P$108,2,FALSE),IF(AND(M_FactoresComplement!$G$439="Sí",M_FactoresComplement!$G$441="No"),N71*M_FactoresComplement!G468,N71*VLOOKUP(M_FactoresComplement!$C$467&amp;M_Datos!$E$12&amp;M_Lista!G18,M_FactoresComplement!$F$446:$I$781,2,FALSE)))</f>
        <v>#N/A</v>
      </c>
      <c r="P71" s="313" t="e">
        <f>IF(AND(M_FactoresComplement!$G$439="No",M_FactoresComplement!$G$441="No"),M_Cálculos_ND!N71*VLOOKUP(M_Datos!$E$12&amp;M_Cálculos_ND!D71,M_Factores!$M$10:$P$108,3,FALSE),IF(AND(M_FactoresComplement!$G$439="Sí",M_FactoresComplement!$G$441="No"),N71*M_FactoresComplement!H468,N71*VLOOKUP(M_FactoresComplement!$C$467&amp;M_Datos!$E$12&amp;M_Lista!G18,M_FactoresComplement!$F$446:$I$781,3,FALSE)))</f>
        <v>#N/A</v>
      </c>
      <c r="Q71" s="311">
        <f>SUMIFS(M_Datos!$V$38:$V$40,M_Datos!$W$38:$W$40,M_Lista!G19,M_Datos!$M$38:$M$40,M_Lista!$J$3)</f>
        <v>0</v>
      </c>
      <c r="R71" s="312" t="e">
        <f>IF(AND(M_FactoresComplement!$G$439="No",M_FactoresComplement!$G$441="No"),M_Cálculos_ND!Q71*VLOOKUP(M_Datos!$E$12&amp;M_Cálculos_ND!D71,M_Factores!$M$10:$P$108,2,FALSE),IF(AND(M_FactoresComplement!$G$439="Sí",M_FactoresComplement!$G$441="No"),Q71*M_FactoresComplement!G468,Q71*VLOOKUP(M_FactoresComplement!$C$467&amp;M_Datos!$E$12&amp;M_Lista!G18,M_FactoresComplement!$F$446:$I$781,2,FALSE)))</f>
        <v>#N/A</v>
      </c>
      <c r="S71" s="313" t="e">
        <f>IF(AND(M_FactoresComplement!$G$439="No",M_FactoresComplement!$G$441="No"),M_Cálculos_ND!Q71*VLOOKUP(M_Datos!$E$12&amp;M_Cálculos_ND!D71,M_Factores!$M$10:$P$108,3,FALSE),IF(AND(M_FactoresComplement!$G$439="Sí",M_FactoresComplement!$G$441="No"),Q71*M_FactoresComplement!H468,Q71*VLOOKUP(M_FactoresComplement!$C$467&amp;M_Datos!$E$12&amp;M_Lista!G18,M_FactoresComplement!$F$446:$I$781,3,FALSE)))</f>
        <v>#N/A</v>
      </c>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c r="PU71" s="11"/>
      <c r="PV71" s="11"/>
      <c r="PW71" s="11"/>
      <c r="PX71" s="11"/>
      <c r="PY71" s="11"/>
      <c r="PZ71" s="11"/>
      <c r="QA71" s="11"/>
      <c r="QB71" s="11"/>
      <c r="QC71" s="11"/>
      <c r="QD71" s="11"/>
      <c r="QE71" s="11"/>
      <c r="QF71" s="11"/>
      <c r="QG71" s="11"/>
      <c r="QH71" s="11"/>
      <c r="QI71" s="11"/>
      <c r="QJ71" s="11"/>
      <c r="QK71" s="11"/>
      <c r="QL71" s="11"/>
      <c r="QM71" s="11"/>
      <c r="QN71" s="11"/>
      <c r="QO71" s="11"/>
      <c r="QP71" s="11"/>
      <c r="QQ71" s="11"/>
      <c r="QR71" s="11"/>
      <c r="QS71" s="11"/>
      <c r="QT71" s="11"/>
      <c r="QU71" s="11"/>
      <c r="QV71" s="11"/>
      <c r="QW71" s="11"/>
      <c r="QX71" s="11"/>
      <c r="QY71" s="11"/>
      <c r="QZ71" s="11"/>
      <c r="RA71" s="11"/>
      <c r="RB71" s="11"/>
      <c r="RC71" s="11"/>
      <c r="RD71" s="11"/>
      <c r="RE71" s="11"/>
      <c r="RF71" s="11"/>
      <c r="RG71" s="11"/>
      <c r="RH71" s="11"/>
      <c r="RI71" s="11"/>
      <c r="RJ71" s="11"/>
      <c r="RK71" s="11"/>
      <c r="RL71" s="11"/>
      <c r="RM71" s="11"/>
      <c r="RN71" s="11"/>
      <c r="RO71" s="11"/>
      <c r="RP71" s="11"/>
      <c r="RQ71" s="11"/>
      <c r="RR71" s="11"/>
      <c r="RS71" s="11"/>
      <c r="RT71" s="11"/>
      <c r="RU71" s="11"/>
      <c r="RV71" s="11"/>
      <c r="RW71" s="11"/>
      <c r="RX71" s="11"/>
      <c r="RY71" s="11"/>
      <c r="RZ71" s="11"/>
      <c r="SA71" s="11"/>
      <c r="SB71" s="11"/>
      <c r="SC71" s="11"/>
      <c r="SD71" s="11"/>
      <c r="SE71" s="11"/>
      <c r="SF71" s="11"/>
      <c r="SG71" s="11"/>
      <c r="SH71" s="11"/>
      <c r="SI71" s="11"/>
      <c r="SJ71" s="11"/>
      <c r="SK71" s="11"/>
      <c r="SL71" s="11"/>
      <c r="SM71" s="11"/>
      <c r="SN71" s="11"/>
      <c r="SO71" s="11"/>
      <c r="SP71" s="11"/>
      <c r="SQ71" s="11"/>
      <c r="SR71" s="11"/>
      <c r="SS71" s="11"/>
      <c r="ST71" s="11"/>
      <c r="SU71" s="11"/>
      <c r="SV71" s="11"/>
      <c r="SW71" s="11"/>
      <c r="SX71" s="11"/>
      <c r="SY71" s="11"/>
      <c r="SZ71" s="11"/>
      <c r="TA71" s="11"/>
      <c r="TB71" s="11"/>
      <c r="TC71" s="11"/>
      <c r="TD71" s="11"/>
      <c r="TE71" s="11"/>
      <c r="TF71" s="11"/>
      <c r="TG71" s="11"/>
      <c r="TH71" s="11"/>
      <c r="TI71" s="11"/>
      <c r="TJ71" s="11"/>
      <c r="TK71" s="11"/>
      <c r="TL71" s="11"/>
      <c r="TM71" s="11"/>
      <c r="TN71" s="11"/>
      <c r="TO71" s="11"/>
      <c r="TP71" s="11"/>
      <c r="TQ71" s="11"/>
      <c r="TR71" s="11"/>
      <c r="TS71" s="11"/>
      <c r="TT71" s="11"/>
      <c r="TU71" s="11"/>
      <c r="TV71" s="11"/>
      <c r="TW71" s="11"/>
      <c r="TX71" s="11"/>
      <c r="TY71" s="11"/>
      <c r="TZ71" s="11"/>
      <c r="UA71" s="11"/>
      <c r="UB71" s="11"/>
      <c r="UC71" s="11"/>
      <c r="UD71" s="11"/>
      <c r="UE71" s="11"/>
      <c r="UF71" s="11"/>
      <c r="UG71" s="11"/>
      <c r="UH71" s="11"/>
      <c r="UI71" s="11"/>
      <c r="UJ71" s="11"/>
      <c r="UK71" s="11"/>
      <c r="UL71" s="11"/>
      <c r="UM71" s="11"/>
      <c r="UN71" s="11"/>
      <c r="UO71" s="11"/>
      <c r="UP71" s="11"/>
      <c r="UQ71" s="11"/>
      <c r="UR71" s="11"/>
      <c r="US71" s="11"/>
      <c r="UT71" s="11"/>
      <c r="UU71" s="11"/>
      <c r="UV71" s="11"/>
      <c r="UW71" s="11"/>
      <c r="UX71" s="11"/>
      <c r="UY71" s="11"/>
      <c r="UZ71" s="11"/>
      <c r="VA71" s="11"/>
      <c r="VB71" s="11"/>
      <c r="VC71" s="11"/>
      <c r="VD71" s="11"/>
      <c r="VE71" s="11"/>
      <c r="VF71" s="11"/>
      <c r="VG71" s="11"/>
      <c r="VH71" s="11"/>
      <c r="VI71" s="11"/>
      <c r="VJ71" s="11"/>
      <c r="VK71" s="11"/>
      <c r="VL71" s="11"/>
      <c r="VM71" s="11"/>
      <c r="VN71" s="11"/>
      <c r="VO71" s="11"/>
      <c r="VP71" s="11"/>
      <c r="VQ71" s="11"/>
      <c r="VR71" s="11"/>
      <c r="VS71" s="11"/>
      <c r="VT71" s="11"/>
      <c r="VU71" s="11"/>
      <c r="VV71" s="11"/>
      <c r="VW71" s="11"/>
      <c r="VX71" s="11"/>
      <c r="VY71" s="11"/>
      <c r="VZ71" s="11"/>
      <c r="WA71" s="11"/>
      <c r="WB71" s="11"/>
      <c r="WC71" s="11"/>
      <c r="WD71" s="11"/>
      <c r="WE71" s="11"/>
      <c r="WF71" s="11"/>
      <c r="WG71" s="11"/>
      <c r="WH71" s="11"/>
      <c r="WI71" s="11"/>
      <c r="WJ71" s="11"/>
      <c r="WK71" s="11"/>
      <c r="WL71" s="11"/>
      <c r="WM71" s="11"/>
      <c r="WN71" s="11"/>
      <c r="WO71" s="11"/>
      <c r="WP71" s="11"/>
      <c r="WQ71" s="11"/>
      <c r="WR71" s="11"/>
      <c r="WS71" s="11"/>
      <c r="WT71" s="11"/>
      <c r="WU71" s="11"/>
      <c r="WV71" s="11"/>
      <c r="WW71" s="11"/>
      <c r="WX71" s="11"/>
      <c r="WY71" s="11"/>
      <c r="WZ71" s="11"/>
      <c r="XA71" s="11"/>
      <c r="XB71" s="11"/>
      <c r="XC71" s="11"/>
      <c r="XD71" s="11"/>
      <c r="XE71" s="11"/>
      <c r="XF71" s="11"/>
      <c r="XG71" s="11"/>
      <c r="XH71" s="11"/>
      <c r="XI71" s="11"/>
      <c r="XJ71" s="11"/>
      <c r="XK71" s="11"/>
      <c r="XL71" s="11"/>
      <c r="XM71" s="11"/>
      <c r="XN71" s="11"/>
      <c r="XO71" s="11"/>
      <c r="XP71" s="11"/>
      <c r="XQ71" s="11"/>
      <c r="XR71" s="11"/>
      <c r="XS71" s="11"/>
      <c r="XT71" s="11"/>
      <c r="XU71" s="11"/>
      <c r="XV71" s="11"/>
      <c r="XW71" s="11"/>
      <c r="XX71" s="11"/>
      <c r="XY71" s="11"/>
      <c r="XZ71" s="11"/>
      <c r="YA71" s="11"/>
      <c r="YB71" s="11"/>
      <c r="YC71" s="11"/>
      <c r="YD71" s="11"/>
      <c r="YE71" s="11"/>
      <c r="YF71" s="11"/>
      <c r="YG71" s="11"/>
      <c r="YH71" s="11"/>
      <c r="YI71" s="11"/>
      <c r="YJ71" s="11"/>
      <c r="YK71" s="11"/>
      <c r="YL71" s="11"/>
      <c r="YM71" s="11"/>
      <c r="YN71" s="11"/>
      <c r="YO71" s="11"/>
      <c r="YP71" s="11"/>
      <c r="YQ71" s="11"/>
      <c r="YR71" s="11"/>
      <c r="YS71" s="11"/>
      <c r="YT71" s="11"/>
      <c r="YU71" s="11"/>
      <c r="YV71" s="11"/>
      <c r="YW71" s="11"/>
      <c r="YX71" s="11"/>
      <c r="YY71" s="11"/>
      <c r="YZ71" s="11"/>
      <c r="ZA71" s="11"/>
      <c r="ZB71" s="11"/>
      <c r="ZC71" s="11"/>
      <c r="ZD71" s="11"/>
      <c r="ZE71" s="11"/>
      <c r="ZF71" s="11"/>
      <c r="ZG71" s="11"/>
      <c r="ZH71" s="11"/>
      <c r="ZI71" s="11"/>
      <c r="ZJ71" s="11"/>
      <c r="ZK71" s="11"/>
      <c r="ZL71" s="11"/>
      <c r="ZM71" s="11"/>
      <c r="ZN71" s="11"/>
      <c r="ZO71" s="11"/>
      <c r="ZP71" s="11"/>
      <c r="ZQ71" s="11"/>
      <c r="ZR71" s="11"/>
      <c r="ZS71" s="11"/>
      <c r="ZT71" s="11"/>
      <c r="ZU71" s="11"/>
      <c r="ZV71" s="11"/>
      <c r="ZW71" s="11"/>
      <c r="ZX71" s="11"/>
      <c r="ZY71" s="11"/>
      <c r="ZZ71" s="11"/>
      <c r="AAA71" s="11"/>
      <c r="AAB71" s="11"/>
      <c r="AAC71" s="11"/>
      <c r="AAD71" s="11"/>
      <c r="AAE71" s="11"/>
      <c r="AAF71" s="11"/>
      <c r="AAG71" s="11"/>
      <c r="AAH71" s="11"/>
      <c r="AAI71" s="11"/>
      <c r="AAJ71" s="11"/>
      <c r="AAK71" s="11"/>
      <c r="AAL71" s="11"/>
      <c r="AAM71" s="11"/>
      <c r="AAN71" s="11"/>
      <c r="AAO71" s="11"/>
      <c r="AAP71" s="11"/>
      <c r="AAQ71" s="11"/>
      <c r="AAR71" s="11"/>
      <c r="AAS71" s="11"/>
      <c r="AAT71" s="11"/>
      <c r="AAU71" s="11"/>
      <c r="AAV71" s="11"/>
      <c r="AAW71" s="11"/>
      <c r="AAX71" s="11"/>
      <c r="AAY71" s="11"/>
      <c r="AAZ71" s="11"/>
      <c r="ABA71" s="11"/>
      <c r="ABB71" s="11"/>
      <c r="ABC71" s="11"/>
      <c r="ABD71" s="11"/>
      <c r="ABE71" s="11"/>
      <c r="ABF71" s="11"/>
      <c r="ABG71" s="11"/>
      <c r="ABH71" s="11"/>
      <c r="ABI71" s="11"/>
      <c r="ABJ71" s="11"/>
      <c r="ABK71" s="11"/>
      <c r="ABL71" s="11"/>
      <c r="ABM71" s="11"/>
      <c r="ABN71" s="11"/>
      <c r="ABO71" s="11"/>
      <c r="ABP71" s="11"/>
      <c r="ABQ71" s="11"/>
      <c r="ABR71" s="11"/>
      <c r="ABS71" s="11"/>
      <c r="ABT71" s="11"/>
      <c r="ABU71" s="11"/>
      <c r="ABV71" s="11"/>
      <c r="ABW71" s="11"/>
      <c r="ABX71" s="11"/>
      <c r="ABY71" s="11"/>
      <c r="ABZ71" s="11"/>
      <c r="ACA71" s="11"/>
      <c r="ACB71" s="11"/>
      <c r="ACC71" s="11"/>
      <c r="ACD71" s="11"/>
      <c r="ACE71" s="11"/>
      <c r="ACF71" s="11"/>
      <c r="ACG71" s="11"/>
      <c r="ACH71" s="11"/>
      <c r="ACI71" s="11"/>
      <c r="ACJ71" s="11"/>
      <c r="ACK71" s="11"/>
      <c r="ACL71" s="11"/>
      <c r="ACM71" s="11"/>
      <c r="ACN71" s="11"/>
      <c r="ACO71" s="11"/>
      <c r="ACP71" s="11"/>
      <c r="ACQ71" s="11"/>
      <c r="ACR71" s="11"/>
      <c r="ACS71" s="11"/>
      <c r="ACT71" s="11"/>
      <c r="ACU71" s="11"/>
      <c r="ACV71" s="11"/>
      <c r="ACW71" s="11"/>
      <c r="ACX71" s="11"/>
      <c r="ACY71" s="11"/>
      <c r="ACZ71" s="11"/>
      <c r="ADA71" s="11"/>
      <c r="ADB71" s="11"/>
      <c r="ADC71" s="11"/>
      <c r="ADD71" s="11"/>
      <c r="ADE71" s="11"/>
      <c r="ADF71" s="11"/>
      <c r="ADG71" s="11"/>
      <c r="ADH71" s="11"/>
      <c r="ADI71" s="11"/>
      <c r="ADJ71" s="11"/>
      <c r="ADK71" s="11"/>
      <c r="ADL71" s="11"/>
      <c r="ADM71" s="11"/>
      <c r="ADN71" s="11"/>
      <c r="ADO71" s="11"/>
      <c r="ADP71" s="11"/>
      <c r="ADQ71" s="11"/>
      <c r="ADR71" s="11"/>
      <c r="ADS71" s="11"/>
      <c r="ADT71" s="11"/>
      <c r="ADU71" s="11"/>
      <c r="ADV71" s="11"/>
      <c r="ADW71" s="11"/>
      <c r="ADX71" s="11"/>
      <c r="ADY71" s="11"/>
      <c r="ADZ71" s="11"/>
      <c r="AEA71" s="11"/>
      <c r="AEB71" s="11"/>
      <c r="AEC71" s="11"/>
      <c r="AED71" s="11"/>
      <c r="AEE71" s="11"/>
      <c r="AEF71" s="11"/>
      <c r="AEG71" s="11"/>
      <c r="AEH71" s="11"/>
      <c r="AEI71" s="11"/>
      <c r="AEJ71" s="11"/>
      <c r="AEK71" s="11"/>
      <c r="AEL71" s="11"/>
      <c r="AEM71" s="11"/>
      <c r="AEN71" s="11"/>
      <c r="AEO71" s="11"/>
      <c r="AEP71" s="11"/>
      <c r="AEQ71" s="11"/>
      <c r="AER71" s="11"/>
      <c r="AES71" s="11"/>
      <c r="AET71" s="11"/>
      <c r="AEU71" s="11"/>
      <c r="AEV71" s="11"/>
      <c r="AEW71" s="11"/>
      <c r="AEX71" s="11"/>
      <c r="AEY71" s="11"/>
      <c r="AEZ71" s="11"/>
      <c r="AFA71" s="11"/>
      <c r="AFB71" s="11"/>
      <c r="AFC71" s="11"/>
      <c r="AFD71" s="11"/>
      <c r="AFE71" s="11"/>
      <c r="AFF71" s="11"/>
      <c r="AFG71" s="11"/>
      <c r="AFH71" s="11"/>
      <c r="AFI71" s="11"/>
    </row>
    <row r="72" spans="2:841">
      <c r="B72" s="11"/>
      <c r="C72" s="657"/>
      <c r="D72" s="289" t="s">
        <v>626</v>
      </c>
      <c r="E72" s="311">
        <f>SUMIFS(M_Datos!$N$38:$N$40,M_Datos!$O$38:$O$40,M_Lista!G20,M_Datos!$M$38:$M$40,M_Lista!$J$3)</f>
        <v>0</v>
      </c>
      <c r="F72" s="312" t="e">
        <f>IF(AND(M_FactoresComplement!$G$439="No",M_FactoresComplement!$G$441="No"),M_Cálculos_ND!E72*VLOOKUP(M_Datos!$E$12&amp;M_Cálculos_ND!D72,M_Factores!$M$10:$P$108,2,FALSE),IF(AND(M_FactoresComplement!$G$439="Sí",M_FactoresComplement!$G$441="No"),E72*M_FactoresComplement!G469,E72*VLOOKUP(M_FactoresComplement!$C$467&amp;M_Datos!$E$12&amp;M_Lista!G19,M_FactoresComplement!$F$446:$I$781,2,FALSE)))</f>
        <v>#N/A</v>
      </c>
      <c r="G72" s="313" t="e">
        <f>IF(AND(M_FactoresComplement!$G$439="No",M_FactoresComplement!$G$441="No"),M_Cálculos_ND!E72*VLOOKUP(M_Datos!$E$12&amp;M_Cálculos_ND!D72,M_Factores!$M$10:$P$108,3,FALSE),IF(AND(M_FactoresComplement!$G$439="Sí",M_FactoresComplement!$G$441="No"),E72*M_FactoresComplement!H469,E72*VLOOKUP(M_FactoresComplement!$C$467&amp;M_Datos!$E$12&amp;M_Lista!G19,M_FactoresComplement!$F$446:$I$781,3,FALSE)))</f>
        <v>#N/A</v>
      </c>
      <c r="H72" s="311">
        <f>SUMIFS(M_Datos!$P$38:$P$40,M_Datos!$Q$38:$Q$40,M_Lista!G20,M_Datos!$M$38:$M$40,M_Lista!$J$3)</f>
        <v>0</v>
      </c>
      <c r="I72" s="312" t="e">
        <f>IF(AND(M_FactoresComplement!$G$439="No",M_FactoresComplement!$G$441="No"),M_Cálculos_ND!H72*VLOOKUP(M_Datos!$E$12&amp;M_Cálculos_ND!D72,M_Factores!$M$10:$P$108,2,FALSE),IF(AND(M_FactoresComplement!$G$439="Sí",M_FactoresComplement!$G$441="No"),H72*M_FactoresComplement!G469,H72*VLOOKUP(M_FactoresComplement!$C$467&amp;M_Datos!$E$12&amp;M_Lista!G19,M_FactoresComplement!$F$446:$I$781,2,FALSE)))</f>
        <v>#N/A</v>
      </c>
      <c r="J72" s="313" t="e">
        <f>IF(AND(M_FactoresComplement!$G$439="No",M_FactoresComplement!$G$441="No"),M_Cálculos_ND!H72*VLOOKUP(M_Datos!$E$12&amp;M_Cálculos_ND!D72,M_Factores!$M$10:$P$108,3,FALSE),IF(AND(M_FactoresComplement!$G$439="Sí",M_FactoresComplement!$G$441="No"),H72*M_FactoresComplement!H469,H72*VLOOKUP(M_FactoresComplement!$C$467&amp;M_Datos!$E$12&amp;M_Lista!G19,M_FactoresComplement!$F$446:$I$781,3,FALSE)))</f>
        <v>#N/A</v>
      </c>
      <c r="K72" s="311">
        <f>SUMIFS(M_Datos!$R$38:$R$40,M_Datos!$S$38:$S$40,M_Lista!G20,M_Datos!$M$38:$M$40,M_Lista!$J$3)</f>
        <v>0</v>
      </c>
      <c r="L72" s="312" t="e">
        <f>IF(AND(M_FactoresComplement!$G$439="No",M_FactoresComplement!$G$441="No"),M_Cálculos_ND!K72*VLOOKUP(M_Datos!$E$12&amp;M_Cálculos_ND!D72,M_Factores!$M$10:$P$108,2,FALSE),IF(AND(M_FactoresComplement!$G$439="Sí",M_FactoresComplement!$G$441="No"),K72*M_FactoresComplement!G469,K72*VLOOKUP(M_FactoresComplement!$C$467&amp;M_Datos!$E$12&amp;M_Lista!G19,M_FactoresComplement!$F$446:$I$781,2,FALSE)))</f>
        <v>#N/A</v>
      </c>
      <c r="M72" s="313" t="e">
        <f>IF(AND(M_FactoresComplement!$G$439="No",M_FactoresComplement!$G$441="No"),M_Cálculos_ND!K72*VLOOKUP(M_Datos!$E$12&amp;M_Cálculos_ND!D72,M_Factores!$M$10:$P$108,3,FALSE),IF(AND(M_FactoresComplement!$G$439="Sí",M_FactoresComplement!$G$441="No"),K72*M_FactoresComplement!H469,K72*VLOOKUP(M_FactoresComplement!$C$467&amp;M_Datos!$E$12&amp;M_Lista!G19,M_FactoresComplement!$F$446:$I$781,3,FALSE)))</f>
        <v>#N/A</v>
      </c>
      <c r="N72" s="311">
        <f>SUMIFS(M_Datos!$T$38:$T$40,M_Datos!$U$38:$U$40,M_Lista!G20,M_Datos!$M$38:$M$40,M_Lista!$J$3)</f>
        <v>0</v>
      </c>
      <c r="O72" s="312" t="e">
        <f>IF(AND(M_FactoresComplement!$G$439="No",M_FactoresComplement!$G$441="No"),M_Cálculos_ND!N72*VLOOKUP(M_Datos!$E$12&amp;M_Cálculos_ND!D72,M_Factores!$M$10:$P$108,2,FALSE),IF(AND(M_FactoresComplement!$G$439="Sí",M_FactoresComplement!$G$441="No"),N72*M_FactoresComplement!G469,N72*VLOOKUP(M_FactoresComplement!$C$467&amp;M_Datos!$E$12&amp;M_Lista!G19,M_FactoresComplement!$F$446:$I$781,2,FALSE)))</f>
        <v>#N/A</v>
      </c>
      <c r="P72" s="313" t="e">
        <f>IF(AND(M_FactoresComplement!$G$439="No",M_FactoresComplement!$G$441="No"),M_Cálculos_ND!N72*VLOOKUP(M_Datos!$E$12&amp;M_Cálculos_ND!D72,M_Factores!$M$10:$P$108,3,FALSE),IF(AND(M_FactoresComplement!$G$439="Sí",M_FactoresComplement!$G$441="No"),N72*M_FactoresComplement!H469,N72*VLOOKUP(M_FactoresComplement!$C$467&amp;M_Datos!$E$12&amp;M_Lista!G19,M_FactoresComplement!$F$446:$I$781,3,FALSE)))</f>
        <v>#N/A</v>
      </c>
      <c r="Q72" s="311">
        <f>SUMIFS(M_Datos!$V$38:$V$40,M_Datos!$W$38:$W$40,M_Lista!G20,M_Datos!$M$38:$M$40,M_Lista!$J$3)</f>
        <v>0</v>
      </c>
      <c r="R72" s="312" t="e">
        <f>IF(AND(M_FactoresComplement!$G$439="No",M_FactoresComplement!$G$441="No"),M_Cálculos_ND!Q72*VLOOKUP(M_Datos!$E$12&amp;M_Cálculos_ND!D72,M_Factores!$M$10:$P$108,2,FALSE),IF(AND(M_FactoresComplement!$G$439="Sí",M_FactoresComplement!$G$441="No"),Q72*M_FactoresComplement!G469,Q72*VLOOKUP(M_FactoresComplement!$C$467&amp;M_Datos!$E$12&amp;M_Lista!G19,M_FactoresComplement!$F$446:$I$781,2,FALSE)))</f>
        <v>#N/A</v>
      </c>
      <c r="S72" s="313" t="e">
        <f>IF(AND(M_FactoresComplement!$G$439="No",M_FactoresComplement!$G$441="No"),M_Cálculos_ND!Q72*VLOOKUP(M_Datos!$E$12&amp;M_Cálculos_ND!D72,M_Factores!$M$10:$P$108,3,FALSE),IF(AND(M_FactoresComplement!$G$439="Sí",M_FactoresComplement!$G$441="No"),Q72*M_FactoresComplement!H469,Q72*VLOOKUP(M_FactoresComplement!$C$467&amp;M_Datos!$E$12&amp;M_Lista!G19,M_FactoresComplement!$F$446:$I$781,3,FALSE)))</f>
        <v>#N/A</v>
      </c>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c r="PU72" s="11"/>
      <c r="PV72" s="11"/>
      <c r="PW72" s="11"/>
      <c r="PX72" s="11"/>
      <c r="PY72" s="11"/>
      <c r="PZ72" s="11"/>
      <c r="QA72" s="11"/>
      <c r="QB72" s="11"/>
      <c r="QC72" s="11"/>
      <c r="QD72" s="11"/>
      <c r="QE72" s="11"/>
      <c r="QF72" s="11"/>
      <c r="QG72" s="11"/>
      <c r="QH72" s="11"/>
      <c r="QI72" s="11"/>
      <c r="QJ72" s="11"/>
      <c r="QK72" s="11"/>
      <c r="QL72" s="11"/>
      <c r="QM72" s="11"/>
      <c r="QN72" s="11"/>
      <c r="QO72" s="11"/>
      <c r="QP72" s="11"/>
      <c r="QQ72" s="11"/>
      <c r="QR72" s="11"/>
      <c r="QS72" s="11"/>
      <c r="QT72" s="11"/>
      <c r="QU72" s="11"/>
      <c r="QV72" s="11"/>
      <c r="QW72" s="11"/>
      <c r="QX72" s="11"/>
      <c r="QY72" s="11"/>
      <c r="QZ72" s="11"/>
      <c r="RA72" s="11"/>
      <c r="RB72" s="11"/>
      <c r="RC72" s="11"/>
      <c r="RD72" s="11"/>
      <c r="RE72" s="11"/>
      <c r="RF72" s="11"/>
      <c r="RG72" s="11"/>
      <c r="RH72" s="11"/>
      <c r="RI72" s="11"/>
      <c r="RJ72" s="11"/>
      <c r="RK72" s="11"/>
      <c r="RL72" s="11"/>
      <c r="RM72" s="11"/>
      <c r="RN72" s="11"/>
      <c r="RO72" s="11"/>
      <c r="RP72" s="11"/>
      <c r="RQ72" s="11"/>
      <c r="RR72" s="11"/>
      <c r="RS72" s="11"/>
      <c r="RT72" s="11"/>
      <c r="RU72" s="11"/>
      <c r="RV72" s="11"/>
      <c r="RW72" s="11"/>
      <c r="RX72" s="11"/>
      <c r="RY72" s="11"/>
      <c r="RZ72" s="11"/>
      <c r="SA72" s="11"/>
      <c r="SB72" s="11"/>
      <c r="SC72" s="11"/>
      <c r="SD72" s="11"/>
      <c r="SE72" s="11"/>
      <c r="SF72" s="11"/>
      <c r="SG72" s="11"/>
      <c r="SH72" s="11"/>
      <c r="SI72" s="11"/>
      <c r="SJ72" s="11"/>
      <c r="SK72" s="11"/>
      <c r="SL72" s="11"/>
      <c r="SM72" s="11"/>
      <c r="SN72" s="11"/>
      <c r="SO72" s="11"/>
      <c r="SP72" s="11"/>
      <c r="SQ72" s="11"/>
      <c r="SR72" s="11"/>
      <c r="SS72" s="11"/>
      <c r="ST72" s="11"/>
      <c r="SU72" s="11"/>
      <c r="SV72" s="11"/>
      <c r="SW72" s="11"/>
      <c r="SX72" s="11"/>
      <c r="SY72" s="11"/>
      <c r="SZ72" s="11"/>
      <c r="TA72" s="11"/>
      <c r="TB72" s="11"/>
      <c r="TC72" s="11"/>
      <c r="TD72" s="11"/>
      <c r="TE72" s="11"/>
      <c r="TF72" s="11"/>
      <c r="TG72" s="11"/>
      <c r="TH72" s="11"/>
      <c r="TI72" s="11"/>
      <c r="TJ72" s="11"/>
      <c r="TK72" s="11"/>
      <c r="TL72" s="11"/>
      <c r="TM72" s="11"/>
      <c r="TN72" s="11"/>
      <c r="TO72" s="11"/>
      <c r="TP72" s="11"/>
      <c r="TQ72" s="11"/>
      <c r="TR72" s="11"/>
      <c r="TS72" s="11"/>
      <c r="TT72" s="11"/>
      <c r="TU72" s="11"/>
      <c r="TV72" s="11"/>
      <c r="TW72" s="11"/>
      <c r="TX72" s="11"/>
      <c r="TY72" s="11"/>
      <c r="TZ72" s="11"/>
      <c r="UA72" s="11"/>
      <c r="UB72" s="11"/>
      <c r="UC72" s="11"/>
      <c r="UD72" s="11"/>
      <c r="UE72" s="11"/>
      <c r="UF72" s="11"/>
      <c r="UG72" s="11"/>
      <c r="UH72" s="11"/>
      <c r="UI72" s="11"/>
      <c r="UJ72" s="11"/>
      <c r="UK72" s="11"/>
      <c r="UL72" s="11"/>
      <c r="UM72" s="11"/>
      <c r="UN72" s="11"/>
      <c r="UO72" s="11"/>
      <c r="UP72" s="11"/>
      <c r="UQ72" s="11"/>
      <c r="UR72" s="11"/>
      <c r="US72" s="11"/>
      <c r="UT72" s="11"/>
      <c r="UU72" s="11"/>
      <c r="UV72" s="11"/>
      <c r="UW72" s="11"/>
      <c r="UX72" s="11"/>
      <c r="UY72" s="11"/>
      <c r="UZ72" s="11"/>
      <c r="VA72" s="11"/>
      <c r="VB72" s="11"/>
      <c r="VC72" s="11"/>
      <c r="VD72" s="11"/>
      <c r="VE72" s="11"/>
      <c r="VF72" s="11"/>
      <c r="VG72" s="11"/>
      <c r="VH72" s="11"/>
      <c r="VI72" s="11"/>
      <c r="VJ72" s="11"/>
      <c r="VK72" s="11"/>
      <c r="VL72" s="11"/>
      <c r="VM72" s="11"/>
      <c r="VN72" s="11"/>
      <c r="VO72" s="11"/>
      <c r="VP72" s="11"/>
      <c r="VQ72" s="11"/>
      <c r="VR72" s="11"/>
      <c r="VS72" s="11"/>
      <c r="VT72" s="11"/>
      <c r="VU72" s="11"/>
      <c r="VV72" s="11"/>
      <c r="VW72" s="11"/>
      <c r="VX72" s="11"/>
      <c r="VY72" s="11"/>
      <c r="VZ72" s="11"/>
      <c r="WA72" s="11"/>
      <c r="WB72" s="11"/>
      <c r="WC72" s="11"/>
      <c r="WD72" s="11"/>
      <c r="WE72" s="11"/>
      <c r="WF72" s="11"/>
      <c r="WG72" s="11"/>
      <c r="WH72" s="11"/>
      <c r="WI72" s="11"/>
      <c r="WJ72" s="11"/>
      <c r="WK72" s="11"/>
      <c r="WL72" s="11"/>
      <c r="WM72" s="11"/>
      <c r="WN72" s="11"/>
      <c r="WO72" s="11"/>
      <c r="WP72" s="11"/>
      <c r="WQ72" s="11"/>
      <c r="WR72" s="11"/>
      <c r="WS72" s="11"/>
      <c r="WT72" s="11"/>
      <c r="WU72" s="11"/>
      <c r="WV72" s="11"/>
      <c r="WW72" s="11"/>
      <c r="WX72" s="11"/>
      <c r="WY72" s="11"/>
      <c r="WZ72" s="11"/>
      <c r="XA72" s="11"/>
      <c r="XB72" s="11"/>
      <c r="XC72" s="11"/>
      <c r="XD72" s="11"/>
      <c r="XE72" s="11"/>
      <c r="XF72" s="11"/>
      <c r="XG72" s="11"/>
      <c r="XH72" s="11"/>
      <c r="XI72" s="11"/>
      <c r="XJ72" s="11"/>
      <c r="XK72" s="11"/>
      <c r="XL72" s="11"/>
      <c r="XM72" s="11"/>
      <c r="XN72" s="11"/>
      <c r="XO72" s="11"/>
      <c r="XP72" s="11"/>
      <c r="XQ72" s="11"/>
      <c r="XR72" s="11"/>
      <c r="XS72" s="11"/>
      <c r="XT72" s="11"/>
      <c r="XU72" s="11"/>
      <c r="XV72" s="11"/>
      <c r="XW72" s="11"/>
      <c r="XX72" s="11"/>
      <c r="XY72" s="11"/>
      <c r="XZ72" s="11"/>
      <c r="YA72" s="11"/>
      <c r="YB72" s="11"/>
      <c r="YC72" s="11"/>
      <c r="YD72" s="11"/>
      <c r="YE72" s="11"/>
      <c r="YF72" s="11"/>
      <c r="YG72" s="11"/>
      <c r="YH72" s="11"/>
      <c r="YI72" s="11"/>
      <c r="YJ72" s="11"/>
      <c r="YK72" s="11"/>
      <c r="YL72" s="11"/>
      <c r="YM72" s="11"/>
      <c r="YN72" s="11"/>
      <c r="YO72" s="11"/>
      <c r="YP72" s="11"/>
      <c r="YQ72" s="11"/>
      <c r="YR72" s="11"/>
      <c r="YS72" s="11"/>
      <c r="YT72" s="11"/>
      <c r="YU72" s="11"/>
      <c r="YV72" s="11"/>
      <c r="YW72" s="11"/>
      <c r="YX72" s="11"/>
      <c r="YY72" s="11"/>
      <c r="YZ72" s="11"/>
      <c r="ZA72" s="11"/>
      <c r="ZB72" s="11"/>
      <c r="ZC72" s="11"/>
      <c r="ZD72" s="11"/>
      <c r="ZE72" s="11"/>
      <c r="ZF72" s="11"/>
      <c r="ZG72" s="11"/>
      <c r="ZH72" s="11"/>
      <c r="ZI72" s="11"/>
      <c r="ZJ72" s="11"/>
      <c r="ZK72" s="11"/>
      <c r="ZL72" s="11"/>
      <c r="ZM72" s="11"/>
      <c r="ZN72" s="11"/>
      <c r="ZO72" s="11"/>
      <c r="ZP72" s="11"/>
      <c r="ZQ72" s="11"/>
      <c r="ZR72" s="11"/>
      <c r="ZS72" s="11"/>
      <c r="ZT72" s="11"/>
      <c r="ZU72" s="11"/>
      <c r="ZV72" s="11"/>
      <c r="ZW72" s="11"/>
      <c r="ZX72" s="11"/>
      <c r="ZY72" s="11"/>
      <c r="ZZ72" s="11"/>
      <c r="AAA72" s="11"/>
      <c r="AAB72" s="11"/>
      <c r="AAC72" s="11"/>
      <c r="AAD72" s="11"/>
      <c r="AAE72" s="11"/>
      <c r="AAF72" s="11"/>
      <c r="AAG72" s="11"/>
      <c r="AAH72" s="11"/>
      <c r="AAI72" s="11"/>
      <c r="AAJ72" s="11"/>
      <c r="AAK72" s="11"/>
      <c r="AAL72" s="11"/>
      <c r="AAM72" s="11"/>
      <c r="AAN72" s="11"/>
      <c r="AAO72" s="11"/>
      <c r="AAP72" s="11"/>
      <c r="AAQ72" s="11"/>
      <c r="AAR72" s="11"/>
      <c r="AAS72" s="11"/>
      <c r="AAT72" s="11"/>
      <c r="AAU72" s="11"/>
      <c r="AAV72" s="11"/>
      <c r="AAW72" s="11"/>
      <c r="AAX72" s="11"/>
      <c r="AAY72" s="11"/>
      <c r="AAZ72" s="11"/>
      <c r="ABA72" s="11"/>
      <c r="ABB72" s="11"/>
      <c r="ABC72" s="11"/>
      <c r="ABD72" s="11"/>
      <c r="ABE72" s="11"/>
      <c r="ABF72" s="11"/>
      <c r="ABG72" s="11"/>
      <c r="ABH72" s="11"/>
      <c r="ABI72" s="11"/>
      <c r="ABJ72" s="11"/>
      <c r="ABK72" s="11"/>
      <c r="ABL72" s="11"/>
      <c r="ABM72" s="11"/>
      <c r="ABN72" s="11"/>
      <c r="ABO72" s="11"/>
      <c r="ABP72" s="11"/>
      <c r="ABQ72" s="11"/>
      <c r="ABR72" s="11"/>
      <c r="ABS72" s="11"/>
      <c r="ABT72" s="11"/>
      <c r="ABU72" s="11"/>
      <c r="ABV72" s="11"/>
      <c r="ABW72" s="11"/>
      <c r="ABX72" s="11"/>
      <c r="ABY72" s="11"/>
      <c r="ABZ72" s="11"/>
      <c r="ACA72" s="11"/>
      <c r="ACB72" s="11"/>
      <c r="ACC72" s="11"/>
      <c r="ACD72" s="11"/>
      <c r="ACE72" s="11"/>
      <c r="ACF72" s="11"/>
      <c r="ACG72" s="11"/>
      <c r="ACH72" s="11"/>
      <c r="ACI72" s="11"/>
      <c r="ACJ72" s="11"/>
      <c r="ACK72" s="11"/>
      <c r="ACL72" s="11"/>
      <c r="ACM72" s="11"/>
      <c r="ACN72" s="11"/>
      <c r="ACO72" s="11"/>
      <c r="ACP72" s="11"/>
      <c r="ACQ72" s="11"/>
      <c r="ACR72" s="11"/>
      <c r="ACS72" s="11"/>
      <c r="ACT72" s="11"/>
      <c r="ACU72" s="11"/>
      <c r="ACV72" s="11"/>
      <c r="ACW72" s="11"/>
      <c r="ACX72" s="11"/>
      <c r="ACY72" s="11"/>
      <c r="ACZ72" s="11"/>
      <c r="ADA72" s="11"/>
      <c r="ADB72" s="11"/>
      <c r="ADC72" s="11"/>
      <c r="ADD72" s="11"/>
      <c r="ADE72" s="11"/>
      <c r="ADF72" s="11"/>
      <c r="ADG72" s="11"/>
      <c r="ADH72" s="11"/>
      <c r="ADI72" s="11"/>
      <c r="ADJ72" s="11"/>
      <c r="ADK72" s="11"/>
      <c r="ADL72" s="11"/>
      <c r="ADM72" s="11"/>
      <c r="ADN72" s="11"/>
      <c r="ADO72" s="11"/>
      <c r="ADP72" s="11"/>
      <c r="ADQ72" s="11"/>
      <c r="ADR72" s="11"/>
      <c r="ADS72" s="11"/>
      <c r="ADT72" s="11"/>
      <c r="ADU72" s="11"/>
      <c r="ADV72" s="11"/>
      <c r="ADW72" s="11"/>
      <c r="ADX72" s="11"/>
      <c r="ADY72" s="11"/>
      <c r="ADZ72" s="11"/>
      <c r="AEA72" s="11"/>
      <c r="AEB72" s="11"/>
      <c r="AEC72" s="11"/>
      <c r="AED72" s="11"/>
      <c r="AEE72" s="11"/>
      <c r="AEF72" s="11"/>
      <c r="AEG72" s="11"/>
      <c r="AEH72" s="11"/>
      <c r="AEI72" s="11"/>
      <c r="AEJ72" s="11"/>
      <c r="AEK72" s="11"/>
      <c r="AEL72" s="11"/>
      <c r="AEM72" s="11"/>
      <c r="AEN72" s="11"/>
      <c r="AEO72" s="11"/>
      <c r="AEP72" s="11"/>
      <c r="AEQ72" s="11"/>
      <c r="AER72" s="11"/>
      <c r="AES72" s="11"/>
      <c r="AET72" s="11"/>
      <c r="AEU72" s="11"/>
      <c r="AEV72" s="11"/>
      <c r="AEW72" s="11"/>
      <c r="AEX72" s="11"/>
      <c r="AEY72" s="11"/>
      <c r="AEZ72" s="11"/>
      <c r="AFA72" s="11"/>
      <c r="AFB72" s="11"/>
      <c r="AFC72" s="11"/>
      <c r="AFD72" s="11"/>
      <c r="AFE72" s="11"/>
      <c r="AFF72" s="11"/>
      <c r="AFG72" s="11"/>
      <c r="AFH72" s="11"/>
      <c r="AFI72" s="11"/>
    </row>
    <row r="73" spans="2:841">
      <c r="B73" s="11"/>
      <c r="C73" s="657"/>
      <c r="D73" s="289" t="s">
        <v>627</v>
      </c>
      <c r="E73" s="311">
        <f>SUMIFS(M_Datos!$N$38:$N$40,M_Datos!$O$38:$O$40,M_Lista!G21,M_Datos!$M$38:$M$40,M_Lista!$J$3)</f>
        <v>0</v>
      </c>
      <c r="F73" s="312" t="e">
        <f>IF(AND(M_FactoresComplement!$G$439="No",M_FactoresComplement!$G$441="No"),M_Cálculos_ND!E73*VLOOKUP(M_Datos!$E$12&amp;M_Cálculos_ND!D73,M_Factores!$M$10:$P$108,2,FALSE),IF(AND(M_FactoresComplement!$G$439="Sí",M_FactoresComplement!$G$441="No"),E73*M_FactoresComplement!G470,E73*VLOOKUP(M_FactoresComplement!$C$467&amp;M_Datos!$E$12&amp;M_Lista!G20,M_FactoresComplement!$F$446:$I$781,2,FALSE)))</f>
        <v>#N/A</v>
      </c>
      <c r="G73" s="313" t="e">
        <f>IF(AND(M_FactoresComplement!$G$439="No",M_FactoresComplement!$G$441="No"),M_Cálculos_ND!E73*VLOOKUP(M_Datos!$E$12&amp;M_Cálculos_ND!D73,M_Factores!$M$10:$P$108,3,FALSE),IF(AND(M_FactoresComplement!$G$439="Sí",M_FactoresComplement!$G$441="No"),E73*M_FactoresComplement!H470,E73*VLOOKUP(M_FactoresComplement!$C$467&amp;M_Datos!$E$12&amp;M_Lista!G20,M_FactoresComplement!$F$446:$I$781,3,FALSE)))</f>
        <v>#N/A</v>
      </c>
      <c r="H73" s="311">
        <f>SUMIFS(M_Datos!$P$38:$P$40,M_Datos!$Q$38:$Q$40,M_Lista!G21,M_Datos!$M$38:$M$40,M_Lista!$J$3)</f>
        <v>0</v>
      </c>
      <c r="I73" s="312" t="e">
        <f>IF(AND(M_FactoresComplement!$G$439="No",M_FactoresComplement!$G$441="No"),M_Cálculos_ND!H73*VLOOKUP(M_Datos!$E$12&amp;M_Cálculos_ND!D73,M_Factores!$M$10:$P$108,2,FALSE),IF(AND(M_FactoresComplement!$G$439="Sí",M_FactoresComplement!$G$441="No"),H73*M_FactoresComplement!G470,H73*VLOOKUP(M_FactoresComplement!$C$467&amp;M_Datos!$E$12&amp;M_Lista!G20,M_FactoresComplement!$F$446:$I$781,2,FALSE)))</f>
        <v>#N/A</v>
      </c>
      <c r="J73" s="313" t="e">
        <f>IF(AND(M_FactoresComplement!$G$439="No",M_FactoresComplement!$G$441="No"),M_Cálculos_ND!H73*VLOOKUP(M_Datos!$E$12&amp;M_Cálculos_ND!D73,M_Factores!$M$10:$P$108,3,FALSE),IF(AND(M_FactoresComplement!$G$439="Sí",M_FactoresComplement!$G$441="No"),H73*M_FactoresComplement!H470,H73*VLOOKUP(M_FactoresComplement!$C$467&amp;M_Datos!$E$12&amp;M_Lista!G20,M_FactoresComplement!$F$446:$I$781,3,FALSE)))</f>
        <v>#N/A</v>
      </c>
      <c r="K73" s="311">
        <f>SUMIFS(M_Datos!$R$38:$R$40,M_Datos!$S$38:$S$40,M_Lista!G21,M_Datos!$M$38:$M$40,M_Lista!$J$3)</f>
        <v>0</v>
      </c>
      <c r="L73" s="312" t="e">
        <f>IF(AND(M_FactoresComplement!$G$439="No",M_FactoresComplement!$G$441="No"),M_Cálculos_ND!K73*VLOOKUP(M_Datos!$E$12&amp;M_Cálculos_ND!D73,M_Factores!$M$10:$P$108,2,FALSE),IF(AND(M_FactoresComplement!$G$439="Sí",M_FactoresComplement!$G$441="No"),K73*M_FactoresComplement!G470,K73*VLOOKUP(M_FactoresComplement!$C$467&amp;M_Datos!$E$12&amp;M_Lista!G20,M_FactoresComplement!$F$446:$I$781,2,FALSE)))</f>
        <v>#N/A</v>
      </c>
      <c r="M73" s="313" t="e">
        <f>IF(AND(M_FactoresComplement!$G$439="No",M_FactoresComplement!$G$441="No"),M_Cálculos_ND!K73*VLOOKUP(M_Datos!$E$12&amp;M_Cálculos_ND!D73,M_Factores!$M$10:$P$108,3,FALSE),IF(AND(M_FactoresComplement!$G$439="Sí",M_FactoresComplement!$G$441="No"),K73*M_FactoresComplement!H470,K73*VLOOKUP(M_FactoresComplement!$C$467&amp;M_Datos!$E$12&amp;M_Lista!G20,M_FactoresComplement!$F$446:$I$781,3,FALSE)))</f>
        <v>#N/A</v>
      </c>
      <c r="N73" s="311">
        <f>SUMIFS(M_Datos!$T$38:$T$40,M_Datos!$U$38:$U$40,M_Lista!G21,M_Datos!$M$38:$M$40,M_Lista!$J$3)</f>
        <v>0</v>
      </c>
      <c r="O73" s="312" t="e">
        <f>IF(AND(M_FactoresComplement!$G$439="No",M_FactoresComplement!$G$441="No"),M_Cálculos_ND!N73*VLOOKUP(M_Datos!$E$12&amp;M_Cálculos_ND!D73,M_Factores!$M$10:$P$108,2,FALSE),IF(AND(M_FactoresComplement!$G$439="Sí",M_FactoresComplement!$G$441="No"),N73*M_FactoresComplement!G470,N73*VLOOKUP(M_FactoresComplement!$C$467&amp;M_Datos!$E$12&amp;M_Lista!G20,M_FactoresComplement!$F$446:$I$781,2,FALSE)))</f>
        <v>#N/A</v>
      </c>
      <c r="P73" s="313" t="e">
        <f>IF(AND(M_FactoresComplement!$G$439="No",M_FactoresComplement!$G$441="No"),M_Cálculos_ND!N73*VLOOKUP(M_Datos!$E$12&amp;M_Cálculos_ND!D73,M_Factores!$M$10:$P$108,3,FALSE),IF(AND(M_FactoresComplement!$G$439="Sí",M_FactoresComplement!$G$441="No"),N73*M_FactoresComplement!H470,N73*VLOOKUP(M_FactoresComplement!$C$467&amp;M_Datos!$E$12&amp;M_Lista!G20,M_FactoresComplement!$F$446:$I$781,3,FALSE)))</f>
        <v>#N/A</v>
      </c>
      <c r="Q73" s="311">
        <f>SUMIFS(M_Datos!$V$38:$V$40,M_Datos!$W$38:$W$40,M_Lista!G21,M_Datos!$M$38:$M$40,M_Lista!$J$3)</f>
        <v>0</v>
      </c>
      <c r="R73" s="312" t="e">
        <f>IF(AND(M_FactoresComplement!$G$439="No",M_FactoresComplement!$G$441="No"),M_Cálculos_ND!Q73*VLOOKUP(M_Datos!$E$12&amp;M_Cálculos_ND!D73,M_Factores!$M$10:$P$108,2,FALSE),IF(AND(M_FactoresComplement!$G$439="Sí",M_FactoresComplement!$G$441="No"),Q73*M_FactoresComplement!G470,Q73*VLOOKUP(M_FactoresComplement!$C$467&amp;M_Datos!$E$12&amp;M_Lista!G20,M_FactoresComplement!$F$446:$I$781,2,FALSE)))</f>
        <v>#N/A</v>
      </c>
      <c r="S73" s="313" t="e">
        <f>IF(AND(M_FactoresComplement!$G$439="No",M_FactoresComplement!$G$441="No"),M_Cálculos_ND!Q73*VLOOKUP(M_Datos!$E$12&amp;M_Cálculos_ND!D73,M_Factores!$M$10:$P$108,3,FALSE),IF(AND(M_FactoresComplement!$G$439="Sí",M_FactoresComplement!$G$441="No"),Q73*M_FactoresComplement!H470,Q73*VLOOKUP(M_FactoresComplement!$C$467&amp;M_Datos!$E$12&amp;M_Lista!G20,M_FactoresComplement!$F$446:$I$781,3,FALSE)))</f>
        <v>#N/A</v>
      </c>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c r="PE73" s="11"/>
      <c r="PF73" s="11"/>
      <c r="PG73" s="11"/>
      <c r="PH73" s="11"/>
      <c r="PI73" s="11"/>
      <c r="PJ73" s="11"/>
      <c r="PK73" s="11"/>
      <c r="PL73" s="11"/>
      <c r="PM73" s="11"/>
      <c r="PN73" s="11"/>
      <c r="PO73" s="11"/>
      <c r="PP73" s="11"/>
      <c r="PQ73" s="11"/>
      <c r="PR73" s="11"/>
      <c r="PS73" s="11"/>
      <c r="PT73" s="11"/>
      <c r="PU73" s="11"/>
      <c r="PV73" s="11"/>
      <c r="PW73" s="11"/>
      <c r="PX73" s="11"/>
      <c r="PY73" s="11"/>
      <c r="PZ73" s="11"/>
      <c r="QA73" s="11"/>
      <c r="QB73" s="11"/>
      <c r="QC73" s="11"/>
      <c r="QD73" s="11"/>
      <c r="QE73" s="11"/>
      <c r="QF73" s="11"/>
      <c r="QG73" s="11"/>
      <c r="QH73" s="11"/>
      <c r="QI73" s="11"/>
      <c r="QJ73" s="11"/>
      <c r="QK73" s="11"/>
      <c r="QL73" s="11"/>
      <c r="QM73" s="11"/>
      <c r="QN73" s="11"/>
      <c r="QO73" s="11"/>
      <c r="QP73" s="11"/>
      <c r="QQ73" s="11"/>
      <c r="QR73" s="11"/>
      <c r="QS73" s="11"/>
      <c r="QT73" s="11"/>
      <c r="QU73" s="11"/>
      <c r="QV73" s="11"/>
      <c r="QW73" s="11"/>
      <c r="QX73" s="11"/>
      <c r="QY73" s="11"/>
      <c r="QZ73" s="11"/>
      <c r="RA73" s="11"/>
      <c r="RB73" s="11"/>
      <c r="RC73" s="11"/>
      <c r="RD73" s="11"/>
      <c r="RE73" s="11"/>
      <c r="RF73" s="11"/>
      <c r="RG73" s="11"/>
      <c r="RH73" s="11"/>
      <c r="RI73" s="11"/>
      <c r="RJ73" s="11"/>
      <c r="RK73" s="11"/>
      <c r="RL73" s="11"/>
      <c r="RM73" s="11"/>
      <c r="RN73" s="11"/>
      <c r="RO73" s="11"/>
      <c r="RP73" s="11"/>
      <c r="RQ73" s="11"/>
      <c r="RR73" s="11"/>
      <c r="RS73" s="11"/>
      <c r="RT73" s="11"/>
      <c r="RU73" s="11"/>
      <c r="RV73" s="11"/>
      <c r="RW73" s="11"/>
      <c r="RX73" s="11"/>
      <c r="RY73" s="11"/>
      <c r="RZ73" s="11"/>
      <c r="SA73" s="11"/>
      <c r="SB73" s="11"/>
      <c r="SC73" s="11"/>
      <c r="SD73" s="11"/>
      <c r="SE73" s="11"/>
      <c r="SF73" s="11"/>
      <c r="SG73" s="11"/>
      <c r="SH73" s="11"/>
      <c r="SI73" s="11"/>
      <c r="SJ73" s="11"/>
      <c r="SK73" s="11"/>
      <c r="SL73" s="11"/>
      <c r="SM73" s="11"/>
      <c r="SN73" s="11"/>
      <c r="SO73" s="11"/>
      <c r="SP73" s="11"/>
      <c r="SQ73" s="11"/>
      <c r="SR73" s="11"/>
      <c r="SS73" s="11"/>
      <c r="ST73" s="11"/>
      <c r="SU73" s="11"/>
      <c r="SV73" s="11"/>
      <c r="SW73" s="11"/>
      <c r="SX73" s="11"/>
      <c r="SY73" s="11"/>
      <c r="SZ73" s="11"/>
      <c r="TA73" s="11"/>
      <c r="TB73" s="11"/>
      <c r="TC73" s="11"/>
      <c r="TD73" s="11"/>
      <c r="TE73" s="11"/>
      <c r="TF73" s="11"/>
      <c r="TG73" s="11"/>
      <c r="TH73" s="11"/>
      <c r="TI73" s="11"/>
      <c r="TJ73" s="11"/>
      <c r="TK73" s="11"/>
      <c r="TL73" s="11"/>
      <c r="TM73" s="11"/>
      <c r="TN73" s="11"/>
      <c r="TO73" s="11"/>
      <c r="TP73" s="11"/>
      <c r="TQ73" s="11"/>
      <c r="TR73" s="11"/>
      <c r="TS73" s="11"/>
      <c r="TT73" s="11"/>
      <c r="TU73" s="11"/>
      <c r="TV73" s="11"/>
      <c r="TW73" s="11"/>
      <c r="TX73" s="11"/>
      <c r="TY73" s="11"/>
      <c r="TZ73" s="11"/>
      <c r="UA73" s="11"/>
      <c r="UB73" s="11"/>
      <c r="UC73" s="11"/>
      <c r="UD73" s="11"/>
      <c r="UE73" s="11"/>
      <c r="UF73" s="11"/>
      <c r="UG73" s="11"/>
      <c r="UH73" s="11"/>
      <c r="UI73" s="11"/>
      <c r="UJ73" s="11"/>
      <c r="UK73" s="11"/>
      <c r="UL73" s="11"/>
      <c r="UM73" s="11"/>
      <c r="UN73" s="11"/>
      <c r="UO73" s="11"/>
      <c r="UP73" s="11"/>
      <c r="UQ73" s="11"/>
      <c r="UR73" s="11"/>
      <c r="US73" s="11"/>
      <c r="UT73" s="11"/>
      <c r="UU73" s="11"/>
      <c r="UV73" s="11"/>
      <c r="UW73" s="11"/>
      <c r="UX73" s="11"/>
      <c r="UY73" s="11"/>
      <c r="UZ73" s="11"/>
      <c r="VA73" s="11"/>
      <c r="VB73" s="11"/>
      <c r="VC73" s="11"/>
      <c r="VD73" s="11"/>
      <c r="VE73" s="11"/>
      <c r="VF73" s="11"/>
      <c r="VG73" s="11"/>
      <c r="VH73" s="11"/>
      <c r="VI73" s="11"/>
      <c r="VJ73" s="11"/>
      <c r="VK73" s="11"/>
      <c r="VL73" s="11"/>
      <c r="VM73" s="11"/>
      <c r="VN73" s="11"/>
      <c r="VO73" s="11"/>
      <c r="VP73" s="11"/>
      <c r="VQ73" s="11"/>
      <c r="VR73" s="11"/>
      <c r="VS73" s="11"/>
      <c r="VT73" s="11"/>
      <c r="VU73" s="11"/>
      <c r="VV73" s="11"/>
      <c r="VW73" s="11"/>
      <c r="VX73" s="11"/>
      <c r="VY73" s="11"/>
      <c r="VZ73" s="11"/>
      <c r="WA73" s="11"/>
      <c r="WB73" s="11"/>
      <c r="WC73" s="11"/>
      <c r="WD73" s="11"/>
      <c r="WE73" s="11"/>
      <c r="WF73" s="11"/>
      <c r="WG73" s="11"/>
      <c r="WH73" s="11"/>
      <c r="WI73" s="11"/>
      <c r="WJ73" s="11"/>
      <c r="WK73" s="11"/>
      <c r="WL73" s="11"/>
      <c r="WM73" s="11"/>
      <c r="WN73" s="11"/>
      <c r="WO73" s="11"/>
      <c r="WP73" s="11"/>
      <c r="WQ73" s="11"/>
      <c r="WR73" s="11"/>
      <c r="WS73" s="11"/>
      <c r="WT73" s="11"/>
      <c r="WU73" s="11"/>
      <c r="WV73" s="11"/>
      <c r="WW73" s="11"/>
      <c r="WX73" s="11"/>
      <c r="WY73" s="11"/>
      <c r="WZ73" s="11"/>
      <c r="XA73" s="11"/>
      <c r="XB73" s="11"/>
      <c r="XC73" s="11"/>
      <c r="XD73" s="11"/>
      <c r="XE73" s="11"/>
      <c r="XF73" s="11"/>
      <c r="XG73" s="11"/>
      <c r="XH73" s="11"/>
      <c r="XI73" s="11"/>
      <c r="XJ73" s="11"/>
      <c r="XK73" s="11"/>
      <c r="XL73" s="11"/>
      <c r="XM73" s="11"/>
      <c r="XN73" s="11"/>
      <c r="XO73" s="11"/>
      <c r="XP73" s="11"/>
      <c r="XQ73" s="11"/>
      <c r="XR73" s="11"/>
      <c r="XS73" s="11"/>
      <c r="XT73" s="11"/>
      <c r="XU73" s="11"/>
      <c r="XV73" s="11"/>
      <c r="XW73" s="11"/>
      <c r="XX73" s="11"/>
      <c r="XY73" s="11"/>
      <c r="XZ73" s="11"/>
      <c r="YA73" s="11"/>
      <c r="YB73" s="11"/>
      <c r="YC73" s="11"/>
      <c r="YD73" s="11"/>
      <c r="YE73" s="11"/>
      <c r="YF73" s="11"/>
      <c r="YG73" s="11"/>
      <c r="YH73" s="11"/>
      <c r="YI73" s="11"/>
      <c r="YJ73" s="11"/>
      <c r="YK73" s="11"/>
      <c r="YL73" s="11"/>
      <c r="YM73" s="11"/>
      <c r="YN73" s="11"/>
      <c r="YO73" s="11"/>
      <c r="YP73" s="11"/>
      <c r="YQ73" s="11"/>
      <c r="YR73" s="11"/>
      <c r="YS73" s="11"/>
      <c r="YT73" s="11"/>
      <c r="YU73" s="11"/>
      <c r="YV73" s="11"/>
      <c r="YW73" s="11"/>
      <c r="YX73" s="11"/>
      <c r="YY73" s="11"/>
      <c r="YZ73" s="11"/>
      <c r="ZA73" s="11"/>
      <c r="ZB73" s="11"/>
      <c r="ZC73" s="11"/>
      <c r="ZD73" s="11"/>
      <c r="ZE73" s="11"/>
      <c r="ZF73" s="11"/>
      <c r="ZG73" s="11"/>
      <c r="ZH73" s="11"/>
      <c r="ZI73" s="11"/>
      <c r="ZJ73" s="11"/>
      <c r="ZK73" s="11"/>
      <c r="ZL73" s="11"/>
      <c r="ZM73" s="11"/>
      <c r="ZN73" s="11"/>
      <c r="ZO73" s="11"/>
      <c r="ZP73" s="11"/>
      <c r="ZQ73" s="11"/>
      <c r="ZR73" s="11"/>
      <c r="ZS73" s="11"/>
      <c r="ZT73" s="11"/>
      <c r="ZU73" s="11"/>
      <c r="ZV73" s="11"/>
      <c r="ZW73" s="11"/>
      <c r="ZX73" s="11"/>
      <c r="ZY73" s="11"/>
      <c r="ZZ73" s="11"/>
      <c r="AAA73" s="11"/>
      <c r="AAB73" s="11"/>
      <c r="AAC73" s="11"/>
      <c r="AAD73" s="11"/>
      <c r="AAE73" s="11"/>
      <c r="AAF73" s="11"/>
      <c r="AAG73" s="11"/>
      <c r="AAH73" s="11"/>
      <c r="AAI73" s="11"/>
      <c r="AAJ73" s="11"/>
      <c r="AAK73" s="11"/>
      <c r="AAL73" s="11"/>
      <c r="AAM73" s="11"/>
      <c r="AAN73" s="11"/>
      <c r="AAO73" s="11"/>
      <c r="AAP73" s="11"/>
      <c r="AAQ73" s="11"/>
      <c r="AAR73" s="11"/>
      <c r="AAS73" s="11"/>
      <c r="AAT73" s="11"/>
      <c r="AAU73" s="11"/>
      <c r="AAV73" s="11"/>
      <c r="AAW73" s="11"/>
      <c r="AAX73" s="11"/>
      <c r="AAY73" s="11"/>
      <c r="AAZ73" s="11"/>
      <c r="ABA73" s="11"/>
      <c r="ABB73" s="11"/>
      <c r="ABC73" s="11"/>
      <c r="ABD73" s="11"/>
      <c r="ABE73" s="11"/>
      <c r="ABF73" s="11"/>
      <c r="ABG73" s="11"/>
      <c r="ABH73" s="11"/>
      <c r="ABI73" s="11"/>
      <c r="ABJ73" s="11"/>
      <c r="ABK73" s="11"/>
      <c r="ABL73" s="11"/>
      <c r="ABM73" s="11"/>
      <c r="ABN73" s="11"/>
      <c r="ABO73" s="11"/>
      <c r="ABP73" s="11"/>
      <c r="ABQ73" s="11"/>
      <c r="ABR73" s="11"/>
      <c r="ABS73" s="11"/>
      <c r="ABT73" s="11"/>
      <c r="ABU73" s="11"/>
      <c r="ABV73" s="11"/>
      <c r="ABW73" s="11"/>
      <c r="ABX73" s="11"/>
      <c r="ABY73" s="11"/>
      <c r="ABZ73" s="11"/>
      <c r="ACA73" s="11"/>
      <c r="ACB73" s="11"/>
      <c r="ACC73" s="11"/>
      <c r="ACD73" s="11"/>
      <c r="ACE73" s="11"/>
      <c r="ACF73" s="11"/>
      <c r="ACG73" s="11"/>
      <c r="ACH73" s="11"/>
      <c r="ACI73" s="11"/>
      <c r="ACJ73" s="11"/>
      <c r="ACK73" s="11"/>
      <c r="ACL73" s="11"/>
      <c r="ACM73" s="11"/>
      <c r="ACN73" s="11"/>
      <c r="ACO73" s="11"/>
      <c r="ACP73" s="11"/>
      <c r="ACQ73" s="11"/>
      <c r="ACR73" s="11"/>
      <c r="ACS73" s="11"/>
      <c r="ACT73" s="11"/>
      <c r="ACU73" s="11"/>
      <c r="ACV73" s="11"/>
      <c r="ACW73" s="11"/>
      <c r="ACX73" s="11"/>
      <c r="ACY73" s="11"/>
      <c r="ACZ73" s="11"/>
      <c r="ADA73" s="11"/>
      <c r="ADB73" s="11"/>
      <c r="ADC73" s="11"/>
      <c r="ADD73" s="11"/>
      <c r="ADE73" s="11"/>
      <c r="ADF73" s="11"/>
      <c r="ADG73" s="11"/>
      <c r="ADH73" s="11"/>
      <c r="ADI73" s="11"/>
      <c r="ADJ73" s="11"/>
      <c r="ADK73" s="11"/>
      <c r="ADL73" s="11"/>
      <c r="ADM73" s="11"/>
      <c r="ADN73" s="11"/>
      <c r="ADO73" s="11"/>
      <c r="ADP73" s="11"/>
      <c r="ADQ73" s="11"/>
      <c r="ADR73" s="11"/>
      <c r="ADS73" s="11"/>
      <c r="ADT73" s="11"/>
      <c r="ADU73" s="11"/>
      <c r="ADV73" s="11"/>
      <c r="ADW73" s="11"/>
      <c r="ADX73" s="11"/>
      <c r="ADY73" s="11"/>
      <c r="ADZ73" s="11"/>
      <c r="AEA73" s="11"/>
      <c r="AEB73" s="11"/>
      <c r="AEC73" s="11"/>
      <c r="AED73" s="11"/>
      <c r="AEE73" s="11"/>
      <c r="AEF73" s="11"/>
      <c r="AEG73" s="11"/>
      <c r="AEH73" s="11"/>
      <c r="AEI73" s="11"/>
      <c r="AEJ73" s="11"/>
      <c r="AEK73" s="11"/>
      <c r="AEL73" s="11"/>
      <c r="AEM73" s="11"/>
      <c r="AEN73" s="11"/>
      <c r="AEO73" s="11"/>
      <c r="AEP73" s="11"/>
      <c r="AEQ73" s="11"/>
      <c r="AER73" s="11"/>
      <c r="AES73" s="11"/>
      <c r="AET73" s="11"/>
      <c r="AEU73" s="11"/>
      <c r="AEV73" s="11"/>
      <c r="AEW73" s="11"/>
      <c r="AEX73" s="11"/>
      <c r="AEY73" s="11"/>
      <c r="AEZ73" s="11"/>
      <c r="AFA73" s="11"/>
      <c r="AFB73" s="11"/>
      <c r="AFC73" s="11"/>
      <c r="AFD73" s="11"/>
      <c r="AFE73" s="11"/>
      <c r="AFF73" s="11"/>
      <c r="AFG73" s="11"/>
      <c r="AFH73" s="11"/>
      <c r="AFI73" s="11"/>
    </row>
    <row r="74" spans="2:841">
      <c r="B74" s="11"/>
      <c r="C74" s="657"/>
      <c r="D74" s="289" t="s">
        <v>628</v>
      </c>
      <c r="E74" s="311">
        <f>SUMIFS(M_Datos!$N$38:$N$40,M_Datos!$O$38:$O$40,M_Lista!G22,M_Datos!$M$38:$M$40,M_Lista!$J$3)</f>
        <v>0</v>
      </c>
      <c r="F74" s="312" t="e">
        <f>IF(AND(M_FactoresComplement!$G$439="No",M_FactoresComplement!$G$441="No"),M_Cálculos_ND!E74*VLOOKUP(M_Datos!$E$12&amp;M_Cálculos_ND!D74,M_Factores!$M$10:$P$108,2,FALSE),IF(AND(M_FactoresComplement!$G$439="Sí",M_FactoresComplement!$G$441="No"),E74*M_FactoresComplement!G471,E74*VLOOKUP(M_FactoresComplement!$C$467&amp;M_Datos!$E$12&amp;M_Lista!G21,M_FactoresComplement!$F$446:$I$781,2,FALSE)))</f>
        <v>#N/A</v>
      </c>
      <c r="G74" s="313" t="e">
        <f>IF(AND(M_FactoresComplement!$G$439="No",M_FactoresComplement!$G$441="No"),M_Cálculos_ND!E74*VLOOKUP(M_Datos!$E$12&amp;M_Cálculos_ND!D74,M_Factores!$M$10:$P$108,3,FALSE),IF(AND(M_FactoresComplement!$G$439="Sí",M_FactoresComplement!$G$441="No"),E74*M_FactoresComplement!H471,E74*VLOOKUP(M_FactoresComplement!$C$467&amp;M_Datos!$E$12&amp;M_Lista!G21,M_FactoresComplement!$F$446:$I$781,3,FALSE)))</f>
        <v>#N/A</v>
      </c>
      <c r="H74" s="311">
        <f>SUMIFS(M_Datos!$P$38:$P$40,M_Datos!$Q$38:$Q$40,M_Lista!G22,M_Datos!$M$38:$M$40,M_Lista!$J$3)</f>
        <v>0</v>
      </c>
      <c r="I74" s="312" t="e">
        <f>IF(AND(M_FactoresComplement!$G$439="No",M_FactoresComplement!$G$441="No"),M_Cálculos_ND!H74*VLOOKUP(M_Datos!$E$12&amp;M_Cálculos_ND!D74,M_Factores!$M$10:$P$108,2,FALSE),IF(AND(M_FactoresComplement!$G$439="Sí",M_FactoresComplement!$G$441="No"),H74*M_FactoresComplement!G471,H74*VLOOKUP(M_FactoresComplement!$C$467&amp;M_Datos!$E$12&amp;M_Lista!G21,M_FactoresComplement!$F$446:$I$781,2,FALSE)))</f>
        <v>#N/A</v>
      </c>
      <c r="J74" s="313" t="e">
        <f>IF(AND(M_FactoresComplement!$G$439="No",M_FactoresComplement!$G$441="No"),M_Cálculos_ND!H74*VLOOKUP(M_Datos!$E$12&amp;M_Cálculos_ND!D74,M_Factores!$M$10:$P$108,3,FALSE),IF(AND(M_FactoresComplement!$G$439="Sí",M_FactoresComplement!$G$441="No"),H74*M_FactoresComplement!H471,H74*VLOOKUP(M_FactoresComplement!$C$467&amp;M_Datos!$E$12&amp;M_Lista!G21,M_FactoresComplement!$F$446:$I$781,3,FALSE)))</f>
        <v>#N/A</v>
      </c>
      <c r="K74" s="311">
        <f>SUMIFS(M_Datos!$R$38:$R$40,M_Datos!$S$38:$S$40,M_Lista!G22,M_Datos!$M$38:$M$40,M_Lista!$J$3)</f>
        <v>0</v>
      </c>
      <c r="L74" s="312" t="e">
        <f>IF(AND(M_FactoresComplement!$G$439="No",M_FactoresComplement!$G$441="No"),M_Cálculos_ND!K74*VLOOKUP(M_Datos!$E$12&amp;M_Cálculos_ND!D74,M_Factores!$M$10:$P$108,2,FALSE),IF(AND(M_FactoresComplement!$G$439="Sí",M_FactoresComplement!$G$441="No"),K74*M_FactoresComplement!G471,K74*VLOOKUP(M_FactoresComplement!$C$467&amp;M_Datos!$E$12&amp;M_Lista!G21,M_FactoresComplement!$F$446:$I$781,2,FALSE)))</f>
        <v>#N/A</v>
      </c>
      <c r="M74" s="313" t="e">
        <f>IF(AND(M_FactoresComplement!$G$439="No",M_FactoresComplement!$G$441="No"),M_Cálculos_ND!K74*VLOOKUP(M_Datos!$E$12&amp;M_Cálculos_ND!D74,M_Factores!$M$10:$P$108,3,FALSE),IF(AND(M_FactoresComplement!$G$439="Sí",M_FactoresComplement!$G$441="No"),K74*M_FactoresComplement!H471,K74*VLOOKUP(M_FactoresComplement!$C$467&amp;M_Datos!$E$12&amp;M_Lista!G21,M_FactoresComplement!$F$446:$I$781,3,FALSE)))</f>
        <v>#N/A</v>
      </c>
      <c r="N74" s="311">
        <f>SUMIFS(M_Datos!$T$38:$T$40,M_Datos!$U$38:$U$40,M_Lista!G22,M_Datos!$M$38:$M$40,M_Lista!$J$3)</f>
        <v>0</v>
      </c>
      <c r="O74" s="312" t="e">
        <f>IF(AND(M_FactoresComplement!$G$439="No",M_FactoresComplement!$G$441="No"),M_Cálculos_ND!N74*VLOOKUP(M_Datos!$E$12&amp;M_Cálculos_ND!D74,M_Factores!$M$10:$P$108,2,FALSE),IF(AND(M_FactoresComplement!$G$439="Sí",M_FactoresComplement!$G$441="No"),N74*M_FactoresComplement!G471,N74*VLOOKUP(M_FactoresComplement!$C$467&amp;M_Datos!$E$12&amp;M_Lista!G21,M_FactoresComplement!$F$446:$I$781,2,FALSE)))</f>
        <v>#N/A</v>
      </c>
      <c r="P74" s="313" t="e">
        <f>IF(AND(M_FactoresComplement!$G$439="No",M_FactoresComplement!$G$441="No"),M_Cálculos_ND!N74*VLOOKUP(M_Datos!$E$12&amp;M_Cálculos_ND!D74,M_Factores!$M$10:$P$108,3,FALSE),IF(AND(M_FactoresComplement!$G$439="Sí",M_FactoresComplement!$G$441="No"),N74*M_FactoresComplement!H471,N74*VLOOKUP(M_FactoresComplement!$C$467&amp;M_Datos!$E$12&amp;M_Lista!G21,M_FactoresComplement!$F$446:$I$781,3,FALSE)))</f>
        <v>#N/A</v>
      </c>
      <c r="Q74" s="311">
        <f>SUMIFS(M_Datos!$V$38:$V$40,M_Datos!$W$38:$W$40,M_Lista!G22,M_Datos!$M$38:$M$40,M_Lista!$J$3)</f>
        <v>0</v>
      </c>
      <c r="R74" s="312" t="e">
        <f>IF(AND(M_FactoresComplement!$G$439="No",M_FactoresComplement!$G$441="No"),M_Cálculos_ND!Q74*VLOOKUP(M_Datos!$E$12&amp;M_Cálculos_ND!D74,M_Factores!$M$10:$P$108,2,FALSE),IF(AND(M_FactoresComplement!$G$439="Sí",M_FactoresComplement!$G$441="No"),Q74*M_FactoresComplement!G471,Q74*VLOOKUP(M_FactoresComplement!$C$467&amp;M_Datos!$E$12&amp;M_Lista!G21,M_FactoresComplement!$F$446:$I$781,2,FALSE)))</f>
        <v>#N/A</v>
      </c>
      <c r="S74" s="313" t="e">
        <f>IF(AND(M_FactoresComplement!$G$439="No",M_FactoresComplement!$G$441="No"),M_Cálculos_ND!Q74*VLOOKUP(M_Datos!$E$12&amp;M_Cálculos_ND!D74,M_Factores!$M$10:$P$108,3,FALSE),IF(AND(M_FactoresComplement!$G$439="Sí",M_FactoresComplement!$G$441="No"),Q74*M_FactoresComplement!H471,Q74*VLOOKUP(M_FactoresComplement!$C$467&amp;M_Datos!$E$12&amp;M_Lista!G21,M_FactoresComplement!$F$446:$I$781,3,FALSE)))</f>
        <v>#N/A</v>
      </c>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c r="PE74" s="11"/>
      <c r="PF74" s="11"/>
      <c r="PG74" s="11"/>
      <c r="PH74" s="11"/>
      <c r="PI74" s="11"/>
      <c r="PJ74" s="11"/>
      <c r="PK74" s="11"/>
      <c r="PL74" s="11"/>
      <c r="PM74" s="11"/>
      <c r="PN74" s="11"/>
      <c r="PO74" s="11"/>
      <c r="PP74" s="11"/>
      <c r="PQ74" s="11"/>
      <c r="PR74" s="11"/>
      <c r="PS74" s="11"/>
      <c r="PT74" s="11"/>
      <c r="PU74" s="11"/>
      <c r="PV74" s="11"/>
      <c r="PW74" s="11"/>
      <c r="PX74" s="11"/>
      <c r="PY74" s="11"/>
      <c r="PZ74" s="11"/>
      <c r="QA74" s="11"/>
      <c r="QB74" s="11"/>
      <c r="QC74" s="11"/>
      <c r="QD74" s="11"/>
      <c r="QE74" s="11"/>
      <c r="QF74" s="11"/>
      <c r="QG74" s="11"/>
      <c r="QH74" s="11"/>
      <c r="QI74" s="11"/>
      <c r="QJ74" s="11"/>
      <c r="QK74" s="11"/>
      <c r="QL74" s="11"/>
      <c r="QM74" s="11"/>
      <c r="QN74" s="11"/>
      <c r="QO74" s="11"/>
      <c r="QP74" s="11"/>
      <c r="QQ74" s="11"/>
      <c r="QR74" s="11"/>
      <c r="QS74" s="11"/>
      <c r="QT74" s="11"/>
      <c r="QU74" s="11"/>
      <c r="QV74" s="11"/>
      <c r="QW74" s="11"/>
      <c r="QX74" s="11"/>
      <c r="QY74" s="11"/>
      <c r="QZ74" s="11"/>
      <c r="RA74" s="11"/>
      <c r="RB74" s="11"/>
      <c r="RC74" s="11"/>
      <c r="RD74" s="11"/>
      <c r="RE74" s="11"/>
      <c r="RF74" s="11"/>
      <c r="RG74" s="11"/>
      <c r="RH74" s="11"/>
      <c r="RI74" s="11"/>
      <c r="RJ74" s="11"/>
      <c r="RK74" s="11"/>
      <c r="RL74" s="11"/>
      <c r="RM74" s="11"/>
      <c r="RN74" s="11"/>
      <c r="RO74" s="11"/>
      <c r="RP74" s="11"/>
      <c r="RQ74" s="11"/>
      <c r="RR74" s="11"/>
      <c r="RS74" s="11"/>
      <c r="RT74" s="11"/>
      <c r="RU74" s="11"/>
      <c r="RV74" s="11"/>
      <c r="RW74" s="11"/>
      <c r="RX74" s="11"/>
      <c r="RY74" s="11"/>
      <c r="RZ74" s="11"/>
      <c r="SA74" s="11"/>
      <c r="SB74" s="11"/>
      <c r="SC74" s="11"/>
      <c r="SD74" s="11"/>
      <c r="SE74" s="11"/>
      <c r="SF74" s="11"/>
      <c r="SG74" s="11"/>
      <c r="SH74" s="11"/>
      <c r="SI74" s="11"/>
      <c r="SJ74" s="11"/>
      <c r="SK74" s="11"/>
      <c r="SL74" s="11"/>
      <c r="SM74" s="11"/>
      <c r="SN74" s="11"/>
      <c r="SO74" s="11"/>
      <c r="SP74" s="11"/>
      <c r="SQ74" s="11"/>
      <c r="SR74" s="11"/>
      <c r="SS74" s="11"/>
      <c r="ST74" s="11"/>
      <c r="SU74" s="11"/>
      <c r="SV74" s="11"/>
      <c r="SW74" s="11"/>
      <c r="SX74" s="11"/>
      <c r="SY74" s="11"/>
      <c r="SZ74" s="11"/>
      <c r="TA74" s="11"/>
      <c r="TB74" s="11"/>
      <c r="TC74" s="11"/>
      <c r="TD74" s="11"/>
      <c r="TE74" s="11"/>
      <c r="TF74" s="11"/>
      <c r="TG74" s="11"/>
      <c r="TH74" s="11"/>
      <c r="TI74" s="11"/>
      <c r="TJ74" s="11"/>
      <c r="TK74" s="11"/>
      <c r="TL74" s="11"/>
      <c r="TM74" s="11"/>
      <c r="TN74" s="11"/>
      <c r="TO74" s="11"/>
      <c r="TP74" s="11"/>
      <c r="TQ74" s="11"/>
      <c r="TR74" s="11"/>
      <c r="TS74" s="11"/>
      <c r="TT74" s="11"/>
      <c r="TU74" s="11"/>
      <c r="TV74" s="11"/>
      <c r="TW74" s="11"/>
      <c r="TX74" s="11"/>
      <c r="TY74" s="11"/>
      <c r="TZ74" s="11"/>
      <c r="UA74" s="11"/>
      <c r="UB74" s="11"/>
      <c r="UC74" s="11"/>
      <c r="UD74" s="11"/>
      <c r="UE74" s="11"/>
      <c r="UF74" s="11"/>
      <c r="UG74" s="11"/>
      <c r="UH74" s="11"/>
      <c r="UI74" s="11"/>
      <c r="UJ74" s="11"/>
      <c r="UK74" s="11"/>
      <c r="UL74" s="11"/>
      <c r="UM74" s="11"/>
      <c r="UN74" s="11"/>
      <c r="UO74" s="11"/>
      <c r="UP74" s="11"/>
      <c r="UQ74" s="11"/>
      <c r="UR74" s="11"/>
      <c r="US74" s="11"/>
      <c r="UT74" s="11"/>
      <c r="UU74" s="11"/>
      <c r="UV74" s="11"/>
      <c r="UW74" s="11"/>
      <c r="UX74" s="11"/>
      <c r="UY74" s="11"/>
      <c r="UZ74" s="11"/>
      <c r="VA74" s="11"/>
      <c r="VB74" s="11"/>
      <c r="VC74" s="11"/>
      <c r="VD74" s="11"/>
      <c r="VE74" s="11"/>
      <c r="VF74" s="11"/>
      <c r="VG74" s="11"/>
      <c r="VH74" s="11"/>
      <c r="VI74" s="11"/>
      <c r="VJ74" s="11"/>
      <c r="VK74" s="11"/>
      <c r="VL74" s="11"/>
      <c r="VM74" s="11"/>
      <c r="VN74" s="11"/>
      <c r="VO74" s="11"/>
      <c r="VP74" s="11"/>
      <c r="VQ74" s="11"/>
      <c r="VR74" s="11"/>
      <c r="VS74" s="11"/>
      <c r="VT74" s="11"/>
      <c r="VU74" s="11"/>
      <c r="VV74" s="11"/>
      <c r="VW74" s="11"/>
      <c r="VX74" s="11"/>
      <c r="VY74" s="11"/>
      <c r="VZ74" s="11"/>
      <c r="WA74" s="11"/>
      <c r="WB74" s="11"/>
      <c r="WC74" s="11"/>
      <c r="WD74" s="11"/>
      <c r="WE74" s="11"/>
      <c r="WF74" s="11"/>
      <c r="WG74" s="11"/>
      <c r="WH74" s="11"/>
      <c r="WI74" s="11"/>
      <c r="WJ74" s="11"/>
      <c r="WK74" s="11"/>
      <c r="WL74" s="11"/>
      <c r="WM74" s="11"/>
      <c r="WN74" s="11"/>
      <c r="WO74" s="11"/>
      <c r="WP74" s="11"/>
      <c r="WQ74" s="11"/>
      <c r="WR74" s="11"/>
      <c r="WS74" s="11"/>
      <c r="WT74" s="11"/>
      <c r="WU74" s="11"/>
      <c r="WV74" s="11"/>
      <c r="WW74" s="11"/>
      <c r="WX74" s="11"/>
      <c r="WY74" s="11"/>
      <c r="WZ74" s="11"/>
      <c r="XA74" s="11"/>
      <c r="XB74" s="11"/>
      <c r="XC74" s="11"/>
      <c r="XD74" s="11"/>
      <c r="XE74" s="11"/>
      <c r="XF74" s="11"/>
      <c r="XG74" s="11"/>
      <c r="XH74" s="11"/>
      <c r="XI74" s="11"/>
      <c r="XJ74" s="11"/>
      <c r="XK74" s="11"/>
      <c r="XL74" s="11"/>
      <c r="XM74" s="11"/>
      <c r="XN74" s="11"/>
      <c r="XO74" s="11"/>
      <c r="XP74" s="11"/>
      <c r="XQ74" s="11"/>
      <c r="XR74" s="11"/>
      <c r="XS74" s="11"/>
      <c r="XT74" s="11"/>
      <c r="XU74" s="11"/>
      <c r="XV74" s="11"/>
      <c r="XW74" s="11"/>
      <c r="XX74" s="11"/>
      <c r="XY74" s="11"/>
      <c r="XZ74" s="11"/>
      <c r="YA74" s="11"/>
      <c r="YB74" s="11"/>
      <c r="YC74" s="11"/>
      <c r="YD74" s="11"/>
      <c r="YE74" s="11"/>
      <c r="YF74" s="11"/>
      <c r="YG74" s="11"/>
      <c r="YH74" s="11"/>
      <c r="YI74" s="11"/>
      <c r="YJ74" s="11"/>
      <c r="YK74" s="11"/>
      <c r="YL74" s="11"/>
      <c r="YM74" s="11"/>
      <c r="YN74" s="11"/>
      <c r="YO74" s="11"/>
      <c r="YP74" s="11"/>
      <c r="YQ74" s="11"/>
      <c r="YR74" s="11"/>
      <c r="YS74" s="11"/>
      <c r="YT74" s="11"/>
      <c r="YU74" s="11"/>
      <c r="YV74" s="11"/>
      <c r="YW74" s="11"/>
      <c r="YX74" s="11"/>
      <c r="YY74" s="11"/>
      <c r="YZ74" s="11"/>
      <c r="ZA74" s="11"/>
      <c r="ZB74" s="11"/>
      <c r="ZC74" s="11"/>
      <c r="ZD74" s="11"/>
      <c r="ZE74" s="11"/>
      <c r="ZF74" s="11"/>
      <c r="ZG74" s="11"/>
      <c r="ZH74" s="11"/>
      <c r="ZI74" s="11"/>
      <c r="ZJ74" s="11"/>
      <c r="ZK74" s="11"/>
      <c r="ZL74" s="11"/>
      <c r="ZM74" s="11"/>
      <c r="ZN74" s="11"/>
      <c r="ZO74" s="11"/>
      <c r="ZP74" s="11"/>
      <c r="ZQ74" s="11"/>
      <c r="ZR74" s="11"/>
      <c r="ZS74" s="11"/>
      <c r="ZT74" s="11"/>
      <c r="ZU74" s="11"/>
      <c r="ZV74" s="11"/>
      <c r="ZW74" s="11"/>
      <c r="ZX74" s="11"/>
      <c r="ZY74" s="11"/>
      <c r="ZZ74" s="11"/>
      <c r="AAA74" s="11"/>
      <c r="AAB74" s="11"/>
      <c r="AAC74" s="11"/>
      <c r="AAD74" s="11"/>
      <c r="AAE74" s="11"/>
      <c r="AAF74" s="11"/>
      <c r="AAG74" s="11"/>
      <c r="AAH74" s="11"/>
      <c r="AAI74" s="11"/>
      <c r="AAJ74" s="11"/>
      <c r="AAK74" s="11"/>
      <c r="AAL74" s="11"/>
      <c r="AAM74" s="11"/>
      <c r="AAN74" s="11"/>
      <c r="AAO74" s="11"/>
      <c r="AAP74" s="11"/>
      <c r="AAQ74" s="11"/>
      <c r="AAR74" s="11"/>
      <c r="AAS74" s="11"/>
      <c r="AAT74" s="11"/>
      <c r="AAU74" s="11"/>
      <c r="AAV74" s="11"/>
      <c r="AAW74" s="11"/>
      <c r="AAX74" s="11"/>
      <c r="AAY74" s="11"/>
      <c r="AAZ74" s="11"/>
      <c r="ABA74" s="11"/>
      <c r="ABB74" s="11"/>
      <c r="ABC74" s="11"/>
      <c r="ABD74" s="11"/>
      <c r="ABE74" s="11"/>
      <c r="ABF74" s="11"/>
      <c r="ABG74" s="11"/>
      <c r="ABH74" s="11"/>
      <c r="ABI74" s="11"/>
      <c r="ABJ74" s="11"/>
      <c r="ABK74" s="11"/>
      <c r="ABL74" s="11"/>
      <c r="ABM74" s="11"/>
      <c r="ABN74" s="11"/>
      <c r="ABO74" s="11"/>
      <c r="ABP74" s="11"/>
      <c r="ABQ74" s="11"/>
      <c r="ABR74" s="11"/>
      <c r="ABS74" s="11"/>
      <c r="ABT74" s="11"/>
      <c r="ABU74" s="11"/>
      <c r="ABV74" s="11"/>
      <c r="ABW74" s="11"/>
      <c r="ABX74" s="11"/>
      <c r="ABY74" s="11"/>
      <c r="ABZ74" s="11"/>
      <c r="ACA74" s="11"/>
      <c r="ACB74" s="11"/>
      <c r="ACC74" s="11"/>
      <c r="ACD74" s="11"/>
      <c r="ACE74" s="11"/>
      <c r="ACF74" s="11"/>
      <c r="ACG74" s="11"/>
      <c r="ACH74" s="11"/>
      <c r="ACI74" s="11"/>
      <c r="ACJ74" s="11"/>
      <c r="ACK74" s="11"/>
      <c r="ACL74" s="11"/>
      <c r="ACM74" s="11"/>
      <c r="ACN74" s="11"/>
      <c r="ACO74" s="11"/>
      <c r="ACP74" s="11"/>
      <c r="ACQ74" s="11"/>
      <c r="ACR74" s="11"/>
      <c r="ACS74" s="11"/>
      <c r="ACT74" s="11"/>
      <c r="ACU74" s="11"/>
      <c r="ACV74" s="11"/>
      <c r="ACW74" s="11"/>
      <c r="ACX74" s="11"/>
      <c r="ACY74" s="11"/>
      <c r="ACZ74" s="11"/>
      <c r="ADA74" s="11"/>
      <c r="ADB74" s="11"/>
      <c r="ADC74" s="11"/>
      <c r="ADD74" s="11"/>
      <c r="ADE74" s="11"/>
      <c r="ADF74" s="11"/>
      <c r="ADG74" s="11"/>
      <c r="ADH74" s="11"/>
      <c r="ADI74" s="11"/>
      <c r="ADJ74" s="11"/>
      <c r="ADK74" s="11"/>
      <c r="ADL74" s="11"/>
      <c r="ADM74" s="11"/>
      <c r="ADN74" s="11"/>
      <c r="ADO74" s="11"/>
      <c r="ADP74" s="11"/>
      <c r="ADQ74" s="11"/>
      <c r="ADR74" s="11"/>
      <c r="ADS74" s="11"/>
      <c r="ADT74" s="11"/>
      <c r="ADU74" s="11"/>
      <c r="ADV74" s="11"/>
      <c r="ADW74" s="11"/>
      <c r="ADX74" s="11"/>
      <c r="ADY74" s="11"/>
      <c r="ADZ74" s="11"/>
      <c r="AEA74" s="11"/>
      <c r="AEB74" s="11"/>
      <c r="AEC74" s="11"/>
      <c r="AED74" s="11"/>
      <c r="AEE74" s="11"/>
      <c r="AEF74" s="11"/>
      <c r="AEG74" s="11"/>
      <c r="AEH74" s="11"/>
      <c r="AEI74" s="11"/>
      <c r="AEJ74" s="11"/>
      <c r="AEK74" s="11"/>
      <c r="AEL74" s="11"/>
      <c r="AEM74" s="11"/>
      <c r="AEN74" s="11"/>
      <c r="AEO74" s="11"/>
      <c r="AEP74" s="11"/>
      <c r="AEQ74" s="11"/>
      <c r="AER74" s="11"/>
      <c r="AES74" s="11"/>
      <c r="AET74" s="11"/>
      <c r="AEU74" s="11"/>
      <c r="AEV74" s="11"/>
      <c r="AEW74" s="11"/>
      <c r="AEX74" s="11"/>
      <c r="AEY74" s="11"/>
      <c r="AEZ74" s="11"/>
      <c r="AFA74" s="11"/>
      <c r="AFB74" s="11"/>
      <c r="AFC74" s="11"/>
      <c r="AFD74" s="11"/>
      <c r="AFE74" s="11"/>
      <c r="AFF74" s="11"/>
      <c r="AFG74" s="11"/>
      <c r="AFH74" s="11"/>
      <c r="AFI74" s="11"/>
    </row>
    <row r="75" spans="2:841">
      <c r="B75" s="11"/>
      <c r="C75" s="657"/>
      <c r="D75" s="289" t="s">
        <v>629</v>
      </c>
      <c r="E75" s="311">
        <f>SUMIFS(M_Datos!$N$38:$N$40,M_Datos!$O$38:$O$40,M_Lista!G23,M_Datos!$M$38:$M$40,M_Lista!$J$3)</f>
        <v>0</v>
      </c>
      <c r="F75" s="312" t="e">
        <f>IF(AND(M_FactoresComplement!$G$439="No",M_FactoresComplement!$G$441="No"),M_Cálculos_ND!E75*VLOOKUP(M_Datos!$E$12&amp;M_Cálculos_ND!D75,M_Factores!$M$10:$P$108,2,FALSE),IF(AND(M_FactoresComplement!$G$439="Sí",M_FactoresComplement!$G$441="No"),E75*M_FactoresComplement!G472,E75*VLOOKUP(M_FactoresComplement!$C$467&amp;M_Datos!$E$12&amp;M_Lista!G22,M_FactoresComplement!$F$446:$I$781,2,FALSE)))</f>
        <v>#N/A</v>
      </c>
      <c r="G75" s="313" t="e">
        <f>IF(AND(M_FactoresComplement!$G$439="No",M_FactoresComplement!$G$441="No"),M_Cálculos_ND!E75*VLOOKUP(M_Datos!$E$12&amp;M_Cálculos_ND!D75,M_Factores!$M$10:$P$108,3,FALSE),IF(AND(M_FactoresComplement!$G$439="Sí",M_FactoresComplement!$G$441="No"),E75*M_FactoresComplement!H472,E75*VLOOKUP(M_FactoresComplement!$C$467&amp;M_Datos!$E$12&amp;M_Lista!G22,M_FactoresComplement!$F$446:$I$781,3,FALSE)))</f>
        <v>#N/A</v>
      </c>
      <c r="H75" s="311">
        <f>SUMIFS(M_Datos!$P$38:$P$40,M_Datos!$Q$38:$Q$40,M_Lista!G23,M_Datos!$M$38:$M$40,M_Lista!$J$3)</f>
        <v>0</v>
      </c>
      <c r="I75" s="312" t="e">
        <f>IF(AND(M_FactoresComplement!$G$439="No",M_FactoresComplement!$G$441="No"),M_Cálculos_ND!H75*VLOOKUP(M_Datos!$E$12&amp;M_Cálculos_ND!D75,M_Factores!$M$10:$P$108,2,FALSE),IF(AND(M_FactoresComplement!$G$439="Sí",M_FactoresComplement!$G$441="No"),H75*M_FactoresComplement!G472,H75*VLOOKUP(M_FactoresComplement!$C$467&amp;M_Datos!$E$12&amp;M_Lista!G22,M_FactoresComplement!$F$446:$I$781,2,FALSE)))</f>
        <v>#N/A</v>
      </c>
      <c r="J75" s="313" t="e">
        <f>IF(AND(M_FactoresComplement!$G$439="No",M_FactoresComplement!$G$441="No"),M_Cálculos_ND!H75*VLOOKUP(M_Datos!$E$12&amp;M_Cálculos_ND!D75,M_Factores!$M$10:$P$108,3,FALSE),IF(AND(M_FactoresComplement!$G$439="Sí",M_FactoresComplement!$G$441="No"),H75*M_FactoresComplement!H472,H75*VLOOKUP(M_FactoresComplement!$C$467&amp;M_Datos!$E$12&amp;M_Lista!G22,M_FactoresComplement!$F$446:$I$781,3,FALSE)))</f>
        <v>#N/A</v>
      </c>
      <c r="K75" s="311">
        <f>SUMIFS(M_Datos!$R$38:$R$40,M_Datos!$S$38:$S$40,M_Lista!G23,M_Datos!$M$38:$M$40,M_Lista!$J$3)</f>
        <v>0</v>
      </c>
      <c r="L75" s="312" t="e">
        <f>IF(AND(M_FactoresComplement!$G$439="No",M_FactoresComplement!$G$441="No"),M_Cálculos_ND!K75*VLOOKUP(M_Datos!$E$12&amp;M_Cálculos_ND!D75,M_Factores!$M$10:$P$108,2,FALSE),IF(AND(M_FactoresComplement!$G$439="Sí",M_FactoresComplement!$G$441="No"),K75*M_FactoresComplement!G472,K75*VLOOKUP(M_FactoresComplement!$C$467&amp;M_Datos!$E$12&amp;M_Lista!G22,M_FactoresComplement!$F$446:$I$781,2,FALSE)))</f>
        <v>#N/A</v>
      </c>
      <c r="M75" s="313" t="e">
        <f>IF(AND(M_FactoresComplement!$G$439="No",M_FactoresComplement!$G$441="No"),M_Cálculos_ND!K75*VLOOKUP(M_Datos!$E$12&amp;M_Cálculos_ND!D75,M_Factores!$M$10:$P$108,3,FALSE),IF(AND(M_FactoresComplement!$G$439="Sí",M_FactoresComplement!$G$441="No"),K75*M_FactoresComplement!H472,K75*VLOOKUP(M_FactoresComplement!$C$467&amp;M_Datos!$E$12&amp;M_Lista!G22,M_FactoresComplement!$F$446:$I$781,3,FALSE)))</f>
        <v>#N/A</v>
      </c>
      <c r="N75" s="311">
        <f>SUMIFS(M_Datos!$T$38:$T$40,M_Datos!$U$38:$U$40,M_Lista!G23,M_Datos!$M$38:$M$40,M_Lista!$J$3)</f>
        <v>0</v>
      </c>
      <c r="O75" s="312" t="e">
        <f>IF(AND(M_FactoresComplement!$G$439="No",M_FactoresComplement!$G$441="No"),M_Cálculos_ND!N75*VLOOKUP(M_Datos!$E$12&amp;M_Cálculos_ND!D75,M_Factores!$M$10:$P$108,2,FALSE),IF(AND(M_FactoresComplement!$G$439="Sí",M_FactoresComplement!$G$441="No"),N75*M_FactoresComplement!G472,N75*VLOOKUP(M_FactoresComplement!$C$467&amp;M_Datos!$E$12&amp;M_Lista!G22,M_FactoresComplement!$F$446:$I$781,2,FALSE)))</f>
        <v>#N/A</v>
      </c>
      <c r="P75" s="313" t="e">
        <f>IF(AND(M_FactoresComplement!$G$439="No",M_FactoresComplement!$G$441="No"),M_Cálculos_ND!N75*VLOOKUP(M_Datos!$E$12&amp;M_Cálculos_ND!D75,M_Factores!$M$10:$P$108,3,FALSE),IF(AND(M_FactoresComplement!$G$439="Sí",M_FactoresComplement!$G$441="No"),N75*M_FactoresComplement!H472,N75*VLOOKUP(M_FactoresComplement!$C$467&amp;M_Datos!$E$12&amp;M_Lista!G22,M_FactoresComplement!$F$446:$I$781,3,FALSE)))</f>
        <v>#N/A</v>
      </c>
      <c r="Q75" s="311">
        <f>SUMIFS(M_Datos!$V$38:$V$40,M_Datos!$W$38:$W$40,M_Lista!G23,M_Datos!$M$38:$M$40,M_Lista!$J$3)</f>
        <v>0</v>
      </c>
      <c r="R75" s="312" t="e">
        <f>IF(AND(M_FactoresComplement!$G$439="No",M_FactoresComplement!$G$441="No"),M_Cálculos_ND!Q75*VLOOKUP(M_Datos!$E$12&amp;M_Cálculos_ND!D75,M_Factores!$M$10:$P$108,2,FALSE),IF(AND(M_FactoresComplement!$G$439="Sí",M_FactoresComplement!$G$441="No"),Q75*M_FactoresComplement!G472,Q75*VLOOKUP(M_FactoresComplement!$C$467&amp;M_Datos!$E$12&amp;M_Lista!G22,M_FactoresComplement!$F$446:$I$781,2,FALSE)))</f>
        <v>#N/A</v>
      </c>
      <c r="S75" s="313" t="e">
        <f>IF(AND(M_FactoresComplement!$G$439="No",M_FactoresComplement!$G$441="No"),M_Cálculos_ND!Q75*VLOOKUP(M_Datos!$E$12&amp;M_Cálculos_ND!D75,M_Factores!$M$10:$P$108,3,FALSE),IF(AND(M_FactoresComplement!$G$439="Sí",M_FactoresComplement!$G$441="No"),Q75*M_FactoresComplement!H472,Q75*VLOOKUP(M_FactoresComplement!$C$467&amp;M_Datos!$E$12&amp;M_Lista!G22,M_FactoresComplement!$F$446:$I$781,3,FALSE)))</f>
        <v>#N/A</v>
      </c>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c r="ZK75" s="11"/>
      <c r="ZL75" s="11"/>
      <c r="ZM75" s="11"/>
      <c r="ZN75" s="11"/>
      <c r="ZO75" s="11"/>
      <c r="ZP75" s="11"/>
      <c r="ZQ75" s="11"/>
      <c r="ZR75" s="11"/>
      <c r="ZS75" s="11"/>
      <c r="ZT75" s="11"/>
      <c r="ZU75" s="11"/>
      <c r="ZV75" s="11"/>
      <c r="ZW75" s="11"/>
      <c r="ZX75" s="11"/>
      <c r="ZY75" s="11"/>
      <c r="ZZ75" s="11"/>
      <c r="AAA75" s="11"/>
      <c r="AAB75" s="11"/>
      <c r="AAC75" s="11"/>
      <c r="AAD75" s="11"/>
      <c r="AAE75" s="11"/>
      <c r="AAF75" s="11"/>
      <c r="AAG75" s="11"/>
      <c r="AAH75" s="11"/>
      <c r="AAI75" s="11"/>
      <c r="AAJ75" s="11"/>
      <c r="AAK75" s="11"/>
      <c r="AAL75" s="11"/>
      <c r="AAM75" s="11"/>
      <c r="AAN75" s="11"/>
      <c r="AAO75" s="11"/>
      <c r="AAP75" s="11"/>
      <c r="AAQ75" s="11"/>
      <c r="AAR75" s="11"/>
      <c r="AAS75" s="11"/>
      <c r="AAT75" s="11"/>
      <c r="AAU75" s="11"/>
      <c r="AAV75" s="11"/>
      <c r="AAW75" s="11"/>
      <c r="AAX75" s="11"/>
      <c r="AAY75" s="11"/>
      <c r="AAZ75" s="11"/>
      <c r="ABA75" s="11"/>
      <c r="ABB75" s="11"/>
      <c r="ABC75" s="11"/>
      <c r="ABD75" s="11"/>
      <c r="ABE75" s="11"/>
      <c r="ABF75" s="11"/>
      <c r="ABG75" s="11"/>
      <c r="ABH75" s="11"/>
      <c r="ABI75" s="11"/>
      <c r="ABJ75" s="11"/>
      <c r="ABK75" s="11"/>
      <c r="ABL75" s="11"/>
      <c r="ABM75" s="11"/>
      <c r="ABN75" s="11"/>
      <c r="ABO75" s="11"/>
      <c r="ABP75" s="11"/>
      <c r="ABQ75" s="11"/>
      <c r="ABR75" s="11"/>
      <c r="ABS75" s="11"/>
      <c r="ABT75" s="11"/>
      <c r="ABU75" s="11"/>
      <c r="ABV75" s="11"/>
      <c r="ABW75" s="11"/>
      <c r="ABX75" s="11"/>
      <c r="ABY75" s="11"/>
      <c r="ABZ75" s="11"/>
      <c r="ACA75" s="11"/>
      <c r="ACB75" s="11"/>
      <c r="ACC75" s="11"/>
      <c r="ACD75" s="11"/>
      <c r="ACE75" s="11"/>
      <c r="ACF75" s="11"/>
      <c r="ACG75" s="11"/>
      <c r="ACH75" s="11"/>
      <c r="ACI75" s="11"/>
      <c r="ACJ75" s="11"/>
      <c r="ACK75" s="11"/>
      <c r="ACL75" s="11"/>
      <c r="ACM75" s="11"/>
      <c r="ACN75" s="11"/>
      <c r="ACO75" s="11"/>
      <c r="ACP75" s="11"/>
      <c r="ACQ75" s="11"/>
      <c r="ACR75" s="11"/>
      <c r="ACS75" s="11"/>
      <c r="ACT75" s="11"/>
      <c r="ACU75" s="11"/>
      <c r="ACV75" s="11"/>
      <c r="ACW75" s="11"/>
      <c r="ACX75" s="11"/>
      <c r="ACY75" s="11"/>
      <c r="ACZ75" s="11"/>
      <c r="ADA75" s="11"/>
      <c r="ADB75" s="11"/>
      <c r="ADC75" s="11"/>
      <c r="ADD75" s="11"/>
      <c r="ADE75" s="11"/>
      <c r="ADF75" s="11"/>
      <c r="ADG75" s="11"/>
      <c r="ADH75" s="11"/>
      <c r="ADI75" s="11"/>
      <c r="ADJ75" s="11"/>
      <c r="ADK75" s="11"/>
      <c r="ADL75" s="11"/>
      <c r="ADM75" s="11"/>
      <c r="ADN75" s="11"/>
      <c r="ADO75" s="11"/>
      <c r="ADP75" s="11"/>
      <c r="ADQ75" s="11"/>
      <c r="ADR75" s="11"/>
      <c r="ADS75" s="11"/>
      <c r="ADT75" s="11"/>
      <c r="ADU75" s="11"/>
      <c r="ADV75" s="11"/>
      <c r="ADW75" s="11"/>
      <c r="ADX75" s="11"/>
      <c r="ADY75" s="11"/>
      <c r="ADZ75" s="11"/>
      <c r="AEA75" s="11"/>
      <c r="AEB75" s="11"/>
      <c r="AEC75" s="11"/>
      <c r="AED75" s="11"/>
      <c r="AEE75" s="11"/>
      <c r="AEF75" s="11"/>
      <c r="AEG75" s="11"/>
      <c r="AEH75" s="11"/>
      <c r="AEI75" s="11"/>
      <c r="AEJ75" s="11"/>
      <c r="AEK75" s="11"/>
      <c r="AEL75" s="11"/>
      <c r="AEM75" s="11"/>
      <c r="AEN75" s="11"/>
      <c r="AEO75" s="11"/>
      <c r="AEP75" s="11"/>
      <c r="AEQ75" s="11"/>
      <c r="AER75" s="11"/>
      <c r="AES75" s="11"/>
      <c r="AET75" s="11"/>
      <c r="AEU75" s="11"/>
      <c r="AEV75" s="11"/>
      <c r="AEW75" s="11"/>
      <c r="AEX75" s="11"/>
      <c r="AEY75" s="11"/>
      <c r="AEZ75" s="11"/>
      <c r="AFA75" s="11"/>
      <c r="AFB75" s="11"/>
      <c r="AFC75" s="11"/>
      <c r="AFD75" s="11"/>
      <c r="AFE75" s="11"/>
      <c r="AFF75" s="11"/>
      <c r="AFG75" s="11"/>
      <c r="AFH75" s="11"/>
      <c r="AFI75" s="11"/>
    </row>
    <row r="76" spans="2:841">
      <c r="B76" s="11"/>
      <c r="C76" s="657"/>
      <c r="D76" s="289" t="str">
        <f>IF(Idioma=Castellano,"Sin definir",IF(Idioma=Valencià,"Sense definir","Sin definir"))</f>
        <v>Sin definir</v>
      </c>
      <c r="E76" s="311">
        <f>SUMIFS(M_Datos!$N$38:$N$40,M_Datos!$O$38:$O$40,M_Lista!G24,M_Datos!$M$38:$M$40,M_Lista!$J$3)</f>
        <v>0</v>
      </c>
      <c r="F76" s="312" t="e">
        <f>IF(AND(M_FactoresComplement!$G$439="No",M_FactoresComplement!$G$441="No"),M_Cálculos_ND!E76*VLOOKUP(M_Datos!$E$12&amp;M_Cálculos_ND!D76,M_Factores!$M$10:$P$108,2,FALSE),IF(AND(M_FactoresComplement!$G$439="Sí",M_FactoresComplement!$G$441="No"),E76*M_FactoresComplement!G473,E76*VLOOKUP(M_FactoresComplement!$C$467&amp;M_Datos!$E$12&amp;M_Lista!G23,M_FactoresComplement!$F$446:$I$781,2,FALSE)))</f>
        <v>#N/A</v>
      </c>
      <c r="G76" s="313" t="e">
        <f>IF(AND(M_FactoresComplement!$G$439="No",M_FactoresComplement!$G$441="No"),M_Cálculos_ND!E76*VLOOKUP(M_Datos!$E$12&amp;M_Cálculos_ND!D76,M_Factores!$M$10:$P$108,3,FALSE),IF(AND(M_FactoresComplement!$G$439="Sí",M_FactoresComplement!$G$441="No"),E76*M_FactoresComplement!H473,E76*VLOOKUP(M_FactoresComplement!$C$467&amp;M_Datos!$E$12&amp;M_Lista!G23,M_FactoresComplement!$F$446:$I$781,3,FALSE)))</f>
        <v>#N/A</v>
      </c>
      <c r="H76" s="311">
        <f>SUMIFS(M_Datos!$P$38:$P$40,M_Datos!$Q$38:$Q$40,M_Lista!G24,M_Datos!$M$38:$M$40,M_Lista!$J$3)</f>
        <v>0</v>
      </c>
      <c r="I76" s="312" t="e">
        <f>IF(AND(M_FactoresComplement!$G$439="No",M_FactoresComplement!$G$441="No"),M_Cálculos_ND!H76*VLOOKUP(M_Datos!$E$12&amp;M_Cálculos_ND!D76,M_Factores!$M$10:$P$108,2,FALSE),IF(AND(M_FactoresComplement!$G$439="Sí",M_FactoresComplement!$G$441="No"),H76*M_FactoresComplement!G473,H76*VLOOKUP(M_FactoresComplement!$C$467&amp;M_Datos!$E$12&amp;M_Lista!G23,M_FactoresComplement!$F$446:$I$781,2,FALSE)))</f>
        <v>#N/A</v>
      </c>
      <c r="J76" s="313" t="e">
        <f>IF(AND(M_FactoresComplement!$G$439="No",M_FactoresComplement!$G$441="No"),M_Cálculos_ND!H76*VLOOKUP(M_Datos!$E$12&amp;M_Cálculos_ND!D76,M_Factores!$M$10:$P$108,3,FALSE),IF(AND(M_FactoresComplement!$G$439="Sí",M_FactoresComplement!$G$441="No"),H76*M_FactoresComplement!H473,H76*VLOOKUP(M_FactoresComplement!$C$467&amp;M_Datos!$E$12&amp;M_Lista!G23,M_FactoresComplement!$F$446:$I$781,3,FALSE)))</f>
        <v>#N/A</v>
      </c>
      <c r="K76" s="311">
        <f>SUMIFS(M_Datos!$R$38:$R$40,M_Datos!$S$38:$S$40,M_Lista!G24,M_Datos!$M$38:$M$40,M_Lista!$J$3)</f>
        <v>0</v>
      </c>
      <c r="L76" s="312" t="e">
        <f>IF(AND(M_FactoresComplement!$G$439="No",M_FactoresComplement!$G$441="No"),M_Cálculos_ND!K76*VLOOKUP(M_Datos!$E$12&amp;M_Cálculos_ND!D76,M_Factores!$M$10:$P$108,2,FALSE),IF(AND(M_FactoresComplement!$G$439="Sí",M_FactoresComplement!$G$441="No"),K76*M_FactoresComplement!G473,K76*VLOOKUP(M_FactoresComplement!$C$467&amp;M_Datos!$E$12&amp;M_Lista!G23,M_FactoresComplement!$F$446:$I$781,2,FALSE)))</f>
        <v>#N/A</v>
      </c>
      <c r="M76" s="313" t="e">
        <f>IF(AND(M_FactoresComplement!$G$439="No",M_FactoresComplement!$G$441="No"),M_Cálculos_ND!K76*VLOOKUP(M_Datos!$E$12&amp;M_Cálculos_ND!D76,M_Factores!$M$10:$P$108,3,FALSE),IF(AND(M_FactoresComplement!$G$439="Sí",M_FactoresComplement!$G$441="No"),K76*M_FactoresComplement!H473,K76*VLOOKUP(M_FactoresComplement!$C$467&amp;M_Datos!$E$12&amp;M_Lista!G23,M_FactoresComplement!$F$446:$I$781,3,FALSE)))</f>
        <v>#N/A</v>
      </c>
      <c r="N76" s="311">
        <f>SUMIFS(M_Datos!$T$38:$T$40,M_Datos!$U$38:$U$40,M_Lista!G24,M_Datos!$M$38:$M$40,M_Lista!$J$3)</f>
        <v>0</v>
      </c>
      <c r="O76" s="312" t="e">
        <f>IF(AND(M_FactoresComplement!$G$439="No",M_FactoresComplement!$G$441="No"),M_Cálculos_ND!N76*VLOOKUP(M_Datos!$E$12&amp;M_Cálculos_ND!D76,M_Factores!$M$10:$P$108,2,FALSE),IF(AND(M_FactoresComplement!$G$439="Sí",M_FactoresComplement!$G$441="No"),N76*M_FactoresComplement!G473,N76*VLOOKUP(M_FactoresComplement!$C$467&amp;M_Datos!$E$12&amp;M_Lista!G23,M_FactoresComplement!$F$446:$I$781,2,FALSE)))</f>
        <v>#N/A</v>
      </c>
      <c r="P76" s="313" t="e">
        <f>IF(AND(M_FactoresComplement!$G$439="No",M_FactoresComplement!$G$441="No"),M_Cálculos_ND!N76*VLOOKUP(M_Datos!$E$12&amp;M_Cálculos_ND!D76,M_Factores!$M$10:$P$108,3,FALSE),IF(AND(M_FactoresComplement!$G$439="Sí",M_FactoresComplement!$G$441="No"),N76*M_FactoresComplement!H473,N76*VLOOKUP(M_FactoresComplement!$C$467&amp;M_Datos!$E$12&amp;M_Lista!G23,M_FactoresComplement!$F$446:$I$781,3,FALSE)))</f>
        <v>#N/A</v>
      </c>
      <c r="Q76" s="311">
        <f>SUMIFS(M_Datos!$V$38:$V$40,M_Datos!$W$38:$W$40,M_Lista!G24,M_Datos!$M$38:$M$40,M_Lista!$J$3)</f>
        <v>0</v>
      </c>
      <c r="R76" s="312" t="e">
        <f>IF(AND(M_FactoresComplement!$G$439="No",M_FactoresComplement!$G$441="No"),M_Cálculos_ND!Q76*VLOOKUP(M_Datos!$E$12&amp;M_Cálculos_ND!D76,M_Factores!$M$10:$P$108,2,FALSE),IF(AND(M_FactoresComplement!$G$439="Sí",M_FactoresComplement!$G$441="No"),Q76*M_FactoresComplement!G473,Q76*VLOOKUP(M_FactoresComplement!$C$467&amp;M_Datos!$E$12&amp;M_Lista!G23,M_FactoresComplement!$F$446:$I$781,2,FALSE)))</f>
        <v>#N/A</v>
      </c>
      <c r="S76" s="313" t="e">
        <f>IF(AND(M_FactoresComplement!$G$439="No",M_FactoresComplement!$G$441="No"),M_Cálculos_ND!Q76*VLOOKUP(M_Datos!$E$12&amp;M_Cálculos_ND!D76,M_Factores!$M$10:$P$108,3,FALSE),IF(AND(M_FactoresComplement!$G$439="Sí",M_FactoresComplement!$G$441="No"),Q76*M_FactoresComplement!H473,Q76*VLOOKUP(M_FactoresComplement!$C$467&amp;M_Datos!$E$12&amp;M_Lista!G23,M_FactoresComplement!$F$446:$I$781,3,FALSE)))</f>
        <v>#N/A</v>
      </c>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c r="KA76" s="11"/>
      <c r="KB76" s="11"/>
      <c r="KC76" s="11"/>
      <c r="KD76" s="11"/>
      <c r="KE76" s="11"/>
      <c r="KF76" s="11"/>
      <c r="KG76" s="11"/>
      <c r="KH76" s="11"/>
      <c r="KI76" s="11"/>
      <c r="KJ76" s="11"/>
      <c r="KK76" s="11"/>
      <c r="KL76" s="11"/>
      <c r="KM76" s="11"/>
      <c r="KN76" s="11"/>
      <c r="KO76" s="11"/>
      <c r="KP76" s="11"/>
      <c r="KQ76" s="11"/>
      <c r="KR76" s="11"/>
      <c r="KS76" s="11"/>
      <c r="KT76" s="11"/>
      <c r="KU76" s="11"/>
      <c r="KV76" s="11"/>
      <c r="KW76" s="11"/>
      <c r="KX76" s="11"/>
      <c r="KY76" s="11"/>
      <c r="KZ76" s="11"/>
      <c r="LA76" s="11"/>
      <c r="LB76" s="11"/>
      <c r="LC76" s="11"/>
      <c r="LD76" s="11"/>
      <c r="LE76" s="11"/>
      <c r="LF76" s="11"/>
      <c r="LG76" s="11"/>
      <c r="LH76" s="11"/>
      <c r="LI76" s="11"/>
      <c r="LJ76" s="11"/>
      <c r="LK76" s="11"/>
      <c r="LL76" s="11"/>
      <c r="LM76" s="11"/>
      <c r="LN76" s="11"/>
      <c r="LO76" s="11"/>
      <c r="LP76" s="11"/>
      <c r="LQ76" s="11"/>
      <c r="LR76" s="11"/>
      <c r="LS76" s="11"/>
      <c r="LT76" s="11"/>
      <c r="LU76" s="11"/>
      <c r="LV76" s="11"/>
      <c r="LW76" s="11"/>
      <c r="LX76" s="11"/>
      <c r="LY76" s="11"/>
      <c r="LZ76" s="11"/>
      <c r="MA76" s="11"/>
      <c r="MB76" s="11"/>
      <c r="MC76" s="11"/>
      <c r="MD76" s="11"/>
      <c r="ME76" s="11"/>
      <c r="MF76" s="11"/>
      <c r="MG76" s="11"/>
      <c r="MH76" s="11"/>
      <c r="MI76" s="11"/>
      <c r="MJ76" s="11"/>
      <c r="MK76" s="11"/>
      <c r="ML76" s="11"/>
      <c r="MM76" s="11"/>
      <c r="MN76" s="11"/>
      <c r="MO76" s="11"/>
      <c r="MP76" s="11"/>
      <c r="MQ76" s="11"/>
      <c r="MR76" s="11"/>
      <c r="MS76" s="11"/>
      <c r="MT76" s="11"/>
      <c r="MU76" s="11"/>
      <c r="MV76" s="11"/>
      <c r="MW76" s="11"/>
      <c r="MX76" s="11"/>
      <c r="MY76" s="11"/>
      <c r="MZ76" s="11"/>
      <c r="NA76" s="11"/>
      <c r="NB76" s="11"/>
      <c r="NC76" s="11"/>
      <c r="ND76" s="11"/>
      <c r="NE76" s="11"/>
      <c r="NF76" s="11"/>
      <c r="NG76" s="11"/>
      <c r="NH76" s="11"/>
      <c r="NI76" s="11"/>
      <c r="NJ76" s="11"/>
      <c r="NK76" s="11"/>
      <c r="NL76" s="11"/>
      <c r="NM76" s="11"/>
      <c r="NN76" s="11"/>
      <c r="NO76" s="11"/>
      <c r="NP76" s="11"/>
      <c r="NQ76" s="11"/>
      <c r="NR76" s="11"/>
      <c r="NS76" s="11"/>
      <c r="NT76" s="11"/>
      <c r="NU76" s="11"/>
      <c r="NV76" s="11"/>
      <c r="NW76" s="11"/>
      <c r="NX76" s="11"/>
      <c r="NY76" s="11"/>
      <c r="NZ76" s="11"/>
      <c r="OA76" s="11"/>
      <c r="OB76" s="11"/>
      <c r="OC76" s="11"/>
      <c r="OD76" s="11"/>
      <c r="OE76" s="11"/>
      <c r="OF76" s="11"/>
      <c r="OG76" s="11"/>
      <c r="OH76" s="11"/>
      <c r="OI76" s="11"/>
      <c r="OJ76" s="11"/>
      <c r="OK76" s="11"/>
      <c r="OL76" s="11"/>
      <c r="OM76" s="11"/>
      <c r="ON76" s="11"/>
      <c r="OO76" s="11"/>
      <c r="OP76" s="11"/>
      <c r="OQ76" s="11"/>
      <c r="OR76" s="11"/>
      <c r="OS76" s="11"/>
      <c r="OT76" s="11"/>
      <c r="OU76" s="11"/>
      <c r="OV76" s="11"/>
      <c r="OW76" s="11"/>
      <c r="OX76" s="11"/>
      <c r="OY76" s="11"/>
      <c r="OZ76" s="11"/>
      <c r="PA76" s="11"/>
      <c r="PB76" s="11"/>
      <c r="PC76" s="11"/>
      <c r="PD76" s="11"/>
      <c r="PE76" s="11"/>
      <c r="PF76" s="11"/>
      <c r="PG76" s="11"/>
      <c r="PH76" s="11"/>
      <c r="PI76" s="11"/>
      <c r="PJ76" s="11"/>
      <c r="PK76" s="11"/>
      <c r="PL76" s="11"/>
      <c r="PM76" s="11"/>
      <c r="PN76" s="11"/>
      <c r="PO76" s="11"/>
      <c r="PP76" s="11"/>
      <c r="PQ76" s="11"/>
      <c r="PR76" s="11"/>
      <c r="PS76" s="11"/>
      <c r="PT76" s="11"/>
      <c r="PU76" s="11"/>
      <c r="PV76" s="11"/>
      <c r="PW76" s="11"/>
      <c r="PX76" s="11"/>
      <c r="PY76" s="11"/>
      <c r="PZ76" s="11"/>
      <c r="QA76" s="11"/>
      <c r="QB76" s="11"/>
      <c r="QC76" s="11"/>
      <c r="QD76" s="11"/>
      <c r="QE76" s="11"/>
      <c r="QF76" s="11"/>
      <c r="QG76" s="11"/>
      <c r="QH76" s="11"/>
      <c r="QI76" s="11"/>
      <c r="QJ76" s="11"/>
      <c r="QK76" s="11"/>
      <c r="QL76" s="11"/>
      <c r="QM76" s="11"/>
      <c r="QN76" s="11"/>
      <c r="QO76" s="11"/>
      <c r="QP76" s="11"/>
      <c r="QQ76" s="11"/>
      <c r="QR76" s="11"/>
      <c r="QS76" s="11"/>
      <c r="QT76" s="11"/>
      <c r="QU76" s="11"/>
      <c r="QV76" s="11"/>
      <c r="QW76" s="11"/>
      <c r="QX76" s="11"/>
      <c r="QY76" s="11"/>
      <c r="QZ76" s="11"/>
      <c r="RA76" s="11"/>
      <c r="RB76" s="11"/>
      <c r="RC76" s="11"/>
      <c r="RD76" s="11"/>
      <c r="RE76" s="11"/>
      <c r="RF76" s="11"/>
      <c r="RG76" s="11"/>
      <c r="RH76" s="11"/>
      <c r="RI76" s="11"/>
      <c r="RJ76" s="11"/>
      <c r="RK76" s="11"/>
      <c r="RL76" s="11"/>
      <c r="RM76" s="11"/>
      <c r="RN76" s="11"/>
      <c r="RO76" s="11"/>
      <c r="RP76" s="11"/>
      <c r="RQ76" s="11"/>
      <c r="RR76" s="11"/>
      <c r="RS76" s="11"/>
      <c r="RT76" s="11"/>
      <c r="RU76" s="11"/>
      <c r="RV76" s="11"/>
      <c r="RW76" s="11"/>
      <c r="RX76" s="11"/>
      <c r="RY76" s="11"/>
      <c r="RZ76" s="11"/>
      <c r="SA76" s="11"/>
      <c r="SB76" s="11"/>
      <c r="SC76" s="11"/>
      <c r="SD76" s="11"/>
      <c r="SE76" s="11"/>
      <c r="SF76" s="11"/>
      <c r="SG76" s="11"/>
      <c r="SH76" s="11"/>
      <c r="SI76" s="11"/>
      <c r="SJ76" s="11"/>
      <c r="SK76" s="11"/>
      <c r="SL76" s="11"/>
      <c r="SM76" s="11"/>
      <c r="SN76" s="11"/>
      <c r="SO76" s="11"/>
      <c r="SP76" s="11"/>
      <c r="SQ76" s="11"/>
      <c r="SR76" s="11"/>
      <c r="SS76" s="11"/>
      <c r="ST76" s="11"/>
      <c r="SU76" s="11"/>
      <c r="SV76" s="11"/>
      <c r="SW76" s="11"/>
      <c r="SX76" s="11"/>
      <c r="SY76" s="11"/>
      <c r="SZ76" s="11"/>
      <c r="TA76" s="11"/>
      <c r="TB76" s="11"/>
      <c r="TC76" s="11"/>
      <c r="TD76" s="11"/>
      <c r="TE76" s="11"/>
      <c r="TF76" s="11"/>
      <c r="TG76" s="11"/>
      <c r="TH76" s="11"/>
      <c r="TI76" s="11"/>
      <c r="TJ76" s="11"/>
      <c r="TK76" s="11"/>
      <c r="TL76" s="11"/>
      <c r="TM76" s="11"/>
      <c r="TN76" s="11"/>
      <c r="TO76" s="11"/>
      <c r="TP76" s="11"/>
      <c r="TQ76" s="11"/>
      <c r="TR76" s="11"/>
      <c r="TS76" s="11"/>
      <c r="TT76" s="11"/>
      <c r="TU76" s="11"/>
      <c r="TV76" s="11"/>
      <c r="TW76" s="11"/>
      <c r="TX76" s="11"/>
      <c r="TY76" s="11"/>
      <c r="TZ76" s="11"/>
      <c r="UA76" s="11"/>
      <c r="UB76" s="11"/>
      <c r="UC76" s="11"/>
      <c r="UD76" s="11"/>
      <c r="UE76" s="11"/>
      <c r="UF76" s="11"/>
      <c r="UG76" s="11"/>
      <c r="UH76" s="11"/>
      <c r="UI76" s="11"/>
      <c r="UJ76" s="11"/>
      <c r="UK76" s="11"/>
      <c r="UL76" s="11"/>
      <c r="UM76" s="11"/>
      <c r="UN76" s="11"/>
      <c r="UO76" s="11"/>
      <c r="UP76" s="11"/>
      <c r="UQ76" s="11"/>
      <c r="UR76" s="11"/>
      <c r="US76" s="11"/>
      <c r="UT76" s="11"/>
      <c r="UU76" s="11"/>
      <c r="UV76" s="11"/>
      <c r="UW76" s="11"/>
      <c r="UX76" s="11"/>
      <c r="UY76" s="11"/>
      <c r="UZ76" s="11"/>
      <c r="VA76" s="11"/>
      <c r="VB76" s="11"/>
      <c r="VC76" s="11"/>
      <c r="VD76" s="11"/>
      <c r="VE76" s="11"/>
      <c r="VF76" s="11"/>
      <c r="VG76" s="11"/>
      <c r="VH76" s="11"/>
      <c r="VI76" s="11"/>
      <c r="VJ76" s="11"/>
      <c r="VK76" s="11"/>
      <c r="VL76" s="11"/>
      <c r="VM76" s="11"/>
      <c r="VN76" s="11"/>
      <c r="VO76" s="11"/>
      <c r="VP76" s="11"/>
      <c r="VQ76" s="11"/>
      <c r="VR76" s="11"/>
      <c r="VS76" s="11"/>
      <c r="VT76" s="11"/>
      <c r="VU76" s="11"/>
      <c r="VV76" s="11"/>
      <c r="VW76" s="11"/>
      <c r="VX76" s="11"/>
      <c r="VY76" s="11"/>
      <c r="VZ76" s="11"/>
      <c r="WA76" s="11"/>
      <c r="WB76" s="11"/>
      <c r="WC76" s="11"/>
      <c r="WD76" s="11"/>
      <c r="WE76" s="11"/>
      <c r="WF76" s="11"/>
      <c r="WG76" s="11"/>
      <c r="WH76" s="11"/>
      <c r="WI76" s="11"/>
      <c r="WJ76" s="11"/>
      <c r="WK76" s="11"/>
      <c r="WL76" s="11"/>
      <c r="WM76" s="11"/>
      <c r="WN76" s="11"/>
      <c r="WO76" s="11"/>
      <c r="WP76" s="11"/>
      <c r="WQ76" s="11"/>
      <c r="WR76" s="11"/>
      <c r="WS76" s="11"/>
      <c r="WT76" s="11"/>
      <c r="WU76" s="11"/>
      <c r="WV76" s="11"/>
      <c r="WW76" s="11"/>
      <c r="WX76" s="11"/>
      <c r="WY76" s="11"/>
      <c r="WZ76" s="11"/>
      <c r="XA76" s="11"/>
      <c r="XB76" s="11"/>
      <c r="XC76" s="11"/>
      <c r="XD76" s="11"/>
      <c r="XE76" s="11"/>
      <c r="XF76" s="11"/>
      <c r="XG76" s="11"/>
      <c r="XH76" s="11"/>
      <c r="XI76" s="11"/>
      <c r="XJ76" s="11"/>
      <c r="XK76" s="11"/>
      <c r="XL76" s="11"/>
      <c r="XM76" s="11"/>
      <c r="XN76" s="11"/>
      <c r="XO76" s="11"/>
      <c r="XP76" s="11"/>
      <c r="XQ76" s="11"/>
      <c r="XR76" s="11"/>
      <c r="XS76" s="11"/>
      <c r="XT76" s="11"/>
      <c r="XU76" s="11"/>
      <c r="XV76" s="11"/>
      <c r="XW76" s="11"/>
      <c r="XX76" s="11"/>
      <c r="XY76" s="11"/>
      <c r="XZ76" s="11"/>
      <c r="YA76" s="11"/>
      <c r="YB76" s="11"/>
      <c r="YC76" s="11"/>
      <c r="YD76" s="11"/>
      <c r="YE76" s="11"/>
      <c r="YF76" s="11"/>
      <c r="YG76" s="11"/>
      <c r="YH76" s="11"/>
      <c r="YI76" s="11"/>
      <c r="YJ76" s="11"/>
      <c r="YK76" s="11"/>
      <c r="YL76" s="11"/>
      <c r="YM76" s="11"/>
      <c r="YN76" s="11"/>
      <c r="YO76" s="11"/>
      <c r="YP76" s="11"/>
      <c r="YQ76" s="11"/>
      <c r="YR76" s="11"/>
      <c r="YS76" s="11"/>
      <c r="YT76" s="11"/>
      <c r="YU76" s="11"/>
      <c r="YV76" s="11"/>
      <c r="YW76" s="11"/>
      <c r="YX76" s="11"/>
      <c r="YY76" s="11"/>
      <c r="YZ76" s="11"/>
      <c r="ZA76" s="11"/>
      <c r="ZB76" s="11"/>
      <c r="ZC76" s="11"/>
      <c r="ZD76" s="11"/>
      <c r="ZE76" s="11"/>
      <c r="ZF76" s="11"/>
      <c r="ZG76" s="11"/>
      <c r="ZH76" s="11"/>
      <c r="ZI76" s="11"/>
      <c r="ZJ76" s="11"/>
      <c r="ZK76" s="11"/>
      <c r="ZL76" s="11"/>
      <c r="ZM76" s="11"/>
      <c r="ZN76" s="11"/>
      <c r="ZO76" s="11"/>
      <c r="ZP76" s="11"/>
      <c r="ZQ76" s="11"/>
      <c r="ZR76" s="11"/>
      <c r="ZS76" s="11"/>
      <c r="ZT76" s="11"/>
      <c r="ZU76" s="11"/>
      <c r="ZV76" s="11"/>
      <c r="ZW76" s="11"/>
      <c r="ZX76" s="11"/>
      <c r="ZY76" s="11"/>
      <c r="ZZ76" s="11"/>
      <c r="AAA76" s="11"/>
      <c r="AAB76" s="11"/>
      <c r="AAC76" s="11"/>
      <c r="AAD76" s="11"/>
      <c r="AAE76" s="11"/>
      <c r="AAF76" s="11"/>
      <c r="AAG76" s="11"/>
      <c r="AAH76" s="11"/>
      <c r="AAI76" s="11"/>
      <c r="AAJ76" s="11"/>
      <c r="AAK76" s="11"/>
      <c r="AAL76" s="11"/>
      <c r="AAM76" s="11"/>
      <c r="AAN76" s="11"/>
      <c r="AAO76" s="11"/>
      <c r="AAP76" s="11"/>
      <c r="AAQ76" s="11"/>
      <c r="AAR76" s="11"/>
      <c r="AAS76" s="11"/>
      <c r="AAT76" s="11"/>
      <c r="AAU76" s="11"/>
      <c r="AAV76" s="11"/>
      <c r="AAW76" s="11"/>
      <c r="AAX76" s="11"/>
      <c r="AAY76" s="11"/>
      <c r="AAZ76" s="11"/>
      <c r="ABA76" s="11"/>
      <c r="ABB76" s="11"/>
      <c r="ABC76" s="11"/>
      <c r="ABD76" s="11"/>
      <c r="ABE76" s="11"/>
      <c r="ABF76" s="11"/>
      <c r="ABG76" s="11"/>
      <c r="ABH76" s="11"/>
      <c r="ABI76" s="11"/>
      <c r="ABJ76" s="11"/>
      <c r="ABK76" s="11"/>
      <c r="ABL76" s="11"/>
      <c r="ABM76" s="11"/>
      <c r="ABN76" s="11"/>
      <c r="ABO76" s="11"/>
      <c r="ABP76" s="11"/>
      <c r="ABQ76" s="11"/>
      <c r="ABR76" s="11"/>
      <c r="ABS76" s="11"/>
      <c r="ABT76" s="11"/>
      <c r="ABU76" s="11"/>
      <c r="ABV76" s="11"/>
      <c r="ABW76" s="11"/>
      <c r="ABX76" s="11"/>
      <c r="ABY76" s="11"/>
      <c r="ABZ76" s="11"/>
      <c r="ACA76" s="11"/>
      <c r="ACB76" s="11"/>
      <c r="ACC76" s="11"/>
      <c r="ACD76" s="11"/>
      <c r="ACE76" s="11"/>
      <c r="ACF76" s="11"/>
      <c r="ACG76" s="11"/>
      <c r="ACH76" s="11"/>
      <c r="ACI76" s="11"/>
      <c r="ACJ76" s="11"/>
      <c r="ACK76" s="11"/>
      <c r="ACL76" s="11"/>
      <c r="ACM76" s="11"/>
      <c r="ACN76" s="11"/>
      <c r="ACO76" s="11"/>
      <c r="ACP76" s="11"/>
      <c r="ACQ76" s="11"/>
      <c r="ACR76" s="11"/>
      <c r="ACS76" s="11"/>
      <c r="ACT76" s="11"/>
      <c r="ACU76" s="11"/>
      <c r="ACV76" s="11"/>
      <c r="ACW76" s="11"/>
      <c r="ACX76" s="11"/>
      <c r="ACY76" s="11"/>
      <c r="ACZ76" s="11"/>
      <c r="ADA76" s="11"/>
      <c r="ADB76" s="11"/>
      <c r="ADC76" s="11"/>
      <c r="ADD76" s="11"/>
      <c r="ADE76" s="11"/>
      <c r="ADF76" s="11"/>
      <c r="ADG76" s="11"/>
      <c r="ADH76" s="11"/>
      <c r="ADI76" s="11"/>
      <c r="ADJ76" s="11"/>
      <c r="ADK76" s="11"/>
      <c r="ADL76" s="11"/>
      <c r="ADM76" s="11"/>
      <c r="ADN76" s="11"/>
      <c r="ADO76" s="11"/>
      <c r="ADP76" s="11"/>
      <c r="ADQ76" s="11"/>
      <c r="ADR76" s="11"/>
      <c r="ADS76" s="11"/>
      <c r="ADT76" s="11"/>
      <c r="ADU76" s="11"/>
      <c r="ADV76" s="11"/>
      <c r="ADW76" s="11"/>
      <c r="ADX76" s="11"/>
      <c r="ADY76" s="11"/>
      <c r="ADZ76" s="11"/>
      <c r="AEA76" s="11"/>
      <c r="AEB76" s="11"/>
      <c r="AEC76" s="11"/>
      <c r="AED76" s="11"/>
      <c r="AEE76" s="11"/>
      <c r="AEF76" s="11"/>
      <c r="AEG76" s="11"/>
      <c r="AEH76" s="11"/>
      <c r="AEI76" s="11"/>
      <c r="AEJ76" s="11"/>
      <c r="AEK76" s="11"/>
      <c r="AEL76" s="11"/>
      <c r="AEM76" s="11"/>
      <c r="AEN76" s="11"/>
      <c r="AEO76" s="11"/>
      <c r="AEP76" s="11"/>
      <c r="AEQ76" s="11"/>
      <c r="AER76" s="11"/>
      <c r="AES76" s="11"/>
      <c r="AET76" s="11"/>
      <c r="AEU76" s="11"/>
      <c r="AEV76" s="11"/>
      <c r="AEW76" s="11"/>
      <c r="AEX76" s="11"/>
      <c r="AEY76" s="11"/>
      <c r="AEZ76" s="11"/>
      <c r="AFA76" s="11"/>
      <c r="AFB76" s="11"/>
      <c r="AFC76" s="11"/>
      <c r="AFD76" s="11"/>
      <c r="AFE76" s="11"/>
      <c r="AFF76" s="11"/>
      <c r="AFG76" s="11"/>
      <c r="AFH76" s="11"/>
      <c r="AFI76" s="11"/>
    </row>
    <row r="77" spans="2:841">
      <c r="B77" s="11"/>
      <c r="C77" s="657"/>
      <c r="D77" s="289" t="str">
        <f>IF(Idioma=Castellano,"Consumo nulo",IF(Idioma=Valencià,"Consum nul","Consumo nulo"))</f>
        <v>Consumo nulo</v>
      </c>
      <c r="E77" s="311">
        <f>SUMIFS(M_Datos!$N$38:$N$40,M_Datos!$O$38:$O$40,M_Lista!G25,M_Datos!$M$38:$M$40,M_Lista!$J$3)</f>
        <v>0</v>
      </c>
      <c r="F77" s="312">
        <v>0</v>
      </c>
      <c r="G77" s="313">
        <v>0</v>
      </c>
      <c r="H77" s="311">
        <f>SUMIFS(M_Datos!$P$38:$P$40,M_Datos!$Q$38:$Q$40,M_Lista!G25,M_Datos!$M$38:$M$40,M_Lista!$J$3)</f>
        <v>0</v>
      </c>
      <c r="I77" s="312">
        <v>0</v>
      </c>
      <c r="J77" s="313">
        <v>0</v>
      </c>
      <c r="K77" s="311">
        <f>SUMIFS(M_Datos!$R$38:$R$40,M_Datos!$S$38:$S$40,M_Lista!G25,M_Datos!$M$38:$M$40,M_Lista!$J$3)</f>
        <v>0</v>
      </c>
      <c r="L77" s="312">
        <v>0</v>
      </c>
      <c r="M77" s="313">
        <v>0</v>
      </c>
      <c r="N77" s="311">
        <f>SUMIFS(M_Datos!$T$38:$T$40,M_Datos!$U$38:$U$40,M_Lista!G25,M_Datos!$M$38:$M$40,M_Lista!$J$3)</f>
        <v>0</v>
      </c>
      <c r="O77" s="312">
        <v>0</v>
      </c>
      <c r="P77" s="313">
        <v>0</v>
      </c>
      <c r="Q77" s="311">
        <f>SUMIFS(M_Datos!$V$38:$V$40,M_Datos!$W$38:$W$40,M_Lista!G25,M_Datos!$M$38:$M$40,M_Lista!$J$3)</f>
        <v>0</v>
      </c>
      <c r="R77" s="312">
        <v>0</v>
      </c>
      <c r="S77" s="313">
        <v>0</v>
      </c>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c r="JH77" s="11"/>
      <c r="JI77" s="11"/>
      <c r="JJ77" s="11"/>
      <c r="JK77" s="11"/>
      <c r="JL77" s="11"/>
      <c r="JM77" s="11"/>
      <c r="JN77" s="11"/>
      <c r="JO77" s="11"/>
      <c r="JP77" s="11"/>
      <c r="JQ77" s="11"/>
      <c r="JR77" s="11"/>
      <c r="JS77" s="11"/>
      <c r="JT77" s="11"/>
      <c r="JU77" s="11"/>
      <c r="JV77" s="11"/>
      <c r="JW77" s="11"/>
      <c r="JX77" s="11"/>
      <c r="JY77" s="11"/>
      <c r="JZ77" s="11"/>
      <c r="KA77" s="11"/>
      <c r="KB77" s="11"/>
      <c r="KC77" s="11"/>
      <c r="KD77" s="11"/>
      <c r="KE77" s="11"/>
      <c r="KF77" s="11"/>
      <c r="KG77" s="11"/>
      <c r="KH77" s="11"/>
      <c r="KI77" s="11"/>
      <c r="KJ77" s="11"/>
      <c r="KK77" s="11"/>
      <c r="KL77" s="11"/>
      <c r="KM77" s="11"/>
      <c r="KN77" s="11"/>
      <c r="KO77" s="11"/>
      <c r="KP77" s="11"/>
      <c r="KQ77" s="11"/>
      <c r="KR77" s="11"/>
      <c r="KS77" s="11"/>
      <c r="KT77" s="11"/>
      <c r="KU77" s="11"/>
      <c r="KV77" s="11"/>
      <c r="KW77" s="11"/>
      <c r="KX77" s="11"/>
      <c r="KY77" s="11"/>
      <c r="KZ77" s="11"/>
      <c r="LA77" s="11"/>
      <c r="LB77" s="11"/>
      <c r="LC77" s="11"/>
      <c r="LD77" s="11"/>
      <c r="LE77" s="11"/>
      <c r="LF77" s="11"/>
      <c r="LG77" s="11"/>
      <c r="LH77" s="11"/>
      <c r="LI77" s="11"/>
      <c r="LJ77" s="11"/>
      <c r="LK77" s="11"/>
      <c r="LL77" s="11"/>
      <c r="LM77" s="11"/>
      <c r="LN77" s="11"/>
      <c r="LO77" s="11"/>
      <c r="LP77" s="11"/>
      <c r="LQ77" s="11"/>
      <c r="LR77" s="11"/>
      <c r="LS77" s="11"/>
      <c r="LT77" s="11"/>
      <c r="LU77" s="11"/>
      <c r="LV77" s="11"/>
      <c r="LW77" s="11"/>
      <c r="LX77" s="11"/>
      <c r="LY77" s="11"/>
      <c r="LZ77" s="11"/>
      <c r="MA77" s="11"/>
      <c r="MB77" s="11"/>
      <c r="MC77" s="11"/>
      <c r="MD77" s="11"/>
      <c r="ME77" s="11"/>
      <c r="MF77" s="11"/>
      <c r="MG77" s="11"/>
      <c r="MH77" s="11"/>
      <c r="MI77" s="11"/>
      <c r="MJ77" s="11"/>
      <c r="MK77" s="11"/>
      <c r="ML77" s="11"/>
      <c r="MM77" s="11"/>
      <c r="MN77" s="11"/>
      <c r="MO77" s="11"/>
      <c r="MP77" s="11"/>
      <c r="MQ77" s="11"/>
      <c r="MR77" s="11"/>
      <c r="MS77" s="11"/>
      <c r="MT77" s="11"/>
      <c r="MU77" s="11"/>
      <c r="MV77" s="11"/>
      <c r="MW77" s="11"/>
      <c r="MX77" s="11"/>
      <c r="MY77" s="11"/>
      <c r="MZ77" s="11"/>
      <c r="NA77" s="11"/>
      <c r="NB77" s="11"/>
      <c r="NC77" s="11"/>
      <c r="ND77" s="11"/>
      <c r="NE77" s="11"/>
      <c r="NF77" s="11"/>
      <c r="NG77" s="11"/>
      <c r="NH77" s="11"/>
      <c r="NI77" s="11"/>
      <c r="NJ77" s="11"/>
      <c r="NK77" s="11"/>
      <c r="NL77" s="11"/>
      <c r="NM77" s="11"/>
      <c r="NN77" s="11"/>
      <c r="NO77" s="11"/>
      <c r="NP77" s="11"/>
      <c r="NQ77" s="11"/>
      <c r="NR77" s="11"/>
      <c r="NS77" s="11"/>
      <c r="NT77" s="11"/>
      <c r="NU77" s="11"/>
      <c r="NV77" s="11"/>
      <c r="NW77" s="11"/>
      <c r="NX77" s="11"/>
      <c r="NY77" s="11"/>
      <c r="NZ77" s="11"/>
      <c r="OA77" s="11"/>
      <c r="OB77" s="11"/>
      <c r="OC77" s="11"/>
      <c r="OD77" s="11"/>
      <c r="OE77" s="11"/>
      <c r="OF77" s="11"/>
      <c r="OG77" s="11"/>
      <c r="OH77" s="11"/>
      <c r="OI77" s="11"/>
      <c r="OJ77" s="11"/>
      <c r="OK77" s="11"/>
      <c r="OL77" s="11"/>
      <c r="OM77" s="11"/>
      <c r="ON77" s="11"/>
      <c r="OO77" s="11"/>
      <c r="OP77" s="11"/>
      <c r="OQ77" s="11"/>
      <c r="OR77" s="11"/>
      <c r="OS77" s="11"/>
      <c r="OT77" s="11"/>
      <c r="OU77" s="11"/>
      <c r="OV77" s="11"/>
      <c r="OW77" s="11"/>
      <c r="OX77" s="11"/>
      <c r="OY77" s="11"/>
      <c r="OZ77" s="11"/>
      <c r="PA77" s="11"/>
      <c r="PB77" s="11"/>
      <c r="PC77" s="11"/>
      <c r="PD77" s="11"/>
      <c r="PE77" s="11"/>
      <c r="PF77" s="11"/>
      <c r="PG77" s="11"/>
      <c r="PH77" s="11"/>
      <c r="PI77" s="11"/>
      <c r="PJ77" s="11"/>
      <c r="PK77" s="11"/>
      <c r="PL77" s="11"/>
      <c r="PM77" s="11"/>
      <c r="PN77" s="11"/>
      <c r="PO77" s="11"/>
      <c r="PP77" s="11"/>
      <c r="PQ77" s="11"/>
      <c r="PR77" s="11"/>
      <c r="PS77" s="11"/>
      <c r="PT77" s="11"/>
      <c r="PU77" s="11"/>
      <c r="PV77" s="11"/>
      <c r="PW77" s="11"/>
      <c r="PX77" s="11"/>
      <c r="PY77" s="11"/>
      <c r="PZ77" s="11"/>
      <c r="QA77" s="11"/>
      <c r="QB77" s="11"/>
      <c r="QC77" s="11"/>
      <c r="QD77" s="11"/>
      <c r="QE77" s="11"/>
      <c r="QF77" s="11"/>
      <c r="QG77" s="11"/>
      <c r="QH77" s="11"/>
      <c r="QI77" s="11"/>
      <c r="QJ77" s="11"/>
      <c r="QK77" s="11"/>
      <c r="QL77" s="11"/>
      <c r="QM77" s="11"/>
      <c r="QN77" s="11"/>
      <c r="QO77" s="11"/>
      <c r="QP77" s="11"/>
      <c r="QQ77" s="11"/>
      <c r="QR77" s="11"/>
      <c r="QS77" s="11"/>
      <c r="QT77" s="11"/>
      <c r="QU77" s="11"/>
      <c r="QV77" s="11"/>
      <c r="QW77" s="11"/>
      <c r="QX77" s="11"/>
      <c r="QY77" s="11"/>
      <c r="QZ77" s="11"/>
      <c r="RA77" s="11"/>
      <c r="RB77" s="11"/>
      <c r="RC77" s="11"/>
      <c r="RD77" s="11"/>
      <c r="RE77" s="11"/>
      <c r="RF77" s="11"/>
      <c r="RG77" s="11"/>
      <c r="RH77" s="11"/>
      <c r="RI77" s="11"/>
      <c r="RJ77" s="11"/>
      <c r="RK77" s="11"/>
      <c r="RL77" s="11"/>
      <c r="RM77" s="11"/>
      <c r="RN77" s="11"/>
      <c r="RO77" s="11"/>
      <c r="RP77" s="11"/>
      <c r="RQ77" s="11"/>
      <c r="RR77" s="11"/>
      <c r="RS77" s="11"/>
      <c r="RT77" s="11"/>
      <c r="RU77" s="11"/>
      <c r="RV77" s="11"/>
      <c r="RW77" s="11"/>
      <c r="RX77" s="11"/>
      <c r="RY77" s="11"/>
      <c r="RZ77" s="11"/>
      <c r="SA77" s="11"/>
      <c r="SB77" s="11"/>
      <c r="SC77" s="11"/>
      <c r="SD77" s="11"/>
      <c r="SE77" s="11"/>
      <c r="SF77" s="11"/>
      <c r="SG77" s="11"/>
      <c r="SH77" s="11"/>
      <c r="SI77" s="11"/>
      <c r="SJ77" s="11"/>
      <c r="SK77" s="11"/>
      <c r="SL77" s="11"/>
      <c r="SM77" s="11"/>
      <c r="SN77" s="11"/>
      <c r="SO77" s="11"/>
      <c r="SP77" s="11"/>
      <c r="SQ77" s="11"/>
      <c r="SR77" s="11"/>
      <c r="SS77" s="11"/>
      <c r="ST77" s="11"/>
      <c r="SU77" s="11"/>
      <c r="SV77" s="11"/>
      <c r="SW77" s="11"/>
      <c r="SX77" s="11"/>
      <c r="SY77" s="11"/>
      <c r="SZ77" s="11"/>
      <c r="TA77" s="11"/>
      <c r="TB77" s="11"/>
      <c r="TC77" s="11"/>
      <c r="TD77" s="11"/>
      <c r="TE77" s="11"/>
      <c r="TF77" s="11"/>
      <c r="TG77" s="11"/>
      <c r="TH77" s="11"/>
      <c r="TI77" s="11"/>
      <c r="TJ77" s="11"/>
      <c r="TK77" s="11"/>
      <c r="TL77" s="11"/>
      <c r="TM77" s="11"/>
      <c r="TN77" s="11"/>
      <c r="TO77" s="11"/>
      <c r="TP77" s="11"/>
      <c r="TQ77" s="11"/>
      <c r="TR77" s="11"/>
      <c r="TS77" s="11"/>
      <c r="TT77" s="11"/>
      <c r="TU77" s="11"/>
      <c r="TV77" s="11"/>
      <c r="TW77" s="11"/>
      <c r="TX77" s="11"/>
      <c r="TY77" s="11"/>
      <c r="TZ77" s="11"/>
      <c r="UA77" s="11"/>
      <c r="UB77" s="11"/>
      <c r="UC77" s="11"/>
      <c r="UD77" s="11"/>
      <c r="UE77" s="11"/>
      <c r="UF77" s="11"/>
      <c r="UG77" s="11"/>
      <c r="UH77" s="11"/>
      <c r="UI77" s="11"/>
      <c r="UJ77" s="11"/>
      <c r="UK77" s="11"/>
      <c r="UL77" s="11"/>
      <c r="UM77" s="11"/>
      <c r="UN77" s="11"/>
      <c r="UO77" s="11"/>
      <c r="UP77" s="11"/>
      <c r="UQ77" s="11"/>
      <c r="UR77" s="11"/>
      <c r="US77" s="11"/>
      <c r="UT77" s="11"/>
      <c r="UU77" s="11"/>
      <c r="UV77" s="11"/>
      <c r="UW77" s="11"/>
      <c r="UX77" s="11"/>
      <c r="UY77" s="11"/>
      <c r="UZ77" s="11"/>
      <c r="VA77" s="11"/>
      <c r="VB77" s="11"/>
      <c r="VC77" s="11"/>
      <c r="VD77" s="11"/>
      <c r="VE77" s="11"/>
      <c r="VF77" s="11"/>
      <c r="VG77" s="11"/>
      <c r="VH77" s="11"/>
      <c r="VI77" s="11"/>
      <c r="VJ77" s="11"/>
      <c r="VK77" s="11"/>
      <c r="VL77" s="11"/>
      <c r="VM77" s="11"/>
      <c r="VN77" s="11"/>
      <c r="VO77" s="11"/>
      <c r="VP77" s="11"/>
      <c r="VQ77" s="11"/>
      <c r="VR77" s="11"/>
      <c r="VS77" s="11"/>
      <c r="VT77" s="11"/>
      <c r="VU77" s="11"/>
      <c r="VV77" s="11"/>
      <c r="VW77" s="11"/>
      <c r="VX77" s="11"/>
      <c r="VY77" s="11"/>
      <c r="VZ77" s="11"/>
      <c r="WA77" s="11"/>
      <c r="WB77" s="11"/>
      <c r="WC77" s="11"/>
      <c r="WD77" s="11"/>
      <c r="WE77" s="11"/>
      <c r="WF77" s="11"/>
      <c r="WG77" s="11"/>
      <c r="WH77" s="11"/>
      <c r="WI77" s="11"/>
      <c r="WJ77" s="11"/>
      <c r="WK77" s="11"/>
      <c r="WL77" s="11"/>
      <c r="WM77" s="11"/>
      <c r="WN77" s="11"/>
      <c r="WO77" s="11"/>
      <c r="WP77" s="11"/>
      <c r="WQ77" s="11"/>
      <c r="WR77" s="11"/>
      <c r="WS77" s="11"/>
      <c r="WT77" s="11"/>
      <c r="WU77" s="11"/>
      <c r="WV77" s="11"/>
      <c r="WW77" s="11"/>
      <c r="WX77" s="11"/>
      <c r="WY77" s="11"/>
      <c r="WZ77" s="11"/>
      <c r="XA77" s="11"/>
      <c r="XB77" s="11"/>
      <c r="XC77" s="11"/>
      <c r="XD77" s="11"/>
      <c r="XE77" s="11"/>
      <c r="XF77" s="11"/>
      <c r="XG77" s="11"/>
      <c r="XH77" s="11"/>
      <c r="XI77" s="11"/>
      <c r="XJ77" s="11"/>
      <c r="XK77" s="11"/>
      <c r="XL77" s="11"/>
      <c r="XM77" s="11"/>
      <c r="XN77" s="11"/>
      <c r="XO77" s="11"/>
      <c r="XP77" s="11"/>
      <c r="XQ77" s="11"/>
      <c r="XR77" s="11"/>
      <c r="XS77" s="11"/>
      <c r="XT77" s="11"/>
      <c r="XU77" s="11"/>
      <c r="XV77" s="11"/>
      <c r="XW77" s="11"/>
      <c r="XX77" s="11"/>
      <c r="XY77" s="11"/>
      <c r="XZ77" s="11"/>
      <c r="YA77" s="11"/>
      <c r="YB77" s="11"/>
      <c r="YC77" s="11"/>
      <c r="YD77" s="11"/>
      <c r="YE77" s="11"/>
      <c r="YF77" s="11"/>
      <c r="YG77" s="11"/>
      <c r="YH77" s="11"/>
      <c r="YI77" s="11"/>
      <c r="YJ77" s="11"/>
      <c r="YK77" s="11"/>
      <c r="YL77" s="11"/>
      <c r="YM77" s="11"/>
      <c r="YN77" s="11"/>
      <c r="YO77" s="11"/>
      <c r="YP77" s="11"/>
      <c r="YQ77" s="11"/>
      <c r="YR77" s="11"/>
      <c r="YS77" s="11"/>
      <c r="YT77" s="11"/>
      <c r="YU77" s="11"/>
      <c r="YV77" s="11"/>
      <c r="YW77" s="11"/>
      <c r="YX77" s="11"/>
      <c r="YY77" s="11"/>
      <c r="YZ77" s="11"/>
      <c r="ZA77" s="11"/>
      <c r="ZB77" s="11"/>
      <c r="ZC77" s="11"/>
      <c r="ZD77" s="11"/>
      <c r="ZE77" s="11"/>
      <c r="ZF77" s="11"/>
      <c r="ZG77" s="11"/>
      <c r="ZH77" s="11"/>
      <c r="ZI77" s="11"/>
      <c r="ZJ77" s="11"/>
      <c r="ZK77" s="11"/>
      <c r="ZL77" s="11"/>
      <c r="ZM77" s="11"/>
      <c r="ZN77" s="11"/>
      <c r="ZO77" s="11"/>
      <c r="ZP77" s="11"/>
      <c r="ZQ77" s="11"/>
      <c r="ZR77" s="11"/>
      <c r="ZS77" s="11"/>
      <c r="ZT77" s="11"/>
      <c r="ZU77" s="11"/>
      <c r="ZV77" s="11"/>
      <c r="ZW77" s="11"/>
      <c r="ZX77" s="11"/>
      <c r="ZY77" s="11"/>
      <c r="ZZ77" s="11"/>
      <c r="AAA77" s="11"/>
      <c r="AAB77" s="11"/>
      <c r="AAC77" s="11"/>
      <c r="AAD77" s="11"/>
      <c r="AAE77" s="11"/>
      <c r="AAF77" s="11"/>
      <c r="AAG77" s="11"/>
      <c r="AAH77" s="11"/>
      <c r="AAI77" s="11"/>
      <c r="AAJ77" s="11"/>
      <c r="AAK77" s="11"/>
      <c r="AAL77" s="11"/>
      <c r="AAM77" s="11"/>
      <c r="AAN77" s="11"/>
      <c r="AAO77" s="11"/>
      <c r="AAP77" s="11"/>
      <c r="AAQ77" s="11"/>
      <c r="AAR77" s="11"/>
      <c r="AAS77" s="11"/>
      <c r="AAT77" s="11"/>
      <c r="AAU77" s="11"/>
      <c r="AAV77" s="11"/>
      <c r="AAW77" s="11"/>
      <c r="AAX77" s="11"/>
      <c r="AAY77" s="11"/>
      <c r="AAZ77" s="11"/>
      <c r="ABA77" s="11"/>
      <c r="ABB77" s="11"/>
      <c r="ABC77" s="11"/>
      <c r="ABD77" s="11"/>
      <c r="ABE77" s="11"/>
      <c r="ABF77" s="11"/>
      <c r="ABG77" s="11"/>
      <c r="ABH77" s="11"/>
      <c r="ABI77" s="11"/>
      <c r="ABJ77" s="11"/>
      <c r="ABK77" s="11"/>
      <c r="ABL77" s="11"/>
      <c r="ABM77" s="11"/>
      <c r="ABN77" s="11"/>
      <c r="ABO77" s="11"/>
      <c r="ABP77" s="11"/>
      <c r="ABQ77" s="11"/>
      <c r="ABR77" s="11"/>
      <c r="ABS77" s="11"/>
      <c r="ABT77" s="11"/>
      <c r="ABU77" s="11"/>
      <c r="ABV77" s="11"/>
      <c r="ABW77" s="11"/>
      <c r="ABX77" s="11"/>
      <c r="ABY77" s="11"/>
      <c r="ABZ77" s="11"/>
      <c r="ACA77" s="11"/>
      <c r="ACB77" s="11"/>
      <c r="ACC77" s="11"/>
      <c r="ACD77" s="11"/>
      <c r="ACE77" s="11"/>
      <c r="ACF77" s="11"/>
      <c r="ACG77" s="11"/>
      <c r="ACH77" s="11"/>
      <c r="ACI77" s="11"/>
      <c r="ACJ77" s="11"/>
      <c r="ACK77" s="11"/>
      <c r="ACL77" s="11"/>
      <c r="ACM77" s="11"/>
      <c r="ACN77" s="11"/>
      <c r="ACO77" s="11"/>
      <c r="ACP77" s="11"/>
      <c r="ACQ77" s="11"/>
      <c r="ACR77" s="11"/>
      <c r="ACS77" s="11"/>
      <c r="ACT77" s="11"/>
      <c r="ACU77" s="11"/>
      <c r="ACV77" s="11"/>
      <c r="ACW77" s="11"/>
      <c r="ACX77" s="11"/>
      <c r="ACY77" s="11"/>
      <c r="ACZ77" s="11"/>
      <c r="ADA77" s="11"/>
      <c r="ADB77" s="11"/>
      <c r="ADC77" s="11"/>
      <c r="ADD77" s="11"/>
      <c r="ADE77" s="11"/>
      <c r="ADF77" s="11"/>
      <c r="ADG77" s="11"/>
      <c r="ADH77" s="11"/>
      <c r="ADI77" s="11"/>
      <c r="ADJ77" s="11"/>
      <c r="ADK77" s="11"/>
      <c r="ADL77" s="11"/>
      <c r="ADM77" s="11"/>
      <c r="ADN77" s="11"/>
      <c r="ADO77" s="11"/>
      <c r="ADP77" s="11"/>
      <c r="ADQ77" s="11"/>
      <c r="ADR77" s="11"/>
      <c r="ADS77" s="11"/>
      <c r="ADT77" s="11"/>
      <c r="ADU77" s="11"/>
      <c r="ADV77" s="11"/>
      <c r="ADW77" s="11"/>
      <c r="ADX77" s="11"/>
      <c r="ADY77" s="11"/>
      <c r="ADZ77" s="11"/>
      <c r="AEA77" s="11"/>
      <c r="AEB77" s="11"/>
      <c r="AEC77" s="11"/>
      <c r="AED77" s="11"/>
      <c r="AEE77" s="11"/>
      <c r="AEF77" s="11"/>
      <c r="AEG77" s="11"/>
      <c r="AEH77" s="11"/>
      <c r="AEI77" s="11"/>
      <c r="AEJ77" s="11"/>
      <c r="AEK77" s="11"/>
      <c r="AEL77" s="11"/>
      <c r="AEM77" s="11"/>
      <c r="AEN77" s="11"/>
      <c r="AEO77" s="11"/>
      <c r="AEP77" s="11"/>
      <c r="AEQ77" s="11"/>
      <c r="AER77" s="11"/>
      <c r="AES77" s="11"/>
      <c r="AET77" s="11"/>
      <c r="AEU77" s="11"/>
      <c r="AEV77" s="11"/>
      <c r="AEW77" s="11"/>
      <c r="AEX77" s="11"/>
      <c r="AEY77" s="11"/>
      <c r="AEZ77" s="11"/>
      <c r="AFA77" s="11"/>
      <c r="AFB77" s="11"/>
      <c r="AFC77" s="11"/>
      <c r="AFD77" s="11"/>
      <c r="AFE77" s="11"/>
      <c r="AFF77" s="11"/>
      <c r="AFG77" s="11"/>
      <c r="AFH77" s="11"/>
      <c r="AFI77" s="11"/>
    </row>
    <row r="78" spans="2:841">
      <c r="B78" s="11"/>
      <c r="C78" s="657"/>
      <c r="D78" s="315" t="s">
        <v>925</v>
      </c>
      <c r="E78" s="316">
        <f t="shared" ref="E78:S78" si="6">SUM(E70:E77)</f>
        <v>0</v>
      </c>
      <c r="F78" s="314" t="e">
        <f t="shared" si="6"/>
        <v>#N/A</v>
      </c>
      <c r="G78" s="317" t="e">
        <f t="shared" si="6"/>
        <v>#N/A</v>
      </c>
      <c r="H78" s="316">
        <f t="shared" si="6"/>
        <v>0</v>
      </c>
      <c r="I78" s="314" t="e">
        <f t="shared" si="6"/>
        <v>#N/A</v>
      </c>
      <c r="J78" s="317" t="e">
        <f t="shared" si="6"/>
        <v>#N/A</v>
      </c>
      <c r="K78" s="316">
        <f t="shared" si="6"/>
        <v>0</v>
      </c>
      <c r="L78" s="314" t="e">
        <f t="shared" si="6"/>
        <v>#N/A</v>
      </c>
      <c r="M78" s="317" t="e">
        <f t="shared" si="6"/>
        <v>#N/A</v>
      </c>
      <c r="N78" s="316">
        <f t="shared" si="6"/>
        <v>0</v>
      </c>
      <c r="O78" s="314" t="e">
        <f t="shared" si="6"/>
        <v>#N/A</v>
      </c>
      <c r="P78" s="317" t="e">
        <f t="shared" si="6"/>
        <v>#N/A</v>
      </c>
      <c r="Q78" s="316">
        <f t="shared" si="6"/>
        <v>0</v>
      </c>
      <c r="R78" s="314" t="e">
        <f t="shared" si="6"/>
        <v>#N/A</v>
      </c>
      <c r="S78" s="317" t="e">
        <f t="shared" si="6"/>
        <v>#N/A</v>
      </c>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c r="JH78" s="11"/>
      <c r="JI78" s="11"/>
      <c r="JJ78" s="11"/>
      <c r="JK78" s="11"/>
      <c r="JL78" s="11"/>
      <c r="JM78" s="11"/>
      <c r="JN78" s="11"/>
      <c r="JO78" s="11"/>
      <c r="JP78" s="11"/>
      <c r="JQ78" s="11"/>
      <c r="JR78" s="11"/>
      <c r="JS78" s="11"/>
      <c r="JT78" s="11"/>
      <c r="JU78" s="11"/>
      <c r="JV78" s="11"/>
      <c r="JW78" s="11"/>
      <c r="JX78" s="11"/>
      <c r="JY78" s="11"/>
      <c r="JZ78" s="11"/>
      <c r="KA78" s="11"/>
      <c r="KB78" s="11"/>
      <c r="KC78" s="11"/>
      <c r="KD78" s="11"/>
      <c r="KE78" s="11"/>
      <c r="KF78" s="11"/>
      <c r="KG78" s="11"/>
      <c r="KH78" s="11"/>
      <c r="KI78" s="11"/>
      <c r="KJ78" s="11"/>
      <c r="KK78" s="11"/>
      <c r="KL78" s="11"/>
      <c r="KM78" s="11"/>
      <c r="KN78" s="11"/>
      <c r="KO78" s="11"/>
      <c r="KP78" s="11"/>
      <c r="KQ78" s="11"/>
      <c r="KR78" s="11"/>
      <c r="KS78" s="11"/>
      <c r="KT78" s="11"/>
      <c r="KU78" s="11"/>
      <c r="KV78" s="11"/>
      <c r="KW78" s="11"/>
      <c r="KX78" s="11"/>
      <c r="KY78" s="11"/>
      <c r="KZ78" s="11"/>
      <c r="LA78" s="11"/>
      <c r="LB78" s="11"/>
      <c r="LC78" s="11"/>
      <c r="LD78" s="11"/>
      <c r="LE78" s="11"/>
      <c r="LF78" s="11"/>
      <c r="LG78" s="11"/>
      <c r="LH78" s="11"/>
      <c r="LI78" s="11"/>
      <c r="LJ78" s="11"/>
      <c r="LK78" s="11"/>
      <c r="LL78" s="11"/>
      <c r="LM78" s="11"/>
      <c r="LN78" s="11"/>
      <c r="LO78" s="11"/>
      <c r="LP78" s="11"/>
      <c r="LQ78" s="11"/>
      <c r="LR78" s="11"/>
      <c r="LS78" s="11"/>
      <c r="LT78" s="11"/>
      <c r="LU78" s="11"/>
      <c r="LV78" s="11"/>
      <c r="LW78" s="11"/>
      <c r="LX78" s="11"/>
      <c r="LY78" s="11"/>
      <c r="LZ78" s="11"/>
      <c r="MA78" s="11"/>
      <c r="MB78" s="11"/>
      <c r="MC78" s="11"/>
      <c r="MD78" s="11"/>
      <c r="ME78" s="11"/>
      <c r="MF78" s="11"/>
      <c r="MG78" s="11"/>
      <c r="MH78" s="11"/>
      <c r="MI78" s="11"/>
      <c r="MJ78" s="11"/>
      <c r="MK78" s="11"/>
      <c r="ML78" s="11"/>
      <c r="MM78" s="11"/>
      <c r="MN78" s="11"/>
      <c r="MO78" s="11"/>
      <c r="MP78" s="11"/>
      <c r="MQ78" s="11"/>
      <c r="MR78" s="11"/>
      <c r="MS78" s="11"/>
      <c r="MT78" s="11"/>
      <c r="MU78" s="11"/>
      <c r="MV78" s="11"/>
      <c r="MW78" s="11"/>
      <c r="MX78" s="11"/>
      <c r="MY78" s="11"/>
      <c r="MZ78" s="11"/>
      <c r="NA78" s="11"/>
      <c r="NB78" s="11"/>
      <c r="NC78" s="11"/>
      <c r="ND78" s="11"/>
      <c r="NE78" s="11"/>
      <c r="NF78" s="11"/>
      <c r="NG78" s="11"/>
      <c r="NH78" s="11"/>
      <c r="NI78" s="11"/>
      <c r="NJ78" s="11"/>
      <c r="NK78" s="11"/>
      <c r="NL78" s="11"/>
      <c r="NM78" s="11"/>
      <c r="NN78" s="11"/>
      <c r="NO78" s="11"/>
      <c r="NP78" s="11"/>
      <c r="NQ78" s="11"/>
      <c r="NR78" s="11"/>
      <c r="NS78" s="11"/>
      <c r="NT78" s="11"/>
      <c r="NU78" s="11"/>
      <c r="NV78" s="11"/>
      <c r="NW78" s="11"/>
      <c r="NX78" s="11"/>
      <c r="NY78" s="11"/>
      <c r="NZ78" s="11"/>
      <c r="OA78" s="11"/>
      <c r="OB78" s="11"/>
      <c r="OC78" s="11"/>
      <c r="OD78" s="11"/>
      <c r="OE78" s="11"/>
      <c r="OF78" s="11"/>
      <c r="OG78" s="11"/>
      <c r="OH78" s="11"/>
      <c r="OI78" s="11"/>
      <c r="OJ78" s="11"/>
      <c r="OK78" s="11"/>
      <c r="OL78" s="11"/>
      <c r="OM78" s="11"/>
      <c r="ON78" s="11"/>
      <c r="OO78" s="11"/>
      <c r="OP78" s="11"/>
      <c r="OQ78" s="11"/>
      <c r="OR78" s="11"/>
      <c r="OS78" s="11"/>
      <c r="OT78" s="11"/>
      <c r="OU78" s="11"/>
      <c r="OV78" s="11"/>
      <c r="OW78" s="11"/>
      <c r="OX78" s="11"/>
      <c r="OY78" s="11"/>
      <c r="OZ78" s="11"/>
      <c r="PA78" s="11"/>
      <c r="PB78" s="11"/>
      <c r="PC78" s="11"/>
      <c r="PD78" s="11"/>
      <c r="PE78" s="11"/>
      <c r="PF78" s="11"/>
      <c r="PG78" s="11"/>
      <c r="PH78" s="11"/>
      <c r="PI78" s="11"/>
      <c r="PJ78" s="11"/>
      <c r="PK78" s="11"/>
      <c r="PL78" s="11"/>
      <c r="PM78" s="11"/>
      <c r="PN78" s="11"/>
      <c r="PO78" s="11"/>
      <c r="PP78" s="11"/>
      <c r="PQ78" s="11"/>
      <c r="PR78" s="11"/>
      <c r="PS78" s="11"/>
      <c r="PT78" s="11"/>
      <c r="PU78" s="11"/>
      <c r="PV78" s="11"/>
      <c r="PW78" s="11"/>
      <c r="PX78" s="11"/>
      <c r="PY78" s="11"/>
      <c r="PZ78" s="11"/>
      <c r="QA78" s="11"/>
      <c r="QB78" s="11"/>
      <c r="QC78" s="11"/>
      <c r="QD78" s="11"/>
      <c r="QE78" s="11"/>
      <c r="QF78" s="11"/>
      <c r="QG78" s="11"/>
      <c r="QH78" s="11"/>
      <c r="QI78" s="11"/>
      <c r="QJ78" s="11"/>
      <c r="QK78" s="11"/>
      <c r="QL78" s="11"/>
      <c r="QM78" s="11"/>
      <c r="QN78" s="11"/>
      <c r="QO78" s="11"/>
      <c r="QP78" s="11"/>
      <c r="QQ78" s="11"/>
      <c r="QR78" s="11"/>
      <c r="QS78" s="11"/>
      <c r="QT78" s="11"/>
      <c r="QU78" s="11"/>
      <c r="QV78" s="11"/>
      <c r="QW78" s="11"/>
      <c r="QX78" s="11"/>
      <c r="QY78" s="11"/>
      <c r="QZ78" s="11"/>
      <c r="RA78" s="11"/>
      <c r="RB78" s="11"/>
      <c r="RC78" s="11"/>
      <c r="RD78" s="11"/>
      <c r="RE78" s="11"/>
      <c r="RF78" s="11"/>
      <c r="RG78" s="11"/>
      <c r="RH78" s="11"/>
      <c r="RI78" s="11"/>
      <c r="RJ78" s="11"/>
      <c r="RK78" s="11"/>
      <c r="RL78" s="11"/>
      <c r="RM78" s="11"/>
      <c r="RN78" s="11"/>
      <c r="RO78" s="11"/>
      <c r="RP78" s="11"/>
      <c r="RQ78" s="11"/>
      <c r="RR78" s="11"/>
      <c r="RS78" s="11"/>
      <c r="RT78" s="11"/>
      <c r="RU78" s="11"/>
      <c r="RV78" s="11"/>
      <c r="RW78" s="11"/>
      <c r="RX78" s="11"/>
      <c r="RY78" s="11"/>
      <c r="RZ78" s="11"/>
      <c r="SA78" s="11"/>
      <c r="SB78" s="11"/>
      <c r="SC78" s="11"/>
      <c r="SD78" s="11"/>
      <c r="SE78" s="11"/>
      <c r="SF78" s="11"/>
      <c r="SG78" s="11"/>
      <c r="SH78" s="11"/>
      <c r="SI78" s="11"/>
      <c r="SJ78" s="11"/>
      <c r="SK78" s="11"/>
      <c r="SL78" s="11"/>
      <c r="SM78" s="11"/>
      <c r="SN78" s="11"/>
      <c r="SO78" s="11"/>
      <c r="SP78" s="11"/>
      <c r="SQ78" s="11"/>
      <c r="SR78" s="11"/>
      <c r="SS78" s="11"/>
      <c r="ST78" s="11"/>
      <c r="SU78" s="11"/>
      <c r="SV78" s="11"/>
      <c r="SW78" s="11"/>
      <c r="SX78" s="11"/>
      <c r="SY78" s="11"/>
      <c r="SZ78" s="11"/>
      <c r="TA78" s="11"/>
      <c r="TB78" s="11"/>
      <c r="TC78" s="11"/>
      <c r="TD78" s="11"/>
      <c r="TE78" s="11"/>
      <c r="TF78" s="11"/>
      <c r="TG78" s="11"/>
      <c r="TH78" s="11"/>
      <c r="TI78" s="11"/>
      <c r="TJ78" s="11"/>
      <c r="TK78" s="11"/>
      <c r="TL78" s="11"/>
      <c r="TM78" s="11"/>
      <c r="TN78" s="11"/>
      <c r="TO78" s="11"/>
      <c r="TP78" s="11"/>
      <c r="TQ78" s="11"/>
      <c r="TR78" s="11"/>
      <c r="TS78" s="11"/>
      <c r="TT78" s="11"/>
      <c r="TU78" s="11"/>
      <c r="TV78" s="11"/>
      <c r="TW78" s="11"/>
      <c r="TX78" s="11"/>
      <c r="TY78" s="11"/>
      <c r="TZ78" s="11"/>
      <c r="UA78" s="11"/>
      <c r="UB78" s="11"/>
      <c r="UC78" s="11"/>
      <c r="UD78" s="11"/>
      <c r="UE78" s="11"/>
      <c r="UF78" s="11"/>
      <c r="UG78" s="11"/>
      <c r="UH78" s="11"/>
      <c r="UI78" s="11"/>
      <c r="UJ78" s="11"/>
      <c r="UK78" s="11"/>
      <c r="UL78" s="11"/>
      <c r="UM78" s="11"/>
      <c r="UN78" s="11"/>
      <c r="UO78" s="11"/>
      <c r="UP78" s="11"/>
      <c r="UQ78" s="11"/>
      <c r="UR78" s="11"/>
      <c r="US78" s="11"/>
      <c r="UT78" s="11"/>
      <c r="UU78" s="11"/>
      <c r="UV78" s="11"/>
      <c r="UW78" s="11"/>
      <c r="UX78" s="11"/>
      <c r="UY78" s="11"/>
      <c r="UZ78" s="11"/>
      <c r="VA78" s="11"/>
      <c r="VB78" s="11"/>
      <c r="VC78" s="11"/>
      <c r="VD78" s="11"/>
      <c r="VE78" s="11"/>
      <c r="VF78" s="11"/>
      <c r="VG78" s="11"/>
      <c r="VH78" s="11"/>
      <c r="VI78" s="11"/>
      <c r="VJ78" s="11"/>
      <c r="VK78" s="11"/>
      <c r="VL78" s="11"/>
      <c r="VM78" s="11"/>
      <c r="VN78" s="11"/>
      <c r="VO78" s="11"/>
      <c r="VP78" s="11"/>
      <c r="VQ78" s="11"/>
      <c r="VR78" s="11"/>
      <c r="VS78" s="11"/>
      <c r="VT78" s="11"/>
      <c r="VU78" s="11"/>
      <c r="VV78" s="11"/>
      <c r="VW78" s="11"/>
      <c r="VX78" s="11"/>
      <c r="VY78" s="11"/>
      <c r="VZ78" s="11"/>
      <c r="WA78" s="11"/>
      <c r="WB78" s="11"/>
      <c r="WC78" s="11"/>
      <c r="WD78" s="11"/>
      <c r="WE78" s="11"/>
      <c r="WF78" s="11"/>
      <c r="WG78" s="11"/>
      <c r="WH78" s="11"/>
      <c r="WI78" s="11"/>
      <c r="WJ78" s="11"/>
      <c r="WK78" s="11"/>
      <c r="WL78" s="11"/>
      <c r="WM78" s="11"/>
      <c r="WN78" s="11"/>
      <c r="WO78" s="11"/>
      <c r="WP78" s="11"/>
      <c r="WQ78" s="11"/>
      <c r="WR78" s="11"/>
      <c r="WS78" s="11"/>
      <c r="WT78" s="11"/>
      <c r="WU78" s="11"/>
      <c r="WV78" s="11"/>
      <c r="WW78" s="11"/>
      <c r="WX78" s="11"/>
      <c r="WY78" s="11"/>
      <c r="WZ78" s="11"/>
      <c r="XA78" s="11"/>
      <c r="XB78" s="11"/>
      <c r="XC78" s="11"/>
      <c r="XD78" s="11"/>
      <c r="XE78" s="11"/>
      <c r="XF78" s="11"/>
      <c r="XG78" s="11"/>
      <c r="XH78" s="11"/>
      <c r="XI78" s="11"/>
      <c r="XJ78" s="11"/>
      <c r="XK78" s="11"/>
      <c r="XL78" s="11"/>
      <c r="XM78" s="11"/>
      <c r="XN78" s="11"/>
      <c r="XO78" s="11"/>
      <c r="XP78" s="11"/>
      <c r="XQ78" s="11"/>
      <c r="XR78" s="11"/>
      <c r="XS78" s="11"/>
      <c r="XT78" s="11"/>
      <c r="XU78" s="11"/>
      <c r="XV78" s="11"/>
      <c r="XW78" s="11"/>
      <c r="XX78" s="11"/>
      <c r="XY78" s="11"/>
      <c r="XZ78" s="11"/>
      <c r="YA78" s="11"/>
      <c r="YB78" s="11"/>
      <c r="YC78" s="11"/>
      <c r="YD78" s="11"/>
      <c r="YE78" s="11"/>
      <c r="YF78" s="11"/>
      <c r="YG78" s="11"/>
      <c r="YH78" s="11"/>
      <c r="YI78" s="11"/>
      <c r="YJ78" s="11"/>
      <c r="YK78" s="11"/>
      <c r="YL78" s="11"/>
      <c r="YM78" s="11"/>
      <c r="YN78" s="11"/>
      <c r="YO78" s="11"/>
      <c r="YP78" s="11"/>
      <c r="YQ78" s="11"/>
      <c r="YR78" s="11"/>
      <c r="YS78" s="11"/>
      <c r="YT78" s="11"/>
      <c r="YU78" s="11"/>
      <c r="YV78" s="11"/>
      <c r="YW78" s="11"/>
      <c r="YX78" s="11"/>
      <c r="YY78" s="11"/>
      <c r="YZ78" s="11"/>
      <c r="ZA78" s="11"/>
      <c r="ZB78" s="11"/>
      <c r="ZC78" s="11"/>
      <c r="ZD78" s="11"/>
      <c r="ZE78" s="11"/>
      <c r="ZF78" s="11"/>
      <c r="ZG78" s="11"/>
      <c r="ZH78" s="11"/>
      <c r="ZI78" s="11"/>
      <c r="ZJ78" s="11"/>
      <c r="ZK78" s="11"/>
      <c r="ZL78" s="11"/>
      <c r="ZM78" s="11"/>
      <c r="ZN78" s="11"/>
      <c r="ZO78" s="11"/>
      <c r="ZP78" s="11"/>
      <c r="ZQ78" s="11"/>
      <c r="ZR78" s="11"/>
      <c r="ZS78" s="11"/>
      <c r="ZT78" s="11"/>
      <c r="ZU78" s="11"/>
      <c r="ZV78" s="11"/>
      <c r="ZW78" s="11"/>
      <c r="ZX78" s="11"/>
      <c r="ZY78" s="11"/>
      <c r="ZZ78" s="11"/>
      <c r="AAA78" s="11"/>
      <c r="AAB78" s="11"/>
      <c r="AAC78" s="11"/>
      <c r="AAD78" s="11"/>
      <c r="AAE78" s="11"/>
      <c r="AAF78" s="11"/>
      <c r="AAG78" s="11"/>
      <c r="AAH78" s="11"/>
      <c r="AAI78" s="11"/>
      <c r="AAJ78" s="11"/>
      <c r="AAK78" s="11"/>
      <c r="AAL78" s="11"/>
      <c r="AAM78" s="11"/>
      <c r="AAN78" s="11"/>
      <c r="AAO78" s="11"/>
      <c r="AAP78" s="11"/>
      <c r="AAQ78" s="11"/>
      <c r="AAR78" s="11"/>
      <c r="AAS78" s="11"/>
      <c r="AAT78" s="11"/>
      <c r="AAU78" s="11"/>
      <c r="AAV78" s="11"/>
      <c r="AAW78" s="11"/>
      <c r="AAX78" s="11"/>
      <c r="AAY78" s="11"/>
      <c r="AAZ78" s="11"/>
      <c r="ABA78" s="11"/>
      <c r="ABB78" s="11"/>
      <c r="ABC78" s="11"/>
      <c r="ABD78" s="11"/>
      <c r="ABE78" s="11"/>
      <c r="ABF78" s="11"/>
      <c r="ABG78" s="11"/>
      <c r="ABH78" s="11"/>
      <c r="ABI78" s="11"/>
      <c r="ABJ78" s="11"/>
      <c r="ABK78" s="11"/>
      <c r="ABL78" s="11"/>
      <c r="ABM78" s="11"/>
      <c r="ABN78" s="11"/>
      <c r="ABO78" s="11"/>
      <c r="ABP78" s="11"/>
      <c r="ABQ78" s="11"/>
      <c r="ABR78" s="11"/>
      <c r="ABS78" s="11"/>
      <c r="ABT78" s="11"/>
      <c r="ABU78" s="11"/>
      <c r="ABV78" s="11"/>
      <c r="ABW78" s="11"/>
      <c r="ABX78" s="11"/>
      <c r="ABY78" s="11"/>
      <c r="ABZ78" s="11"/>
      <c r="ACA78" s="11"/>
      <c r="ACB78" s="11"/>
      <c r="ACC78" s="11"/>
      <c r="ACD78" s="11"/>
      <c r="ACE78" s="11"/>
      <c r="ACF78" s="11"/>
      <c r="ACG78" s="11"/>
      <c r="ACH78" s="11"/>
      <c r="ACI78" s="11"/>
      <c r="ACJ78" s="11"/>
      <c r="ACK78" s="11"/>
      <c r="ACL78" s="11"/>
      <c r="ACM78" s="11"/>
      <c r="ACN78" s="11"/>
      <c r="ACO78" s="11"/>
      <c r="ACP78" s="11"/>
      <c r="ACQ78" s="11"/>
      <c r="ACR78" s="11"/>
      <c r="ACS78" s="11"/>
      <c r="ACT78" s="11"/>
      <c r="ACU78" s="11"/>
      <c r="ACV78" s="11"/>
      <c r="ACW78" s="11"/>
      <c r="ACX78" s="11"/>
      <c r="ACY78" s="11"/>
      <c r="ACZ78" s="11"/>
      <c r="ADA78" s="11"/>
      <c r="ADB78" s="11"/>
      <c r="ADC78" s="11"/>
      <c r="ADD78" s="11"/>
      <c r="ADE78" s="11"/>
      <c r="ADF78" s="11"/>
      <c r="ADG78" s="11"/>
      <c r="ADH78" s="11"/>
      <c r="ADI78" s="11"/>
      <c r="ADJ78" s="11"/>
      <c r="ADK78" s="11"/>
      <c r="ADL78" s="11"/>
      <c r="ADM78" s="11"/>
      <c r="ADN78" s="11"/>
      <c r="ADO78" s="11"/>
      <c r="ADP78" s="11"/>
      <c r="ADQ78" s="11"/>
      <c r="ADR78" s="11"/>
      <c r="ADS78" s="11"/>
      <c r="ADT78" s="11"/>
      <c r="ADU78" s="11"/>
      <c r="ADV78" s="11"/>
      <c r="ADW78" s="11"/>
      <c r="ADX78" s="11"/>
      <c r="ADY78" s="11"/>
      <c r="ADZ78" s="11"/>
      <c r="AEA78" s="11"/>
      <c r="AEB78" s="11"/>
      <c r="AEC78" s="11"/>
      <c r="AED78" s="11"/>
      <c r="AEE78" s="11"/>
      <c r="AEF78" s="11"/>
      <c r="AEG78" s="11"/>
      <c r="AEH78" s="11"/>
      <c r="AEI78" s="11"/>
      <c r="AEJ78" s="11"/>
      <c r="AEK78" s="11"/>
      <c r="AEL78" s="11"/>
      <c r="AEM78" s="11"/>
      <c r="AEN78" s="11"/>
      <c r="AEO78" s="11"/>
      <c r="AEP78" s="11"/>
      <c r="AEQ78" s="11"/>
      <c r="AER78" s="11"/>
      <c r="AES78" s="11"/>
      <c r="AET78" s="11"/>
      <c r="AEU78" s="11"/>
      <c r="AEV78" s="11"/>
      <c r="AEW78" s="11"/>
      <c r="AEX78" s="11"/>
      <c r="AEY78" s="11"/>
      <c r="AEZ78" s="11"/>
      <c r="AFA78" s="11"/>
      <c r="AFB78" s="11"/>
      <c r="AFC78" s="11"/>
      <c r="AFD78" s="11"/>
      <c r="AFE78" s="11"/>
      <c r="AFF78" s="11"/>
      <c r="AFG78" s="11"/>
      <c r="AFH78" s="11"/>
      <c r="AFI78" s="11"/>
    </row>
    <row r="79" spans="2:841">
      <c r="B79" s="11"/>
      <c r="C79" s="657" t="str">
        <f>M_Datos!L41</f>
        <v>Sanitario</v>
      </c>
      <c r="D79" s="289" t="s">
        <v>622</v>
      </c>
      <c r="E79" s="503" t="s">
        <v>623</v>
      </c>
      <c r="F79" s="503" t="s">
        <v>919</v>
      </c>
      <c r="G79" s="503" t="s">
        <v>624</v>
      </c>
      <c r="H79" s="503" t="s">
        <v>623</v>
      </c>
      <c r="I79" s="503" t="s">
        <v>919</v>
      </c>
      <c r="J79" s="503" t="s">
        <v>624</v>
      </c>
      <c r="K79" s="503" t="s">
        <v>623</v>
      </c>
      <c r="L79" s="503" t="s">
        <v>919</v>
      </c>
      <c r="M79" s="503" t="s">
        <v>624</v>
      </c>
      <c r="N79" s="503" t="s">
        <v>623</v>
      </c>
      <c r="O79" s="503" t="s">
        <v>919</v>
      </c>
      <c r="P79" s="503" t="s">
        <v>624</v>
      </c>
      <c r="Q79" s="503" t="s">
        <v>623</v>
      </c>
      <c r="R79" s="503" t="s">
        <v>919</v>
      </c>
      <c r="S79" s="503" t="s">
        <v>624</v>
      </c>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c r="PU79" s="11"/>
      <c r="PV79" s="11"/>
      <c r="PW79" s="11"/>
      <c r="PX79" s="11"/>
      <c r="PY79" s="11"/>
      <c r="PZ79" s="11"/>
      <c r="QA79" s="11"/>
      <c r="QB79" s="11"/>
      <c r="QC79" s="11"/>
      <c r="QD79" s="11"/>
      <c r="QE79" s="11"/>
      <c r="QF79" s="11"/>
      <c r="QG79" s="11"/>
      <c r="QH79" s="11"/>
      <c r="QI79" s="11"/>
      <c r="QJ79" s="11"/>
      <c r="QK79" s="11"/>
      <c r="QL79" s="11"/>
      <c r="QM79" s="11"/>
      <c r="QN79" s="11"/>
      <c r="QO79" s="11"/>
      <c r="QP79" s="11"/>
      <c r="QQ79" s="11"/>
      <c r="QR79" s="11"/>
      <c r="QS79" s="11"/>
      <c r="QT79" s="11"/>
      <c r="QU79" s="11"/>
      <c r="QV79" s="11"/>
      <c r="QW79" s="11"/>
      <c r="QX79" s="11"/>
      <c r="QY79" s="11"/>
      <c r="QZ79" s="11"/>
      <c r="RA79" s="11"/>
      <c r="RB79" s="11"/>
      <c r="RC79" s="11"/>
      <c r="RD79" s="11"/>
      <c r="RE79" s="11"/>
      <c r="RF79" s="11"/>
      <c r="RG79" s="11"/>
      <c r="RH79" s="11"/>
      <c r="RI79" s="11"/>
      <c r="RJ79" s="11"/>
      <c r="RK79" s="11"/>
      <c r="RL79" s="11"/>
      <c r="RM79" s="11"/>
      <c r="RN79" s="11"/>
      <c r="RO79" s="11"/>
      <c r="RP79" s="11"/>
      <c r="RQ79" s="11"/>
      <c r="RR79" s="11"/>
      <c r="RS79" s="11"/>
      <c r="RT79" s="11"/>
      <c r="RU79" s="11"/>
      <c r="RV79" s="11"/>
      <c r="RW79" s="11"/>
      <c r="RX79" s="11"/>
      <c r="RY79" s="11"/>
      <c r="RZ79" s="11"/>
      <c r="SA79" s="11"/>
      <c r="SB79" s="11"/>
      <c r="SC79" s="11"/>
      <c r="SD79" s="11"/>
      <c r="SE79" s="11"/>
      <c r="SF79" s="11"/>
      <c r="SG79" s="11"/>
      <c r="SH79" s="11"/>
      <c r="SI79" s="11"/>
      <c r="SJ79" s="11"/>
      <c r="SK79" s="11"/>
      <c r="SL79" s="11"/>
      <c r="SM79" s="11"/>
      <c r="SN79" s="11"/>
      <c r="SO79" s="11"/>
      <c r="SP79" s="11"/>
      <c r="SQ79" s="11"/>
      <c r="SR79" s="11"/>
      <c r="SS79" s="11"/>
      <c r="ST79" s="11"/>
      <c r="SU79" s="11"/>
      <c r="SV79" s="11"/>
      <c r="SW79" s="11"/>
      <c r="SX79" s="11"/>
      <c r="SY79" s="11"/>
      <c r="SZ79" s="11"/>
      <c r="TA79" s="11"/>
      <c r="TB79" s="11"/>
      <c r="TC79" s="11"/>
      <c r="TD79" s="11"/>
      <c r="TE79" s="11"/>
      <c r="TF79" s="11"/>
      <c r="TG79" s="11"/>
      <c r="TH79" s="11"/>
      <c r="TI79" s="11"/>
      <c r="TJ79" s="11"/>
      <c r="TK79" s="11"/>
      <c r="TL79" s="11"/>
      <c r="TM79" s="11"/>
      <c r="TN79" s="11"/>
      <c r="TO79" s="11"/>
      <c r="TP79" s="11"/>
      <c r="TQ79" s="11"/>
      <c r="TR79" s="11"/>
      <c r="TS79" s="11"/>
      <c r="TT79" s="11"/>
      <c r="TU79" s="11"/>
      <c r="TV79" s="11"/>
      <c r="TW79" s="11"/>
      <c r="TX79" s="11"/>
      <c r="TY79" s="11"/>
      <c r="TZ79" s="11"/>
      <c r="UA79" s="11"/>
      <c r="UB79" s="11"/>
      <c r="UC79" s="11"/>
      <c r="UD79" s="11"/>
      <c r="UE79" s="11"/>
      <c r="UF79" s="11"/>
      <c r="UG79" s="11"/>
      <c r="UH79" s="11"/>
      <c r="UI79" s="11"/>
      <c r="UJ79" s="11"/>
      <c r="UK79" s="11"/>
      <c r="UL79" s="11"/>
      <c r="UM79" s="11"/>
      <c r="UN79" s="11"/>
      <c r="UO79" s="11"/>
      <c r="UP79" s="11"/>
      <c r="UQ79" s="11"/>
      <c r="UR79" s="11"/>
      <c r="US79" s="11"/>
      <c r="UT79" s="11"/>
      <c r="UU79" s="11"/>
      <c r="UV79" s="11"/>
      <c r="UW79" s="11"/>
      <c r="UX79" s="11"/>
      <c r="UY79" s="11"/>
      <c r="UZ79" s="11"/>
      <c r="VA79" s="11"/>
      <c r="VB79" s="11"/>
      <c r="VC79" s="11"/>
      <c r="VD79" s="11"/>
      <c r="VE79" s="11"/>
      <c r="VF79" s="11"/>
      <c r="VG79" s="11"/>
      <c r="VH79" s="11"/>
      <c r="VI79" s="11"/>
      <c r="VJ79" s="11"/>
      <c r="VK79" s="11"/>
      <c r="VL79" s="11"/>
      <c r="VM79" s="11"/>
      <c r="VN79" s="11"/>
      <c r="VO79" s="11"/>
      <c r="VP79" s="11"/>
      <c r="VQ79" s="11"/>
      <c r="VR79" s="11"/>
      <c r="VS79" s="11"/>
      <c r="VT79" s="11"/>
      <c r="VU79" s="11"/>
      <c r="VV79" s="11"/>
      <c r="VW79" s="11"/>
      <c r="VX79" s="11"/>
      <c r="VY79" s="11"/>
      <c r="VZ79" s="11"/>
      <c r="WA79" s="11"/>
      <c r="WB79" s="11"/>
      <c r="WC79" s="11"/>
      <c r="WD79" s="11"/>
      <c r="WE79" s="11"/>
      <c r="WF79" s="11"/>
      <c r="WG79" s="11"/>
      <c r="WH79" s="11"/>
      <c r="WI79" s="11"/>
      <c r="WJ79" s="11"/>
      <c r="WK79" s="11"/>
      <c r="WL79" s="11"/>
      <c r="WM79" s="11"/>
      <c r="WN79" s="11"/>
      <c r="WO79" s="11"/>
      <c r="WP79" s="11"/>
      <c r="WQ79" s="11"/>
      <c r="WR79" s="11"/>
      <c r="WS79" s="11"/>
      <c r="WT79" s="11"/>
      <c r="WU79" s="11"/>
      <c r="WV79" s="11"/>
      <c r="WW79" s="11"/>
      <c r="WX79" s="11"/>
      <c r="WY79" s="11"/>
      <c r="WZ79" s="11"/>
      <c r="XA79" s="11"/>
      <c r="XB79" s="11"/>
      <c r="XC79" s="11"/>
      <c r="XD79" s="11"/>
      <c r="XE79" s="11"/>
      <c r="XF79" s="11"/>
      <c r="XG79" s="11"/>
      <c r="XH79" s="11"/>
      <c r="XI79" s="11"/>
      <c r="XJ79" s="11"/>
      <c r="XK79" s="11"/>
      <c r="XL79" s="11"/>
      <c r="XM79" s="11"/>
      <c r="XN79" s="11"/>
      <c r="XO79" s="11"/>
      <c r="XP79" s="11"/>
      <c r="XQ79" s="11"/>
      <c r="XR79" s="11"/>
      <c r="XS79" s="11"/>
      <c r="XT79" s="11"/>
      <c r="XU79" s="11"/>
      <c r="XV79" s="11"/>
      <c r="XW79" s="11"/>
      <c r="XX79" s="11"/>
      <c r="XY79" s="11"/>
      <c r="XZ79" s="11"/>
      <c r="YA79" s="11"/>
      <c r="YB79" s="11"/>
      <c r="YC79" s="11"/>
      <c r="YD79" s="11"/>
      <c r="YE79" s="11"/>
      <c r="YF79" s="11"/>
      <c r="YG79" s="11"/>
      <c r="YH79" s="11"/>
      <c r="YI79" s="11"/>
      <c r="YJ79" s="11"/>
      <c r="YK79" s="11"/>
      <c r="YL79" s="11"/>
      <c r="YM79" s="11"/>
      <c r="YN79" s="11"/>
      <c r="YO79" s="11"/>
      <c r="YP79" s="11"/>
      <c r="YQ79" s="11"/>
      <c r="YR79" s="11"/>
      <c r="YS79" s="11"/>
      <c r="YT79" s="11"/>
      <c r="YU79" s="11"/>
      <c r="YV79" s="11"/>
      <c r="YW79" s="11"/>
      <c r="YX79" s="11"/>
      <c r="YY79" s="11"/>
      <c r="YZ79" s="11"/>
      <c r="ZA79" s="11"/>
      <c r="ZB79" s="11"/>
      <c r="ZC79" s="11"/>
      <c r="ZD79" s="11"/>
      <c r="ZE79" s="11"/>
      <c r="ZF79" s="11"/>
      <c r="ZG79" s="11"/>
      <c r="ZH79" s="11"/>
      <c r="ZI79" s="11"/>
      <c r="ZJ79" s="11"/>
      <c r="ZK79" s="11"/>
      <c r="ZL79" s="11"/>
      <c r="ZM79" s="11"/>
      <c r="ZN79" s="11"/>
      <c r="ZO79" s="11"/>
      <c r="ZP79" s="11"/>
      <c r="ZQ79" s="11"/>
      <c r="ZR79" s="11"/>
      <c r="ZS79" s="11"/>
      <c r="ZT79" s="11"/>
      <c r="ZU79" s="11"/>
      <c r="ZV79" s="11"/>
      <c r="ZW79" s="11"/>
      <c r="ZX79" s="11"/>
      <c r="ZY79" s="11"/>
      <c r="ZZ79" s="11"/>
      <c r="AAA79" s="11"/>
      <c r="AAB79" s="11"/>
      <c r="AAC79" s="11"/>
      <c r="AAD79" s="11"/>
      <c r="AAE79" s="11"/>
      <c r="AAF79" s="11"/>
      <c r="AAG79" s="11"/>
      <c r="AAH79" s="11"/>
      <c r="AAI79" s="11"/>
      <c r="AAJ79" s="11"/>
      <c r="AAK79" s="11"/>
      <c r="AAL79" s="11"/>
      <c r="AAM79" s="11"/>
      <c r="AAN79" s="11"/>
      <c r="AAO79" s="11"/>
      <c r="AAP79" s="11"/>
      <c r="AAQ79" s="11"/>
      <c r="AAR79" s="11"/>
      <c r="AAS79" s="11"/>
      <c r="AAT79" s="11"/>
      <c r="AAU79" s="11"/>
      <c r="AAV79" s="11"/>
      <c r="AAW79" s="11"/>
      <c r="AAX79" s="11"/>
      <c r="AAY79" s="11"/>
      <c r="AAZ79" s="11"/>
      <c r="ABA79" s="11"/>
      <c r="ABB79" s="11"/>
      <c r="ABC79" s="11"/>
      <c r="ABD79" s="11"/>
      <c r="ABE79" s="11"/>
      <c r="ABF79" s="11"/>
      <c r="ABG79" s="11"/>
      <c r="ABH79" s="11"/>
      <c r="ABI79" s="11"/>
      <c r="ABJ79" s="11"/>
      <c r="ABK79" s="11"/>
      <c r="ABL79" s="11"/>
      <c r="ABM79" s="11"/>
      <c r="ABN79" s="11"/>
      <c r="ABO79" s="11"/>
      <c r="ABP79" s="11"/>
      <c r="ABQ79" s="11"/>
      <c r="ABR79" s="11"/>
      <c r="ABS79" s="11"/>
      <c r="ABT79" s="11"/>
      <c r="ABU79" s="11"/>
      <c r="ABV79" s="11"/>
      <c r="ABW79" s="11"/>
      <c r="ABX79" s="11"/>
      <c r="ABY79" s="11"/>
      <c r="ABZ79" s="11"/>
      <c r="ACA79" s="11"/>
      <c r="ACB79" s="11"/>
      <c r="ACC79" s="11"/>
      <c r="ACD79" s="11"/>
      <c r="ACE79" s="11"/>
      <c r="ACF79" s="11"/>
      <c r="ACG79" s="11"/>
      <c r="ACH79" s="11"/>
      <c r="ACI79" s="11"/>
      <c r="ACJ79" s="11"/>
      <c r="ACK79" s="11"/>
      <c r="ACL79" s="11"/>
      <c r="ACM79" s="11"/>
      <c r="ACN79" s="11"/>
      <c r="ACO79" s="11"/>
      <c r="ACP79" s="11"/>
      <c r="ACQ79" s="11"/>
      <c r="ACR79" s="11"/>
      <c r="ACS79" s="11"/>
      <c r="ACT79" s="11"/>
      <c r="ACU79" s="11"/>
      <c r="ACV79" s="11"/>
      <c r="ACW79" s="11"/>
      <c r="ACX79" s="11"/>
      <c r="ACY79" s="11"/>
      <c r="ACZ79" s="11"/>
      <c r="ADA79" s="11"/>
      <c r="ADB79" s="11"/>
      <c r="ADC79" s="11"/>
      <c r="ADD79" s="11"/>
      <c r="ADE79" s="11"/>
      <c r="ADF79" s="11"/>
      <c r="ADG79" s="11"/>
      <c r="ADH79" s="11"/>
      <c r="ADI79" s="11"/>
      <c r="ADJ79" s="11"/>
      <c r="ADK79" s="11"/>
      <c r="ADL79" s="11"/>
      <c r="ADM79" s="11"/>
      <c r="ADN79" s="11"/>
      <c r="ADO79" s="11"/>
      <c r="ADP79" s="11"/>
      <c r="ADQ79" s="11"/>
      <c r="ADR79" s="11"/>
      <c r="ADS79" s="11"/>
      <c r="ADT79" s="11"/>
      <c r="ADU79" s="11"/>
      <c r="ADV79" s="11"/>
      <c r="ADW79" s="11"/>
      <c r="ADX79" s="11"/>
      <c r="ADY79" s="11"/>
      <c r="ADZ79" s="11"/>
      <c r="AEA79" s="11"/>
      <c r="AEB79" s="11"/>
      <c r="AEC79" s="11"/>
      <c r="AED79" s="11"/>
      <c r="AEE79" s="11"/>
      <c r="AEF79" s="11"/>
      <c r="AEG79" s="11"/>
      <c r="AEH79" s="11"/>
      <c r="AEI79" s="11"/>
      <c r="AEJ79" s="11"/>
      <c r="AEK79" s="11"/>
      <c r="AEL79" s="11"/>
      <c r="AEM79" s="11"/>
      <c r="AEN79" s="11"/>
      <c r="AEO79" s="11"/>
      <c r="AEP79" s="11"/>
      <c r="AEQ79" s="11"/>
      <c r="AER79" s="11"/>
      <c r="AES79" s="11"/>
      <c r="AET79" s="11"/>
      <c r="AEU79" s="11"/>
      <c r="AEV79" s="11"/>
      <c r="AEW79" s="11"/>
      <c r="AEX79" s="11"/>
      <c r="AEY79" s="11"/>
      <c r="AEZ79" s="11"/>
      <c r="AFA79" s="11"/>
      <c r="AFB79" s="11"/>
      <c r="AFC79" s="11"/>
      <c r="AFD79" s="11"/>
      <c r="AFE79" s="11"/>
      <c r="AFF79" s="11"/>
      <c r="AFG79" s="11"/>
      <c r="AFH79" s="11"/>
      <c r="AFI79" s="11"/>
    </row>
    <row r="80" spans="2:841">
      <c r="B80" s="11"/>
      <c r="C80" s="657"/>
      <c r="D80" s="289" t="str">
        <f>IF(Idioma=Castellano,"Existente",IF(Idioma=Valencià,"Existent","Existente"))</f>
        <v>Existente</v>
      </c>
      <c r="E80" s="311">
        <f>SUMIFS(M_Datos!$N$41:$N$43,M_Datos!$O$41:$O$43,M_Lista!G18,M_Datos!$M$41:$M$43,M_Lista!$J$3)</f>
        <v>0</v>
      </c>
      <c r="F80" s="312" t="e">
        <f>IF(AND(M_FactoresComplement!$G$439="No",M_FactoresComplement!$G$441="No"),M_Cálculos_ND!E80*VLOOKUP(M_Datos!$E$12&amp;M_Cálculos_ND!D80,M_Factores!$M$10:$P$108,2,FALSE),IF(AND(M_FactoresComplement!$G$439="Sí",M_FactoresComplement!$G$441="No"),E80*M_FactoresComplement!G446,E80*VLOOKUP(M_FactoresComplement!$C$467&amp;M_Datos!$E$12&amp;M_Lista!G17,M_FactoresComplement!$F$446:$I$781,2,FALSE)))</f>
        <v>#N/A</v>
      </c>
      <c r="G80" s="313" t="e">
        <f>IF(AND(M_FactoresComplement!$G$439="No",M_FactoresComplement!$G$441="No"),M_Cálculos_ND!E80*VLOOKUP(M_Datos!$E$12&amp;M_Cálculos_ND!D80,M_Factores!$M$10:$P$108,3,FALSE),IF(AND(M_FactoresComplement!$G$439="Sí",M_FactoresComplement!$G$441="No"),E80*M_FactoresComplement!H446,E80*VLOOKUP(M_FactoresComplement!$C$467&amp;M_Datos!$E$12&amp;M_Lista!G17,M_FactoresComplement!$F$446:$I$781,3,FALSE)))</f>
        <v>#N/A</v>
      </c>
      <c r="H80" s="311">
        <f>SUMIFS(M_Datos!$P$41:$P$43,M_Datos!$Q$41:$Q$43,M_Lista!G18,M_Datos!$M$41:$M$43,M_Lista!$J$3)</f>
        <v>0</v>
      </c>
      <c r="I80" s="312" t="e">
        <f>IF(AND(M_FactoresComplement!$G$439="No",M_FactoresComplement!$G$441="No"),M_Cálculos_ND!H80*VLOOKUP(M_Datos!$E$12&amp;M_Cálculos_ND!D80,M_Factores!$M$10:$P$108,2,FALSE),IF(AND(M_FactoresComplement!$G$439="Sí",M_FactoresComplement!$G$441="No"),H80*M_FactoresComplement!G446,H80*VLOOKUP(M_FactoresComplement!$C$467&amp;M_Datos!$E$12&amp;M_Lista!G17,M_FactoresComplement!$F$446:$I$781,2,FALSE)))</f>
        <v>#N/A</v>
      </c>
      <c r="J80" s="313" t="e">
        <f>IF(AND(M_FactoresComplement!$G$439="No",M_FactoresComplement!$G$441="No"),M_Cálculos_ND!H80*VLOOKUP(M_Datos!$E$12&amp;M_Cálculos_ND!D80,M_Factores!$M$10:$P$108,3,FALSE),IF(AND(M_FactoresComplement!$G$439="Sí",M_FactoresComplement!$G$441="No"),H80*M_FactoresComplement!H446,H80*VLOOKUP(M_FactoresComplement!$C$467&amp;M_Datos!$E$12&amp;M_Lista!G17,M_FactoresComplement!$F$446:$I$781,3,FALSE)))</f>
        <v>#N/A</v>
      </c>
      <c r="K80" s="311">
        <f>SUMIFS(M_Datos!$R$41:$R$43,M_Datos!$S$41:$S$43,M_Lista!G18,M_Datos!$M$41:$M$43,M_Lista!$J$3)</f>
        <v>0</v>
      </c>
      <c r="L80" s="312" t="e">
        <f>IF(AND(M_FactoresComplement!$G$439="No",M_FactoresComplement!$G$441="No"),M_Cálculos_ND!K80*VLOOKUP(M_Datos!$E$12&amp;M_Cálculos_ND!D80,M_Factores!$M$10:$P$108,2,FALSE),IF(AND(M_FactoresComplement!$G$439="Sí",M_FactoresComplement!$G$441="No"),K80*M_FactoresComplement!G446,K80*VLOOKUP(M_FactoresComplement!$C$467&amp;M_Datos!$E$12&amp;M_Lista!G17,M_FactoresComplement!$F$446:$I$781,2,FALSE)))</f>
        <v>#N/A</v>
      </c>
      <c r="M80" s="313" t="e">
        <f>IF(AND(M_FactoresComplement!$G$439="No",M_FactoresComplement!$G$441="No"),M_Cálculos_ND!K80*VLOOKUP(M_Datos!$E$12&amp;M_Cálculos_ND!D80,M_Factores!$M$10:$P$108,3,FALSE),IF(AND(M_FactoresComplement!$G$439="Sí",M_FactoresComplement!$G$441="No"),K80*M_FactoresComplement!H446,K80*VLOOKUP(M_FactoresComplement!$C$467&amp;M_Datos!$E$12&amp;M_Lista!G17,M_FactoresComplement!$F$446:$I$781,3,FALSE)))</f>
        <v>#N/A</v>
      </c>
      <c r="N80" s="311">
        <f>SUMIFS(M_Datos!$T$41:$T$43,M_Datos!$U$41:$U$43,M_Lista!G18,M_Datos!$M$41:$M$43,M_Lista!$J$3)</f>
        <v>0</v>
      </c>
      <c r="O80" s="312" t="e">
        <f>IF(AND(M_FactoresComplement!$G$439="No",M_FactoresComplement!$G$441="No"),M_Cálculos_ND!N80*VLOOKUP(M_Datos!$E$12&amp;M_Cálculos_ND!D80,M_Factores!$M$10:$P$108,2,FALSE),IF(AND(M_FactoresComplement!$G$439="Sí",M_FactoresComplement!$G$441="No"),N80*M_FactoresComplement!G446,N80*VLOOKUP(M_FactoresComplement!$C$467&amp;M_Datos!$E$12&amp;M_Lista!G17,M_FactoresComplement!$F$446:$I$781,2,FALSE)))</f>
        <v>#N/A</v>
      </c>
      <c r="P80" s="313" t="e">
        <f>IF(AND(M_FactoresComplement!$G$439="No",M_FactoresComplement!$G$441="No"),M_Cálculos_ND!N80*VLOOKUP(M_Datos!$E$12&amp;M_Cálculos_ND!D80,M_Factores!$M$10:$P$108,3,FALSE),IF(AND(M_FactoresComplement!$G$439="Sí",M_FactoresComplement!$G$441="No"),N80*M_FactoresComplement!H446,N80*VLOOKUP(M_FactoresComplement!$C$467&amp;M_Datos!$E$12&amp;M_Lista!G17,M_FactoresComplement!$F$446:$I$781,3,FALSE)))</f>
        <v>#N/A</v>
      </c>
      <c r="Q80" s="311">
        <f>SUMIFS(M_Datos!$V$41:$V$43,M_Datos!$W$41:$W$43,M_Lista!G18,M_Datos!$M$41:$M$43,M_Lista!$J$3)</f>
        <v>0</v>
      </c>
      <c r="R80" s="312" t="e">
        <f>IF(AND(M_FactoresComplement!$G$439="No",M_FactoresComplement!$G$441="No"),M_Cálculos_ND!Q80*VLOOKUP(M_Datos!$E$12&amp;M_Cálculos_ND!D80,M_Factores!$M$10:$P$108,2,FALSE),IF(AND(M_FactoresComplement!$G$439="Sí",M_FactoresComplement!$G$441="No"),Q80*M_FactoresComplement!G446,Q80*VLOOKUP(M_FactoresComplement!$C$467&amp;M_Datos!$E$12&amp;M_Lista!G17,M_FactoresComplement!$F$446:$I$781,2,FALSE)))</f>
        <v>#N/A</v>
      </c>
      <c r="S80" s="313" t="e">
        <f>IF(AND(M_FactoresComplement!$G$439="No",M_FactoresComplement!$G$441="No"),M_Cálculos_ND!Q80*VLOOKUP(M_Datos!$E$12&amp;M_Cálculos_ND!D80,M_Factores!$M$10:$P$108,3,FALSE),IF(AND(M_FactoresComplement!$G$439="Sí",M_FactoresComplement!$G$441="No"),Q80*M_FactoresComplement!H446,Q80*VLOOKUP(M_FactoresComplement!$C$467&amp;M_Datos!$E$12&amp;M_Lista!G17,M_FactoresComplement!$F$446:$I$781,3,FALSE)))</f>
        <v>#N/A</v>
      </c>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c r="JH80" s="11"/>
      <c r="JI80" s="11"/>
      <c r="JJ80" s="11"/>
      <c r="JK80" s="11"/>
      <c r="JL80" s="11"/>
      <c r="JM80" s="11"/>
      <c r="JN80" s="11"/>
      <c r="JO80" s="11"/>
      <c r="JP80" s="11"/>
      <c r="JQ80" s="11"/>
      <c r="JR80" s="11"/>
      <c r="JS80" s="11"/>
      <c r="JT80" s="11"/>
      <c r="JU80" s="11"/>
      <c r="JV80" s="11"/>
      <c r="JW80" s="11"/>
      <c r="JX80" s="11"/>
      <c r="JY80" s="11"/>
      <c r="JZ80" s="11"/>
      <c r="KA80" s="11"/>
      <c r="KB80" s="11"/>
      <c r="KC80" s="11"/>
      <c r="KD80" s="11"/>
      <c r="KE80" s="11"/>
      <c r="KF80" s="11"/>
      <c r="KG80" s="11"/>
      <c r="KH80" s="11"/>
      <c r="KI80" s="11"/>
      <c r="KJ80" s="11"/>
      <c r="KK80" s="11"/>
      <c r="KL80" s="11"/>
      <c r="KM80" s="11"/>
      <c r="KN80" s="11"/>
      <c r="KO80" s="11"/>
      <c r="KP80" s="11"/>
      <c r="KQ80" s="11"/>
      <c r="KR80" s="11"/>
      <c r="KS80" s="11"/>
      <c r="KT80" s="11"/>
      <c r="KU80" s="11"/>
      <c r="KV80" s="11"/>
      <c r="KW80" s="11"/>
      <c r="KX80" s="11"/>
      <c r="KY80" s="11"/>
      <c r="KZ80" s="11"/>
      <c r="LA80" s="11"/>
      <c r="LB80" s="11"/>
      <c r="LC80" s="11"/>
      <c r="LD80" s="11"/>
      <c r="LE80" s="11"/>
      <c r="LF80" s="11"/>
      <c r="LG80" s="11"/>
      <c r="LH80" s="11"/>
      <c r="LI80" s="11"/>
      <c r="LJ80" s="11"/>
      <c r="LK80" s="11"/>
      <c r="LL80" s="11"/>
      <c r="LM80" s="11"/>
      <c r="LN80" s="11"/>
      <c r="LO80" s="11"/>
      <c r="LP80" s="11"/>
      <c r="LQ80" s="11"/>
      <c r="LR80" s="11"/>
      <c r="LS80" s="11"/>
      <c r="LT80" s="11"/>
      <c r="LU80" s="11"/>
      <c r="LV80" s="11"/>
      <c r="LW80" s="11"/>
      <c r="LX80" s="11"/>
      <c r="LY80" s="11"/>
      <c r="LZ80" s="11"/>
      <c r="MA80" s="11"/>
      <c r="MB80" s="11"/>
      <c r="MC80" s="11"/>
      <c r="MD80" s="11"/>
      <c r="ME80" s="11"/>
      <c r="MF80" s="11"/>
      <c r="MG80" s="11"/>
      <c r="MH80" s="11"/>
      <c r="MI80" s="11"/>
      <c r="MJ80" s="11"/>
      <c r="MK80" s="11"/>
      <c r="ML80" s="11"/>
      <c r="MM80" s="11"/>
      <c r="MN80" s="11"/>
      <c r="MO80" s="11"/>
      <c r="MP80" s="11"/>
      <c r="MQ80" s="11"/>
      <c r="MR80" s="11"/>
      <c r="MS80" s="11"/>
      <c r="MT80" s="11"/>
      <c r="MU80" s="11"/>
      <c r="MV80" s="11"/>
      <c r="MW80" s="11"/>
      <c r="MX80" s="11"/>
      <c r="MY80" s="11"/>
      <c r="MZ80" s="11"/>
      <c r="NA80" s="11"/>
      <c r="NB80" s="11"/>
      <c r="NC80" s="11"/>
      <c r="ND80" s="11"/>
      <c r="NE80" s="11"/>
      <c r="NF80" s="11"/>
      <c r="NG80" s="11"/>
      <c r="NH80" s="11"/>
      <c r="NI80" s="11"/>
      <c r="NJ80" s="11"/>
      <c r="NK80" s="11"/>
      <c r="NL80" s="11"/>
      <c r="NM80" s="11"/>
      <c r="NN80" s="11"/>
      <c r="NO80" s="11"/>
      <c r="NP80" s="11"/>
      <c r="NQ80" s="11"/>
      <c r="NR80" s="11"/>
      <c r="NS80" s="11"/>
      <c r="NT80" s="11"/>
      <c r="NU80" s="11"/>
      <c r="NV80" s="11"/>
      <c r="NW80" s="11"/>
      <c r="NX80" s="11"/>
      <c r="NY80" s="11"/>
      <c r="NZ80" s="11"/>
      <c r="OA80" s="11"/>
      <c r="OB80" s="11"/>
      <c r="OC80" s="11"/>
      <c r="OD80" s="11"/>
      <c r="OE80" s="11"/>
      <c r="OF80" s="11"/>
      <c r="OG80" s="11"/>
      <c r="OH80" s="11"/>
      <c r="OI80" s="11"/>
      <c r="OJ80" s="11"/>
      <c r="OK80" s="11"/>
      <c r="OL80" s="11"/>
      <c r="OM80" s="11"/>
      <c r="ON80" s="11"/>
      <c r="OO80" s="11"/>
      <c r="OP80" s="11"/>
      <c r="OQ80" s="11"/>
      <c r="OR80" s="11"/>
      <c r="OS80" s="11"/>
      <c r="OT80" s="11"/>
      <c r="OU80" s="11"/>
      <c r="OV80" s="11"/>
      <c r="OW80" s="11"/>
      <c r="OX80" s="11"/>
      <c r="OY80" s="11"/>
      <c r="OZ80" s="11"/>
      <c r="PA80" s="11"/>
      <c r="PB80" s="11"/>
      <c r="PC80" s="11"/>
      <c r="PD80" s="11"/>
      <c r="PE80" s="11"/>
      <c r="PF80" s="11"/>
      <c r="PG80" s="11"/>
      <c r="PH80" s="11"/>
      <c r="PI80" s="11"/>
      <c r="PJ80" s="11"/>
      <c r="PK80" s="11"/>
      <c r="PL80" s="11"/>
      <c r="PM80" s="11"/>
      <c r="PN80" s="11"/>
      <c r="PO80" s="11"/>
      <c r="PP80" s="11"/>
      <c r="PQ80" s="11"/>
      <c r="PR80" s="11"/>
      <c r="PS80" s="11"/>
      <c r="PT80" s="11"/>
      <c r="PU80" s="11"/>
      <c r="PV80" s="11"/>
      <c r="PW80" s="11"/>
      <c r="PX80" s="11"/>
      <c r="PY80" s="11"/>
      <c r="PZ80" s="11"/>
      <c r="QA80" s="11"/>
      <c r="QB80" s="11"/>
      <c r="QC80" s="11"/>
      <c r="QD80" s="11"/>
      <c r="QE80" s="11"/>
      <c r="QF80" s="11"/>
      <c r="QG80" s="11"/>
      <c r="QH80" s="11"/>
      <c r="QI80" s="11"/>
      <c r="QJ80" s="11"/>
      <c r="QK80" s="11"/>
      <c r="QL80" s="11"/>
      <c r="QM80" s="11"/>
      <c r="QN80" s="11"/>
      <c r="QO80" s="11"/>
      <c r="QP80" s="11"/>
      <c r="QQ80" s="11"/>
      <c r="QR80" s="11"/>
      <c r="QS80" s="11"/>
      <c r="QT80" s="11"/>
      <c r="QU80" s="11"/>
      <c r="QV80" s="11"/>
      <c r="QW80" s="11"/>
      <c r="QX80" s="11"/>
      <c r="QY80" s="11"/>
      <c r="QZ80" s="11"/>
      <c r="RA80" s="11"/>
      <c r="RB80" s="11"/>
      <c r="RC80" s="11"/>
      <c r="RD80" s="11"/>
      <c r="RE80" s="11"/>
      <c r="RF80" s="11"/>
      <c r="RG80" s="11"/>
      <c r="RH80" s="11"/>
      <c r="RI80" s="11"/>
      <c r="RJ80" s="11"/>
      <c r="RK80" s="11"/>
      <c r="RL80" s="11"/>
      <c r="RM80" s="11"/>
      <c r="RN80" s="11"/>
      <c r="RO80" s="11"/>
      <c r="RP80" s="11"/>
      <c r="RQ80" s="11"/>
      <c r="RR80" s="11"/>
      <c r="RS80" s="11"/>
      <c r="RT80" s="11"/>
      <c r="RU80" s="11"/>
      <c r="RV80" s="11"/>
      <c r="RW80" s="11"/>
      <c r="RX80" s="11"/>
      <c r="RY80" s="11"/>
      <c r="RZ80" s="11"/>
      <c r="SA80" s="11"/>
      <c r="SB80" s="11"/>
      <c r="SC80" s="11"/>
      <c r="SD80" s="11"/>
      <c r="SE80" s="11"/>
      <c r="SF80" s="11"/>
      <c r="SG80" s="11"/>
      <c r="SH80" s="11"/>
      <c r="SI80" s="11"/>
      <c r="SJ80" s="11"/>
      <c r="SK80" s="11"/>
      <c r="SL80" s="11"/>
      <c r="SM80" s="11"/>
      <c r="SN80" s="11"/>
      <c r="SO80" s="11"/>
      <c r="SP80" s="11"/>
      <c r="SQ80" s="11"/>
      <c r="SR80" s="11"/>
      <c r="SS80" s="11"/>
      <c r="ST80" s="11"/>
      <c r="SU80" s="11"/>
      <c r="SV80" s="11"/>
      <c r="SW80" s="11"/>
      <c r="SX80" s="11"/>
      <c r="SY80" s="11"/>
      <c r="SZ80" s="11"/>
      <c r="TA80" s="11"/>
      <c r="TB80" s="11"/>
      <c r="TC80" s="11"/>
      <c r="TD80" s="11"/>
      <c r="TE80" s="11"/>
      <c r="TF80" s="11"/>
      <c r="TG80" s="11"/>
      <c r="TH80" s="11"/>
      <c r="TI80" s="11"/>
      <c r="TJ80" s="11"/>
      <c r="TK80" s="11"/>
      <c r="TL80" s="11"/>
      <c r="TM80" s="11"/>
      <c r="TN80" s="11"/>
      <c r="TO80" s="11"/>
      <c r="TP80" s="11"/>
      <c r="TQ80" s="11"/>
      <c r="TR80" s="11"/>
      <c r="TS80" s="11"/>
      <c r="TT80" s="11"/>
      <c r="TU80" s="11"/>
      <c r="TV80" s="11"/>
      <c r="TW80" s="11"/>
      <c r="TX80" s="11"/>
      <c r="TY80" s="11"/>
      <c r="TZ80" s="11"/>
      <c r="UA80" s="11"/>
      <c r="UB80" s="11"/>
      <c r="UC80" s="11"/>
      <c r="UD80" s="11"/>
      <c r="UE80" s="11"/>
      <c r="UF80" s="11"/>
      <c r="UG80" s="11"/>
      <c r="UH80" s="11"/>
      <c r="UI80" s="11"/>
      <c r="UJ80" s="11"/>
      <c r="UK80" s="11"/>
      <c r="UL80" s="11"/>
      <c r="UM80" s="11"/>
      <c r="UN80" s="11"/>
      <c r="UO80" s="11"/>
      <c r="UP80" s="11"/>
      <c r="UQ80" s="11"/>
      <c r="UR80" s="11"/>
      <c r="US80" s="11"/>
      <c r="UT80" s="11"/>
      <c r="UU80" s="11"/>
      <c r="UV80" s="11"/>
      <c r="UW80" s="11"/>
      <c r="UX80" s="11"/>
      <c r="UY80" s="11"/>
      <c r="UZ80" s="11"/>
      <c r="VA80" s="11"/>
      <c r="VB80" s="11"/>
      <c r="VC80" s="11"/>
      <c r="VD80" s="11"/>
      <c r="VE80" s="11"/>
      <c r="VF80" s="11"/>
      <c r="VG80" s="11"/>
      <c r="VH80" s="11"/>
      <c r="VI80" s="11"/>
      <c r="VJ80" s="11"/>
      <c r="VK80" s="11"/>
      <c r="VL80" s="11"/>
      <c r="VM80" s="11"/>
      <c r="VN80" s="11"/>
      <c r="VO80" s="11"/>
      <c r="VP80" s="11"/>
      <c r="VQ80" s="11"/>
      <c r="VR80" s="11"/>
      <c r="VS80" s="11"/>
      <c r="VT80" s="11"/>
      <c r="VU80" s="11"/>
      <c r="VV80" s="11"/>
      <c r="VW80" s="11"/>
      <c r="VX80" s="11"/>
      <c r="VY80" s="11"/>
      <c r="VZ80" s="11"/>
      <c r="WA80" s="11"/>
      <c r="WB80" s="11"/>
      <c r="WC80" s="11"/>
      <c r="WD80" s="11"/>
      <c r="WE80" s="11"/>
      <c r="WF80" s="11"/>
      <c r="WG80" s="11"/>
      <c r="WH80" s="11"/>
      <c r="WI80" s="11"/>
      <c r="WJ80" s="11"/>
      <c r="WK80" s="11"/>
      <c r="WL80" s="11"/>
      <c r="WM80" s="11"/>
      <c r="WN80" s="11"/>
      <c r="WO80" s="11"/>
      <c r="WP80" s="11"/>
      <c r="WQ80" s="11"/>
      <c r="WR80" s="11"/>
      <c r="WS80" s="11"/>
      <c r="WT80" s="11"/>
      <c r="WU80" s="11"/>
      <c r="WV80" s="11"/>
      <c r="WW80" s="11"/>
      <c r="WX80" s="11"/>
      <c r="WY80" s="11"/>
      <c r="WZ80" s="11"/>
      <c r="XA80" s="11"/>
      <c r="XB80" s="11"/>
      <c r="XC80" s="11"/>
      <c r="XD80" s="11"/>
      <c r="XE80" s="11"/>
      <c r="XF80" s="11"/>
      <c r="XG80" s="11"/>
      <c r="XH80" s="11"/>
      <c r="XI80" s="11"/>
      <c r="XJ80" s="11"/>
      <c r="XK80" s="11"/>
      <c r="XL80" s="11"/>
      <c r="XM80" s="11"/>
      <c r="XN80" s="11"/>
      <c r="XO80" s="11"/>
      <c r="XP80" s="11"/>
      <c r="XQ80" s="11"/>
      <c r="XR80" s="11"/>
      <c r="XS80" s="11"/>
      <c r="XT80" s="11"/>
      <c r="XU80" s="11"/>
      <c r="XV80" s="11"/>
      <c r="XW80" s="11"/>
      <c r="XX80" s="11"/>
      <c r="XY80" s="11"/>
      <c r="XZ80" s="11"/>
      <c r="YA80" s="11"/>
      <c r="YB80" s="11"/>
      <c r="YC80" s="11"/>
      <c r="YD80" s="11"/>
      <c r="YE80" s="11"/>
      <c r="YF80" s="11"/>
      <c r="YG80" s="11"/>
      <c r="YH80" s="11"/>
      <c r="YI80" s="11"/>
      <c r="YJ80" s="11"/>
      <c r="YK80" s="11"/>
      <c r="YL80" s="11"/>
      <c r="YM80" s="11"/>
      <c r="YN80" s="11"/>
      <c r="YO80" s="11"/>
      <c r="YP80" s="11"/>
      <c r="YQ80" s="11"/>
      <c r="YR80" s="11"/>
      <c r="YS80" s="11"/>
      <c r="YT80" s="11"/>
      <c r="YU80" s="11"/>
      <c r="YV80" s="11"/>
      <c r="YW80" s="11"/>
      <c r="YX80" s="11"/>
      <c r="YY80" s="11"/>
      <c r="YZ80" s="11"/>
      <c r="ZA80" s="11"/>
      <c r="ZB80" s="11"/>
      <c r="ZC80" s="11"/>
      <c r="ZD80" s="11"/>
      <c r="ZE80" s="11"/>
      <c r="ZF80" s="11"/>
      <c r="ZG80" s="11"/>
      <c r="ZH80" s="11"/>
      <c r="ZI80" s="11"/>
      <c r="ZJ80" s="11"/>
      <c r="ZK80" s="11"/>
      <c r="ZL80" s="11"/>
      <c r="ZM80" s="11"/>
      <c r="ZN80" s="11"/>
      <c r="ZO80" s="11"/>
      <c r="ZP80" s="11"/>
      <c r="ZQ80" s="11"/>
      <c r="ZR80" s="11"/>
      <c r="ZS80" s="11"/>
      <c r="ZT80" s="11"/>
      <c r="ZU80" s="11"/>
      <c r="ZV80" s="11"/>
      <c r="ZW80" s="11"/>
      <c r="ZX80" s="11"/>
      <c r="ZY80" s="11"/>
      <c r="ZZ80" s="11"/>
      <c r="AAA80" s="11"/>
      <c r="AAB80" s="11"/>
      <c r="AAC80" s="11"/>
      <c r="AAD80" s="11"/>
      <c r="AAE80" s="11"/>
      <c r="AAF80" s="11"/>
      <c r="AAG80" s="11"/>
      <c r="AAH80" s="11"/>
      <c r="AAI80" s="11"/>
      <c r="AAJ80" s="11"/>
      <c r="AAK80" s="11"/>
      <c r="AAL80" s="11"/>
      <c r="AAM80" s="11"/>
      <c r="AAN80" s="11"/>
      <c r="AAO80" s="11"/>
      <c r="AAP80" s="11"/>
      <c r="AAQ80" s="11"/>
      <c r="AAR80" s="11"/>
      <c r="AAS80" s="11"/>
      <c r="AAT80" s="11"/>
      <c r="AAU80" s="11"/>
      <c r="AAV80" s="11"/>
      <c r="AAW80" s="11"/>
      <c r="AAX80" s="11"/>
      <c r="AAY80" s="11"/>
      <c r="AAZ80" s="11"/>
      <c r="ABA80" s="11"/>
      <c r="ABB80" s="11"/>
      <c r="ABC80" s="11"/>
      <c r="ABD80" s="11"/>
      <c r="ABE80" s="11"/>
      <c r="ABF80" s="11"/>
      <c r="ABG80" s="11"/>
      <c r="ABH80" s="11"/>
      <c r="ABI80" s="11"/>
      <c r="ABJ80" s="11"/>
      <c r="ABK80" s="11"/>
      <c r="ABL80" s="11"/>
      <c r="ABM80" s="11"/>
      <c r="ABN80" s="11"/>
      <c r="ABO80" s="11"/>
      <c r="ABP80" s="11"/>
      <c r="ABQ80" s="11"/>
      <c r="ABR80" s="11"/>
      <c r="ABS80" s="11"/>
      <c r="ABT80" s="11"/>
      <c r="ABU80" s="11"/>
      <c r="ABV80" s="11"/>
      <c r="ABW80" s="11"/>
      <c r="ABX80" s="11"/>
      <c r="ABY80" s="11"/>
      <c r="ABZ80" s="11"/>
      <c r="ACA80" s="11"/>
      <c r="ACB80" s="11"/>
      <c r="ACC80" s="11"/>
      <c r="ACD80" s="11"/>
      <c r="ACE80" s="11"/>
      <c r="ACF80" s="11"/>
      <c r="ACG80" s="11"/>
      <c r="ACH80" s="11"/>
      <c r="ACI80" s="11"/>
      <c r="ACJ80" s="11"/>
      <c r="ACK80" s="11"/>
      <c r="ACL80" s="11"/>
      <c r="ACM80" s="11"/>
      <c r="ACN80" s="11"/>
      <c r="ACO80" s="11"/>
      <c r="ACP80" s="11"/>
      <c r="ACQ80" s="11"/>
      <c r="ACR80" s="11"/>
      <c r="ACS80" s="11"/>
      <c r="ACT80" s="11"/>
      <c r="ACU80" s="11"/>
      <c r="ACV80" s="11"/>
      <c r="ACW80" s="11"/>
      <c r="ACX80" s="11"/>
      <c r="ACY80" s="11"/>
      <c r="ACZ80" s="11"/>
      <c r="ADA80" s="11"/>
      <c r="ADB80" s="11"/>
      <c r="ADC80" s="11"/>
      <c r="ADD80" s="11"/>
      <c r="ADE80" s="11"/>
      <c r="ADF80" s="11"/>
      <c r="ADG80" s="11"/>
      <c r="ADH80" s="11"/>
      <c r="ADI80" s="11"/>
      <c r="ADJ80" s="11"/>
      <c r="ADK80" s="11"/>
      <c r="ADL80" s="11"/>
      <c r="ADM80" s="11"/>
      <c r="ADN80" s="11"/>
      <c r="ADO80" s="11"/>
      <c r="ADP80" s="11"/>
      <c r="ADQ80" s="11"/>
      <c r="ADR80" s="11"/>
      <c r="ADS80" s="11"/>
      <c r="ADT80" s="11"/>
      <c r="ADU80" s="11"/>
      <c r="ADV80" s="11"/>
      <c r="ADW80" s="11"/>
      <c r="ADX80" s="11"/>
      <c r="ADY80" s="11"/>
      <c r="ADZ80" s="11"/>
      <c r="AEA80" s="11"/>
      <c r="AEB80" s="11"/>
      <c r="AEC80" s="11"/>
      <c r="AED80" s="11"/>
      <c r="AEE80" s="11"/>
      <c r="AEF80" s="11"/>
      <c r="AEG80" s="11"/>
      <c r="AEH80" s="11"/>
      <c r="AEI80" s="11"/>
      <c r="AEJ80" s="11"/>
      <c r="AEK80" s="11"/>
      <c r="AEL80" s="11"/>
      <c r="AEM80" s="11"/>
      <c r="AEN80" s="11"/>
      <c r="AEO80" s="11"/>
      <c r="AEP80" s="11"/>
      <c r="AEQ80" s="11"/>
      <c r="AER80" s="11"/>
      <c r="AES80" s="11"/>
      <c r="AET80" s="11"/>
      <c r="AEU80" s="11"/>
      <c r="AEV80" s="11"/>
      <c r="AEW80" s="11"/>
      <c r="AEX80" s="11"/>
      <c r="AEY80" s="11"/>
      <c r="AEZ80" s="11"/>
      <c r="AFA80" s="11"/>
      <c r="AFB80" s="11"/>
      <c r="AFC80" s="11"/>
      <c r="AFD80" s="11"/>
      <c r="AFE80" s="11"/>
      <c r="AFF80" s="11"/>
      <c r="AFG80" s="11"/>
      <c r="AFH80" s="11"/>
      <c r="AFI80" s="11"/>
    </row>
    <row r="81" spans="2:841">
      <c r="B81" s="11"/>
      <c r="C81" s="657"/>
      <c r="D81" s="289" t="s">
        <v>625</v>
      </c>
      <c r="E81" s="311">
        <f>SUMIFS(M_Datos!$N$41:$N$43,M_Datos!$O$41:$O$43,M_Lista!G19,M_Datos!$M$41:$M$43,M_Lista!$J$3)</f>
        <v>0</v>
      </c>
      <c r="F81" s="312" t="e">
        <f>IF(AND(M_FactoresComplement!$G$439="No",M_FactoresComplement!$G$441="No"),M_Cálculos_ND!E81*VLOOKUP(M_Datos!$E$12&amp;M_Cálculos_ND!D81,M_Factores!$M$10:$P$108,2,FALSE),IF(AND(M_FactoresComplement!$G$439="Sí",M_FactoresComplement!$G$441="No"),E81*M_FactoresComplement!G447,E81*VLOOKUP(M_FactoresComplement!$C$467&amp;M_Datos!$E$12&amp;M_Lista!G18,M_FactoresComplement!$F$446:$I$781,2,FALSE)))</f>
        <v>#N/A</v>
      </c>
      <c r="G81" s="313" t="e">
        <f>IF(AND(M_FactoresComplement!$G$439="No",M_FactoresComplement!$G$441="No"),M_Cálculos_ND!E81*VLOOKUP(M_Datos!$E$12&amp;M_Cálculos_ND!D81,M_Factores!$M$10:$P$108,3,FALSE),IF(AND(M_FactoresComplement!$G$439="Sí",M_FactoresComplement!$G$441="No"),E81*M_FactoresComplement!H447,E81*VLOOKUP(M_FactoresComplement!$C$467&amp;M_Datos!$E$12&amp;M_Lista!G18,M_FactoresComplement!$F$446:$I$781,3,FALSE)))</f>
        <v>#N/A</v>
      </c>
      <c r="H81" s="311">
        <f>SUMIFS(M_Datos!$P$41:$P$43,M_Datos!$Q$41:$Q$43,M_Lista!G19,M_Datos!$M$41:$M$43,M_Lista!$J$3)</f>
        <v>0</v>
      </c>
      <c r="I81" s="312" t="e">
        <f>IF(AND(M_FactoresComplement!$G$439="No",M_FactoresComplement!$G$441="No"),M_Cálculos_ND!H81*VLOOKUP(M_Datos!$E$12&amp;M_Cálculos_ND!D81,M_Factores!$M$10:$P$108,2,FALSE),IF(AND(M_FactoresComplement!$G$439="Sí",M_FactoresComplement!$G$441="No"),H81*M_FactoresComplement!G447,H81*VLOOKUP(M_FactoresComplement!$C$467&amp;M_Datos!$E$12&amp;M_Lista!G18,M_FactoresComplement!$F$446:$I$781,2,FALSE)))</f>
        <v>#N/A</v>
      </c>
      <c r="J81" s="313" t="e">
        <f>IF(AND(M_FactoresComplement!$G$439="No",M_FactoresComplement!$G$441="No"),M_Cálculos_ND!H81*VLOOKUP(M_Datos!$E$12&amp;M_Cálculos_ND!D81,M_Factores!$M$10:$P$108,3,FALSE),IF(AND(M_FactoresComplement!$G$439="Sí",M_FactoresComplement!$G$441="No"),H81*M_FactoresComplement!H447,H81*VLOOKUP(M_FactoresComplement!$C$467&amp;M_Datos!$E$12&amp;M_Lista!G18,M_FactoresComplement!$F$446:$I$781,3,FALSE)))</f>
        <v>#N/A</v>
      </c>
      <c r="K81" s="311">
        <f>SUMIFS(M_Datos!$R$41:$R$43,M_Datos!$S$41:$S$43,M_Lista!G19,M_Datos!$M$41:$M$43,M_Lista!$J$3)</f>
        <v>0</v>
      </c>
      <c r="L81" s="312" t="e">
        <f>IF(AND(M_FactoresComplement!$G$439="No",M_FactoresComplement!$G$441="No"),M_Cálculos_ND!K81*VLOOKUP(M_Datos!$E$12&amp;M_Cálculos_ND!D81,M_Factores!$M$10:$P$108,2,FALSE),IF(AND(M_FactoresComplement!$G$439="Sí",M_FactoresComplement!$G$441="No"),K81*M_FactoresComplement!G447,K81*VLOOKUP(M_FactoresComplement!$C$467&amp;M_Datos!$E$12&amp;M_Lista!G18,M_FactoresComplement!$F$446:$I$781,2,FALSE)))</f>
        <v>#N/A</v>
      </c>
      <c r="M81" s="313" t="e">
        <f>IF(AND(M_FactoresComplement!$G$439="No",M_FactoresComplement!$G$441="No"),M_Cálculos_ND!K81*VLOOKUP(M_Datos!$E$12&amp;M_Cálculos_ND!D81,M_Factores!$M$10:$P$108,3,FALSE),IF(AND(M_FactoresComplement!$G$439="Sí",M_FactoresComplement!$G$441="No"),K81*M_FactoresComplement!H447,K81*VLOOKUP(M_FactoresComplement!$C$467&amp;M_Datos!$E$12&amp;M_Lista!G18,M_FactoresComplement!$F$446:$I$781,3,FALSE)))</f>
        <v>#N/A</v>
      </c>
      <c r="N81" s="311">
        <f>SUMIFS(M_Datos!$T$41:$T$43,M_Datos!$U$41:$U$43,M_Lista!G19,M_Datos!$M$41:$M$43,M_Lista!$J$3)</f>
        <v>0</v>
      </c>
      <c r="O81" s="312" t="e">
        <f>IF(AND(M_FactoresComplement!$G$439="No",M_FactoresComplement!$G$441="No"),M_Cálculos_ND!N81*VLOOKUP(M_Datos!$E$12&amp;M_Cálculos_ND!D81,M_Factores!$M$10:$P$108,2,FALSE),IF(AND(M_FactoresComplement!$G$439="Sí",M_FactoresComplement!$G$441="No"),N81*M_FactoresComplement!G475,N81*VLOOKUP(M_FactoresComplement!$C$467&amp;M_Datos!$E$12&amp;M_Lista!G18,M_FactoresComplement!$F$446:$I$781,2,FALSE)))</f>
        <v>#N/A</v>
      </c>
      <c r="P81" s="313" t="e">
        <f>IF(AND(M_FactoresComplement!$G$439="No",M_FactoresComplement!$G$441="No"),M_Cálculos_ND!N81*VLOOKUP(M_Datos!$E$12&amp;M_Cálculos_ND!D81,M_Factores!$M$10:$P$108,3,FALSE),IF(AND(M_FactoresComplement!$G$439="Sí",M_FactoresComplement!$G$441="No"),N81*M_FactoresComplement!H475,N81*VLOOKUP(M_FactoresComplement!$C$467&amp;M_Datos!$E$12&amp;M_Lista!G18,M_FactoresComplement!$F$446:$I$781,3,FALSE)))</f>
        <v>#N/A</v>
      </c>
      <c r="Q81" s="311">
        <f>SUMIFS(M_Datos!$V$41:$V$43,M_Datos!$W$41:$W$43,M_Lista!G19,M_Datos!$M$41:$M$43,M_Lista!$J$3)</f>
        <v>0</v>
      </c>
      <c r="R81" s="312" t="e">
        <f>IF(AND(M_FactoresComplement!$G$439="No",M_FactoresComplement!$G$441="No"),M_Cálculos_ND!Q81*VLOOKUP(M_Datos!$E$12&amp;M_Cálculos_ND!D81,M_Factores!$M$10:$P$108,2,FALSE),IF(AND(M_FactoresComplement!$G$439="Sí",M_FactoresComplement!$G$441="No"),Q81*M_FactoresComplement!G447,Q81*VLOOKUP(M_FactoresComplement!$C$467&amp;M_Datos!$E$12&amp;M_Lista!G18,M_FactoresComplement!$F$446:$I$781,2,FALSE)))</f>
        <v>#N/A</v>
      </c>
      <c r="S81" s="313" t="e">
        <f>IF(AND(M_FactoresComplement!$G$439="No",M_FactoresComplement!$G$441="No"),M_Cálculos_ND!Q81*VLOOKUP(M_Datos!$E$12&amp;M_Cálculos_ND!D81,M_Factores!$M$10:$P$108,3,FALSE),IF(AND(M_FactoresComplement!$G$439="Sí",M_FactoresComplement!$G$441="No"),Q81*M_FactoresComplement!H447,Q81*VLOOKUP(M_FactoresComplement!$C$467&amp;M_Datos!$E$12&amp;M_Lista!G18,M_FactoresComplement!$F$446:$I$781,3,FALSE)))</f>
        <v>#N/A</v>
      </c>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c r="JH81" s="11"/>
      <c r="JI81" s="11"/>
      <c r="JJ81" s="11"/>
      <c r="JK81" s="11"/>
      <c r="JL81" s="11"/>
      <c r="JM81" s="11"/>
      <c r="JN81" s="11"/>
      <c r="JO81" s="11"/>
      <c r="JP81" s="11"/>
      <c r="JQ81" s="11"/>
      <c r="JR81" s="11"/>
      <c r="JS81" s="11"/>
      <c r="JT81" s="11"/>
      <c r="JU81" s="11"/>
      <c r="JV81" s="11"/>
      <c r="JW81" s="11"/>
      <c r="JX81" s="11"/>
      <c r="JY81" s="11"/>
      <c r="JZ81" s="11"/>
      <c r="KA81" s="11"/>
      <c r="KB81" s="11"/>
      <c r="KC81" s="11"/>
      <c r="KD81" s="11"/>
      <c r="KE81" s="11"/>
      <c r="KF81" s="11"/>
      <c r="KG81" s="11"/>
      <c r="KH81" s="11"/>
      <c r="KI81" s="11"/>
      <c r="KJ81" s="11"/>
      <c r="KK81" s="11"/>
      <c r="KL81" s="11"/>
      <c r="KM81" s="11"/>
      <c r="KN81" s="11"/>
      <c r="KO81" s="11"/>
      <c r="KP81" s="11"/>
      <c r="KQ81" s="11"/>
      <c r="KR81" s="11"/>
      <c r="KS81" s="11"/>
      <c r="KT81" s="11"/>
      <c r="KU81" s="11"/>
      <c r="KV81" s="11"/>
      <c r="KW81" s="11"/>
      <c r="KX81" s="11"/>
      <c r="KY81" s="11"/>
      <c r="KZ81" s="11"/>
      <c r="LA81" s="11"/>
      <c r="LB81" s="11"/>
      <c r="LC81" s="11"/>
      <c r="LD81" s="11"/>
      <c r="LE81" s="11"/>
      <c r="LF81" s="11"/>
      <c r="LG81" s="11"/>
      <c r="LH81" s="11"/>
      <c r="LI81" s="11"/>
      <c r="LJ81" s="11"/>
      <c r="LK81" s="11"/>
      <c r="LL81" s="11"/>
      <c r="LM81" s="11"/>
      <c r="LN81" s="11"/>
      <c r="LO81" s="11"/>
      <c r="LP81" s="11"/>
      <c r="LQ81" s="11"/>
      <c r="LR81" s="11"/>
      <c r="LS81" s="11"/>
      <c r="LT81" s="11"/>
      <c r="LU81" s="11"/>
      <c r="LV81" s="11"/>
      <c r="LW81" s="11"/>
      <c r="LX81" s="11"/>
      <c r="LY81" s="11"/>
      <c r="LZ81" s="11"/>
      <c r="MA81" s="11"/>
      <c r="MB81" s="11"/>
      <c r="MC81" s="11"/>
      <c r="MD81" s="11"/>
      <c r="ME81" s="11"/>
      <c r="MF81" s="11"/>
      <c r="MG81" s="11"/>
      <c r="MH81" s="11"/>
      <c r="MI81" s="11"/>
      <c r="MJ81" s="11"/>
      <c r="MK81" s="11"/>
      <c r="ML81" s="11"/>
      <c r="MM81" s="11"/>
      <c r="MN81" s="11"/>
      <c r="MO81" s="11"/>
      <c r="MP81" s="11"/>
      <c r="MQ81" s="11"/>
      <c r="MR81" s="11"/>
      <c r="MS81" s="11"/>
      <c r="MT81" s="11"/>
      <c r="MU81" s="11"/>
      <c r="MV81" s="11"/>
      <c r="MW81" s="11"/>
      <c r="MX81" s="11"/>
      <c r="MY81" s="11"/>
      <c r="MZ81" s="11"/>
      <c r="NA81" s="11"/>
      <c r="NB81" s="11"/>
      <c r="NC81" s="11"/>
      <c r="ND81" s="11"/>
      <c r="NE81" s="11"/>
      <c r="NF81" s="11"/>
      <c r="NG81" s="11"/>
      <c r="NH81" s="11"/>
      <c r="NI81" s="11"/>
      <c r="NJ81" s="11"/>
      <c r="NK81" s="11"/>
      <c r="NL81" s="11"/>
      <c r="NM81" s="11"/>
      <c r="NN81" s="11"/>
      <c r="NO81" s="11"/>
      <c r="NP81" s="11"/>
      <c r="NQ81" s="11"/>
      <c r="NR81" s="11"/>
      <c r="NS81" s="11"/>
      <c r="NT81" s="11"/>
      <c r="NU81" s="11"/>
      <c r="NV81" s="11"/>
      <c r="NW81" s="11"/>
      <c r="NX81" s="11"/>
      <c r="NY81" s="11"/>
      <c r="NZ81" s="11"/>
      <c r="OA81" s="11"/>
      <c r="OB81" s="11"/>
      <c r="OC81" s="11"/>
      <c r="OD81" s="11"/>
      <c r="OE81" s="11"/>
      <c r="OF81" s="11"/>
      <c r="OG81" s="11"/>
      <c r="OH81" s="11"/>
      <c r="OI81" s="11"/>
      <c r="OJ81" s="11"/>
      <c r="OK81" s="11"/>
      <c r="OL81" s="11"/>
      <c r="OM81" s="11"/>
      <c r="ON81" s="11"/>
      <c r="OO81" s="11"/>
      <c r="OP81" s="11"/>
      <c r="OQ81" s="11"/>
      <c r="OR81" s="11"/>
      <c r="OS81" s="11"/>
      <c r="OT81" s="11"/>
      <c r="OU81" s="11"/>
      <c r="OV81" s="11"/>
      <c r="OW81" s="11"/>
      <c r="OX81" s="11"/>
      <c r="OY81" s="11"/>
      <c r="OZ81" s="11"/>
      <c r="PA81" s="11"/>
      <c r="PB81" s="11"/>
      <c r="PC81" s="11"/>
      <c r="PD81" s="11"/>
      <c r="PE81" s="11"/>
      <c r="PF81" s="11"/>
      <c r="PG81" s="11"/>
      <c r="PH81" s="11"/>
      <c r="PI81" s="11"/>
      <c r="PJ81" s="11"/>
      <c r="PK81" s="11"/>
      <c r="PL81" s="11"/>
      <c r="PM81" s="11"/>
      <c r="PN81" s="11"/>
      <c r="PO81" s="11"/>
      <c r="PP81" s="11"/>
      <c r="PQ81" s="11"/>
      <c r="PR81" s="11"/>
      <c r="PS81" s="11"/>
      <c r="PT81" s="11"/>
      <c r="PU81" s="11"/>
      <c r="PV81" s="11"/>
      <c r="PW81" s="11"/>
      <c r="PX81" s="11"/>
      <c r="PY81" s="11"/>
      <c r="PZ81" s="11"/>
      <c r="QA81" s="11"/>
      <c r="QB81" s="11"/>
      <c r="QC81" s="11"/>
      <c r="QD81" s="11"/>
      <c r="QE81" s="11"/>
      <c r="QF81" s="11"/>
      <c r="QG81" s="11"/>
      <c r="QH81" s="11"/>
      <c r="QI81" s="11"/>
      <c r="QJ81" s="11"/>
      <c r="QK81" s="11"/>
      <c r="QL81" s="11"/>
      <c r="QM81" s="11"/>
      <c r="QN81" s="11"/>
      <c r="QO81" s="11"/>
      <c r="QP81" s="11"/>
      <c r="QQ81" s="11"/>
      <c r="QR81" s="11"/>
      <c r="QS81" s="11"/>
      <c r="QT81" s="11"/>
      <c r="QU81" s="11"/>
      <c r="QV81" s="11"/>
      <c r="QW81" s="11"/>
      <c r="QX81" s="11"/>
      <c r="QY81" s="11"/>
      <c r="QZ81" s="11"/>
      <c r="RA81" s="11"/>
      <c r="RB81" s="11"/>
      <c r="RC81" s="11"/>
      <c r="RD81" s="11"/>
      <c r="RE81" s="11"/>
      <c r="RF81" s="11"/>
      <c r="RG81" s="11"/>
      <c r="RH81" s="11"/>
      <c r="RI81" s="11"/>
      <c r="RJ81" s="11"/>
      <c r="RK81" s="11"/>
      <c r="RL81" s="11"/>
      <c r="RM81" s="11"/>
      <c r="RN81" s="11"/>
      <c r="RO81" s="11"/>
      <c r="RP81" s="11"/>
      <c r="RQ81" s="11"/>
      <c r="RR81" s="11"/>
      <c r="RS81" s="11"/>
      <c r="RT81" s="11"/>
      <c r="RU81" s="11"/>
      <c r="RV81" s="11"/>
      <c r="RW81" s="11"/>
      <c r="RX81" s="11"/>
      <c r="RY81" s="11"/>
      <c r="RZ81" s="11"/>
      <c r="SA81" s="11"/>
      <c r="SB81" s="11"/>
      <c r="SC81" s="11"/>
      <c r="SD81" s="11"/>
      <c r="SE81" s="11"/>
      <c r="SF81" s="11"/>
      <c r="SG81" s="11"/>
      <c r="SH81" s="11"/>
      <c r="SI81" s="11"/>
      <c r="SJ81" s="11"/>
      <c r="SK81" s="11"/>
      <c r="SL81" s="11"/>
      <c r="SM81" s="11"/>
      <c r="SN81" s="11"/>
      <c r="SO81" s="11"/>
      <c r="SP81" s="11"/>
      <c r="SQ81" s="11"/>
      <c r="SR81" s="11"/>
      <c r="SS81" s="11"/>
      <c r="ST81" s="11"/>
      <c r="SU81" s="11"/>
      <c r="SV81" s="11"/>
      <c r="SW81" s="11"/>
      <c r="SX81" s="11"/>
      <c r="SY81" s="11"/>
      <c r="SZ81" s="11"/>
      <c r="TA81" s="11"/>
      <c r="TB81" s="11"/>
      <c r="TC81" s="11"/>
      <c r="TD81" s="11"/>
      <c r="TE81" s="11"/>
      <c r="TF81" s="11"/>
      <c r="TG81" s="11"/>
      <c r="TH81" s="11"/>
      <c r="TI81" s="11"/>
      <c r="TJ81" s="11"/>
      <c r="TK81" s="11"/>
      <c r="TL81" s="11"/>
      <c r="TM81" s="11"/>
      <c r="TN81" s="11"/>
      <c r="TO81" s="11"/>
      <c r="TP81" s="11"/>
      <c r="TQ81" s="11"/>
      <c r="TR81" s="11"/>
      <c r="TS81" s="11"/>
      <c r="TT81" s="11"/>
      <c r="TU81" s="11"/>
      <c r="TV81" s="11"/>
      <c r="TW81" s="11"/>
      <c r="TX81" s="11"/>
      <c r="TY81" s="11"/>
      <c r="TZ81" s="11"/>
      <c r="UA81" s="11"/>
      <c r="UB81" s="11"/>
      <c r="UC81" s="11"/>
      <c r="UD81" s="11"/>
      <c r="UE81" s="11"/>
      <c r="UF81" s="11"/>
      <c r="UG81" s="11"/>
      <c r="UH81" s="11"/>
      <c r="UI81" s="11"/>
      <c r="UJ81" s="11"/>
      <c r="UK81" s="11"/>
      <c r="UL81" s="11"/>
      <c r="UM81" s="11"/>
      <c r="UN81" s="11"/>
      <c r="UO81" s="11"/>
      <c r="UP81" s="11"/>
      <c r="UQ81" s="11"/>
      <c r="UR81" s="11"/>
      <c r="US81" s="11"/>
      <c r="UT81" s="11"/>
      <c r="UU81" s="11"/>
      <c r="UV81" s="11"/>
      <c r="UW81" s="11"/>
      <c r="UX81" s="11"/>
      <c r="UY81" s="11"/>
      <c r="UZ81" s="11"/>
      <c r="VA81" s="11"/>
      <c r="VB81" s="11"/>
      <c r="VC81" s="11"/>
      <c r="VD81" s="11"/>
      <c r="VE81" s="11"/>
      <c r="VF81" s="11"/>
      <c r="VG81" s="11"/>
      <c r="VH81" s="11"/>
      <c r="VI81" s="11"/>
      <c r="VJ81" s="11"/>
      <c r="VK81" s="11"/>
      <c r="VL81" s="11"/>
      <c r="VM81" s="11"/>
      <c r="VN81" s="11"/>
      <c r="VO81" s="11"/>
      <c r="VP81" s="11"/>
      <c r="VQ81" s="11"/>
      <c r="VR81" s="11"/>
      <c r="VS81" s="11"/>
      <c r="VT81" s="11"/>
      <c r="VU81" s="11"/>
      <c r="VV81" s="11"/>
      <c r="VW81" s="11"/>
      <c r="VX81" s="11"/>
      <c r="VY81" s="11"/>
      <c r="VZ81" s="11"/>
      <c r="WA81" s="11"/>
      <c r="WB81" s="11"/>
      <c r="WC81" s="11"/>
      <c r="WD81" s="11"/>
      <c r="WE81" s="11"/>
      <c r="WF81" s="11"/>
      <c r="WG81" s="11"/>
      <c r="WH81" s="11"/>
      <c r="WI81" s="11"/>
      <c r="WJ81" s="11"/>
      <c r="WK81" s="11"/>
      <c r="WL81" s="11"/>
      <c r="WM81" s="11"/>
      <c r="WN81" s="11"/>
      <c r="WO81" s="11"/>
      <c r="WP81" s="11"/>
      <c r="WQ81" s="11"/>
      <c r="WR81" s="11"/>
      <c r="WS81" s="11"/>
      <c r="WT81" s="11"/>
      <c r="WU81" s="11"/>
      <c r="WV81" s="11"/>
      <c r="WW81" s="11"/>
      <c r="WX81" s="11"/>
      <c r="WY81" s="11"/>
      <c r="WZ81" s="11"/>
      <c r="XA81" s="11"/>
      <c r="XB81" s="11"/>
      <c r="XC81" s="11"/>
      <c r="XD81" s="11"/>
      <c r="XE81" s="11"/>
      <c r="XF81" s="11"/>
      <c r="XG81" s="11"/>
      <c r="XH81" s="11"/>
      <c r="XI81" s="11"/>
      <c r="XJ81" s="11"/>
      <c r="XK81" s="11"/>
      <c r="XL81" s="11"/>
      <c r="XM81" s="11"/>
      <c r="XN81" s="11"/>
      <c r="XO81" s="11"/>
      <c r="XP81" s="11"/>
      <c r="XQ81" s="11"/>
      <c r="XR81" s="11"/>
      <c r="XS81" s="11"/>
      <c r="XT81" s="11"/>
      <c r="XU81" s="11"/>
      <c r="XV81" s="11"/>
      <c r="XW81" s="11"/>
      <c r="XX81" s="11"/>
      <c r="XY81" s="11"/>
      <c r="XZ81" s="11"/>
      <c r="YA81" s="11"/>
      <c r="YB81" s="11"/>
      <c r="YC81" s="11"/>
      <c r="YD81" s="11"/>
      <c r="YE81" s="11"/>
      <c r="YF81" s="11"/>
      <c r="YG81" s="11"/>
      <c r="YH81" s="11"/>
      <c r="YI81" s="11"/>
      <c r="YJ81" s="11"/>
      <c r="YK81" s="11"/>
      <c r="YL81" s="11"/>
      <c r="YM81" s="11"/>
      <c r="YN81" s="11"/>
      <c r="YO81" s="11"/>
      <c r="YP81" s="11"/>
      <c r="YQ81" s="11"/>
      <c r="YR81" s="11"/>
      <c r="YS81" s="11"/>
      <c r="YT81" s="11"/>
      <c r="YU81" s="11"/>
      <c r="YV81" s="11"/>
      <c r="YW81" s="11"/>
      <c r="YX81" s="11"/>
      <c r="YY81" s="11"/>
      <c r="YZ81" s="11"/>
      <c r="ZA81" s="11"/>
      <c r="ZB81" s="11"/>
      <c r="ZC81" s="11"/>
      <c r="ZD81" s="11"/>
      <c r="ZE81" s="11"/>
      <c r="ZF81" s="11"/>
      <c r="ZG81" s="11"/>
      <c r="ZH81" s="11"/>
      <c r="ZI81" s="11"/>
      <c r="ZJ81" s="11"/>
      <c r="ZK81" s="11"/>
      <c r="ZL81" s="11"/>
      <c r="ZM81" s="11"/>
      <c r="ZN81" s="11"/>
      <c r="ZO81" s="11"/>
      <c r="ZP81" s="11"/>
      <c r="ZQ81" s="11"/>
      <c r="ZR81" s="11"/>
      <c r="ZS81" s="11"/>
      <c r="ZT81" s="11"/>
      <c r="ZU81" s="11"/>
      <c r="ZV81" s="11"/>
      <c r="ZW81" s="11"/>
      <c r="ZX81" s="11"/>
      <c r="ZY81" s="11"/>
      <c r="ZZ81" s="11"/>
      <c r="AAA81" s="11"/>
      <c r="AAB81" s="11"/>
      <c r="AAC81" s="11"/>
      <c r="AAD81" s="11"/>
      <c r="AAE81" s="11"/>
      <c r="AAF81" s="11"/>
      <c r="AAG81" s="11"/>
      <c r="AAH81" s="11"/>
      <c r="AAI81" s="11"/>
      <c r="AAJ81" s="11"/>
      <c r="AAK81" s="11"/>
      <c r="AAL81" s="11"/>
      <c r="AAM81" s="11"/>
      <c r="AAN81" s="11"/>
      <c r="AAO81" s="11"/>
      <c r="AAP81" s="11"/>
      <c r="AAQ81" s="11"/>
      <c r="AAR81" s="11"/>
      <c r="AAS81" s="11"/>
      <c r="AAT81" s="11"/>
      <c r="AAU81" s="11"/>
      <c r="AAV81" s="11"/>
      <c r="AAW81" s="11"/>
      <c r="AAX81" s="11"/>
      <c r="AAY81" s="11"/>
      <c r="AAZ81" s="11"/>
      <c r="ABA81" s="11"/>
      <c r="ABB81" s="11"/>
      <c r="ABC81" s="11"/>
      <c r="ABD81" s="11"/>
      <c r="ABE81" s="11"/>
      <c r="ABF81" s="11"/>
      <c r="ABG81" s="11"/>
      <c r="ABH81" s="11"/>
      <c r="ABI81" s="11"/>
      <c r="ABJ81" s="11"/>
      <c r="ABK81" s="11"/>
      <c r="ABL81" s="11"/>
      <c r="ABM81" s="11"/>
      <c r="ABN81" s="11"/>
      <c r="ABO81" s="11"/>
      <c r="ABP81" s="11"/>
      <c r="ABQ81" s="11"/>
      <c r="ABR81" s="11"/>
      <c r="ABS81" s="11"/>
      <c r="ABT81" s="11"/>
      <c r="ABU81" s="11"/>
      <c r="ABV81" s="11"/>
      <c r="ABW81" s="11"/>
      <c r="ABX81" s="11"/>
      <c r="ABY81" s="11"/>
      <c r="ABZ81" s="11"/>
      <c r="ACA81" s="11"/>
      <c r="ACB81" s="11"/>
      <c r="ACC81" s="11"/>
      <c r="ACD81" s="11"/>
      <c r="ACE81" s="11"/>
      <c r="ACF81" s="11"/>
      <c r="ACG81" s="11"/>
      <c r="ACH81" s="11"/>
      <c r="ACI81" s="11"/>
      <c r="ACJ81" s="11"/>
      <c r="ACK81" s="11"/>
      <c r="ACL81" s="11"/>
      <c r="ACM81" s="11"/>
      <c r="ACN81" s="11"/>
      <c r="ACO81" s="11"/>
      <c r="ACP81" s="11"/>
      <c r="ACQ81" s="11"/>
      <c r="ACR81" s="11"/>
      <c r="ACS81" s="11"/>
      <c r="ACT81" s="11"/>
      <c r="ACU81" s="11"/>
      <c r="ACV81" s="11"/>
      <c r="ACW81" s="11"/>
      <c r="ACX81" s="11"/>
      <c r="ACY81" s="11"/>
      <c r="ACZ81" s="11"/>
      <c r="ADA81" s="11"/>
      <c r="ADB81" s="11"/>
      <c r="ADC81" s="11"/>
      <c r="ADD81" s="11"/>
      <c r="ADE81" s="11"/>
      <c r="ADF81" s="11"/>
      <c r="ADG81" s="11"/>
      <c r="ADH81" s="11"/>
      <c r="ADI81" s="11"/>
      <c r="ADJ81" s="11"/>
      <c r="ADK81" s="11"/>
      <c r="ADL81" s="11"/>
      <c r="ADM81" s="11"/>
      <c r="ADN81" s="11"/>
      <c r="ADO81" s="11"/>
      <c r="ADP81" s="11"/>
      <c r="ADQ81" s="11"/>
      <c r="ADR81" s="11"/>
      <c r="ADS81" s="11"/>
      <c r="ADT81" s="11"/>
      <c r="ADU81" s="11"/>
      <c r="ADV81" s="11"/>
      <c r="ADW81" s="11"/>
      <c r="ADX81" s="11"/>
      <c r="ADY81" s="11"/>
      <c r="ADZ81" s="11"/>
      <c r="AEA81" s="11"/>
      <c r="AEB81" s="11"/>
      <c r="AEC81" s="11"/>
      <c r="AED81" s="11"/>
      <c r="AEE81" s="11"/>
      <c r="AEF81" s="11"/>
      <c r="AEG81" s="11"/>
      <c r="AEH81" s="11"/>
      <c r="AEI81" s="11"/>
      <c r="AEJ81" s="11"/>
      <c r="AEK81" s="11"/>
      <c r="AEL81" s="11"/>
      <c r="AEM81" s="11"/>
      <c r="AEN81" s="11"/>
      <c r="AEO81" s="11"/>
      <c r="AEP81" s="11"/>
      <c r="AEQ81" s="11"/>
      <c r="AER81" s="11"/>
      <c r="AES81" s="11"/>
      <c r="AET81" s="11"/>
      <c r="AEU81" s="11"/>
      <c r="AEV81" s="11"/>
      <c r="AEW81" s="11"/>
      <c r="AEX81" s="11"/>
      <c r="AEY81" s="11"/>
      <c r="AEZ81" s="11"/>
      <c r="AFA81" s="11"/>
      <c r="AFB81" s="11"/>
      <c r="AFC81" s="11"/>
      <c r="AFD81" s="11"/>
      <c r="AFE81" s="11"/>
      <c r="AFF81" s="11"/>
      <c r="AFG81" s="11"/>
      <c r="AFH81" s="11"/>
      <c r="AFI81" s="11"/>
    </row>
    <row r="82" spans="2:841">
      <c r="B82" s="11"/>
      <c r="C82" s="657"/>
      <c r="D82" s="289" t="s">
        <v>626</v>
      </c>
      <c r="E82" s="311">
        <f>SUMIFS(M_Datos!$N$41:$N$43,M_Datos!$O$41:$O$43,M_Lista!G20,M_Datos!$M$41:$M$43,M_Lista!$J$3)</f>
        <v>0</v>
      </c>
      <c r="F82" s="312" t="e">
        <f>IF(AND(M_FactoresComplement!$G$439="No",M_FactoresComplement!$G$441="No"),M_Cálculos_ND!E82*VLOOKUP(M_Datos!$E$12&amp;M_Cálculos_ND!D82,M_Factores!$M$10:$P$108,2,FALSE),IF(AND(M_FactoresComplement!$G$439="Sí",M_FactoresComplement!$G$441="No"),E82*M_FactoresComplement!G448,E82*VLOOKUP(M_FactoresComplement!$C$467&amp;M_Datos!$E$12&amp;M_Lista!G19,M_FactoresComplement!$F$446:$I$781,2,FALSE)))</f>
        <v>#N/A</v>
      </c>
      <c r="G82" s="313" t="e">
        <f>IF(AND(M_FactoresComplement!$G$439="No",M_FactoresComplement!$G$441="No"),M_Cálculos_ND!E82*VLOOKUP(M_Datos!$E$12&amp;M_Cálculos_ND!D82,M_Factores!$M$10:$P$108,3,FALSE),IF(AND(M_FactoresComplement!$G$439="Sí",M_FactoresComplement!$G$441="No"),E82*M_FactoresComplement!H448,E82*VLOOKUP(M_FactoresComplement!$C$467&amp;M_Datos!$E$12&amp;M_Lista!G19,M_FactoresComplement!$F$446:$I$781,3,FALSE)))</f>
        <v>#N/A</v>
      </c>
      <c r="H82" s="311">
        <f>SUMIFS(M_Datos!$P$41:$P$43,M_Datos!$Q$41:$Q$43,M_Lista!G20,M_Datos!$M$41:$M$43,M_Lista!$J$3)</f>
        <v>0</v>
      </c>
      <c r="I82" s="312" t="e">
        <f>IF(AND(M_FactoresComplement!$G$439="No",M_FactoresComplement!$G$441="No"),M_Cálculos_ND!H82*VLOOKUP(M_Datos!$E$12&amp;M_Cálculos_ND!D82,M_Factores!$M$10:$P$108,2,FALSE),IF(AND(M_FactoresComplement!$G$439="Sí",M_FactoresComplement!$G$441="No"),H82*M_FactoresComplement!G448,H82*VLOOKUP(M_FactoresComplement!$C$467&amp;M_Datos!$E$12&amp;M_Lista!G19,M_FactoresComplement!$F$446:$I$781,2,FALSE)))</f>
        <v>#N/A</v>
      </c>
      <c r="J82" s="313" t="e">
        <f>IF(AND(M_FactoresComplement!$G$439="No",M_FactoresComplement!$G$441="No"),M_Cálculos_ND!H82*VLOOKUP(M_Datos!$E$12&amp;M_Cálculos_ND!D82,M_Factores!$M$10:$P$108,3,FALSE),IF(AND(M_FactoresComplement!$G$439="Sí",M_FactoresComplement!$G$441="No"),H82*M_FactoresComplement!H448,H82*VLOOKUP(M_FactoresComplement!$C$467&amp;M_Datos!$E$12&amp;M_Lista!G19,M_FactoresComplement!$F$446:$I$781,3,FALSE)))</f>
        <v>#N/A</v>
      </c>
      <c r="K82" s="311">
        <f>SUMIFS(M_Datos!$R$41:$R$43,M_Datos!$S$41:$S$43,M_Lista!G20,M_Datos!$M$41:$M$43,M_Lista!$J$3)</f>
        <v>0</v>
      </c>
      <c r="L82" s="312" t="e">
        <f>IF(AND(M_FactoresComplement!$G$439="No",M_FactoresComplement!$G$441="No"),M_Cálculos_ND!K82*VLOOKUP(M_Datos!$E$12&amp;M_Cálculos_ND!D82,M_Factores!$M$10:$P$108,2,FALSE),IF(AND(M_FactoresComplement!$G$439="Sí",M_FactoresComplement!$G$441="No"),K82*M_FactoresComplement!G448,K82*VLOOKUP(M_FactoresComplement!$C$467&amp;M_Datos!$E$12&amp;M_Lista!G19,M_FactoresComplement!$F$446:$I$781,2,FALSE)))</f>
        <v>#N/A</v>
      </c>
      <c r="M82" s="313" t="e">
        <f>IF(AND(M_FactoresComplement!$G$439="No",M_FactoresComplement!$G$441="No"),M_Cálculos_ND!K82*VLOOKUP(M_Datos!$E$12&amp;M_Cálculos_ND!D82,M_Factores!$M$10:$P$108,3,FALSE),IF(AND(M_FactoresComplement!$G$439="Sí",M_FactoresComplement!$G$441="No"),K82*M_FactoresComplement!H448,K82*VLOOKUP(M_FactoresComplement!$C$467&amp;M_Datos!$E$12&amp;M_Lista!G19,M_FactoresComplement!$F$446:$I$781,3,FALSE)))</f>
        <v>#N/A</v>
      </c>
      <c r="N82" s="311">
        <f>SUMIFS(M_Datos!$T$41:$T$43,M_Datos!$U$41:$U$43,M_Lista!G20,M_Datos!$M$41:$M$43,M_Lista!$J$3)</f>
        <v>0</v>
      </c>
      <c r="O82" s="312" t="e">
        <f>IF(AND(M_FactoresComplement!$G$439="No",M_FactoresComplement!$G$441="No"),M_Cálculos_ND!N82*VLOOKUP(M_Datos!$E$12&amp;M_Cálculos_ND!D82,M_Factores!$M$10:$P$108,2,FALSE),IF(AND(M_FactoresComplement!$G$439="Sí",M_FactoresComplement!$G$441="No"),N82*M_FactoresComplement!G476,N82*VLOOKUP(M_FactoresComplement!$C$467&amp;M_Datos!$E$12&amp;M_Lista!G19,M_FactoresComplement!$F$446:$I$781,2,FALSE)))</f>
        <v>#N/A</v>
      </c>
      <c r="P82" s="313" t="e">
        <f>IF(AND(M_FactoresComplement!$G$439="No",M_FactoresComplement!$G$441="No"),M_Cálculos_ND!N82*VLOOKUP(M_Datos!$E$12&amp;M_Cálculos_ND!D82,M_Factores!$M$10:$P$108,3,FALSE),IF(AND(M_FactoresComplement!$G$439="Sí",M_FactoresComplement!$G$441="No"),N82*M_FactoresComplement!H476,N82*VLOOKUP(M_FactoresComplement!$C$467&amp;M_Datos!$E$12&amp;M_Lista!G19,M_FactoresComplement!$F$446:$I$781,3,FALSE)))</f>
        <v>#N/A</v>
      </c>
      <c r="Q82" s="311">
        <f>SUMIFS(M_Datos!$V$41:$V$43,M_Datos!$W$41:$W$43,M_Lista!G20,M_Datos!$M$41:$M$43,M_Lista!$J$3)</f>
        <v>0</v>
      </c>
      <c r="R82" s="312" t="e">
        <f>IF(AND(M_FactoresComplement!$G$439="No",M_FactoresComplement!$G$441="No"),M_Cálculos_ND!Q82*VLOOKUP(M_Datos!$E$12&amp;M_Cálculos_ND!D82,M_Factores!$M$10:$P$108,2,FALSE),IF(AND(M_FactoresComplement!$G$439="Sí",M_FactoresComplement!$G$441="No"),Q82*M_FactoresComplement!G448,Q82*VLOOKUP(M_FactoresComplement!$C$467&amp;M_Datos!$E$12&amp;M_Lista!G19,M_FactoresComplement!$F$446:$I$781,2,FALSE)))</f>
        <v>#N/A</v>
      </c>
      <c r="S82" s="313" t="e">
        <f>IF(AND(M_FactoresComplement!$G$439="No",M_FactoresComplement!$G$441="No"),M_Cálculos_ND!Q82*VLOOKUP(M_Datos!$E$12&amp;M_Cálculos_ND!D82,M_Factores!$M$10:$P$108,3,FALSE),IF(AND(M_FactoresComplement!$G$439="Sí",M_FactoresComplement!$G$441="No"),Q82*M_FactoresComplement!H448,Q82*VLOOKUP(M_FactoresComplement!$C$467&amp;M_Datos!$E$12&amp;M_Lista!G19,M_FactoresComplement!$F$446:$I$781,3,FALSE)))</f>
        <v>#N/A</v>
      </c>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c r="JH82" s="11"/>
      <c r="JI82" s="11"/>
      <c r="JJ82" s="11"/>
      <c r="JK82" s="11"/>
      <c r="JL82" s="11"/>
      <c r="JM82" s="11"/>
      <c r="JN82" s="11"/>
      <c r="JO82" s="11"/>
      <c r="JP82" s="11"/>
      <c r="JQ82" s="11"/>
      <c r="JR82" s="11"/>
      <c r="JS82" s="11"/>
      <c r="JT82" s="11"/>
      <c r="JU82" s="11"/>
      <c r="JV82" s="11"/>
      <c r="JW82" s="11"/>
      <c r="JX82" s="11"/>
      <c r="JY82" s="11"/>
      <c r="JZ82" s="11"/>
      <c r="KA82" s="11"/>
      <c r="KB82" s="11"/>
      <c r="KC82" s="11"/>
      <c r="KD82" s="11"/>
      <c r="KE82" s="11"/>
      <c r="KF82" s="11"/>
      <c r="KG82" s="11"/>
      <c r="KH82" s="11"/>
      <c r="KI82" s="11"/>
      <c r="KJ82" s="11"/>
      <c r="KK82" s="11"/>
      <c r="KL82" s="11"/>
      <c r="KM82" s="11"/>
      <c r="KN82" s="11"/>
      <c r="KO82" s="11"/>
      <c r="KP82" s="11"/>
      <c r="KQ82" s="11"/>
      <c r="KR82" s="11"/>
      <c r="KS82" s="11"/>
      <c r="KT82" s="11"/>
      <c r="KU82" s="11"/>
      <c r="KV82" s="11"/>
      <c r="KW82" s="11"/>
      <c r="KX82" s="11"/>
      <c r="KY82" s="11"/>
      <c r="KZ82" s="11"/>
      <c r="LA82" s="11"/>
      <c r="LB82" s="11"/>
      <c r="LC82" s="11"/>
      <c r="LD82" s="11"/>
      <c r="LE82" s="11"/>
      <c r="LF82" s="11"/>
      <c r="LG82" s="11"/>
      <c r="LH82" s="11"/>
      <c r="LI82" s="11"/>
      <c r="LJ82" s="11"/>
      <c r="LK82" s="11"/>
      <c r="LL82" s="11"/>
      <c r="LM82" s="11"/>
      <c r="LN82" s="11"/>
      <c r="LO82" s="11"/>
      <c r="LP82" s="11"/>
      <c r="LQ82" s="11"/>
      <c r="LR82" s="11"/>
      <c r="LS82" s="11"/>
      <c r="LT82" s="11"/>
      <c r="LU82" s="11"/>
      <c r="LV82" s="11"/>
      <c r="LW82" s="11"/>
      <c r="LX82" s="11"/>
      <c r="LY82" s="11"/>
      <c r="LZ82" s="11"/>
      <c r="MA82" s="11"/>
      <c r="MB82" s="11"/>
      <c r="MC82" s="11"/>
      <c r="MD82" s="11"/>
      <c r="ME82" s="11"/>
      <c r="MF82" s="11"/>
      <c r="MG82" s="11"/>
      <c r="MH82" s="11"/>
      <c r="MI82" s="11"/>
      <c r="MJ82" s="11"/>
      <c r="MK82" s="11"/>
      <c r="ML82" s="11"/>
      <c r="MM82" s="11"/>
      <c r="MN82" s="11"/>
      <c r="MO82" s="11"/>
      <c r="MP82" s="11"/>
      <c r="MQ82" s="11"/>
      <c r="MR82" s="11"/>
      <c r="MS82" s="11"/>
      <c r="MT82" s="11"/>
      <c r="MU82" s="11"/>
      <c r="MV82" s="11"/>
      <c r="MW82" s="11"/>
      <c r="MX82" s="11"/>
      <c r="MY82" s="11"/>
      <c r="MZ82" s="11"/>
      <c r="NA82" s="11"/>
      <c r="NB82" s="11"/>
      <c r="NC82" s="11"/>
      <c r="ND82" s="11"/>
      <c r="NE82" s="11"/>
      <c r="NF82" s="11"/>
      <c r="NG82" s="11"/>
      <c r="NH82" s="11"/>
      <c r="NI82" s="11"/>
      <c r="NJ82" s="11"/>
      <c r="NK82" s="11"/>
      <c r="NL82" s="11"/>
      <c r="NM82" s="11"/>
      <c r="NN82" s="11"/>
      <c r="NO82" s="11"/>
      <c r="NP82" s="11"/>
      <c r="NQ82" s="11"/>
      <c r="NR82" s="11"/>
      <c r="NS82" s="11"/>
      <c r="NT82" s="11"/>
      <c r="NU82" s="11"/>
      <c r="NV82" s="11"/>
      <c r="NW82" s="11"/>
      <c r="NX82" s="11"/>
      <c r="NY82" s="11"/>
      <c r="NZ82" s="11"/>
      <c r="OA82" s="11"/>
      <c r="OB82" s="11"/>
      <c r="OC82" s="11"/>
      <c r="OD82" s="11"/>
      <c r="OE82" s="11"/>
      <c r="OF82" s="11"/>
      <c r="OG82" s="11"/>
      <c r="OH82" s="11"/>
      <c r="OI82" s="11"/>
      <c r="OJ82" s="11"/>
      <c r="OK82" s="11"/>
      <c r="OL82" s="11"/>
      <c r="OM82" s="11"/>
      <c r="ON82" s="11"/>
      <c r="OO82" s="11"/>
      <c r="OP82" s="11"/>
      <c r="OQ82" s="11"/>
      <c r="OR82" s="11"/>
      <c r="OS82" s="11"/>
      <c r="OT82" s="11"/>
      <c r="OU82" s="11"/>
      <c r="OV82" s="11"/>
      <c r="OW82" s="11"/>
      <c r="OX82" s="11"/>
      <c r="OY82" s="11"/>
      <c r="OZ82" s="11"/>
      <c r="PA82" s="11"/>
      <c r="PB82" s="11"/>
      <c r="PC82" s="11"/>
      <c r="PD82" s="11"/>
      <c r="PE82" s="11"/>
      <c r="PF82" s="11"/>
      <c r="PG82" s="11"/>
      <c r="PH82" s="11"/>
      <c r="PI82" s="11"/>
      <c r="PJ82" s="11"/>
      <c r="PK82" s="11"/>
      <c r="PL82" s="11"/>
      <c r="PM82" s="11"/>
      <c r="PN82" s="11"/>
      <c r="PO82" s="11"/>
      <c r="PP82" s="11"/>
      <c r="PQ82" s="11"/>
      <c r="PR82" s="11"/>
      <c r="PS82" s="11"/>
      <c r="PT82" s="11"/>
      <c r="PU82" s="11"/>
      <c r="PV82" s="11"/>
      <c r="PW82" s="11"/>
      <c r="PX82" s="11"/>
      <c r="PY82" s="11"/>
      <c r="PZ82" s="11"/>
      <c r="QA82" s="11"/>
      <c r="QB82" s="11"/>
      <c r="QC82" s="11"/>
      <c r="QD82" s="11"/>
      <c r="QE82" s="11"/>
      <c r="QF82" s="11"/>
      <c r="QG82" s="11"/>
      <c r="QH82" s="11"/>
      <c r="QI82" s="11"/>
      <c r="QJ82" s="11"/>
      <c r="QK82" s="11"/>
      <c r="QL82" s="11"/>
      <c r="QM82" s="11"/>
      <c r="QN82" s="11"/>
      <c r="QO82" s="11"/>
      <c r="QP82" s="11"/>
      <c r="QQ82" s="11"/>
      <c r="QR82" s="11"/>
      <c r="QS82" s="11"/>
      <c r="QT82" s="11"/>
      <c r="QU82" s="11"/>
      <c r="QV82" s="11"/>
      <c r="QW82" s="11"/>
      <c r="QX82" s="11"/>
      <c r="QY82" s="11"/>
      <c r="QZ82" s="11"/>
      <c r="RA82" s="11"/>
      <c r="RB82" s="11"/>
      <c r="RC82" s="11"/>
      <c r="RD82" s="11"/>
      <c r="RE82" s="11"/>
      <c r="RF82" s="11"/>
      <c r="RG82" s="11"/>
      <c r="RH82" s="11"/>
      <c r="RI82" s="11"/>
      <c r="RJ82" s="11"/>
      <c r="RK82" s="11"/>
      <c r="RL82" s="11"/>
      <c r="RM82" s="11"/>
      <c r="RN82" s="11"/>
      <c r="RO82" s="11"/>
      <c r="RP82" s="11"/>
      <c r="RQ82" s="11"/>
      <c r="RR82" s="11"/>
      <c r="RS82" s="11"/>
      <c r="RT82" s="11"/>
      <c r="RU82" s="11"/>
      <c r="RV82" s="11"/>
      <c r="RW82" s="11"/>
      <c r="RX82" s="11"/>
      <c r="RY82" s="11"/>
      <c r="RZ82" s="11"/>
      <c r="SA82" s="11"/>
      <c r="SB82" s="11"/>
      <c r="SC82" s="11"/>
      <c r="SD82" s="11"/>
      <c r="SE82" s="11"/>
      <c r="SF82" s="11"/>
      <c r="SG82" s="11"/>
      <c r="SH82" s="11"/>
      <c r="SI82" s="11"/>
      <c r="SJ82" s="11"/>
      <c r="SK82" s="11"/>
      <c r="SL82" s="11"/>
      <c r="SM82" s="11"/>
      <c r="SN82" s="11"/>
      <c r="SO82" s="11"/>
      <c r="SP82" s="11"/>
      <c r="SQ82" s="11"/>
      <c r="SR82" s="11"/>
      <c r="SS82" s="11"/>
      <c r="ST82" s="11"/>
      <c r="SU82" s="11"/>
      <c r="SV82" s="11"/>
      <c r="SW82" s="11"/>
      <c r="SX82" s="11"/>
      <c r="SY82" s="11"/>
      <c r="SZ82" s="11"/>
      <c r="TA82" s="11"/>
      <c r="TB82" s="11"/>
      <c r="TC82" s="11"/>
      <c r="TD82" s="11"/>
      <c r="TE82" s="11"/>
      <c r="TF82" s="11"/>
      <c r="TG82" s="11"/>
      <c r="TH82" s="11"/>
      <c r="TI82" s="11"/>
      <c r="TJ82" s="11"/>
      <c r="TK82" s="11"/>
      <c r="TL82" s="11"/>
      <c r="TM82" s="11"/>
      <c r="TN82" s="11"/>
      <c r="TO82" s="11"/>
      <c r="TP82" s="11"/>
      <c r="TQ82" s="11"/>
      <c r="TR82" s="11"/>
      <c r="TS82" s="11"/>
      <c r="TT82" s="11"/>
      <c r="TU82" s="11"/>
      <c r="TV82" s="11"/>
      <c r="TW82" s="11"/>
      <c r="TX82" s="11"/>
      <c r="TY82" s="11"/>
      <c r="TZ82" s="11"/>
      <c r="UA82" s="11"/>
      <c r="UB82" s="11"/>
      <c r="UC82" s="11"/>
      <c r="UD82" s="11"/>
      <c r="UE82" s="11"/>
      <c r="UF82" s="11"/>
      <c r="UG82" s="11"/>
      <c r="UH82" s="11"/>
      <c r="UI82" s="11"/>
      <c r="UJ82" s="11"/>
      <c r="UK82" s="11"/>
      <c r="UL82" s="11"/>
      <c r="UM82" s="11"/>
      <c r="UN82" s="11"/>
      <c r="UO82" s="11"/>
      <c r="UP82" s="11"/>
      <c r="UQ82" s="11"/>
      <c r="UR82" s="11"/>
      <c r="US82" s="11"/>
      <c r="UT82" s="11"/>
      <c r="UU82" s="11"/>
      <c r="UV82" s="11"/>
      <c r="UW82" s="11"/>
      <c r="UX82" s="11"/>
      <c r="UY82" s="11"/>
      <c r="UZ82" s="11"/>
      <c r="VA82" s="11"/>
      <c r="VB82" s="11"/>
      <c r="VC82" s="11"/>
      <c r="VD82" s="11"/>
      <c r="VE82" s="11"/>
      <c r="VF82" s="11"/>
      <c r="VG82" s="11"/>
      <c r="VH82" s="11"/>
      <c r="VI82" s="11"/>
      <c r="VJ82" s="11"/>
      <c r="VK82" s="11"/>
      <c r="VL82" s="11"/>
      <c r="VM82" s="11"/>
      <c r="VN82" s="11"/>
      <c r="VO82" s="11"/>
      <c r="VP82" s="11"/>
      <c r="VQ82" s="11"/>
      <c r="VR82" s="11"/>
      <c r="VS82" s="11"/>
      <c r="VT82" s="11"/>
      <c r="VU82" s="11"/>
      <c r="VV82" s="11"/>
      <c r="VW82" s="11"/>
      <c r="VX82" s="11"/>
      <c r="VY82" s="11"/>
      <c r="VZ82" s="11"/>
      <c r="WA82" s="11"/>
      <c r="WB82" s="11"/>
      <c r="WC82" s="11"/>
      <c r="WD82" s="11"/>
      <c r="WE82" s="11"/>
      <c r="WF82" s="11"/>
      <c r="WG82" s="11"/>
      <c r="WH82" s="11"/>
      <c r="WI82" s="11"/>
      <c r="WJ82" s="11"/>
      <c r="WK82" s="11"/>
      <c r="WL82" s="11"/>
      <c r="WM82" s="11"/>
      <c r="WN82" s="11"/>
      <c r="WO82" s="11"/>
      <c r="WP82" s="11"/>
      <c r="WQ82" s="11"/>
      <c r="WR82" s="11"/>
      <c r="WS82" s="11"/>
      <c r="WT82" s="11"/>
      <c r="WU82" s="11"/>
      <c r="WV82" s="11"/>
      <c r="WW82" s="11"/>
      <c r="WX82" s="11"/>
      <c r="WY82" s="11"/>
      <c r="WZ82" s="11"/>
      <c r="XA82" s="11"/>
      <c r="XB82" s="11"/>
      <c r="XC82" s="11"/>
      <c r="XD82" s="11"/>
      <c r="XE82" s="11"/>
      <c r="XF82" s="11"/>
      <c r="XG82" s="11"/>
      <c r="XH82" s="11"/>
      <c r="XI82" s="11"/>
      <c r="XJ82" s="11"/>
      <c r="XK82" s="11"/>
      <c r="XL82" s="11"/>
      <c r="XM82" s="11"/>
      <c r="XN82" s="11"/>
      <c r="XO82" s="11"/>
      <c r="XP82" s="11"/>
      <c r="XQ82" s="11"/>
      <c r="XR82" s="11"/>
      <c r="XS82" s="11"/>
      <c r="XT82" s="11"/>
      <c r="XU82" s="11"/>
      <c r="XV82" s="11"/>
      <c r="XW82" s="11"/>
      <c r="XX82" s="11"/>
      <c r="XY82" s="11"/>
      <c r="XZ82" s="11"/>
      <c r="YA82" s="11"/>
      <c r="YB82" s="11"/>
      <c r="YC82" s="11"/>
      <c r="YD82" s="11"/>
      <c r="YE82" s="11"/>
      <c r="YF82" s="11"/>
      <c r="YG82" s="11"/>
      <c r="YH82" s="11"/>
      <c r="YI82" s="11"/>
      <c r="YJ82" s="11"/>
      <c r="YK82" s="11"/>
      <c r="YL82" s="11"/>
      <c r="YM82" s="11"/>
      <c r="YN82" s="11"/>
      <c r="YO82" s="11"/>
      <c r="YP82" s="11"/>
      <c r="YQ82" s="11"/>
      <c r="YR82" s="11"/>
      <c r="YS82" s="11"/>
      <c r="YT82" s="11"/>
      <c r="YU82" s="11"/>
      <c r="YV82" s="11"/>
      <c r="YW82" s="11"/>
      <c r="YX82" s="11"/>
      <c r="YY82" s="11"/>
      <c r="YZ82" s="11"/>
      <c r="ZA82" s="11"/>
      <c r="ZB82" s="11"/>
      <c r="ZC82" s="11"/>
      <c r="ZD82" s="11"/>
      <c r="ZE82" s="11"/>
      <c r="ZF82" s="11"/>
      <c r="ZG82" s="11"/>
      <c r="ZH82" s="11"/>
      <c r="ZI82" s="11"/>
      <c r="ZJ82" s="11"/>
      <c r="ZK82" s="11"/>
      <c r="ZL82" s="11"/>
      <c r="ZM82" s="11"/>
      <c r="ZN82" s="11"/>
      <c r="ZO82" s="11"/>
      <c r="ZP82" s="11"/>
      <c r="ZQ82" s="11"/>
      <c r="ZR82" s="11"/>
      <c r="ZS82" s="11"/>
      <c r="ZT82" s="11"/>
      <c r="ZU82" s="11"/>
      <c r="ZV82" s="11"/>
      <c r="ZW82" s="11"/>
      <c r="ZX82" s="11"/>
      <c r="ZY82" s="11"/>
      <c r="ZZ82" s="11"/>
      <c r="AAA82" s="11"/>
      <c r="AAB82" s="11"/>
      <c r="AAC82" s="11"/>
      <c r="AAD82" s="11"/>
      <c r="AAE82" s="11"/>
      <c r="AAF82" s="11"/>
      <c r="AAG82" s="11"/>
      <c r="AAH82" s="11"/>
      <c r="AAI82" s="11"/>
      <c r="AAJ82" s="11"/>
      <c r="AAK82" s="11"/>
      <c r="AAL82" s="11"/>
      <c r="AAM82" s="11"/>
      <c r="AAN82" s="11"/>
      <c r="AAO82" s="11"/>
      <c r="AAP82" s="11"/>
      <c r="AAQ82" s="11"/>
      <c r="AAR82" s="11"/>
      <c r="AAS82" s="11"/>
      <c r="AAT82" s="11"/>
      <c r="AAU82" s="11"/>
      <c r="AAV82" s="11"/>
      <c r="AAW82" s="11"/>
      <c r="AAX82" s="11"/>
      <c r="AAY82" s="11"/>
      <c r="AAZ82" s="11"/>
      <c r="ABA82" s="11"/>
      <c r="ABB82" s="11"/>
      <c r="ABC82" s="11"/>
      <c r="ABD82" s="11"/>
      <c r="ABE82" s="11"/>
      <c r="ABF82" s="11"/>
      <c r="ABG82" s="11"/>
      <c r="ABH82" s="11"/>
      <c r="ABI82" s="11"/>
      <c r="ABJ82" s="11"/>
      <c r="ABK82" s="11"/>
      <c r="ABL82" s="11"/>
      <c r="ABM82" s="11"/>
      <c r="ABN82" s="11"/>
      <c r="ABO82" s="11"/>
      <c r="ABP82" s="11"/>
      <c r="ABQ82" s="11"/>
      <c r="ABR82" s="11"/>
      <c r="ABS82" s="11"/>
      <c r="ABT82" s="11"/>
      <c r="ABU82" s="11"/>
      <c r="ABV82" s="11"/>
      <c r="ABW82" s="11"/>
      <c r="ABX82" s="11"/>
      <c r="ABY82" s="11"/>
      <c r="ABZ82" s="11"/>
      <c r="ACA82" s="11"/>
      <c r="ACB82" s="11"/>
      <c r="ACC82" s="11"/>
      <c r="ACD82" s="11"/>
      <c r="ACE82" s="11"/>
      <c r="ACF82" s="11"/>
      <c r="ACG82" s="11"/>
      <c r="ACH82" s="11"/>
      <c r="ACI82" s="11"/>
      <c r="ACJ82" s="11"/>
      <c r="ACK82" s="11"/>
      <c r="ACL82" s="11"/>
      <c r="ACM82" s="11"/>
      <c r="ACN82" s="11"/>
      <c r="ACO82" s="11"/>
      <c r="ACP82" s="11"/>
      <c r="ACQ82" s="11"/>
      <c r="ACR82" s="11"/>
      <c r="ACS82" s="11"/>
      <c r="ACT82" s="11"/>
      <c r="ACU82" s="11"/>
      <c r="ACV82" s="11"/>
      <c r="ACW82" s="11"/>
      <c r="ACX82" s="11"/>
      <c r="ACY82" s="11"/>
      <c r="ACZ82" s="11"/>
      <c r="ADA82" s="11"/>
      <c r="ADB82" s="11"/>
      <c r="ADC82" s="11"/>
      <c r="ADD82" s="11"/>
      <c r="ADE82" s="11"/>
      <c r="ADF82" s="11"/>
      <c r="ADG82" s="11"/>
      <c r="ADH82" s="11"/>
      <c r="ADI82" s="11"/>
      <c r="ADJ82" s="11"/>
      <c r="ADK82" s="11"/>
      <c r="ADL82" s="11"/>
      <c r="ADM82" s="11"/>
      <c r="ADN82" s="11"/>
      <c r="ADO82" s="11"/>
      <c r="ADP82" s="11"/>
      <c r="ADQ82" s="11"/>
      <c r="ADR82" s="11"/>
      <c r="ADS82" s="11"/>
      <c r="ADT82" s="11"/>
      <c r="ADU82" s="11"/>
      <c r="ADV82" s="11"/>
      <c r="ADW82" s="11"/>
      <c r="ADX82" s="11"/>
      <c r="ADY82" s="11"/>
      <c r="ADZ82" s="11"/>
      <c r="AEA82" s="11"/>
      <c r="AEB82" s="11"/>
      <c r="AEC82" s="11"/>
      <c r="AED82" s="11"/>
      <c r="AEE82" s="11"/>
      <c r="AEF82" s="11"/>
      <c r="AEG82" s="11"/>
      <c r="AEH82" s="11"/>
      <c r="AEI82" s="11"/>
      <c r="AEJ82" s="11"/>
      <c r="AEK82" s="11"/>
      <c r="AEL82" s="11"/>
      <c r="AEM82" s="11"/>
      <c r="AEN82" s="11"/>
      <c r="AEO82" s="11"/>
      <c r="AEP82" s="11"/>
      <c r="AEQ82" s="11"/>
      <c r="AER82" s="11"/>
      <c r="AES82" s="11"/>
      <c r="AET82" s="11"/>
      <c r="AEU82" s="11"/>
      <c r="AEV82" s="11"/>
      <c r="AEW82" s="11"/>
      <c r="AEX82" s="11"/>
      <c r="AEY82" s="11"/>
      <c r="AEZ82" s="11"/>
      <c r="AFA82" s="11"/>
      <c r="AFB82" s="11"/>
      <c r="AFC82" s="11"/>
      <c r="AFD82" s="11"/>
      <c r="AFE82" s="11"/>
      <c r="AFF82" s="11"/>
      <c r="AFG82" s="11"/>
      <c r="AFH82" s="11"/>
      <c r="AFI82" s="11"/>
    </row>
    <row r="83" spans="2:841">
      <c r="B83" s="11"/>
      <c r="C83" s="657"/>
      <c r="D83" s="289" t="s">
        <v>627</v>
      </c>
      <c r="E83" s="311">
        <f>SUMIFS(M_Datos!$N$41:$N$43,M_Datos!$O$41:$O$43,M_Lista!G21,M_Datos!$M$41:$M$43,M_Lista!$J$3)</f>
        <v>0</v>
      </c>
      <c r="F83" s="312" t="e">
        <f>IF(AND(M_FactoresComplement!$G$439="No",M_FactoresComplement!$G$441="No"),M_Cálculos_ND!E83*VLOOKUP(M_Datos!$E$12&amp;M_Cálculos_ND!D83,M_Factores!$M$10:$P$108,2,FALSE),IF(AND(M_FactoresComplement!$G$439="Sí",M_FactoresComplement!$G$441="No"),E83*M_FactoresComplement!G449,E83*VLOOKUP(M_FactoresComplement!$C$467&amp;M_Datos!$E$12&amp;M_Lista!G20,M_FactoresComplement!$F$446:$I$781,2,FALSE)))</f>
        <v>#N/A</v>
      </c>
      <c r="G83" s="313" t="e">
        <f>IF(AND(M_FactoresComplement!$G$439="No",M_FactoresComplement!$G$441="No"),M_Cálculos_ND!E83*VLOOKUP(M_Datos!$E$12&amp;M_Cálculos_ND!D83,M_Factores!$M$10:$P$108,3,FALSE),IF(AND(M_FactoresComplement!$G$439="Sí",M_FactoresComplement!$G$441="No"),E83*M_FactoresComplement!H449,E83*VLOOKUP(M_FactoresComplement!$C$467&amp;M_Datos!$E$12&amp;M_Lista!G20,M_FactoresComplement!$F$446:$I$781,3,FALSE)))</f>
        <v>#N/A</v>
      </c>
      <c r="H83" s="311">
        <f>SUMIFS(M_Datos!$P$41:$P$43,M_Datos!$Q$41:$Q$43,M_Lista!G21,M_Datos!$M$41:$M$43,M_Lista!$J$3)</f>
        <v>0</v>
      </c>
      <c r="I83" s="312" t="e">
        <f>IF(AND(M_FactoresComplement!$G$439="No",M_FactoresComplement!$G$441="No"),M_Cálculos_ND!H83*VLOOKUP(M_Datos!$E$12&amp;M_Cálculos_ND!D83,M_Factores!$M$10:$P$108,2,FALSE),IF(AND(M_FactoresComplement!$G$439="Sí",M_FactoresComplement!$G$441="No"),H83*M_FactoresComplement!G449,H83*VLOOKUP(M_FactoresComplement!$C$467&amp;M_Datos!$E$12&amp;M_Lista!G20,M_FactoresComplement!$F$446:$I$781,2,FALSE)))</f>
        <v>#N/A</v>
      </c>
      <c r="J83" s="313" t="e">
        <f>IF(AND(M_FactoresComplement!$G$439="No",M_FactoresComplement!$G$441="No"),M_Cálculos_ND!H83*VLOOKUP(M_Datos!$E$12&amp;M_Cálculos_ND!D83,M_Factores!$M$10:$P$108,3,FALSE),IF(AND(M_FactoresComplement!$G$439="Sí",M_FactoresComplement!$G$441="No"),H83*M_FactoresComplement!H449,H83*VLOOKUP(M_FactoresComplement!$C$467&amp;M_Datos!$E$12&amp;M_Lista!G20,M_FactoresComplement!$F$446:$I$781,3,FALSE)))</f>
        <v>#N/A</v>
      </c>
      <c r="K83" s="311">
        <f>SUMIFS(M_Datos!$R$41:$R$43,M_Datos!$S$41:$S$43,M_Lista!G21,M_Datos!$M$41:$M$43,M_Lista!$J$3)</f>
        <v>0</v>
      </c>
      <c r="L83" s="312" t="e">
        <f>IF(AND(M_FactoresComplement!$G$439="No",M_FactoresComplement!$G$441="No"),M_Cálculos_ND!K83*VLOOKUP(M_Datos!$E$12&amp;M_Cálculos_ND!D83,M_Factores!$M$10:$P$108,2,FALSE),IF(AND(M_FactoresComplement!$G$439="Sí",M_FactoresComplement!$G$441="No"),K83*M_FactoresComplement!G449,K83*VLOOKUP(M_FactoresComplement!$C$467&amp;M_Datos!$E$12&amp;M_Lista!G20,M_FactoresComplement!$F$446:$I$781,2,FALSE)))</f>
        <v>#N/A</v>
      </c>
      <c r="M83" s="313" t="e">
        <f>IF(AND(M_FactoresComplement!$G$439="No",M_FactoresComplement!$G$441="No"),M_Cálculos_ND!K83*VLOOKUP(M_Datos!$E$12&amp;M_Cálculos_ND!D83,M_Factores!$M$10:$P$108,3,FALSE),IF(AND(M_FactoresComplement!$G$439="Sí",M_FactoresComplement!$G$441="No"),K83*M_FactoresComplement!H449,K83*VLOOKUP(M_FactoresComplement!$C$467&amp;M_Datos!$E$12&amp;M_Lista!G20,M_FactoresComplement!$F$446:$I$781,3,FALSE)))</f>
        <v>#N/A</v>
      </c>
      <c r="N83" s="311">
        <f>SUMIFS(M_Datos!$T$41:$T$43,M_Datos!$U$41:$U$43,M_Lista!G21,M_Datos!$M$41:$M$43,M_Lista!$J$3)</f>
        <v>0</v>
      </c>
      <c r="O83" s="312" t="e">
        <f>IF(AND(M_FactoresComplement!$G$439="No",M_FactoresComplement!$G$441="No"),M_Cálculos_ND!N83*VLOOKUP(M_Datos!$E$12&amp;M_Cálculos_ND!D83,M_Factores!$M$10:$P$108,2,FALSE),IF(AND(M_FactoresComplement!$G$439="Sí",M_FactoresComplement!$G$441="No"),N83*M_FactoresComplement!G477,N83*VLOOKUP(M_FactoresComplement!$C$467&amp;M_Datos!$E$12&amp;M_Lista!G20,M_FactoresComplement!$F$446:$I$781,2,FALSE)))</f>
        <v>#N/A</v>
      </c>
      <c r="P83" s="313" t="e">
        <f>IF(AND(M_FactoresComplement!$G$439="No",M_FactoresComplement!$G$441="No"),M_Cálculos_ND!N83*VLOOKUP(M_Datos!$E$12&amp;M_Cálculos_ND!D83,M_Factores!$M$10:$P$108,3,FALSE),IF(AND(M_FactoresComplement!$G$439="Sí",M_FactoresComplement!$G$441="No"),N83*M_FactoresComplement!H477,N83*VLOOKUP(M_FactoresComplement!$C$467&amp;M_Datos!$E$12&amp;M_Lista!G20,M_FactoresComplement!$F$446:$I$781,3,FALSE)))</f>
        <v>#N/A</v>
      </c>
      <c r="Q83" s="311">
        <f>SUMIFS(M_Datos!$V$41:$V$43,M_Datos!$W$41:$W$43,M_Lista!G21,M_Datos!$M$41:$M$43,M_Lista!$J$3)</f>
        <v>0</v>
      </c>
      <c r="R83" s="312" t="e">
        <f>IF(AND(M_FactoresComplement!$G$439="No",M_FactoresComplement!$G$441="No"),M_Cálculos_ND!Q83*VLOOKUP(M_Datos!$E$12&amp;M_Cálculos_ND!D83,M_Factores!$M$10:$P$108,2,FALSE),IF(AND(M_FactoresComplement!$G$439="Sí",M_FactoresComplement!$G$441="No"),Q83*M_FactoresComplement!G449,Q83*VLOOKUP(M_FactoresComplement!$C$467&amp;M_Datos!$E$12&amp;M_Lista!G20,M_FactoresComplement!$F$446:$I$781,2,FALSE)))</f>
        <v>#N/A</v>
      </c>
      <c r="S83" s="313" t="e">
        <f>IF(AND(M_FactoresComplement!$G$439="No",M_FactoresComplement!$G$441="No"),M_Cálculos_ND!Q83*VLOOKUP(M_Datos!$E$12&amp;M_Cálculos_ND!D83,M_Factores!$M$10:$P$108,3,FALSE),IF(AND(M_FactoresComplement!$G$439="Sí",M_FactoresComplement!$G$441="No"),Q83*M_FactoresComplement!H449,Q83*VLOOKUP(M_FactoresComplement!$C$467&amp;M_Datos!$E$12&amp;M_Lista!G20,M_FactoresComplement!$F$446:$I$781,3,FALSE)))</f>
        <v>#N/A</v>
      </c>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c r="KE83" s="11"/>
      <c r="KF83" s="11"/>
      <c r="KG83" s="11"/>
      <c r="KH83" s="11"/>
      <c r="KI83" s="11"/>
      <c r="KJ83" s="11"/>
      <c r="KK83" s="11"/>
      <c r="KL83" s="11"/>
      <c r="KM83" s="11"/>
      <c r="KN83" s="11"/>
      <c r="KO83" s="11"/>
      <c r="KP83" s="11"/>
      <c r="KQ83" s="11"/>
      <c r="KR83" s="11"/>
      <c r="KS83" s="11"/>
      <c r="KT83" s="11"/>
      <c r="KU83" s="11"/>
      <c r="KV83" s="11"/>
      <c r="KW83" s="11"/>
      <c r="KX83" s="11"/>
      <c r="KY83" s="11"/>
      <c r="KZ83" s="11"/>
      <c r="LA83" s="11"/>
      <c r="LB83" s="11"/>
      <c r="LC83" s="11"/>
      <c r="LD83" s="11"/>
      <c r="LE83" s="11"/>
      <c r="LF83" s="11"/>
      <c r="LG83" s="11"/>
      <c r="LH83" s="11"/>
      <c r="LI83" s="11"/>
      <c r="LJ83" s="11"/>
      <c r="LK83" s="11"/>
      <c r="LL83" s="11"/>
      <c r="LM83" s="11"/>
      <c r="LN83" s="11"/>
      <c r="LO83" s="11"/>
      <c r="LP83" s="11"/>
      <c r="LQ83" s="11"/>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c r="PE83" s="11"/>
      <c r="PF83" s="11"/>
      <c r="PG83" s="11"/>
      <c r="PH83" s="11"/>
      <c r="PI83" s="11"/>
      <c r="PJ83" s="11"/>
      <c r="PK83" s="11"/>
      <c r="PL83" s="11"/>
      <c r="PM83" s="11"/>
      <c r="PN83" s="11"/>
      <c r="PO83" s="11"/>
      <c r="PP83" s="11"/>
      <c r="PQ83" s="11"/>
      <c r="PR83" s="11"/>
      <c r="PS83" s="11"/>
      <c r="PT83" s="11"/>
      <c r="PU83" s="11"/>
      <c r="PV83" s="11"/>
      <c r="PW83" s="11"/>
      <c r="PX83" s="11"/>
      <c r="PY83" s="11"/>
      <c r="PZ83" s="11"/>
      <c r="QA83" s="11"/>
      <c r="QB83" s="11"/>
      <c r="QC83" s="11"/>
      <c r="QD83" s="11"/>
      <c r="QE83" s="11"/>
      <c r="QF83" s="11"/>
      <c r="QG83" s="11"/>
      <c r="QH83" s="11"/>
      <c r="QI83" s="11"/>
      <c r="QJ83" s="11"/>
      <c r="QK83" s="11"/>
      <c r="QL83" s="11"/>
      <c r="QM83" s="11"/>
      <c r="QN83" s="11"/>
      <c r="QO83" s="11"/>
      <c r="QP83" s="11"/>
      <c r="QQ83" s="11"/>
      <c r="QR83" s="11"/>
      <c r="QS83" s="11"/>
      <c r="QT83" s="11"/>
      <c r="QU83" s="11"/>
      <c r="QV83" s="11"/>
      <c r="QW83" s="11"/>
      <c r="QX83" s="11"/>
      <c r="QY83" s="11"/>
      <c r="QZ83" s="11"/>
      <c r="RA83" s="11"/>
      <c r="RB83" s="11"/>
      <c r="RC83" s="11"/>
      <c r="RD83" s="11"/>
      <c r="RE83" s="11"/>
      <c r="RF83" s="11"/>
      <c r="RG83" s="11"/>
      <c r="RH83" s="11"/>
      <c r="RI83" s="11"/>
      <c r="RJ83" s="11"/>
      <c r="RK83" s="11"/>
      <c r="RL83" s="11"/>
      <c r="RM83" s="11"/>
      <c r="RN83" s="11"/>
      <c r="RO83" s="11"/>
      <c r="RP83" s="11"/>
      <c r="RQ83" s="11"/>
      <c r="RR83" s="11"/>
      <c r="RS83" s="11"/>
      <c r="RT83" s="11"/>
      <c r="RU83" s="11"/>
      <c r="RV83" s="11"/>
      <c r="RW83" s="11"/>
      <c r="RX83" s="11"/>
      <c r="RY83" s="11"/>
      <c r="RZ83" s="11"/>
      <c r="SA83" s="11"/>
      <c r="SB83" s="11"/>
      <c r="SC83" s="11"/>
      <c r="SD83" s="11"/>
      <c r="SE83" s="11"/>
      <c r="SF83" s="11"/>
      <c r="SG83" s="11"/>
      <c r="SH83" s="11"/>
      <c r="SI83" s="11"/>
      <c r="SJ83" s="11"/>
      <c r="SK83" s="11"/>
      <c r="SL83" s="11"/>
      <c r="SM83" s="11"/>
      <c r="SN83" s="11"/>
      <c r="SO83" s="11"/>
      <c r="SP83" s="11"/>
      <c r="SQ83" s="11"/>
      <c r="SR83" s="11"/>
      <c r="SS83" s="11"/>
      <c r="ST83" s="11"/>
      <c r="SU83" s="11"/>
      <c r="SV83" s="11"/>
      <c r="SW83" s="11"/>
      <c r="SX83" s="11"/>
      <c r="SY83" s="11"/>
      <c r="SZ83" s="11"/>
      <c r="TA83" s="11"/>
      <c r="TB83" s="11"/>
      <c r="TC83" s="11"/>
      <c r="TD83" s="11"/>
      <c r="TE83" s="11"/>
      <c r="TF83" s="11"/>
      <c r="TG83" s="11"/>
      <c r="TH83" s="11"/>
      <c r="TI83" s="11"/>
      <c r="TJ83" s="11"/>
      <c r="TK83" s="11"/>
      <c r="TL83" s="11"/>
      <c r="TM83" s="11"/>
      <c r="TN83" s="11"/>
      <c r="TO83" s="11"/>
      <c r="TP83" s="11"/>
      <c r="TQ83" s="11"/>
      <c r="TR83" s="11"/>
      <c r="TS83" s="11"/>
      <c r="TT83" s="11"/>
      <c r="TU83" s="11"/>
      <c r="TV83" s="11"/>
      <c r="TW83" s="11"/>
      <c r="TX83" s="11"/>
      <c r="TY83" s="11"/>
      <c r="TZ83" s="11"/>
      <c r="UA83" s="11"/>
      <c r="UB83" s="11"/>
      <c r="UC83" s="11"/>
      <c r="UD83" s="11"/>
      <c r="UE83" s="11"/>
      <c r="UF83" s="11"/>
      <c r="UG83" s="11"/>
      <c r="UH83" s="11"/>
      <c r="UI83" s="11"/>
      <c r="UJ83" s="11"/>
      <c r="UK83" s="11"/>
      <c r="UL83" s="11"/>
      <c r="UM83" s="11"/>
      <c r="UN83" s="11"/>
      <c r="UO83" s="11"/>
      <c r="UP83" s="11"/>
      <c r="UQ83" s="11"/>
      <c r="UR83" s="11"/>
      <c r="US83" s="11"/>
      <c r="UT83" s="11"/>
      <c r="UU83" s="11"/>
      <c r="UV83" s="11"/>
      <c r="UW83" s="11"/>
      <c r="UX83" s="11"/>
      <c r="UY83" s="11"/>
      <c r="UZ83" s="11"/>
      <c r="VA83" s="11"/>
      <c r="VB83" s="11"/>
      <c r="VC83" s="11"/>
      <c r="VD83" s="11"/>
      <c r="VE83" s="11"/>
      <c r="VF83" s="11"/>
      <c r="VG83" s="11"/>
      <c r="VH83" s="11"/>
      <c r="VI83" s="11"/>
      <c r="VJ83" s="11"/>
      <c r="VK83" s="11"/>
      <c r="VL83" s="11"/>
      <c r="VM83" s="11"/>
      <c r="VN83" s="11"/>
      <c r="VO83" s="11"/>
      <c r="VP83" s="11"/>
      <c r="VQ83" s="11"/>
      <c r="VR83" s="11"/>
      <c r="VS83" s="11"/>
      <c r="VT83" s="11"/>
      <c r="VU83" s="11"/>
      <c r="VV83" s="11"/>
      <c r="VW83" s="11"/>
      <c r="VX83" s="11"/>
      <c r="VY83" s="11"/>
      <c r="VZ83" s="11"/>
      <c r="WA83" s="11"/>
      <c r="WB83" s="11"/>
      <c r="WC83" s="11"/>
      <c r="WD83" s="11"/>
      <c r="WE83" s="11"/>
      <c r="WF83" s="11"/>
      <c r="WG83" s="11"/>
      <c r="WH83" s="11"/>
      <c r="WI83" s="11"/>
      <c r="WJ83" s="11"/>
      <c r="WK83" s="11"/>
      <c r="WL83" s="11"/>
      <c r="WM83" s="11"/>
      <c r="WN83" s="11"/>
      <c r="WO83" s="11"/>
      <c r="WP83" s="11"/>
      <c r="WQ83" s="11"/>
      <c r="WR83" s="11"/>
      <c r="WS83" s="11"/>
      <c r="WT83" s="11"/>
      <c r="WU83" s="11"/>
      <c r="WV83" s="11"/>
      <c r="WW83" s="11"/>
      <c r="WX83" s="11"/>
      <c r="WY83" s="11"/>
      <c r="WZ83" s="11"/>
      <c r="XA83" s="11"/>
      <c r="XB83" s="11"/>
      <c r="XC83" s="11"/>
      <c r="XD83" s="11"/>
      <c r="XE83" s="11"/>
      <c r="XF83" s="11"/>
      <c r="XG83" s="11"/>
      <c r="XH83" s="11"/>
      <c r="XI83" s="11"/>
      <c r="XJ83" s="11"/>
      <c r="XK83" s="11"/>
      <c r="XL83" s="11"/>
      <c r="XM83" s="11"/>
      <c r="XN83" s="11"/>
      <c r="XO83" s="11"/>
      <c r="XP83" s="11"/>
      <c r="XQ83" s="11"/>
      <c r="XR83" s="11"/>
      <c r="XS83" s="11"/>
      <c r="XT83" s="11"/>
      <c r="XU83" s="11"/>
      <c r="XV83" s="11"/>
      <c r="XW83" s="11"/>
      <c r="XX83" s="11"/>
      <c r="XY83" s="11"/>
      <c r="XZ83" s="11"/>
      <c r="YA83" s="11"/>
      <c r="YB83" s="11"/>
      <c r="YC83" s="11"/>
      <c r="YD83" s="11"/>
      <c r="YE83" s="11"/>
      <c r="YF83" s="11"/>
      <c r="YG83" s="11"/>
      <c r="YH83" s="11"/>
      <c r="YI83" s="11"/>
      <c r="YJ83" s="11"/>
      <c r="YK83" s="11"/>
      <c r="YL83" s="11"/>
      <c r="YM83" s="11"/>
      <c r="YN83" s="11"/>
      <c r="YO83" s="11"/>
      <c r="YP83" s="11"/>
      <c r="YQ83" s="11"/>
      <c r="YR83" s="11"/>
      <c r="YS83" s="11"/>
      <c r="YT83" s="11"/>
      <c r="YU83" s="11"/>
      <c r="YV83" s="11"/>
      <c r="YW83" s="11"/>
      <c r="YX83" s="11"/>
      <c r="YY83" s="11"/>
      <c r="YZ83" s="11"/>
      <c r="ZA83" s="11"/>
      <c r="ZB83" s="11"/>
      <c r="ZC83" s="11"/>
      <c r="ZD83" s="11"/>
      <c r="ZE83" s="11"/>
      <c r="ZF83" s="11"/>
      <c r="ZG83" s="11"/>
      <c r="ZH83" s="11"/>
      <c r="ZI83" s="11"/>
      <c r="ZJ83" s="11"/>
      <c r="ZK83" s="11"/>
      <c r="ZL83" s="11"/>
      <c r="ZM83" s="11"/>
      <c r="ZN83" s="11"/>
      <c r="ZO83" s="11"/>
      <c r="ZP83" s="11"/>
      <c r="ZQ83" s="11"/>
      <c r="ZR83" s="11"/>
      <c r="ZS83" s="11"/>
      <c r="ZT83" s="11"/>
      <c r="ZU83" s="11"/>
      <c r="ZV83" s="11"/>
      <c r="ZW83" s="11"/>
      <c r="ZX83" s="11"/>
      <c r="ZY83" s="11"/>
      <c r="ZZ83" s="11"/>
      <c r="AAA83" s="11"/>
      <c r="AAB83" s="11"/>
      <c r="AAC83" s="11"/>
      <c r="AAD83" s="11"/>
      <c r="AAE83" s="11"/>
      <c r="AAF83" s="11"/>
      <c r="AAG83" s="11"/>
      <c r="AAH83" s="11"/>
      <c r="AAI83" s="11"/>
      <c r="AAJ83" s="11"/>
      <c r="AAK83" s="11"/>
      <c r="AAL83" s="11"/>
      <c r="AAM83" s="11"/>
      <c r="AAN83" s="11"/>
      <c r="AAO83" s="11"/>
      <c r="AAP83" s="11"/>
      <c r="AAQ83" s="11"/>
      <c r="AAR83" s="11"/>
      <c r="AAS83" s="11"/>
      <c r="AAT83" s="11"/>
      <c r="AAU83" s="11"/>
      <c r="AAV83" s="11"/>
      <c r="AAW83" s="11"/>
      <c r="AAX83" s="11"/>
      <c r="AAY83" s="11"/>
      <c r="AAZ83" s="11"/>
      <c r="ABA83" s="11"/>
      <c r="ABB83" s="11"/>
      <c r="ABC83" s="11"/>
      <c r="ABD83" s="11"/>
      <c r="ABE83" s="11"/>
      <c r="ABF83" s="11"/>
      <c r="ABG83" s="11"/>
      <c r="ABH83" s="11"/>
      <c r="ABI83" s="11"/>
      <c r="ABJ83" s="11"/>
      <c r="ABK83" s="11"/>
      <c r="ABL83" s="11"/>
      <c r="ABM83" s="11"/>
      <c r="ABN83" s="11"/>
      <c r="ABO83" s="11"/>
      <c r="ABP83" s="11"/>
      <c r="ABQ83" s="11"/>
      <c r="ABR83" s="11"/>
      <c r="ABS83" s="11"/>
      <c r="ABT83" s="11"/>
      <c r="ABU83" s="11"/>
      <c r="ABV83" s="11"/>
      <c r="ABW83" s="11"/>
      <c r="ABX83" s="11"/>
      <c r="ABY83" s="11"/>
      <c r="ABZ83" s="11"/>
      <c r="ACA83" s="11"/>
      <c r="ACB83" s="11"/>
      <c r="ACC83" s="11"/>
      <c r="ACD83" s="11"/>
      <c r="ACE83" s="11"/>
      <c r="ACF83" s="11"/>
      <c r="ACG83" s="11"/>
      <c r="ACH83" s="11"/>
      <c r="ACI83" s="11"/>
      <c r="ACJ83" s="11"/>
      <c r="ACK83" s="11"/>
      <c r="ACL83" s="11"/>
      <c r="ACM83" s="11"/>
      <c r="ACN83" s="11"/>
      <c r="ACO83" s="11"/>
      <c r="ACP83" s="11"/>
      <c r="ACQ83" s="11"/>
      <c r="ACR83" s="11"/>
      <c r="ACS83" s="11"/>
      <c r="ACT83" s="11"/>
      <c r="ACU83" s="11"/>
      <c r="ACV83" s="11"/>
      <c r="ACW83" s="11"/>
      <c r="ACX83" s="11"/>
      <c r="ACY83" s="11"/>
      <c r="ACZ83" s="11"/>
      <c r="ADA83" s="11"/>
      <c r="ADB83" s="11"/>
      <c r="ADC83" s="11"/>
      <c r="ADD83" s="11"/>
      <c r="ADE83" s="11"/>
      <c r="ADF83" s="11"/>
      <c r="ADG83" s="11"/>
      <c r="ADH83" s="11"/>
      <c r="ADI83" s="11"/>
      <c r="ADJ83" s="11"/>
      <c r="ADK83" s="11"/>
      <c r="ADL83" s="11"/>
      <c r="ADM83" s="11"/>
      <c r="ADN83" s="11"/>
      <c r="ADO83" s="11"/>
      <c r="ADP83" s="11"/>
      <c r="ADQ83" s="11"/>
      <c r="ADR83" s="11"/>
      <c r="ADS83" s="11"/>
      <c r="ADT83" s="11"/>
      <c r="ADU83" s="11"/>
      <c r="ADV83" s="11"/>
      <c r="ADW83" s="11"/>
      <c r="ADX83" s="11"/>
      <c r="ADY83" s="11"/>
      <c r="ADZ83" s="11"/>
      <c r="AEA83" s="11"/>
      <c r="AEB83" s="11"/>
      <c r="AEC83" s="11"/>
      <c r="AED83" s="11"/>
      <c r="AEE83" s="11"/>
      <c r="AEF83" s="11"/>
      <c r="AEG83" s="11"/>
      <c r="AEH83" s="11"/>
      <c r="AEI83" s="11"/>
      <c r="AEJ83" s="11"/>
      <c r="AEK83" s="11"/>
      <c r="AEL83" s="11"/>
      <c r="AEM83" s="11"/>
      <c r="AEN83" s="11"/>
      <c r="AEO83" s="11"/>
      <c r="AEP83" s="11"/>
      <c r="AEQ83" s="11"/>
      <c r="AER83" s="11"/>
      <c r="AES83" s="11"/>
      <c r="AET83" s="11"/>
      <c r="AEU83" s="11"/>
      <c r="AEV83" s="11"/>
      <c r="AEW83" s="11"/>
      <c r="AEX83" s="11"/>
      <c r="AEY83" s="11"/>
      <c r="AEZ83" s="11"/>
      <c r="AFA83" s="11"/>
      <c r="AFB83" s="11"/>
      <c r="AFC83" s="11"/>
      <c r="AFD83" s="11"/>
      <c r="AFE83" s="11"/>
      <c r="AFF83" s="11"/>
      <c r="AFG83" s="11"/>
      <c r="AFH83" s="11"/>
      <c r="AFI83" s="11"/>
    </row>
    <row r="84" spans="2:841">
      <c r="B84" s="11"/>
      <c r="C84" s="657"/>
      <c r="D84" s="289" t="s">
        <v>628</v>
      </c>
      <c r="E84" s="311">
        <f>SUMIFS(M_Datos!$N$41:$N$43,M_Datos!$O$41:$O$43,M_Lista!G22,M_Datos!$M$41:$M$43,M_Lista!$J$3)</f>
        <v>0</v>
      </c>
      <c r="F84" s="312" t="e">
        <f>IF(AND(M_FactoresComplement!$G$439="No",M_FactoresComplement!$G$441="No"),M_Cálculos_ND!E84*VLOOKUP(M_Datos!$E$12&amp;M_Cálculos_ND!D84,M_Factores!$M$10:$P$108,2,FALSE),IF(AND(M_FactoresComplement!$G$439="Sí",M_FactoresComplement!$G$441="No"),E84*M_FactoresComplement!G450,E84*VLOOKUP(M_FactoresComplement!$C$467&amp;M_Datos!$E$12&amp;M_Lista!G21,M_FactoresComplement!$F$446:$I$781,2,FALSE)))</f>
        <v>#N/A</v>
      </c>
      <c r="G84" s="313" t="e">
        <f>IF(AND(M_FactoresComplement!$G$439="No",M_FactoresComplement!$G$441="No"),M_Cálculos_ND!E84*VLOOKUP(M_Datos!$E$12&amp;M_Cálculos_ND!D84,M_Factores!$M$10:$P$108,3,FALSE),IF(AND(M_FactoresComplement!$G$439="Sí",M_FactoresComplement!$G$441="No"),E84*M_FactoresComplement!H450,E84*VLOOKUP(M_FactoresComplement!$C$467&amp;M_Datos!$E$12&amp;M_Lista!G21,M_FactoresComplement!$F$446:$I$781,3,FALSE)))</f>
        <v>#N/A</v>
      </c>
      <c r="H84" s="311">
        <f>SUMIFS(M_Datos!$P$41:$P$43,M_Datos!$Q$41:$Q$43,M_Lista!G22,M_Datos!$M$41:$M$43,M_Lista!$J$3)</f>
        <v>0</v>
      </c>
      <c r="I84" s="312" t="e">
        <f>IF(AND(M_FactoresComplement!$G$439="No",M_FactoresComplement!$G$441="No"),M_Cálculos_ND!H84*VLOOKUP(M_Datos!$E$12&amp;M_Cálculos_ND!D84,M_Factores!$M$10:$P$108,2,FALSE),IF(AND(M_FactoresComplement!$G$439="Sí",M_FactoresComplement!$G$441="No"),H84*M_FactoresComplement!G450,H84*VLOOKUP(M_FactoresComplement!$C$467&amp;M_Datos!$E$12&amp;M_Lista!G21,M_FactoresComplement!$F$446:$I$781,2,FALSE)))</f>
        <v>#N/A</v>
      </c>
      <c r="J84" s="313" t="e">
        <f>IF(AND(M_FactoresComplement!$G$439="No",M_FactoresComplement!$G$441="No"),M_Cálculos_ND!H84*VLOOKUP(M_Datos!$E$12&amp;M_Cálculos_ND!D84,M_Factores!$M$10:$P$108,3,FALSE),IF(AND(M_FactoresComplement!$G$439="Sí",M_FactoresComplement!$G$441="No"),H84*M_FactoresComplement!H450,H84*VLOOKUP(M_FactoresComplement!$C$467&amp;M_Datos!$E$12&amp;M_Lista!G21,M_FactoresComplement!$F$446:$I$781,3,FALSE)))</f>
        <v>#N/A</v>
      </c>
      <c r="K84" s="311">
        <f>SUMIFS(M_Datos!$R$41:$R$43,M_Datos!$S$41:$S$43,M_Lista!G22,M_Datos!$M$41:$M$43,M_Lista!$J$3)</f>
        <v>0</v>
      </c>
      <c r="L84" s="312" t="e">
        <f>IF(AND(M_FactoresComplement!$G$439="No",M_FactoresComplement!$G$441="No"),M_Cálculos_ND!K84*VLOOKUP(M_Datos!$E$12&amp;M_Cálculos_ND!D84,M_Factores!$M$10:$P$108,2,FALSE),IF(AND(M_FactoresComplement!$G$439="Sí",M_FactoresComplement!$G$441="No"),K84*M_FactoresComplement!G450,K84*VLOOKUP(M_FactoresComplement!$C$467&amp;M_Datos!$E$12&amp;M_Lista!G21,M_FactoresComplement!$F$446:$I$781,2,FALSE)))</f>
        <v>#N/A</v>
      </c>
      <c r="M84" s="313" t="e">
        <f>IF(AND(M_FactoresComplement!$G$439="No",M_FactoresComplement!$G$441="No"),M_Cálculos_ND!K84*VLOOKUP(M_Datos!$E$12&amp;M_Cálculos_ND!D84,M_Factores!$M$10:$P$108,3,FALSE),IF(AND(M_FactoresComplement!$G$439="Sí",M_FactoresComplement!$G$441="No"),K84*M_FactoresComplement!H450,K84*VLOOKUP(M_FactoresComplement!$C$467&amp;M_Datos!$E$12&amp;M_Lista!G21,M_FactoresComplement!$F$446:$I$781,3,FALSE)))</f>
        <v>#N/A</v>
      </c>
      <c r="N84" s="311">
        <f>SUMIFS(M_Datos!$T$41:$T$43,M_Datos!$U$41:$U$43,M_Lista!G22,M_Datos!$M$41:$M$43,M_Lista!$J$3)</f>
        <v>0</v>
      </c>
      <c r="O84" s="312" t="e">
        <f>IF(AND(M_FactoresComplement!$G$439="No",M_FactoresComplement!$G$441="No"),M_Cálculos_ND!N84*VLOOKUP(M_Datos!$E$12&amp;M_Cálculos_ND!D84,M_Factores!$M$10:$P$108,2,FALSE),IF(AND(M_FactoresComplement!$G$439="Sí",M_FactoresComplement!$G$441="No"),N84*M_FactoresComplement!G478,N84*VLOOKUP(M_FactoresComplement!$C$467&amp;M_Datos!$E$12&amp;M_Lista!G21,M_FactoresComplement!$F$446:$I$781,2,FALSE)))</f>
        <v>#N/A</v>
      </c>
      <c r="P84" s="313" t="e">
        <f>IF(AND(M_FactoresComplement!$G$439="No",M_FactoresComplement!$G$441="No"),M_Cálculos_ND!N84*VLOOKUP(M_Datos!$E$12&amp;M_Cálculos_ND!D84,M_Factores!$M$10:$P$108,3,FALSE),IF(AND(M_FactoresComplement!$G$439="Sí",M_FactoresComplement!$G$441="No"),N84*M_FactoresComplement!H478,N84*VLOOKUP(M_FactoresComplement!$C$467&amp;M_Datos!$E$12&amp;M_Lista!G21,M_FactoresComplement!$F$446:$I$781,3,FALSE)))</f>
        <v>#N/A</v>
      </c>
      <c r="Q84" s="311">
        <f>SUMIFS(M_Datos!$V$41:$V$43,M_Datos!$W$41:$W$43,M_Lista!G22,M_Datos!$M$41:$M$43,M_Lista!$J$3)</f>
        <v>0</v>
      </c>
      <c r="R84" s="312" t="e">
        <f>IF(AND(M_FactoresComplement!$G$439="No",M_FactoresComplement!$G$441="No"),M_Cálculos_ND!Q84*VLOOKUP(M_Datos!$E$12&amp;M_Cálculos_ND!D84,M_Factores!$M$10:$P$108,2,FALSE),IF(AND(M_FactoresComplement!$G$439="Sí",M_FactoresComplement!$G$441="No"),Q84*M_FactoresComplement!G450,Q84*VLOOKUP(M_FactoresComplement!$C$467&amp;M_Datos!$E$12&amp;M_Lista!G21,M_FactoresComplement!$F$446:$I$781,2,FALSE)))</f>
        <v>#N/A</v>
      </c>
      <c r="S84" s="313" t="e">
        <f>IF(AND(M_FactoresComplement!$G$439="No",M_FactoresComplement!$G$441="No"),M_Cálculos_ND!Q84*VLOOKUP(M_Datos!$E$12&amp;M_Cálculos_ND!D84,M_Factores!$M$10:$P$108,3,FALSE),IF(AND(M_FactoresComplement!$G$439="Sí",M_FactoresComplement!$G$441="No"),Q84*M_FactoresComplement!H450,Q84*VLOOKUP(M_FactoresComplement!$C$467&amp;M_Datos!$E$12&amp;M_Lista!G21,M_FactoresComplement!$F$446:$I$781,3,FALSE)))</f>
        <v>#N/A</v>
      </c>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c r="JH84" s="11"/>
      <c r="JI84" s="11"/>
      <c r="JJ84" s="11"/>
      <c r="JK84" s="11"/>
      <c r="JL84" s="11"/>
      <c r="JM84" s="11"/>
      <c r="JN84" s="11"/>
      <c r="JO84" s="11"/>
      <c r="JP84" s="11"/>
      <c r="JQ84" s="11"/>
      <c r="JR84" s="11"/>
      <c r="JS84" s="11"/>
      <c r="JT84" s="11"/>
      <c r="JU84" s="11"/>
      <c r="JV84" s="11"/>
      <c r="JW84" s="11"/>
      <c r="JX84" s="11"/>
      <c r="JY84" s="11"/>
      <c r="JZ84" s="11"/>
      <c r="KA84" s="11"/>
      <c r="KB84" s="11"/>
      <c r="KC84" s="11"/>
      <c r="KD84" s="11"/>
      <c r="KE84" s="11"/>
      <c r="KF84" s="11"/>
      <c r="KG84" s="11"/>
      <c r="KH84" s="11"/>
      <c r="KI84" s="11"/>
      <c r="KJ84" s="11"/>
      <c r="KK84" s="11"/>
      <c r="KL84" s="11"/>
      <c r="KM84" s="11"/>
      <c r="KN84" s="11"/>
      <c r="KO84" s="11"/>
      <c r="KP84" s="11"/>
      <c r="KQ84" s="11"/>
      <c r="KR84" s="11"/>
      <c r="KS84" s="11"/>
      <c r="KT84" s="11"/>
      <c r="KU84" s="11"/>
      <c r="KV84" s="11"/>
      <c r="KW84" s="11"/>
      <c r="KX84" s="11"/>
      <c r="KY84" s="11"/>
      <c r="KZ84" s="11"/>
      <c r="LA84" s="11"/>
      <c r="LB84" s="11"/>
      <c r="LC84" s="11"/>
      <c r="LD84" s="11"/>
      <c r="LE84" s="11"/>
      <c r="LF84" s="11"/>
      <c r="LG84" s="11"/>
      <c r="LH84" s="11"/>
      <c r="LI84" s="11"/>
      <c r="LJ84" s="11"/>
      <c r="LK84" s="11"/>
      <c r="LL84" s="11"/>
      <c r="LM84" s="11"/>
      <c r="LN84" s="11"/>
      <c r="LO84" s="11"/>
      <c r="LP84" s="11"/>
      <c r="LQ84" s="11"/>
      <c r="LR84" s="11"/>
      <c r="LS84" s="11"/>
      <c r="LT84" s="11"/>
      <c r="LU84" s="11"/>
      <c r="LV84" s="11"/>
      <c r="LW84" s="11"/>
      <c r="LX84" s="11"/>
      <c r="LY84" s="11"/>
      <c r="LZ84" s="11"/>
      <c r="MA84" s="11"/>
      <c r="MB84" s="11"/>
      <c r="MC84" s="11"/>
      <c r="MD84" s="11"/>
      <c r="ME84" s="11"/>
      <c r="MF84" s="11"/>
      <c r="MG84" s="11"/>
      <c r="MH84" s="11"/>
      <c r="MI84" s="11"/>
      <c r="MJ84" s="11"/>
      <c r="MK84" s="11"/>
      <c r="ML84" s="11"/>
      <c r="MM84" s="11"/>
      <c r="MN84" s="11"/>
      <c r="MO84" s="11"/>
      <c r="MP84" s="11"/>
      <c r="MQ84" s="11"/>
      <c r="MR84" s="11"/>
      <c r="MS84" s="11"/>
      <c r="MT84" s="11"/>
      <c r="MU84" s="11"/>
      <c r="MV84" s="11"/>
      <c r="MW84" s="11"/>
      <c r="MX84" s="11"/>
      <c r="MY84" s="11"/>
      <c r="MZ84" s="11"/>
      <c r="NA84" s="11"/>
      <c r="NB84" s="11"/>
      <c r="NC84" s="11"/>
      <c r="ND84" s="11"/>
      <c r="NE84" s="11"/>
      <c r="NF84" s="11"/>
      <c r="NG84" s="11"/>
      <c r="NH84" s="11"/>
      <c r="NI84" s="11"/>
      <c r="NJ84" s="11"/>
      <c r="NK84" s="11"/>
      <c r="NL84" s="11"/>
      <c r="NM84" s="11"/>
      <c r="NN84" s="11"/>
      <c r="NO84" s="11"/>
      <c r="NP84" s="11"/>
      <c r="NQ84" s="11"/>
      <c r="NR84" s="11"/>
      <c r="NS84" s="11"/>
      <c r="NT84" s="11"/>
      <c r="NU84" s="11"/>
      <c r="NV84" s="11"/>
      <c r="NW84" s="11"/>
      <c r="NX84" s="11"/>
      <c r="NY84" s="11"/>
      <c r="NZ84" s="11"/>
      <c r="OA84" s="11"/>
      <c r="OB84" s="11"/>
      <c r="OC84" s="11"/>
      <c r="OD84" s="11"/>
      <c r="OE84" s="11"/>
      <c r="OF84" s="11"/>
      <c r="OG84" s="11"/>
      <c r="OH84" s="11"/>
      <c r="OI84" s="11"/>
      <c r="OJ84" s="11"/>
      <c r="OK84" s="11"/>
      <c r="OL84" s="11"/>
      <c r="OM84" s="11"/>
      <c r="ON84" s="11"/>
      <c r="OO84" s="11"/>
      <c r="OP84" s="11"/>
      <c r="OQ84" s="11"/>
      <c r="OR84" s="11"/>
      <c r="OS84" s="11"/>
      <c r="OT84" s="11"/>
      <c r="OU84" s="11"/>
      <c r="OV84" s="11"/>
      <c r="OW84" s="11"/>
      <c r="OX84" s="11"/>
      <c r="OY84" s="11"/>
      <c r="OZ84" s="11"/>
      <c r="PA84" s="11"/>
      <c r="PB84" s="11"/>
      <c r="PC84" s="11"/>
      <c r="PD84" s="11"/>
      <c r="PE84" s="11"/>
      <c r="PF84" s="11"/>
      <c r="PG84" s="11"/>
      <c r="PH84" s="11"/>
      <c r="PI84" s="11"/>
      <c r="PJ84" s="11"/>
      <c r="PK84" s="11"/>
      <c r="PL84" s="11"/>
      <c r="PM84" s="11"/>
      <c r="PN84" s="11"/>
      <c r="PO84" s="11"/>
      <c r="PP84" s="11"/>
      <c r="PQ84" s="11"/>
      <c r="PR84" s="11"/>
      <c r="PS84" s="11"/>
      <c r="PT84" s="11"/>
      <c r="PU84" s="11"/>
      <c r="PV84" s="11"/>
      <c r="PW84" s="11"/>
      <c r="PX84" s="11"/>
      <c r="PY84" s="11"/>
      <c r="PZ84" s="11"/>
      <c r="QA84" s="11"/>
      <c r="QB84" s="11"/>
      <c r="QC84" s="11"/>
      <c r="QD84" s="11"/>
      <c r="QE84" s="11"/>
      <c r="QF84" s="11"/>
      <c r="QG84" s="11"/>
      <c r="QH84" s="11"/>
      <c r="QI84" s="11"/>
      <c r="QJ84" s="11"/>
      <c r="QK84" s="11"/>
      <c r="QL84" s="11"/>
      <c r="QM84" s="11"/>
      <c r="QN84" s="11"/>
      <c r="QO84" s="11"/>
      <c r="QP84" s="11"/>
      <c r="QQ84" s="11"/>
      <c r="QR84" s="11"/>
      <c r="QS84" s="11"/>
      <c r="QT84" s="11"/>
      <c r="QU84" s="11"/>
      <c r="QV84" s="11"/>
      <c r="QW84" s="11"/>
      <c r="QX84" s="11"/>
      <c r="QY84" s="11"/>
      <c r="QZ84" s="11"/>
      <c r="RA84" s="11"/>
      <c r="RB84" s="11"/>
      <c r="RC84" s="11"/>
      <c r="RD84" s="11"/>
      <c r="RE84" s="11"/>
      <c r="RF84" s="11"/>
      <c r="RG84" s="11"/>
      <c r="RH84" s="11"/>
      <c r="RI84" s="11"/>
      <c r="RJ84" s="11"/>
      <c r="RK84" s="11"/>
      <c r="RL84" s="11"/>
      <c r="RM84" s="11"/>
      <c r="RN84" s="11"/>
      <c r="RO84" s="11"/>
      <c r="RP84" s="11"/>
      <c r="RQ84" s="11"/>
      <c r="RR84" s="11"/>
      <c r="RS84" s="11"/>
      <c r="RT84" s="11"/>
      <c r="RU84" s="11"/>
      <c r="RV84" s="11"/>
      <c r="RW84" s="11"/>
      <c r="RX84" s="11"/>
      <c r="RY84" s="11"/>
      <c r="RZ84" s="11"/>
      <c r="SA84" s="11"/>
      <c r="SB84" s="11"/>
      <c r="SC84" s="11"/>
      <c r="SD84" s="11"/>
      <c r="SE84" s="11"/>
      <c r="SF84" s="11"/>
      <c r="SG84" s="11"/>
      <c r="SH84" s="11"/>
      <c r="SI84" s="11"/>
      <c r="SJ84" s="11"/>
      <c r="SK84" s="11"/>
      <c r="SL84" s="11"/>
      <c r="SM84" s="11"/>
      <c r="SN84" s="11"/>
      <c r="SO84" s="11"/>
      <c r="SP84" s="11"/>
      <c r="SQ84" s="11"/>
      <c r="SR84" s="11"/>
      <c r="SS84" s="11"/>
      <c r="ST84" s="11"/>
      <c r="SU84" s="11"/>
      <c r="SV84" s="11"/>
      <c r="SW84" s="11"/>
      <c r="SX84" s="11"/>
      <c r="SY84" s="11"/>
      <c r="SZ84" s="11"/>
      <c r="TA84" s="11"/>
      <c r="TB84" s="11"/>
      <c r="TC84" s="11"/>
      <c r="TD84" s="11"/>
      <c r="TE84" s="11"/>
      <c r="TF84" s="11"/>
      <c r="TG84" s="11"/>
      <c r="TH84" s="11"/>
      <c r="TI84" s="11"/>
      <c r="TJ84" s="11"/>
      <c r="TK84" s="11"/>
      <c r="TL84" s="11"/>
      <c r="TM84" s="11"/>
      <c r="TN84" s="11"/>
      <c r="TO84" s="11"/>
      <c r="TP84" s="11"/>
      <c r="TQ84" s="11"/>
      <c r="TR84" s="11"/>
      <c r="TS84" s="11"/>
      <c r="TT84" s="11"/>
      <c r="TU84" s="11"/>
      <c r="TV84" s="11"/>
      <c r="TW84" s="11"/>
      <c r="TX84" s="11"/>
      <c r="TY84" s="11"/>
      <c r="TZ84" s="11"/>
      <c r="UA84" s="11"/>
      <c r="UB84" s="11"/>
      <c r="UC84" s="11"/>
      <c r="UD84" s="11"/>
      <c r="UE84" s="11"/>
      <c r="UF84" s="11"/>
      <c r="UG84" s="11"/>
      <c r="UH84" s="11"/>
      <c r="UI84" s="11"/>
      <c r="UJ84" s="11"/>
      <c r="UK84" s="11"/>
      <c r="UL84" s="11"/>
      <c r="UM84" s="11"/>
      <c r="UN84" s="11"/>
      <c r="UO84" s="11"/>
      <c r="UP84" s="11"/>
      <c r="UQ84" s="11"/>
      <c r="UR84" s="11"/>
      <c r="US84" s="11"/>
      <c r="UT84" s="11"/>
      <c r="UU84" s="11"/>
      <c r="UV84" s="11"/>
      <c r="UW84" s="11"/>
      <c r="UX84" s="11"/>
      <c r="UY84" s="11"/>
      <c r="UZ84" s="11"/>
      <c r="VA84" s="11"/>
      <c r="VB84" s="11"/>
      <c r="VC84" s="11"/>
      <c r="VD84" s="11"/>
      <c r="VE84" s="11"/>
      <c r="VF84" s="11"/>
      <c r="VG84" s="11"/>
      <c r="VH84" s="11"/>
      <c r="VI84" s="11"/>
      <c r="VJ84" s="11"/>
      <c r="VK84" s="11"/>
      <c r="VL84" s="11"/>
      <c r="VM84" s="11"/>
      <c r="VN84" s="11"/>
      <c r="VO84" s="11"/>
      <c r="VP84" s="11"/>
      <c r="VQ84" s="11"/>
      <c r="VR84" s="11"/>
      <c r="VS84" s="11"/>
      <c r="VT84" s="11"/>
      <c r="VU84" s="11"/>
      <c r="VV84" s="11"/>
      <c r="VW84" s="11"/>
      <c r="VX84" s="11"/>
      <c r="VY84" s="11"/>
      <c r="VZ84" s="11"/>
      <c r="WA84" s="11"/>
      <c r="WB84" s="11"/>
      <c r="WC84" s="11"/>
      <c r="WD84" s="11"/>
      <c r="WE84" s="11"/>
      <c r="WF84" s="11"/>
      <c r="WG84" s="11"/>
      <c r="WH84" s="11"/>
      <c r="WI84" s="11"/>
      <c r="WJ84" s="11"/>
      <c r="WK84" s="11"/>
      <c r="WL84" s="11"/>
      <c r="WM84" s="11"/>
      <c r="WN84" s="11"/>
      <c r="WO84" s="11"/>
      <c r="WP84" s="11"/>
      <c r="WQ84" s="11"/>
      <c r="WR84" s="11"/>
      <c r="WS84" s="11"/>
      <c r="WT84" s="11"/>
      <c r="WU84" s="11"/>
      <c r="WV84" s="11"/>
      <c r="WW84" s="11"/>
      <c r="WX84" s="11"/>
      <c r="WY84" s="11"/>
      <c r="WZ84" s="11"/>
      <c r="XA84" s="11"/>
      <c r="XB84" s="11"/>
      <c r="XC84" s="11"/>
      <c r="XD84" s="11"/>
      <c r="XE84" s="11"/>
      <c r="XF84" s="11"/>
      <c r="XG84" s="11"/>
      <c r="XH84" s="11"/>
      <c r="XI84" s="11"/>
      <c r="XJ84" s="11"/>
      <c r="XK84" s="11"/>
      <c r="XL84" s="11"/>
      <c r="XM84" s="11"/>
      <c r="XN84" s="11"/>
      <c r="XO84" s="11"/>
      <c r="XP84" s="11"/>
      <c r="XQ84" s="11"/>
      <c r="XR84" s="11"/>
      <c r="XS84" s="11"/>
      <c r="XT84" s="11"/>
      <c r="XU84" s="11"/>
      <c r="XV84" s="11"/>
      <c r="XW84" s="11"/>
      <c r="XX84" s="11"/>
      <c r="XY84" s="11"/>
      <c r="XZ84" s="11"/>
      <c r="YA84" s="11"/>
      <c r="YB84" s="11"/>
      <c r="YC84" s="11"/>
      <c r="YD84" s="11"/>
      <c r="YE84" s="11"/>
      <c r="YF84" s="11"/>
      <c r="YG84" s="11"/>
      <c r="YH84" s="11"/>
      <c r="YI84" s="11"/>
      <c r="YJ84" s="11"/>
      <c r="YK84" s="11"/>
      <c r="YL84" s="11"/>
      <c r="YM84" s="11"/>
      <c r="YN84" s="11"/>
      <c r="YO84" s="11"/>
      <c r="YP84" s="11"/>
      <c r="YQ84" s="11"/>
      <c r="YR84" s="11"/>
      <c r="YS84" s="11"/>
      <c r="YT84" s="11"/>
      <c r="YU84" s="11"/>
      <c r="YV84" s="11"/>
      <c r="YW84" s="11"/>
      <c r="YX84" s="11"/>
      <c r="YY84" s="11"/>
      <c r="YZ84" s="11"/>
      <c r="ZA84" s="11"/>
      <c r="ZB84" s="11"/>
      <c r="ZC84" s="11"/>
      <c r="ZD84" s="11"/>
      <c r="ZE84" s="11"/>
      <c r="ZF84" s="11"/>
      <c r="ZG84" s="11"/>
      <c r="ZH84" s="11"/>
      <c r="ZI84" s="11"/>
      <c r="ZJ84" s="11"/>
      <c r="ZK84" s="11"/>
      <c r="ZL84" s="11"/>
      <c r="ZM84" s="11"/>
      <c r="ZN84" s="11"/>
      <c r="ZO84" s="11"/>
      <c r="ZP84" s="11"/>
      <c r="ZQ84" s="11"/>
      <c r="ZR84" s="11"/>
      <c r="ZS84" s="11"/>
      <c r="ZT84" s="11"/>
      <c r="ZU84" s="11"/>
      <c r="ZV84" s="11"/>
      <c r="ZW84" s="11"/>
      <c r="ZX84" s="11"/>
      <c r="ZY84" s="11"/>
      <c r="ZZ84" s="11"/>
      <c r="AAA84" s="11"/>
      <c r="AAB84" s="11"/>
      <c r="AAC84" s="11"/>
      <c r="AAD84" s="11"/>
      <c r="AAE84" s="11"/>
      <c r="AAF84" s="11"/>
      <c r="AAG84" s="11"/>
      <c r="AAH84" s="11"/>
      <c r="AAI84" s="11"/>
      <c r="AAJ84" s="11"/>
      <c r="AAK84" s="11"/>
      <c r="AAL84" s="11"/>
      <c r="AAM84" s="11"/>
      <c r="AAN84" s="11"/>
      <c r="AAO84" s="11"/>
      <c r="AAP84" s="11"/>
      <c r="AAQ84" s="11"/>
      <c r="AAR84" s="11"/>
      <c r="AAS84" s="11"/>
      <c r="AAT84" s="11"/>
      <c r="AAU84" s="11"/>
      <c r="AAV84" s="11"/>
      <c r="AAW84" s="11"/>
      <c r="AAX84" s="11"/>
      <c r="AAY84" s="11"/>
      <c r="AAZ84" s="11"/>
      <c r="ABA84" s="11"/>
      <c r="ABB84" s="11"/>
      <c r="ABC84" s="11"/>
      <c r="ABD84" s="11"/>
      <c r="ABE84" s="11"/>
      <c r="ABF84" s="11"/>
      <c r="ABG84" s="11"/>
      <c r="ABH84" s="11"/>
      <c r="ABI84" s="11"/>
      <c r="ABJ84" s="11"/>
      <c r="ABK84" s="11"/>
      <c r="ABL84" s="11"/>
      <c r="ABM84" s="11"/>
      <c r="ABN84" s="11"/>
      <c r="ABO84" s="11"/>
      <c r="ABP84" s="11"/>
      <c r="ABQ84" s="11"/>
      <c r="ABR84" s="11"/>
      <c r="ABS84" s="11"/>
      <c r="ABT84" s="11"/>
      <c r="ABU84" s="11"/>
      <c r="ABV84" s="11"/>
      <c r="ABW84" s="11"/>
      <c r="ABX84" s="11"/>
      <c r="ABY84" s="11"/>
      <c r="ABZ84" s="11"/>
      <c r="ACA84" s="11"/>
      <c r="ACB84" s="11"/>
      <c r="ACC84" s="11"/>
      <c r="ACD84" s="11"/>
      <c r="ACE84" s="11"/>
      <c r="ACF84" s="11"/>
      <c r="ACG84" s="11"/>
      <c r="ACH84" s="11"/>
      <c r="ACI84" s="11"/>
      <c r="ACJ84" s="11"/>
      <c r="ACK84" s="11"/>
      <c r="ACL84" s="11"/>
      <c r="ACM84" s="11"/>
      <c r="ACN84" s="11"/>
      <c r="ACO84" s="11"/>
      <c r="ACP84" s="11"/>
      <c r="ACQ84" s="11"/>
      <c r="ACR84" s="11"/>
      <c r="ACS84" s="11"/>
      <c r="ACT84" s="11"/>
      <c r="ACU84" s="11"/>
      <c r="ACV84" s="11"/>
      <c r="ACW84" s="11"/>
      <c r="ACX84" s="11"/>
      <c r="ACY84" s="11"/>
      <c r="ACZ84" s="11"/>
      <c r="ADA84" s="11"/>
      <c r="ADB84" s="11"/>
      <c r="ADC84" s="11"/>
      <c r="ADD84" s="11"/>
      <c r="ADE84" s="11"/>
      <c r="ADF84" s="11"/>
      <c r="ADG84" s="11"/>
      <c r="ADH84" s="11"/>
      <c r="ADI84" s="11"/>
      <c r="ADJ84" s="11"/>
      <c r="ADK84" s="11"/>
      <c r="ADL84" s="11"/>
      <c r="ADM84" s="11"/>
      <c r="ADN84" s="11"/>
      <c r="ADO84" s="11"/>
      <c r="ADP84" s="11"/>
      <c r="ADQ84" s="11"/>
      <c r="ADR84" s="11"/>
      <c r="ADS84" s="11"/>
      <c r="ADT84" s="11"/>
      <c r="ADU84" s="11"/>
      <c r="ADV84" s="11"/>
      <c r="ADW84" s="11"/>
      <c r="ADX84" s="11"/>
      <c r="ADY84" s="11"/>
      <c r="ADZ84" s="11"/>
      <c r="AEA84" s="11"/>
      <c r="AEB84" s="11"/>
      <c r="AEC84" s="11"/>
      <c r="AED84" s="11"/>
      <c r="AEE84" s="11"/>
      <c r="AEF84" s="11"/>
      <c r="AEG84" s="11"/>
      <c r="AEH84" s="11"/>
      <c r="AEI84" s="11"/>
      <c r="AEJ84" s="11"/>
      <c r="AEK84" s="11"/>
      <c r="AEL84" s="11"/>
      <c r="AEM84" s="11"/>
      <c r="AEN84" s="11"/>
      <c r="AEO84" s="11"/>
      <c r="AEP84" s="11"/>
      <c r="AEQ84" s="11"/>
      <c r="AER84" s="11"/>
      <c r="AES84" s="11"/>
      <c r="AET84" s="11"/>
      <c r="AEU84" s="11"/>
      <c r="AEV84" s="11"/>
      <c r="AEW84" s="11"/>
      <c r="AEX84" s="11"/>
      <c r="AEY84" s="11"/>
      <c r="AEZ84" s="11"/>
      <c r="AFA84" s="11"/>
      <c r="AFB84" s="11"/>
      <c r="AFC84" s="11"/>
      <c r="AFD84" s="11"/>
      <c r="AFE84" s="11"/>
      <c r="AFF84" s="11"/>
      <c r="AFG84" s="11"/>
      <c r="AFH84" s="11"/>
      <c r="AFI84" s="11"/>
    </row>
    <row r="85" spans="2:841">
      <c r="B85" s="11"/>
      <c r="C85" s="657"/>
      <c r="D85" s="289" t="s">
        <v>629</v>
      </c>
      <c r="E85" s="311">
        <f>SUMIFS(M_Datos!$N$41:$N$43,M_Datos!$O$41:$O$43,M_Lista!G23,M_Datos!$M$41:$M$43,M_Lista!$J$3)</f>
        <v>0</v>
      </c>
      <c r="F85" s="312" t="e">
        <f>IF(AND(M_FactoresComplement!$G$439="No",M_FactoresComplement!$G$441="No"),M_Cálculos_ND!E85*VLOOKUP(M_Datos!$E$12&amp;M_Cálculos_ND!D85,M_Factores!$M$10:$P$108,2,FALSE),IF(AND(M_FactoresComplement!$G$439="Sí",M_FactoresComplement!$G$441="No"),E85*M_FactoresComplement!G451,E85*VLOOKUP(M_FactoresComplement!$C$467&amp;M_Datos!$E$12&amp;M_Lista!G22,M_FactoresComplement!$F$446:$I$781,2,FALSE)))</f>
        <v>#N/A</v>
      </c>
      <c r="G85" s="313" t="e">
        <f>IF(AND(M_FactoresComplement!$G$439="No",M_FactoresComplement!$G$441="No"),M_Cálculos_ND!E85*VLOOKUP(M_Datos!$E$12&amp;M_Cálculos_ND!D85,M_Factores!$M$10:$P$108,3,FALSE),IF(AND(M_FactoresComplement!$G$439="Sí",M_FactoresComplement!$G$441="No"),E85*M_FactoresComplement!H451,E85*VLOOKUP(M_FactoresComplement!$C$467&amp;M_Datos!$E$12&amp;M_Lista!G22,M_FactoresComplement!$F$446:$I$781,3,FALSE)))</f>
        <v>#N/A</v>
      </c>
      <c r="H85" s="311">
        <f>SUMIFS(M_Datos!$P$41:$P$43,M_Datos!$Q$41:$Q$43,M_Lista!G23,M_Datos!$M$41:$M$43,M_Lista!$J$3)</f>
        <v>0</v>
      </c>
      <c r="I85" s="312" t="e">
        <f>IF(AND(M_FactoresComplement!$G$439="No",M_FactoresComplement!$G$441="No"),M_Cálculos_ND!H85*VLOOKUP(M_Datos!$E$12&amp;M_Cálculos_ND!D85,M_Factores!$M$10:$P$108,2,FALSE),IF(AND(M_FactoresComplement!$G$439="Sí",M_FactoresComplement!$G$441="No"),H85*M_FactoresComplement!G451,H85*VLOOKUP(M_FactoresComplement!$C$467&amp;M_Datos!$E$12&amp;M_Lista!G22,M_FactoresComplement!$F$446:$I$781,2,FALSE)))</f>
        <v>#N/A</v>
      </c>
      <c r="J85" s="313" t="e">
        <f>IF(AND(M_FactoresComplement!$G$439="No",M_FactoresComplement!$G$441="No"),M_Cálculos_ND!H85*VLOOKUP(M_Datos!$E$12&amp;M_Cálculos_ND!D85,M_Factores!$M$10:$P$108,3,FALSE),IF(AND(M_FactoresComplement!$G$439="Sí",M_FactoresComplement!$G$441="No"),H85*M_FactoresComplement!H451,H85*VLOOKUP(M_FactoresComplement!$C$467&amp;M_Datos!$E$12&amp;M_Lista!G22,M_FactoresComplement!$F$446:$I$781,3,FALSE)))</f>
        <v>#N/A</v>
      </c>
      <c r="K85" s="311">
        <f>SUMIFS(M_Datos!$R$41:$R$43,M_Datos!$S$41:$S$43,M_Lista!G23,M_Datos!$M$41:$M$43,M_Lista!$J$3)</f>
        <v>0</v>
      </c>
      <c r="L85" s="312" t="e">
        <f>IF(AND(M_FactoresComplement!$G$439="No",M_FactoresComplement!$G$441="No"),M_Cálculos_ND!K85*VLOOKUP(M_Datos!$E$12&amp;M_Cálculos_ND!D85,M_Factores!$M$10:$P$108,2,FALSE),IF(AND(M_FactoresComplement!$G$439="Sí",M_FactoresComplement!$G$441="No"),K85*M_FactoresComplement!G451,K85*VLOOKUP(M_FactoresComplement!$C$467&amp;M_Datos!$E$12&amp;M_Lista!G22,M_FactoresComplement!$F$446:$I$781,2,FALSE)))</f>
        <v>#N/A</v>
      </c>
      <c r="M85" s="313" t="e">
        <f>IF(AND(M_FactoresComplement!$G$439="No",M_FactoresComplement!$G$441="No"),M_Cálculos_ND!K85*VLOOKUP(M_Datos!$E$12&amp;M_Cálculos_ND!D85,M_Factores!$M$10:$P$108,3,FALSE),IF(AND(M_FactoresComplement!$G$439="Sí",M_FactoresComplement!$G$441="No"),K85*M_FactoresComplement!H451,K85*VLOOKUP(M_FactoresComplement!$C$467&amp;M_Datos!$E$12&amp;M_Lista!G22,M_FactoresComplement!$F$446:$I$781,3,FALSE)))</f>
        <v>#N/A</v>
      </c>
      <c r="N85" s="311">
        <f>SUMIFS(M_Datos!$T$41:$T$43,M_Datos!$U$41:$U$43,M_Lista!G23,M_Datos!$M$41:$M$43,M_Lista!$J$3)</f>
        <v>0</v>
      </c>
      <c r="O85" s="312" t="e">
        <f>IF(AND(M_FactoresComplement!$G$439="No",M_FactoresComplement!$G$441="No"),M_Cálculos_ND!N85*VLOOKUP(M_Datos!$E$12&amp;M_Cálculos_ND!D85,M_Factores!$M$10:$P$108,2,FALSE),IF(AND(M_FactoresComplement!$G$439="Sí",M_FactoresComplement!$G$441="No"),N85*M_FactoresComplement!G479,N85*VLOOKUP(M_FactoresComplement!$C$467&amp;M_Datos!$E$12&amp;M_Lista!G22,M_FactoresComplement!$F$446:$I$781,2,FALSE)))</f>
        <v>#N/A</v>
      </c>
      <c r="P85" s="313" t="e">
        <f>IF(AND(M_FactoresComplement!$G$439="No",M_FactoresComplement!$G$441="No"),M_Cálculos_ND!N85*VLOOKUP(M_Datos!$E$12&amp;M_Cálculos_ND!D85,M_Factores!$M$10:$P$108,3,FALSE),IF(AND(M_FactoresComplement!$G$439="Sí",M_FactoresComplement!$G$441="No"),N85*M_FactoresComplement!H479,N85*VLOOKUP(M_FactoresComplement!$C$467&amp;M_Datos!$E$12&amp;M_Lista!G22,M_FactoresComplement!$F$446:$I$781,3,FALSE)))</f>
        <v>#N/A</v>
      </c>
      <c r="Q85" s="311">
        <f>SUMIFS(M_Datos!$V$41:$V$43,M_Datos!$W$41:$W$43,M_Lista!G23,M_Datos!$M$41:$M$43,M_Lista!$J$3)</f>
        <v>0</v>
      </c>
      <c r="R85" s="312" t="e">
        <f>IF(AND(M_FactoresComplement!$G$439="No",M_FactoresComplement!$G$441="No"),M_Cálculos_ND!Q85*VLOOKUP(M_Datos!$E$12&amp;M_Cálculos_ND!D85,M_Factores!$M$10:$P$108,2,FALSE),IF(AND(M_FactoresComplement!$G$439="Sí",M_FactoresComplement!$G$441="No"),Q85*M_FactoresComplement!G451,Q85*VLOOKUP(M_FactoresComplement!$C$467&amp;M_Datos!$E$12&amp;M_Lista!G22,M_FactoresComplement!$F$446:$I$781,2,FALSE)))</f>
        <v>#N/A</v>
      </c>
      <c r="S85" s="313" t="e">
        <f>IF(AND(M_FactoresComplement!$G$439="No",M_FactoresComplement!$G$441="No"),M_Cálculos_ND!Q85*VLOOKUP(M_Datos!$E$12&amp;M_Cálculos_ND!D85,M_Factores!$M$10:$P$108,3,FALSE),IF(AND(M_FactoresComplement!$G$439="Sí",M_FactoresComplement!$G$441="No"),Q85*M_FactoresComplement!H451,Q85*VLOOKUP(M_FactoresComplement!$C$467&amp;M_Datos!$E$12&amp;M_Lista!G22,M_FactoresComplement!$F$446:$I$781,3,FALSE)))</f>
        <v>#N/A</v>
      </c>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c r="JH85" s="11"/>
      <c r="JI85" s="11"/>
      <c r="JJ85" s="11"/>
      <c r="JK85" s="11"/>
      <c r="JL85" s="11"/>
      <c r="JM85" s="11"/>
      <c r="JN85" s="11"/>
      <c r="JO85" s="11"/>
      <c r="JP85" s="11"/>
      <c r="JQ85" s="11"/>
      <c r="JR85" s="11"/>
      <c r="JS85" s="11"/>
      <c r="JT85" s="11"/>
      <c r="JU85" s="11"/>
      <c r="JV85" s="11"/>
      <c r="JW85" s="11"/>
      <c r="JX85" s="11"/>
      <c r="JY85" s="11"/>
      <c r="JZ85" s="11"/>
      <c r="KA85" s="11"/>
      <c r="KB85" s="11"/>
      <c r="KC85" s="11"/>
      <c r="KD85" s="11"/>
      <c r="KE85" s="11"/>
      <c r="KF85" s="11"/>
      <c r="KG85" s="11"/>
      <c r="KH85" s="11"/>
      <c r="KI85" s="11"/>
      <c r="KJ85" s="11"/>
      <c r="KK85" s="11"/>
      <c r="KL85" s="11"/>
      <c r="KM85" s="11"/>
      <c r="KN85" s="11"/>
      <c r="KO85" s="11"/>
      <c r="KP85" s="11"/>
      <c r="KQ85" s="11"/>
      <c r="KR85" s="11"/>
      <c r="KS85" s="11"/>
      <c r="KT85" s="11"/>
      <c r="KU85" s="11"/>
      <c r="KV85" s="11"/>
      <c r="KW85" s="11"/>
      <c r="KX85" s="11"/>
      <c r="KY85" s="11"/>
      <c r="KZ85" s="11"/>
      <c r="LA85" s="11"/>
      <c r="LB85" s="11"/>
      <c r="LC85" s="11"/>
      <c r="LD85" s="11"/>
      <c r="LE85" s="11"/>
      <c r="LF85" s="11"/>
      <c r="LG85" s="11"/>
      <c r="LH85" s="11"/>
      <c r="LI85" s="11"/>
      <c r="LJ85" s="11"/>
      <c r="LK85" s="11"/>
      <c r="LL85" s="11"/>
      <c r="LM85" s="11"/>
      <c r="LN85" s="11"/>
      <c r="LO85" s="11"/>
      <c r="LP85" s="11"/>
      <c r="LQ85" s="11"/>
      <c r="LR85" s="11"/>
      <c r="LS85" s="11"/>
      <c r="LT85" s="11"/>
      <c r="LU85" s="11"/>
      <c r="LV85" s="11"/>
      <c r="LW85" s="11"/>
      <c r="LX85" s="11"/>
      <c r="LY85" s="11"/>
      <c r="LZ85" s="11"/>
      <c r="MA85" s="11"/>
      <c r="MB85" s="11"/>
      <c r="MC85" s="11"/>
      <c r="MD85" s="11"/>
      <c r="ME85" s="11"/>
      <c r="MF85" s="11"/>
      <c r="MG85" s="11"/>
      <c r="MH85" s="11"/>
      <c r="MI85" s="11"/>
      <c r="MJ85" s="11"/>
      <c r="MK85" s="11"/>
      <c r="ML85" s="11"/>
      <c r="MM85" s="11"/>
      <c r="MN85" s="11"/>
      <c r="MO85" s="11"/>
      <c r="MP85" s="11"/>
      <c r="MQ85" s="11"/>
      <c r="MR85" s="11"/>
      <c r="MS85" s="11"/>
      <c r="MT85" s="11"/>
      <c r="MU85" s="11"/>
      <c r="MV85" s="11"/>
      <c r="MW85" s="11"/>
      <c r="MX85" s="11"/>
      <c r="MY85" s="11"/>
      <c r="MZ85" s="11"/>
      <c r="NA85" s="11"/>
      <c r="NB85" s="11"/>
      <c r="NC85" s="11"/>
      <c r="ND85" s="11"/>
      <c r="NE85" s="11"/>
      <c r="NF85" s="11"/>
      <c r="NG85" s="11"/>
      <c r="NH85" s="11"/>
      <c r="NI85" s="11"/>
      <c r="NJ85" s="11"/>
      <c r="NK85" s="11"/>
      <c r="NL85" s="11"/>
      <c r="NM85" s="11"/>
      <c r="NN85" s="11"/>
      <c r="NO85" s="11"/>
      <c r="NP85" s="11"/>
      <c r="NQ85" s="11"/>
      <c r="NR85" s="11"/>
      <c r="NS85" s="11"/>
      <c r="NT85" s="11"/>
      <c r="NU85" s="11"/>
      <c r="NV85" s="11"/>
      <c r="NW85" s="11"/>
      <c r="NX85" s="11"/>
      <c r="NY85" s="11"/>
      <c r="NZ85" s="11"/>
      <c r="OA85" s="11"/>
      <c r="OB85" s="11"/>
      <c r="OC85" s="11"/>
      <c r="OD85" s="11"/>
      <c r="OE85" s="11"/>
      <c r="OF85" s="11"/>
      <c r="OG85" s="11"/>
      <c r="OH85" s="11"/>
      <c r="OI85" s="11"/>
      <c r="OJ85" s="11"/>
      <c r="OK85" s="11"/>
      <c r="OL85" s="11"/>
      <c r="OM85" s="11"/>
      <c r="ON85" s="11"/>
      <c r="OO85" s="11"/>
      <c r="OP85" s="11"/>
      <c r="OQ85" s="11"/>
      <c r="OR85" s="11"/>
      <c r="OS85" s="11"/>
      <c r="OT85" s="11"/>
      <c r="OU85" s="11"/>
      <c r="OV85" s="11"/>
      <c r="OW85" s="11"/>
      <c r="OX85" s="11"/>
      <c r="OY85" s="11"/>
      <c r="OZ85" s="11"/>
      <c r="PA85" s="11"/>
      <c r="PB85" s="11"/>
      <c r="PC85" s="11"/>
      <c r="PD85" s="11"/>
      <c r="PE85" s="11"/>
      <c r="PF85" s="11"/>
      <c r="PG85" s="11"/>
      <c r="PH85" s="11"/>
      <c r="PI85" s="11"/>
      <c r="PJ85" s="11"/>
      <c r="PK85" s="11"/>
      <c r="PL85" s="11"/>
      <c r="PM85" s="11"/>
      <c r="PN85" s="11"/>
      <c r="PO85" s="11"/>
      <c r="PP85" s="11"/>
      <c r="PQ85" s="11"/>
      <c r="PR85" s="11"/>
      <c r="PS85" s="11"/>
      <c r="PT85" s="11"/>
      <c r="PU85" s="11"/>
      <c r="PV85" s="11"/>
      <c r="PW85" s="11"/>
      <c r="PX85" s="11"/>
      <c r="PY85" s="11"/>
      <c r="PZ85" s="11"/>
      <c r="QA85" s="11"/>
      <c r="QB85" s="11"/>
      <c r="QC85" s="11"/>
      <c r="QD85" s="11"/>
      <c r="QE85" s="11"/>
      <c r="QF85" s="11"/>
      <c r="QG85" s="11"/>
      <c r="QH85" s="11"/>
      <c r="QI85" s="11"/>
      <c r="QJ85" s="11"/>
      <c r="QK85" s="11"/>
      <c r="QL85" s="11"/>
      <c r="QM85" s="11"/>
      <c r="QN85" s="11"/>
      <c r="QO85" s="11"/>
      <c r="QP85" s="11"/>
      <c r="QQ85" s="11"/>
      <c r="QR85" s="11"/>
      <c r="QS85" s="11"/>
      <c r="QT85" s="11"/>
      <c r="QU85" s="11"/>
      <c r="QV85" s="11"/>
      <c r="QW85" s="11"/>
      <c r="QX85" s="11"/>
      <c r="QY85" s="11"/>
      <c r="QZ85" s="11"/>
      <c r="RA85" s="11"/>
      <c r="RB85" s="11"/>
      <c r="RC85" s="11"/>
      <c r="RD85" s="11"/>
      <c r="RE85" s="11"/>
      <c r="RF85" s="11"/>
      <c r="RG85" s="11"/>
      <c r="RH85" s="11"/>
      <c r="RI85" s="11"/>
      <c r="RJ85" s="11"/>
      <c r="RK85" s="11"/>
      <c r="RL85" s="11"/>
      <c r="RM85" s="11"/>
      <c r="RN85" s="11"/>
      <c r="RO85" s="11"/>
      <c r="RP85" s="11"/>
      <c r="RQ85" s="11"/>
      <c r="RR85" s="11"/>
      <c r="RS85" s="11"/>
      <c r="RT85" s="11"/>
      <c r="RU85" s="11"/>
      <c r="RV85" s="11"/>
      <c r="RW85" s="11"/>
      <c r="RX85" s="11"/>
      <c r="RY85" s="11"/>
      <c r="RZ85" s="11"/>
      <c r="SA85" s="11"/>
      <c r="SB85" s="11"/>
      <c r="SC85" s="11"/>
      <c r="SD85" s="11"/>
      <c r="SE85" s="11"/>
      <c r="SF85" s="11"/>
      <c r="SG85" s="11"/>
      <c r="SH85" s="11"/>
      <c r="SI85" s="11"/>
      <c r="SJ85" s="11"/>
      <c r="SK85" s="11"/>
      <c r="SL85" s="11"/>
      <c r="SM85" s="11"/>
      <c r="SN85" s="11"/>
      <c r="SO85" s="11"/>
      <c r="SP85" s="11"/>
      <c r="SQ85" s="11"/>
      <c r="SR85" s="11"/>
      <c r="SS85" s="11"/>
      <c r="ST85" s="11"/>
      <c r="SU85" s="11"/>
      <c r="SV85" s="11"/>
      <c r="SW85" s="11"/>
      <c r="SX85" s="11"/>
      <c r="SY85" s="11"/>
      <c r="SZ85" s="11"/>
      <c r="TA85" s="11"/>
      <c r="TB85" s="11"/>
      <c r="TC85" s="11"/>
      <c r="TD85" s="11"/>
      <c r="TE85" s="11"/>
      <c r="TF85" s="11"/>
      <c r="TG85" s="11"/>
      <c r="TH85" s="11"/>
      <c r="TI85" s="11"/>
      <c r="TJ85" s="11"/>
      <c r="TK85" s="11"/>
      <c r="TL85" s="11"/>
      <c r="TM85" s="11"/>
      <c r="TN85" s="11"/>
      <c r="TO85" s="11"/>
      <c r="TP85" s="11"/>
      <c r="TQ85" s="11"/>
      <c r="TR85" s="11"/>
      <c r="TS85" s="11"/>
      <c r="TT85" s="11"/>
      <c r="TU85" s="11"/>
      <c r="TV85" s="11"/>
      <c r="TW85" s="11"/>
      <c r="TX85" s="11"/>
      <c r="TY85" s="11"/>
      <c r="TZ85" s="11"/>
      <c r="UA85" s="11"/>
      <c r="UB85" s="11"/>
      <c r="UC85" s="11"/>
      <c r="UD85" s="11"/>
      <c r="UE85" s="11"/>
      <c r="UF85" s="11"/>
      <c r="UG85" s="11"/>
      <c r="UH85" s="11"/>
      <c r="UI85" s="11"/>
      <c r="UJ85" s="11"/>
      <c r="UK85" s="11"/>
      <c r="UL85" s="11"/>
      <c r="UM85" s="11"/>
      <c r="UN85" s="11"/>
      <c r="UO85" s="11"/>
      <c r="UP85" s="11"/>
      <c r="UQ85" s="11"/>
      <c r="UR85" s="11"/>
      <c r="US85" s="11"/>
      <c r="UT85" s="11"/>
      <c r="UU85" s="11"/>
      <c r="UV85" s="11"/>
      <c r="UW85" s="11"/>
      <c r="UX85" s="11"/>
      <c r="UY85" s="11"/>
      <c r="UZ85" s="11"/>
      <c r="VA85" s="11"/>
      <c r="VB85" s="11"/>
      <c r="VC85" s="11"/>
      <c r="VD85" s="11"/>
      <c r="VE85" s="11"/>
      <c r="VF85" s="11"/>
      <c r="VG85" s="11"/>
      <c r="VH85" s="11"/>
      <c r="VI85" s="11"/>
      <c r="VJ85" s="11"/>
      <c r="VK85" s="11"/>
      <c r="VL85" s="11"/>
      <c r="VM85" s="11"/>
      <c r="VN85" s="11"/>
      <c r="VO85" s="11"/>
      <c r="VP85" s="11"/>
      <c r="VQ85" s="11"/>
      <c r="VR85" s="11"/>
      <c r="VS85" s="11"/>
      <c r="VT85" s="11"/>
      <c r="VU85" s="11"/>
      <c r="VV85" s="11"/>
      <c r="VW85" s="11"/>
      <c r="VX85" s="11"/>
      <c r="VY85" s="11"/>
      <c r="VZ85" s="11"/>
      <c r="WA85" s="11"/>
      <c r="WB85" s="11"/>
      <c r="WC85" s="11"/>
      <c r="WD85" s="11"/>
      <c r="WE85" s="11"/>
      <c r="WF85" s="11"/>
      <c r="WG85" s="11"/>
      <c r="WH85" s="11"/>
      <c r="WI85" s="11"/>
      <c r="WJ85" s="11"/>
      <c r="WK85" s="11"/>
      <c r="WL85" s="11"/>
      <c r="WM85" s="11"/>
      <c r="WN85" s="11"/>
      <c r="WO85" s="11"/>
      <c r="WP85" s="11"/>
      <c r="WQ85" s="11"/>
      <c r="WR85" s="11"/>
      <c r="WS85" s="11"/>
      <c r="WT85" s="11"/>
      <c r="WU85" s="11"/>
      <c r="WV85" s="11"/>
      <c r="WW85" s="11"/>
      <c r="WX85" s="11"/>
      <c r="WY85" s="11"/>
      <c r="WZ85" s="11"/>
      <c r="XA85" s="11"/>
      <c r="XB85" s="11"/>
      <c r="XC85" s="11"/>
      <c r="XD85" s="11"/>
      <c r="XE85" s="11"/>
      <c r="XF85" s="11"/>
      <c r="XG85" s="11"/>
      <c r="XH85" s="11"/>
      <c r="XI85" s="11"/>
      <c r="XJ85" s="11"/>
      <c r="XK85" s="11"/>
      <c r="XL85" s="11"/>
      <c r="XM85" s="11"/>
      <c r="XN85" s="11"/>
      <c r="XO85" s="11"/>
      <c r="XP85" s="11"/>
      <c r="XQ85" s="11"/>
      <c r="XR85" s="11"/>
      <c r="XS85" s="11"/>
      <c r="XT85" s="11"/>
      <c r="XU85" s="11"/>
      <c r="XV85" s="11"/>
      <c r="XW85" s="11"/>
      <c r="XX85" s="11"/>
      <c r="XY85" s="11"/>
      <c r="XZ85" s="11"/>
      <c r="YA85" s="11"/>
      <c r="YB85" s="11"/>
      <c r="YC85" s="11"/>
      <c r="YD85" s="11"/>
      <c r="YE85" s="11"/>
      <c r="YF85" s="11"/>
      <c r="YG85" s="11"/>
      <c r="YH85" s="11"/>
      <c r="YI85" s="11"/>
      <c r="YJ85" s="11"/>
      <c r="YK85" s="11"/>
      <c r="YL85" s="11"/>
      <c r="YM85" s="11"/>
      <c r="YN85" s="11"/>
      <c r="YO85" s="11"/>
      <c r="YP85" s="11"/>
      <c r="YQ85" s="11"/>
      <c r="YR85" s="11"/>
      <c r="YS85" s="11"/>
      <c r="YT85" s="11"/>
      <c r="YU85" s="11"/>
      <c r="YV85" s="11"/>
      <c r="YW85" s="11"/>
      <c r="YX85" s="11"/>
      <c r="YY85" s="11"/>
      <c r="YZ85" s="11"/>
      <c r="ZA85" s="11"/>
      <c r="ZB85" s="11"/>
      <c r="ZC85" s="11"/>
      <c r="ZD85" s="11"/>
      <c r="ZE85" s="11"/>
      <c r="ZF85" s="11"/>
      <c r="ZG85" s="11"/>
      <c r="ZH85" s="11"/>
      <c r="ZI85" s="11"/>
      <c r="ZJ85" s="11"/>
      <c r="ZK85" s="11"/>
      <c r="ZL85" s="11"/>
      <c r="ZM85" s="11"/>
      <c r="ZN85" s="11"/>
      <c r="ZO85" s="11"/>
      <c r="ZP85" s="11"/>
      <c r="ZQ85" s="11"/>
      <c r="ZR85" s="11"/>
      <c r="ZS85" s="11"/>
      <c r="ZT85" s="11"/>
      <c r="ZU85" s="11"/>
      <c r="ZV85" s="11"/>
      <c r="ZW85" s="11"/>
      <c r="ZX85" s="11"/>
      <c r="ZY85" s="11"/>
      <c r="ZZ85" s="11"/>
      <c r="AAA85" s="11"/>
      <c r="AAB85" s="11"/>
      <c r="AAC85" s="11"/>
      <c r="AAD85" s="11"/>
      <c r="AAE85" s="11"/>
      <c r="AAF85" s="11"/>
      <c r="AAG85" s="11"/>
      <c r="AAH85" s="11"/>
      <c r="AAI85" s="11"/>
      <c r="AAJ85" s="11"/>
      <c r="AAK85" s="11"/>
      <c r="AAL85" s="11"/>
      <c r="AAM85" s="11"/>
      <c r="AAN85" s="11"/>
      <c r="AAO85" s="11"/>
      <c r="AAP85" s="11"/>
      <c r="AAQ85" s="11"/>
      <c r="AAR85" s="11"/>
      <c r="AAS85" s="11"/>
      <c r="AAT85" s="11"/>
      <c r="AAU85" s="11"/>
      <c r="AAV85" s="11"/>
      <c r="AAW85" s="11"/>
      <c r="AAX85" s="11"/>
      <c r="AAY85" s="11"/>
      <c r="AAZ85" s="11"/>
      <c r="ABA85" s="11"/>
      <c r="ABB85" s="11"/>
      <c r="ABC85" s="11"/>
      <c r="ABD85" s="11"/>
      <c r="ABE85" s="11"/>
      <c r="ABF85" s="11"/>
      <c r="ABG85" s="11"/>
      <c r="ABH85" s="11"/>
      <c r="ABI85" s="11"/>
      <c r="ABJ85" s="11"/>
      <c r="ABK85" s="11"/>
      <c r="ABL85" s="11"/>
      <c r="ABM85" s="11"/>
      <c r="ABN85" s="11"/>
      <c r="ABO85" s="11"/>
      <c r="ABP85" s="11"/>
      <c r="ABQ85" s="11"/>
      <c r="ABR85" s="11"/>
      <c r="ABS85" s="11"/>
      <c r="ABT85" s="11"/>
      <c r="ABU85" s="11"/>
      <c r="ABV85" s="11"/>
      <c r="ABW85" s="11"/>
      <c r="ABX85" s="11"/>
      <c r="ABY85" s="11"/>
      <c r="ABZ85" s="11"/>
      <c r="ACA85" s="11"/>
      <c r="ACB85" s="11"/>
      <c r="ACC85" s="11"/>
      <c r="ACD85" s="11"/>
      <c r="ACE85" s="11"/>
      <c r="ACF85" s="11"/>
      <c r="ACG85" s="11"/>
      <c r="ACH85" s="11"/>
      <c r="ACI85" s="11"/>
      <c r="ACJ85" s="11"/>
      <c r="ACK85" s="11"/>
      <c r="ACL85" s="11"/>
      <c r="ACM85" s="11"/>
      <c r="ACN85" s="11"/>
      <c r="ACO85" s="11"/>
      <c r="ACP85" s="11"/>
      <c r="ACQ85" s="11"/>
      <c r="ACR85" s="11"/>
      <c r="ACS85" s="11"/>
      <c r="ACT85" s="11"/>
      <c r="ACU85" s="11"/>
      <c r="ACV85" s="11"/>
      <c r="ACW85" s="11"/>
      <c r="ACX85" s="11"/>
      <c r="ACY85" s="11"/>
      <c r="ACZ85" s="11"/>
      <c r="ADA85" s="11"/>
      <c r="ADB85" s="11"/>
      <c r="ADC85" s="11"/>
      <c r="ADD85" s="11"/>
      <c r="ADE85" s="11"/>
      <c r="ADF85" s="11"/>
      <c r="ADG85" s="11"/>
      <c r="ADH85" s="11"/>
      <c r="ADI85" s="11"/>
      <c r="ADJ85" s="11"/>
      <c r="ADK85" s="11"/>
      <c r="ADL85" s="11"/>
      <c r="ADM85" s="11"/>
      <c r="ADN85" s="11"/>
      <c r="ADO85" s="11"/>
      <c r="ADP85" s="11"/>
      <c r="ADQ85" s="11"/>
      <c r="ADR85" s="11"/>
      <c r="ADS85" s="11"/>
      <c r="ADT85" s="11"/>
      <c r="ADU85" s="11"/>
      <c r="ADV85" s="11"/>
      <c r="ADW85" s="11"/>
      <c r="ADX85" s="11"/>
      <c r="ADY85" s="11"/>
      <c r="ADZ85" s="11"/>
      <c r="AEA85" s="11"/>
      <c r="AEB85" s="11"/>
      <c r="AEC85" s="11"/>
      <c r="AED85" s="11"/>
      <c r="AEE85" s="11"/>
      <c r="AEF85" s="11"/>
      <c r="AEG85" s="11"/>
      <c r="AEH85" s="11"/>
      <c r="AEI85" s="11"/>
      <c r="AEJ85" s="11"/>
      <c r="AEK85" s="11"/>
      <c r="AEL85" s="11"/>
      <c r="AEM85" s="11"/>
      <c r="AEN85" s="11"/>
      <c r="AEO85" s="11"/>
      <c r="AEP85" s="11"/>
      <c r="AEQ85" s="11"/>
      <c r="AER85" s="11"/>
      <c r="AES85" s="11"/>
      <c r="AET85" s="11"/>
      <c r="AEU85" s="11"/>
      <c r="AEV85" s="11"/>
      <c r="AEW85" s="11"/>
      <c r="AEX85" s="11"/>
      <c r="AEY85" s="11"/>
      <c r="AEZ85" s="11"/>
      <c r="AFA85" s="11"/>
      <c r="AFB85" s="11"/>
      <c r="AFC85" s="11"/>
      <c r="AFD85" s="11"/>
      <c r="AFE85" s="11"/>
      <c r="AFF85" s="11"/>
      <c r="AFG85" s="11"/>
      <c r="AFH85" s="11"/>
      <c r="AFI85" s="11"/>
    </row>
    <row r="86" spans="2:841">
      <c r="B86" s="11"/>
      <c r="C86" s="657"/>
      <c r="D86" s="289" t="str">
        <f>IF(Idioma=Castellano,"Sin definir",IF(Idioma=Valencià,"Sense definir","Sin definir"))</f>
        <v>Sin definir</v>
      </c>
      <c r="E86" s="311">
        <f>SUMIFS(M_Datos!$N$41:$N$43,M_Datos!$O$41:$O$43,M_Lista!G24,M_Datos!$M$41:$M$43,M_Lista!$J$3)</f>
        <v>0</v>
      </c>
      <c r="F86" s="312" t="e">
        <f>IF(AND(M_FactoresComplement!$G$439="No",M_FactoresComplement!$G$441="No"),M_Cálculos_ND!E86*VLOOKUP(M_Datos!$E$12&amp;M_Cálculos_ND!D86,M_Factores!$M$10:$P$108,2,FALSE),IF(AND(M_FactoresComplement!$G$439="Sí",M_FactoresComplement!$G$441="No"),E86*M_FactoresComplement!G452,E86*VLOOKUP(M_FactoresComplement!$C$467&amp;M_Datos!$E$12&amp;M_Lista!G23,M_FactoresComplement!$F$446:$I$781,2,FALSE)))</f>
        <v>#N/A</v>
      </c>
      <c r="G86" s="313" t="e">
        <f>IF(AND(M_FactoresComplement!$G$439="No",M_FactoresComplement!$G$441="No"),M_Cálculos_ND!E86*VLOOKUP(M_Datos!$E$12&amp;M_Cálculos_ND!D86,M_Factores!$M$10:$P$108,3,FALSE),IF(AND(M_FactoresComplement!$G$439="Sí",M_FactoresComplement!$G$441="No"),E86*M_FactoresComplement!H452,E86*VLOOKUP(M_FactoresComplement!$C$467&amp;M_Datos!$E$12&amp;M_Lista!G23,M_FactoresComplement!$F$446:$I$781,3,FALSE)))</f>
        <v>#N/A</v>
      </c>
      <c r="H86" s="311">
        <f>SUMIFS(M_Datos!$P$41:$P$43,M_Datos!$Q$41:$Q$43,M_Lista!G24,M_Datos!$M$41:$M$43,M_Lista!$J$3)</f>
        <v>0</v>
      </c>
      <c r="I86" s="312" t="e">
        <f>IF(AND(M_FactoresComplement!$G$439="No",M_FactoresComplement!$G$441="No"),M_Cálculos_ND!H86*VLOOKUP(M_Datos!$E$12&amp;M_Cálculos_ND!D86,M_Factores!$M$10:$P$108,2,FALSE),IF(AND(M_FactoresComplement!$G$439="Sí",M_FactoresComplement!$G$441="No"),H86*M_FactoresComplement!G452,H86*VLOOKUP(M_FactoresComplement!$C$467&amp;M_Datos!$E$12&amp;M_Lista!G23,M_FactoresComplement!$F$446:$I$781,2,FALSE)))</f>
        <v>#N/A</v>
      </c>
      <c r="J86" s="313" t="e">
        <f>IF(AND(M_FactoresComplement!$G$439="No",M_FactoresComplement!$G$441="No"),M_Cálculos_ND!H86*VLOOKUP(M_Datos!$E$12&amp;M_Cálculos_ND!D86,M_Factores!$M$10:$P$108,3,FALSE),IF(AND(M_FactoresComplement!$G$439="Sí",M_FactoresComplement!$G$441="No"),H86*M_FactoresComplement!H452,H86*VLOOKUP(M_FactoresComplement!$C$467&amp;M_Datos!$E$12&amp;M_Lista!G23,M_FactoresComplement!$F$446:$I$781,3,FALSE)))</f>
        <v>#N/A</v>
      </c>
      <c r="K86" s="311">
        <f>SUMIFS(M_Datos!$R$41:$R$43,M_Datos!$S$41:$S$43,M_Lista!G24,M_Datos!$M$41:$M$43,M_Lista!$J$3)</f>
        <v>0</v>
      </c>
      <c r="L86" s="312" t="e">
        <f>IF(AND(M_FactoresComplement!$G$439="No",M_FactoresComplement!$G$441="No"),M_Cálculos_ND!K86*VLOOKUP(M_Datos!$E$12&amp;M_Cálculos_ND!D86,M_Factores!$M$10:$P$108,2,FALSE),IF(AND(M_FactoresComplement!$G$439="Sí",M_FactoresComplement!$G$441="No"),K86*M_FactoresComplement!G452,K86*VLOOKUP(M_FactoresComplement!$C$467&amp;M_Datos!$E$12&amp;M_Lista!G23,M_FactoresComplement!$F$446:$I$781,2,FALSE)))</f>
        <v>#N/A</v>
      </c>
      <c r="M86" s="313" t="e">
        <f>IF(AND(M_FactoresComplement!$G$439="No",M_FactoresComplement!$G$441="No"),M_Cálculos_ND!K86*VLOOKUP(M_Datos!$E$12&amp;M_Cálculos_ND!D86,M_Factores!$M$10:$P$108,3,FALSE),IF(AND(M_FactoresComplement!$G$439="Sí",M_FactoresComplement!$G$441="No"),K86*M_FactoresComplement!H452,K86*VLOOKUP(M_FactoresComplement!$C$467&amp;M_Datos!$E$12&amp;M_Lista!G23,M_FactoresComplement!$F$446:$I$781,3,FALSE)))</f>
        <v>#N/A</v>
      </c>
      <c r="N86" s="311">
        <f>SUMIFS(M_Datos!$T$41:$T$43,M_Datos!$U$41:$U$43,M_Lista!G24,M_Datos!$M$41:$M$43,M_Lista!$J$3)</f>
        <v>0</v>
      </c>
      <c r="O86" s="312" t="e">
        <f>IF(AND(M_FactoresComplement!$G$439="No",M_FactoresComplement!$G$441="No"),M_Cálculos_ND!N86*VLOOKUP(M_Datos!$E$12&amp;M_Cálculos_ND!D86,M_Factores!$M$10:$P$108,2,FALSE),IF(AND(M_FactoresComplement!$G$439="Sí",M_FactoresComplement!$G$441="No"),N86*M_FactoresComplement!G480,N86*VLOOKUP(M_FactoresComplement!$C$467&amp;M_Datos!$E$12&amp;M_Lista!G23,M_FactoresComplement!$F$446:$I$781,2,FALSE)))</f>
        <v>#N/A</v>
      </c>
      <c r="P86" s="313" t="e">
        <f>IF(AND(M_FactoresComplement!$G$439="No",M_FactoresComplement!$G$441="No"),M_Cálculos_ND!N86*VLOOKUP(M_Datos!$E$12&amp;M_Cálculos_ND!D86,M_Factores!$M$10:$P$108,3,FALSE),IF(AND(M_FactoresComplement!$G$439="Sí",M_FactoresComplement!$G$441="No"),N86*M_FactoresComplement!H480,N86*VLOOKUP(M_FactoresComplement!$C$467&amp;M_Datos!$E$12&amp;M_Lista!G23,M_FactoresComplement!$F$446:$I$781,3,FALSE)))</f>
        <v>#N/A</v>
      </c>
      <c r="Q86" s="311">
        <f>SUMIFS(M_Datos!$V$41:$V$43,M_Datos!$W$41:$W$43,M_Lista!G24,M_Datos!$M$41:$M$43,M_Lista!$J$3)</f>
        <v>0</v>
      </c>
      <c r="R86" s="312" t="e">
        <f>IF(AND(M_FactoresComplement!$G$439="No",M_FactoresComplement!$G$441="No"),M_Cálculos_ND!Q86*VLOOKUP(M_Datos!$E$12&amp;M_Cálculos_ND!D86,M_Factores!$M$10:$P$108,2,FALSE),IF(AND(M_FactoresComplement!$G$439="Sí",M_FactoresComplement!$G$441="No"),Q86*M_FactoresComplement!G452,Q86*VLOOKUP(M_FactoresComplement!$C$467&amp;M_Datos!$E$12&amp;M_Lista!G23,M_FactoresComplement!$F$446:$I$781,2,FALSE)))</f>
        <v>#N/A</v>
      </c>
      <c r="S86" s="313" t="e">
        <f>IF(AND(M_FactoresComplement!$G$439="No",M_FactoresComplement!$G$441="No"),M_Cálculos_ND!Q86*VLOOKUP(M_Datos!$E$12&amp;M_Cálculos_ND!D86,M_Factores!$M$10:$P$108,3,FALSE),IF(AND(M_FactoresComplement!$G$439="Sí",M_FactoresComplement!$G$441="No"),Q86*M_FactoresComplement!H452,Q86*VLOOKUP(M_FactoresComplement!$C$467&amp;M_Datos!$E$12&amp;M_Lista!G23,M_FactoresComplement!$F$446:$I$781,3,FALSE)))</f>
        <v>#N/A</v>
      </c>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c r="JH86" s="11"/>
      <c r="JI86" s="11"/>
      <c r="JJ86" s="11"/>
      <c r="JK86" s="11"/>
      <c r="JL86" s="11"/>
      <c r="JM86" s="11"/>
      <c r="JN86" s="11"/>
      <c r="JO86" s="11"/>
      <c r="JP86" s="11"/>
      <c r="JQ86" s="11"/>
      <c r="JR86" s="11"/>
      <c r="JS86" s="11"/>
      <c r="JT86" s="11"/>
      <c r="JU86" s="11"/>
      <c r="JV86" s="11"/>
      <c r="JW86" s="11"/>
      <c r="JX86" s="11"/>
      <c r="JY86" s="11"/>
      <c r="JZ86" s="11"/>
      <c r="KA86" s="11"/>
      <c r="KB86" s="11"/>
      <c r="KC86" s="11"/>
      <c r="KD86" s="11"/>
      <c r="KE86" s="11"/>
      <c r="KF86" s="11"/>
      <c r="KG86" s="11"/>
      <c r="KH86" s="11"/>
      <c r="KI86" s="11"/>
      <c r="KJ86" s="11"/>
      <c r="KK86" s="11"/>
      <c r="KL86" s="11"/>
      <c r="KM86" s="11"/>
      <c r="KN86" s="11"/>
      <c r="KO86" s="11"/>
      <c r="KP86" s="11"/>
      <c r="KQ86" s="11"/>
      <c r="KR86" s="11"/>
      <c r="KS86" s="11"/>
      <c r="KT86" s="11"/>
      <c r="KU86" s="11"/>
      <c r="KV86" s="11"/>
      <c r="KW86" s="11"/>
      <c r="KX86" s="11"/>
      <c r="KY86" s="11"/>
      <c r="KZ86" s="11"/>
      <c r="LA86" s="11"/>
      <c r="LB86" s="11"/>
      <c r="LC86" s="11"/>
      <c r="LD86" s="11"/>
      <c r="LE86" s="11"/>
      <c r="LF86" s="11"/>
      <c r="LG86" s="11"/>
      <c r="LH86" s="11"/>
      <c r="LI86" s="11"/>
      <c r="LJ86" s="11"/>
      <c r="LK86" s="11"/>
      <c r="LL86" s="11"/>
      <c r="LM86" s="11"/>
      <c r="LN86" s="11"/>
      <c r="LO86" s="11"/>
      <c r="LP86" s="11"/>
      <c r="LQ86" s="11"/>
      <c r="LR86" s="11"/>
      <c r="LS86" s="11"/>
      <c r="LT86" s="11"/>
      <c r="LU86" s="11"/>
      <c r="LV86" s="11"/>
      <c r="LW86" s="11"/>
      <c r="LX86" s="11"/>
      <c r="LY86" s="11"/>
      <c r="LZ86" s="11"/>
      <c r="MA86" s="11"/>
      <c r="MB86" s="11"/>
      <c r="MC86" s="11"/>
      <c r="MD86" s="11"/>
      <c r="ME86" s="11"/>
      <c r="MF86" s="11"/>
      <c r="MG86" s="11"/>
      <c r="MH86" s="11"/>
      <c r="MI86" s="11"/>
      <c r="MJ86" s="11"/>
      <c r="MK86" s="11"/>
      <c r="ML86" s="11"/>
      <c r="MM86" s="11"/>
      <c r="MN86" s="11"/>
      <c r="MO86" s="11"/>
      <c r="MP86" s="11"/>
      <c r="MQ86" s="11"/>
      <c r="MR86" s="11"/>
      <c r="MS86" s="11"/>
      <c r="MT86" s="11"/>
      <c r="MU86" s="11"/>
      <c r="MV86" s="11"/>
      <c r="MW86" s="11"/>
      <c r="MX86" s="11"/>
      <c r="MY86" s="11"/>
      <c r="MZ86" s="11"/>
      <c r="NA86" s="11"/>
      <c r="NB86" s="11"/>
      <c r="NC86" s="11"/>
      <c r="ND86" s="11"/>
      <c r="NE86" s="11"/>
      <c r="NF86" s="11"/>
      <c r="NG86" s="11"/>
      <c r="NH86" s="11"/>
      <c r="NI86" s="11"/>
      <c r="NJ86" s="11"/>
      <c r="NK86" s="11"/>
      <c r="NL86" s="11"/>
      <c r="NM86" s="11"/>
      <c r="NN86" s="11"/>
      <c r="NO86" s="11"/>
      <c r="NP86" s="11"/>
      <c r="NQ86" s="11"/>
      <c r="NR86" s="11"/>
      <c r="NS86" s="11"/>
      <c r="NT86" s="11"/>
      <c r="NU86" s="11"/>
      <c r="NV86" s="11"/>
      <c r="NW86" s="11"/>
      <c r="NX86" s="11"/>
      <c r="NY86" s="11"/>
      <c r="NZ86" s="11"/>
      <c r="OA86" s="11"/>
      <c r="OB86" s="11"/>
      <c r="OC86" s="11"/>
      <c r="OD86" s="11"/>
      <c r="OE86" s="11"/>
      <c r="OF86" s="11"/>
      <c r="OG86" s="11"/>
      <c r="OH86" s="11"/>
      <c r="OI86" s="11"/>
      <c r="OJ86" s="11"/>
      <c r="OK86" s="11"/>
      <c r="OL86" s="11"/>
      <c r="OM86" s="11"/>
      <c r="ON86" s="11"/>
      <c r="OO86" s="11"/>
      <c r="OP86" s="11"/>
      <c r="OQ86" s="11"/>
      <c r="OR86" s="11"/>
      <c r="OS86" s="11"/>
      <c r="OT86" s="11"/>
      <c r="OU86" s="11"/>
      <c r="OV86" s="11"/>
      <c r="OW86" s="11"/>
      <c r="OX86" s="11"/>
      <c r="OY86" s="11"/>
      <c r="OZ86" s="11"/>
      <c r="PA86" s="11"/>
      <c r="PB86" s="11"/>
      <c r="PC86" s="11"/>
      <c r="PD86" s="11"/>
      <c r="PE86" s="11"/>
      <c r="PF86" s="11"/>
      <c r="PG86" s="11"/>
      <c r="PH86" s="11"/>
      <c r="PI86" s="11"/>
      <c r="PJ86" s="11"/>
      <c r="PK86" s="11"/>
      <c r="PL86" s="11"/>
      <c r="PM86" s="11"/>
      <c r="PN86" s="11"/>
      <c r="PO86" s="11"/>
      <c r="PP86" s="11"/>
      <c r="PQ86" s="11"/>
      <c r="PR86" s="11"/>
      <c r="PS86" s="11"/>
      <c r="PT86" s="11"/>
      <c r="PU86" s="11"/>
      <c r="PV86" s="11"/>
      <c r="PW86" s="11"/>
      <c r="PX86" s="11"/>
      <c r="PY86" s="11"/>
      <c r="PZ86" s="11"/>
      <c r="QA86" s="11"/>
      <c r="QB86" s="11"/>
      <c r="QC86" s="11"/>
      <c r="QD86" s="11"/>
      <c r="QE86" s="11"/>
      <c r="QF86" s="11"/>
      <c r="QG86" s="11"/>
      <c r="QH86" s="11"/>
      <c r="QI86" s="11"/>
      <c r="QJ86" s="11"/>
      <c r="QK86" s="11"/>
      <c r="QL86" s="11"/>
      <c r="QM86" s="11"/>
      <c r="QN86" s="11"/>
      <c r="QO86" s="11"/>
      <c r="QP86" s="11"/>
      <c r="QQ86" s="11"/>
      <c r="QR86" s="11"/>
      <c r="QS86" s="11"/>
      <c r="QT86" s="11"/>
      <c r="QU86" s="11"/>
      <c r="QV86" s="11"/>
      <c r="QW86" s="11"/>
      <c r="QX86" s="11"/>
      <c r="QY86" s="11"/>
      <c r="QZ86" s="11"/>
      <c r="RA86" s="11"/>
      <c r="RB86" s="11"/>
      <c r="RC86" s="11"/>
      <c r="RD86" s="11"/>
      <c r="RE86" s="11"/>
      <c r="RF86" s="11"/>
      <c r="RG86" s="11"/>
      <c r="RH86" s="11"/>
      <c r="RI86" s="11"/>
      <c r="RJ86" s="11"/>
      <c r="RK86" s="11"/>
      <c r="RL86" s="11"/>
      <c r="RM86" s="11"/>
      <c r="RN86" s="11"/>
      <c r="RO86" s="11"/>
      <c r="RP86" s="11"/>
      <c r="RQ86" s="11"/>
      <c r="RR86" s="11"/>
      <c r="RS86" s="11"/>
      <c r="RT86" s="11"/>
      <c r="RU86" s="11"/>
      <c r="RV86" s="11"/>
      <c r="RW86" s="11"/>
      <c r="RX86" s="11"/>
      <c r="RY86" s="11"/>
      <c r="RZ86" s="11"/>
      <c r="SA86" s="11"/>
      <c r="SB86" s="11"/>
      <c r="SC86" s="11"/>
      <c r="SD86" s="11"/>
      <c r="SE86" s="11"/>
      <c r="SF86" s="11"/>
      <c r="SG86" s="11"/>
      <c r="SH86" s="11"/>
      <c r="SI86" s="11"/>
      <c r="SJ86" s="11"/>
      <c r="SK86" s="11"/>
      <c r="SL86" s="11"/>
      <c r="SM86" s="11"/>
      <c r="SN86" s="11"/>
      <c r="SO86" s="11"/>
      <c r="SP86" s="11"/>
      <c r="SQ86" s="11"/>
      <c r="SR86" s="11"/>
      <c r="SS86" s="11"/>
      <c r="ST86" s="11"/>
      <c r="SU86" s="11"/>
      <c r="SV86" s="11"/>
      <c r="SW86" s="11"/>
      <c r="SX86" s="11"/>
      <c r="SY86" s="11"/>
      <c r="SZ86" s="11"/>
      <c r="TA86" s="11"/>
      <c r="TB86" s="11"/>
      <c r="TC86" s="11"/>
      <c r="TD86" s="11"/>
      <c r="TE86" s="11"/>
      <c r="TF86" s="11"/>
      <c r="TG86" s="11"/>
      <c r="TH86" s="11"/>
      <c r="TI86" s="11"/>
      <c r="TJ86" s="11"/>
      <c r="TK86" s="11"/>
      <c r="TL86" s="11"/>
      <c r="TM86" s="11"/>
      <c r="TN86" s="11"/>
      <c r="TO86" s="11"/>
      <c r="TP86" s="11"/>
      <c r="TQ86" s="11"/>
      <c r="TR86" s="11"/>
      <c r="TS86" s="11"/>
      <c r="TT86" s="11"/>
      <c r="TU86" s="11"/>
      <c r="TV86" s="11"/>
      <c r="TW86" s="11"/>
      <c r="TX86" s="11"/>
      <c r="TY86" s="11"/>
      <c r="TZ86" s="11"/>
      <c r="UA86" s="11"/>
      <c r="UB86" s="11"/>
      <c r="UC86" s="11"/>
      <c r="UD86" s="11"/>
      <c r="UE86" s="11"/>
      <c r="UF86" s="11"/>
      <c r="UG86" s="11"/>
      <c r="UH86" s="11"/>
      <c r="UI86" s="11"/>
      <c r="UJ86" s="11"/>
      <c r="UK86" s="11"/>
      <c r="UL86" s="11"/>
      <c r="UM86" s="11"/>
      <c r="UN86" s="11"/>
      <c r="UO86" s="11"/>
      <c r="UP86" s="11"/>
      <c r="UQ86" s="11"/>
      <c r="UR86" s="11"/>
      <c r="US86" s="11"/>
      <c r="UT86" s="11"/>
      <c r="UU86" s="11"/>
      <c r="UV86" s="11"/>
      <c r="UW86" s="11"/>
      <c r="UX86" s="11"/>
      <c r="UY86" s="11"/>
      <c r="UZ86" s="11"/>
      <c r="VA86" s="11"/>
      <c r="VB86" s="11"/>
      <c r="VC86" s="11"/>
      <c r="VD86" s="11"/>
      <c r="VE86" s="11"/>
      <c r="VF86" s="11"/>
      <c r="VG86" s="11"/>
      <c r="VH86" s="11"/>
      <c r="VI86" s="11"/>
      <c r="VJ86" s="11"/>
      <c r="VK86" s="11"/>
      <c r="VL86" s="11"/>
      <c r="VM86" s="11"/>
      <c r="VN86" s="11"/>
      <c r="VO86" s="11"/>
      <c r="VP86" s="11"/>
      <c r="VQ86" s="11"/>
      <c r="VR86" s="11"/>
      <c r="VS86" s="11"/>
      <c r="VT86" s="11"/>
      <c r="VU86" s="11"/>
      <c r="VV86" s="11"/>
      <c r="VW86" s="11"/>
      <c r="VX86" s="11"/>
      <c r="VY86" s="11"/>
      <c r="VZ86" s="11"/>
      <c r="WA86" s="11"/>
      <c r="WB86" s="11"/>
      <c r="WC86" s="11"/>
      <c r="WD86" s="11"/>
      <c r="WE86" s="11"/>
      <c r="WF86" s="11"/>
      <c r="WG86" s="11"/>
      <c r="WH86" s="11"/>
      <c r="WI86" s="11"/>
      <c r="WJ86" s="11"/>
      <c r="WK86" s="11"/>
      <c r="WL86" s="11"/>
      <c r="WM86" s="11"/>
      <c r="WN86" s="11"/>
      <c r="WO86" s="11"/>
      <c r="WP86" s="11"/>
      <c r="WQ86" s="11"/>
      <c r="WR86" s="11"/>
      <c r="WS86" s="11"/>
      <c r="WT86" s="11"/>
      <c r="WU86" s="11"/>
      <c r="WV86" s="11"/>
      <c r="WW86" s="11"/>
      <c r="WX86" s="11"/>
      <c r="WY86" s="11"/>
      <c r="WZ86" s="11"/>
      <c r="XA86" s="11"/>
      <c r="XB86" s="11"/>
      <c r="XC86" s="11"/>
      <c r="XD86" s="11"/>
      <c r="XE86" s="11"/>
      <c r="XF86" s="11"/>
      <c r="XG86" s="11"/>
      <c r="XH86" s="11"/>
      <c r="XI86" s="11"/>
      <c r="XJ86" s="11"/>
      <c r="XK86" s="11"/>
      <c r="XL86" s="11"/>
      <c r="XM86" s="11"/>
      <c r="XN86" s="11"/>
      <c r="XO86" s="11"/>
      <c r="XP86" s="11"/>
      <c r="XQ86" s="11"/>
      <c r="XR86" s="11"/>
      <c r="XS86" s="11"/>
      <c r="XT86" s="11"/>
      <c r="XU86" s="11"/>
      <c r="XV86" s="11"/>
      <c r="XW86" s="11"/>
      <c r="XX86" s="11"/>
      <c r="XY86" s="11"/>
      <c r="XZ86" s="11"/>
      <c r="YA86" s="11"/>
      <c r="YB86" s="11"/>
      <c r="YC86" s="11"/>
      <c r="YD86" s="11"/>
      <c r="YE86" s="11"/>
      <c r="YF86" s="11"/>
      <c r="YG86" s="11"/>
      <c r="YH86" s="11"/>
      <c r="YI86" s="11"/>
      <c r="YJ86" s="11"/>
      <c r="YK86" s="11"/>
      <c r="YL86" s="11"/>
      <c r="YM86" s="11"/>
      <c r="YN86" s="11"/>
      <c r="YO86" s="11"/>
      <c r="YP86" s="11"/>
      <c r="YQ86" s="11"/>
      <c r="YR86" s="11"/>
      <c r="YS86" s="11"/>
      <c r="YT86" s="11"/>
      <c r="YU86" s="11"/>
      <c r="YV86" s="11"/>
      <c r="YW86" s="11"/>
      <c r="YX86" s="11"/>
      <c r="YY86" s="11"/>
      <c r="YZ86" s="11"/>
      <c r="ZA86" s="11"/>
      <c r="ZB86" s="11"/>
      <c r="ZC86" s="11"/>
      <c r="ZD86" s="11"/>
      <c r="ZE86" s="11"/>
      <c r="ZF86" s="11"/>
      <c r="ZG86" s="11"/>
      <c r="ZH86" s="11"/>
      <c r="ZI86" s="11"/>
      <c r="ZJ86" s="11"/>
      <c r="ZK86" s="11"/>
      <c r="ZL86" s="11"/>
      <c r="ZM86" s="11"/>
      <c r="ZN86" s="11"/>
      <c r="ZO86" s="11"/>
      <c r="ZP86" s="11"/>
      <c r="ZQ86" s="11"/>
      <c r="ZR86" s="11"/>
      <c r="ZS86" s="11"/>
      <c r="ZT86" s="11"/>
      <c r="ZU86" s="11"/>
      <c r="ZV86" s="11"/>
      <c r="ZW86" s="11"/>
      <c r="ZX86" s="11"/>
      <c r="ZY86" s="11"/>
      <c r="ZZ86" s="11"/>
      <c r="AAA86" s="11"/>
      <c r="AAB86" s="11"/>
      <c r="AAC86" s="11"/>
      <c r="AAD86" s="11"/>
      <c r="AAE86" s="11"/>
      <c r="AAF86" s="11"/>
      <c r="AAG86" s="11"/>
      <c r="AAH86" s="11"/>
      <c r="AAI86" s="11"/>
      <c r="AAJ86" s="11"/>
      <c r="AAK86" s="11"/>
      <c r="AAL86" s="11"/>
      <c r="AAM86" s="11"/>
      <c r="AAN86" s="11"/>
      <c r="AAO86" s="11"/>
      <c r="AAP86" s="11"/>
      <c r="AAQ86" s="11"/>
      <c r="AAR86" s="11"/>
      <c r="AAS86" s="11"/>
      <c r="AAT86" s="11"/>
      <c r="AAU86" s="11"/>
      <c r="AAV86" s="11"/>
      <c r="AAW86" s="11"/>
      <c r="AAX86" s="11"/>
      <c r="AAY86" s="11"/>
      <c r="AAZ86" s="11"/>
      <c r="ABA86" s="11"/>
      <c r="ABB86" s="11"/>
      <c r="ABC86" s="11"/>
      <c r="ABD86" s="11"/>
      <c r="ABE86" s="11"/>
      <c r="ABF86" s="11"/>
      <c r="ABG86" s="11"/>
      <c r="ABH86" s="11"/>
      <c r="ABI86" s="11"/>
      <c r="ABJ86" s="11"/>
      <c r="ABK86" s="11"/>
      <c r="ABL86" s="11"/>
      <c r="ABM86" s="11"/>
      <c r="ABN86" s="11"/>
      <c r="ABO86" s="11"/>
      <c r="ABP86" s="11"/>
      <c r="ABQ86" s="11"/>
      <c r="ABR86" s="11"/>
      <c r="ABS86" s="11"/>
      <c r="ABT86" s="11"/>
      <c r="ABU86" s="11"/>
      <c r="ABV86" s="11"/>
      <c r="ABW86" s="11"/>
      <c r="ABX86" s="11"/>
      <c r="ABY86" s="11"/>
      <c r="ABZ86" s="11"/>
      <c r="ACA86" s="11"/>
      <c r="ACB86" s="11"/>
      <c r="ACC86" s="11"/>
      <c r="ACD86" s="11"/>
      <c r="ACE86" s="11"/>
      <c r="ACF86" s="11"/>
      <c r="ACG86" s="11"/>
      <c r="ACH86" s="11"/>
      <c r="ACI86" s="11"/>
      <c r="ACJ86" s="11"/>
      <c r="ACK86" s="11"/>
      <c r="ACL86" s="11"/>
      <c r="ACM86" s="11"/>
      <c r="ACN86" s="11"/>
      <c r="ACO86" s="11"/>
      <c r="ACP86" s="11"/>
      <c r="ACQ86" s="11"/>
      <c r="ACR86" s="11"/>
      <c r="ACS86" s="11"/>
      <c r="ACT86" s="11"/>
      <c r="ACU86" s="11"/>
      <c r="ACV86" s="11"/>
      <c r="ACW86" s="11"/>
      <c r="ACX86" s="11"/>
      <c r="ACY86" s="11"/>
      <c r="ACZ86" s="11"/>
      <c r="ADA86" s="11"/>
      <c r="ADB86" s="11"/>
      <c r="ADC86" s="11"/>
      <c r="ADD86" s="11"/>
      <c r="ADE86" s="11"/>
      <c r="ADF86" s="11"/>
      <c r="ADG86" s="11"/>
      <c r="ADH86" s="11"/>
      <c r="ADI86" s="11"/>
      <c r="ADJ86" s="11"/>
      <c r="ADK86" s="11"/>
      <c r="ADL86" s="11"/>
      <c r="ADM86" s="11"/>
      <c r="ADN86" s="11"/>
      <c r="ADO86" s="11"/>
      <c r="ADP86" s="11"/>
      <c r="ADQ86" s="11"/>
      <c r="ADR86" s="11"/>
      <c r="ADS86" s="11"/>
      <c r="ADT86" s="11"/>
      <c r="ADU86" s="11"/>
      <c r="ADV86" s="11"/>
      <c r="ADW86" s="11"/>
      <c r="ADX86" s="11"/>
      <c r="ADY86" s="11"/>
      <c r="ADZ86" s="11"/>
      <c r="AEA86" s="11"/>
      <c r="AEB86" s="11"/>
      <c r="AEC86" s="11"/>
      <c r="AED86" s="11"/>
      <c r="AEE86" s="11"/>
      <c r="AEF86" s="11"/>
      <c r="AEG86" s="11"/>
      <c r="AEH86" s="11"/>
      <c r="AEI86" s="11"/>
      <c r="AEJ86" s="11"/>
      <c r="AEK86" s="11"/>
      <c r="AEL86" s="11"/>
      <c r="AEM86" s="11"/>
      <c r="AEN86" s="11"/>
      <c r="AEO86" s="11"/>
      <c r="AEP86" s="11"/>
      <c r="AEQ86" s="11"/>
      <c r="AER86" s="11"/>
      <c r="AES86" s="11"/>
      <c r="AET86" s="11"/>
      <c r="AEU86" s="11"/>
      <c r="AEV86" s="11"/>
      <c r="AEW86" s="11"/>
      <c r="AEX86" s="11"/>
      <c r="AEY86" s="11"/>
      <c r="AEZ86" s="11"/>
      <c r="AFA86" s="11"/>
      <c r="AFB86" s="11"/>
      <c r="AFC86" s="11"/>
      <c r="AFD86" s="11"/>
      <c r="AFE86" s="11"/>
      <c r="AFF86" s="11"/>
      <c r="AFG86" s="11"/>
      <c r="AFH86" s="11"/>
      <c r="AFI86" s="11"/>
    </row>
    <row r="87" spans="2:841">
      <c r="B87" s="11"/>
      <c r="C87" s="657"/>
      <c r="D87" s="289" t="str">
        <f>IF(Idioma=Castellano,"Consumo nulo",IF(Idioma=Valencià,"Consum nul","Consumo nulo"))</f>
        <v>Consumo nulo</v>
      </c>
      <c r="E87" s="311">
        <f>SUMIFS(M_Datos!$N$41:$N$43,M_Datos!$O$41:$O$43,M_Lista!G25,M_Datos!$M$41:$M$43,M_Lista!$J$3)</f>
        <v>0</v>
      </c>
      <c r="F87" s="312">
        <v>0</v>
      </c>
      <c r="G87" s="313">
        <v>0</v>
      </c>
      <c r="H87" s="311">
        <f>SUMIFS(M_Datos!$P$41:$P$43,M_Datos!$Q$41:$Q$43,M_Lista!G25,M_Datos!$M$41:$M$43,M_Lista!$J$3)</f>
        <v>0</v>
      </c>
      <c r="I87" s="312">
        <v>0</v>
      </c>
      <c r="J87" s="313">
        <v>0</v>
      </c>
      <c r="K87" s="311">
        <f>SUMIFS(M_Datos!$R$41:$R$43,M_Datos!$S$41:$S$43,M_Lista!G25,M_Datos!$M$41:$M$43,M_Lista!$J$3)</f>
        <v>0</v>
      </c>
      <c r="L87" s="312">
        <v>0</v>
      </c>
      <c r="M87" s="313">
        <v>0</v>
      </c>
      <c r="N87" s="311">
        <f>SUMIFS(M_Datos!$T$41:$T$43,M_Datos!$U$41:$U$43,M_Lista!G25,M_Datos!$M$41:$M$43,M_Lista!$J$3)</f>
        <v>0</v>
      </c>
      <c r="O87" s="312">
        <v>0</v>
      </c>
      <c r="P87" s="313">
        <v>0</v>
      </c>
      <c r="Q87" s="311">
        <f>SUMIFS(M_Datos!$V$41:$V$43,M_Datos!$W$41:$W$43,M_Lista!G25,M_Datos!$M$41:$M$43,M_Lista!$J$3)</f>
        <v>0</v>
      </c>
      <c r="R87" s="312">
        <v>0</v>
      </c>
      <c r="S87" s="313">
        <v>0</v>
      </c>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1"/>
      <c r="JA87" s="11"/>
      <c r="JB87" s="11"/>
      <c r="JC87" s="11"/>
      <c r="JD87" s="11"/>
      <c r="JE87" s="11"/>
      <c r="JF87" s="11"/>
      <c r="JG87" s="11"/>
      <c r="JH87" s="11"/>
      <c r="JI87" s="11"/>
      <c r="JJ87" s="11"/>
      <c r="JK87" s="11"/>
      <c r="JL87" s="11"/>
      <c r="JM87" s="11"/>
      <c r="JN87" s="11"/>
      <c r="JO87" s="11"/>
      <c r="JP87" s="11"/>
      <c r="JQ87" s="11"/>
      <c r="JR87" s="11"/>
      <c r="JS87" s="11"/>
      <c r="JT87" s="11"/>
      <c r="JU87" s="11"/>
      <c r="JV87" s="11"/>
      <c r="JW87" s="11"/>
      <c r="JX87" s="11"/>
      <c r="JY87" s="11"/>
      <c r="JZ87" s="11"/>
      <c r="KA87" s="11"/>
      <c r="KB87" s="11"/>
      <c r="KC87" s="11"/>
      <c r="KD87" s="11"/>
      <c r="KE87" s="11"/>
      <c r="KF87" s="11"/>
      <c r="KG87" s="11"/>
      <c r="KH87" s="11"/>
      <c r="KI87" s="11"/>
      <c r="KJ87" s="11"/>
      <c r="KK87" s="11"/>
      <c r="KL87" s="11"/>
      <c r="KM87" s="11"/>
      <c r="KN87" s="11"/>
      <c r="KO87" s="11"/>
      <c r="KP87" s="11"/>
      <c r="KQ87" s="11"/>
      <c r="KR87" s="11"/>
      <c r="KS87" s="11"/>
      <c r="KT87" s="11"/>
      <c r="KU87" s="11"/>
      <c r="KV87" s="11"/>
      <c r="KW87" s="11"/>
      <c r="KX87" s="11"/>
      <c r="KY87" s="11"/>
      <c r="KZ87" s="11"/>
      <c r="LA87" s="11"/>
      <c r="LB87" s="11"/>
      <c r="LC87" s="11"/>
      <c r="LD87" s="11"/>
      <c r="LE87" s="11"/>
      <c r="LF87" s="11"/>
      <c r="LG87" s="11"/>
      <c r="LH87" s="11"/>
      <c r="LI87" s="11"/>
      <c r="LJ87" s="11"/>
      <c r="LK87" s="11"/>
      <c r="LL87" s="11"/>
      <c r="LM87" s="11"/>
      <c r="LN87" s="11"/>
      <c r="LO87" s="11"/>
      <c r="LP87" s="11"/>
      <c r="LQ87" s="11"/>
      <c r="LR87" s="11"/>
      <c r="LS87" s="11"/>
      <c r="LT87" s="11"/>
      <c r="LU87" s="11"/>
      <c r="LV87" s="11"/>
      <c r="LW87" s="11"/>
      <c r="LX87" s="11"/>
      <c r="LY87" s="11"/>
      <c r="LZ87" s="11"/>
      <c r="MA87" s="11"/>
      <c r="MB87" s="11"/>
      <c r="MC87" s="11"/>
      <c r="MD87" s="11"/>
      <c r="ME87" s="11"/>
      <c r="MF87" s="11"/>
      <c r="MG87" s="11"/>
      <c r="MH87" s="11"/>
      <c r="MI87" s="11"/>
      <c r="MJ87" s="11"/>
      <c r="MK87" s="11"/>
      <c r="ML87" s="11"/>
      <c r="MM87" s="11"/>
      <c r="MN87" s="11"/>
      <c r="MO87" s="11"/>
      <c r="MP87" s="11"/>
      <c r="MQ87" s="11"/>
      <c r="MR87" s="11"/>
      <c r="MS87" s="11"/>
      <c r="MT87" s="11"/>
      <c r="MU87" s="11"/>
      <c r="MV87" s="11"/>
      <c r="MW87" s="11"/>
      <c r="MX87" s="11"/>
      <c r="MY87" s="11"/>
      <c r="MZ87" s="11"/>
      <c r="NA87" s="11"/>
      <c r="NB87" s="11"/>
      <c r="NC87" s="11"/>
      <c r="ND87" s="11"/>
      <c r="NE87" s="11"/>
      <c r="NF87" s="11"/>
      <c r="NG87" s="11"/>
      <c r="NH87" s="11"/>
      <c r="NI87" s="11"/>
      <c r="NJ87" s="11"/>
      <c r="NK87" s="11"/>
      <c r="NL87" s="11"/>
      <c r="NM87" s="11"/>
      <c r="NN87" s="11"/>
      <c r="NO87" s="11"/>
      <c r="NP87" s="11"/>
      <c r="NQ87" s="11"/>
      <c r="NR87" s="11"/>
      <c r="NS87" s="11"/>
      <c r="NT87" s="11"/>
      <c r="NU87" s="11"/>
      <c r="NV87" s="11"/>
      <c r="NW87" s="11"/>
      <c r="NX87" s="11"/>
      <c r="NY87" s="11"/>
      <c r="NZ87" s="11"/>
      <c r="OA87" s="11"/>
      <c r="OB87" s="11"/>
      <c r="OC87" s="11"/>
      <c r="OD87" s="11"/>
      <c r="OE87" s="11"/>
      <c r="OF87" s="11"/>
      <c r="OG87" s="11"/>
      <c r="OH87" s="11"/>
      <c r="OI87" s="11"/>
      <c r="OJ87" s="11"/>
      <c r="OK87" s="11"/>
      <c r="OL87" s="11"/>
      <c r="OM87" s="11"/>
      <c r="ON87" s="11"/>
      <c r="OO87" s="11"/>
      <c r="OP87" s="11"/>
      <c r="OQ87" s="11"/>
      <c r="OR87" s="11"/>
      <c r="OS87" s="11"/>
      <c r="OT87" s="11"/>
      <c r="OU87" s="11"/>
      <c r="OV87" s="11"/>
      <c r="OW87" s="11"/>
      <c r="OX87" s="11"/>
      <c r="OY87" s="11"/>
      <c r="OZ87" s="11"/>
      <c r="PA87" s="11"/>
      <c r="PB87" s="11"/>
      <c r="PC87" s="11"/>
      <c r="PD87" s="11"/>
      <c r="PE87" s="11"/>
      <c r="PF87" s="11"/>
      <c r="PG87" s="11"/>
      <c r="PH87" s="11"/>
      <c r="PI87" s="11"/>
      <c r="PJ87" s="11"/>
      <c r="PK87" s="11"/>
      <c r="PL87" s="11"/>
      <c r="PM87" s="11"/>
      <c r="PN87" s="11"/>
      <c r="PO87" s="11"/>
      <c r="PP87" s="11"/>
      <c r="PQ87" s="11"/>
      <c r="PR87" s="11"/>
      <c r="PS87" s="11"/>
      <c r="PT87" s="11"/>
      <c r="PU87" s="11"/>
      <c r="PV87" s="11"/>
      <c r="PW87" s="11"/>
      <c r="PX87" s="11"/>
      <c r="PY87" s="11"/>
      <c r="PZ87" s="11"/>
      <c r="QA87" s="11"/>
      <c r="QB87" s="11"/>
      <c r="QC87" s="11"/>
      <c r="QD87" s="11"/>
      <c r="QE87" s="11"/>
      <c r="QF87" s="11"/>
      <c r="QG87" s="11"/>
      <c r="QH87" s="11"/>
      <c r="QI87" s="11"/>
      <c r="QJ87" s="11"/>
      <c r="QK87" s="11"/>
      <c r="QL87" s="11"/>
      <c r="QM87" s="11"/>
      <c r="QN87" s="11"/>
      <c r="QO87" s="11"/>
      <c r="QP87" s="11"/>
      <c r="QQ87" s="11"/>
      <c r="QR87" s="11"/>
      <c r="QS87" s="11"/>
      <c r="QT87" s="11"/>
      <c r="QU87" s="11"/>
      <c r="QV87" s="11"/>
      <c r="QW87" s="11"/>
      <c r="QX87" s="11"/>
      <c r="QY87" s="11"/>
      <c r="QZ87" s="11"/>
      <c r="RA87" s="11"/>
      <c r="RB87" s="11"/>
      <c r="RC87" s="11"/>
      <c r="RD87" s="11"/>
      <c r="RE87" s="11"/>
      <c r="RF87" s="11"/>
      <c r="RG87" s="11"/>
      <c r="RH87" s="11"/>
      <c r="RI87" s="11"/>
      <c r="RJ87" s="11"/>
      <c r="RK87" s="11"/>
      <c r="RL87" s="11"/>
      <c r="RM87" s="11"/>
      <c r="RN87" s="11"/>
      <c r="RO87" s="11"/>
      <c r="RP87" s="11"/>
      <c r="RQ87" s="11"/>
      <c r="RR87" s="11"/>
      <c r="RS87" s="11"/>
      <c r="RT87" s="11"/>
      <c r="RU87" s="11"/>
      <c r="RV87" s="11"/>
      <c r="RW87" s="11"/>
      <c r="RX87" s="11"/>
      <c r="RY87" s="11"/>
      <c r="RZ87" s="11"/>
      <c r="SA87" s="11"/>
      <c r="SB87" s="11"/>
      <c r="SC87" s="11"/>
      <c r="SD87" s="11"/>
      <c r="SE87" s="11"/>
      <c r="SF87" s="11"/>
      <c r="SG87" s="11"/>
      <c r="SH87" s="11"/>
      <c r="SI87" s="11"/>
      <c r="SJ87" s="11"/>
      <c r="SK87" s="11"/>
      <c r="SL87" s="11"/>
      <c r="SM87" s="11"/>
      <c r="SN87" s="11"/>
      <c r="SO87" s="11"/>
      <c r="SP87" s="11"/>
      <c r="SQ87" s="11"/>
      <c r="SR87" s="11"/>
      <c r="SS87" s="11"/>
      <c r="ST87" s="11"/>
      <c r="SU87" s="11"/>
      <c r="SV87" s="11"/>
      <c r="SW87" s="11"/>
      <c r="SX87" s="11"/>
      <c r="SY87" s="11"/>
      <c r="SZ87" s="11"/>
      <c r="TA87" s="11"/>
      <c r="TB87" s="11"/>
      <c r="TC87" s="11"/>
      <c r="TD87" s="11"/>
      <c r="TE87" s="11"/>
      <c r="TF87" s="11"/>
      <c r="TG87" s="11"/>
      <c r="TH87" s="11"/>
      <c r="TI87" s="11"/>
      <c r="TJ87" s="11"/>
      <c r="TK87" s="11"/>
      <c r="TL87" s="11"/>
      <c r="TM87" s="11"/>
      <c r="TN87" s="11"/>
      <c r="TO87" s="11"/>
      <c r="TP87" s="11"/>
      <c r="TQ87" s="11"/>
      <c r="TR87" s="11"/>
      <c r="TS87" s="11"/>
      <c r="TT87" s="11"/>
      <c r="TU87" s="11"/>
      <c r="TV87" s="11"/>
      <c r="TW87" s="11"/>
      <c r="TX87" s="11"/>
      <c r="TY87" s="11"/>
      <c r="TZ87" s="11"/>
      <c r="UA87" s="11"/>
      <c r="UB87" s="11"/>
      <c r="UC87" s="11"/>
      <c r="UD87" s="11"/>
      <c r="UE87" s="11"/>
      <c r="UF87" s="11"/>
      <c r="UG87" s="11"/>
      <c r="UH87" s="11"/>
      <c r="UI87" s="11"/>
      <c r="UJ87" s="11"/>
      <c r="UK87" s="11"/>
      <c r="UL87" s="11"/>
      <c r="UM87" s="11"/>
      <c r="UN87" s="11"/>
      <c r="UO87" s="11"/>
      <c r="UP87" s="11"/>
      <c r="UQ87" s="11"/>
      <c r="UR87" s="11"/>
      <c r="US87" s="11"/>
      <c r="UT87" s="11"/>
      <c r="UU87" s="11"/>
      <c r="UV87" s="11"/>
      <c r="UW87" s="11"/>
      <c r="UX87" s="11"/>
      <c r="UY87" s="11"/>
      <c r="UZ87" s="11"/>
      <c r="VA87" s="11"/>
      <c r="VB87" s="11"/>
      <c r="VC87" s="11"/>
      <c r="VD87" s="11"/>
      <c r="VE87" s="11"/>
      <c r="VF87" s="11"/>
      <c r="VG87" s="11"/>
      <c r="VH87" s="11"/>
      <c r="VI87" s="11"/>
      <c r="VJ87" s="11"/>
      <c r="VK87" s="11"/>
      <c r="VL87" s="11"/>
      <c r="VM87" s="11"/>
      <c r="VN87" s="11"/>
      <c r="VO87" s="11"/>
      <c r="VP87" s="11"/>
      <c r="VQ87" s="11"/>
      <c r="VR87" s="11"/>
      <c r="VS87" s="11"/>
      <c r="VT87" s="11"/>
      <c r="VU87" s="11"/>
      <c r="VV87" s="11"/>
      <c r="VW87" s="11"/>
      <c r="VX87" s="11"/>
      <c r="VY87" s="11"/>
      <c r="VZ87" s="11"/>
      <c r="WA87" s="11"/>
      <c r="WB87" s="11"/>
      <c r="WC87" s="11"/>
      <c r="WD87" s="11"/>
      <c r="WE87" s="11"/>
      <c r="WF87" s="11"/>
      <c r="WG87" s="11"/>
      <c r="WH87" s="11"/>
      <c r="WI87" s="11"/>
      <c r="WJ87" s="11"/>
      <c r="WK87" s="11"/>
      <c r="WL87" s="11"/>
      <c r="WM87" s="11"/>
      <c r="WN87" s="11"/>
      <c r="WO87" s="11"/>
      <c r="WP87" s="11"/>
      <c r="WQ87" s="11"/>
      <c r="WR87" s="11"/>
      <c r="WS87" s="11"/>
      <c r="WT87" s="11"/>
      <c r="WU87" s="11"/>
      <c r="WV87" s="11"/>
      <c r="WW87" s="11"/>
      <c r="WX87" s="11"/>
      <c r="WY87" s="11"/>
      <c r="WZ87" s="11"/>
      <c r="XA87" s="11"/>
      <c r="XB87" s="11"/>
      <c r="XC87" s="11"/>
      <c r="XD87" s="11"/>
      <c r="XE87" s="11"/>
      <c r="XF87" s="11"/>
      <c r="XG87" s="11"/>
      <c r="XH87" s="11"/>
      <c r="XI87" s="11"/>
      <c r="XJ87" s="11"/>
      <c r="XK87" s="11"/>
      <c r="XL87" s="11"/>
      <c r="XM87" s="11"/>
      <c r="XN87" s="11"/>
      <c r="XO87" s="11"/>
      <c r="XP87" s="11"/>
      <c r="XQ87" s="11"/>
      <c r="XR87" s="11"/>
      <c r="XS87" s="11"/>
      <c r="XT87" s="11"/>
      <c r="XU87" s="11"/>
      <c r="XV87" s="11"/>
      <c r="XW87" s="11"/>
      <c r="XX87" s="11"/>
      <c r="XY87" s="11"/>
      <c r="XZ87" s="11"/>
      <c r="YA87" s="11"/>
      <c r="YB87" s="11"/>
      <c r="YC87" s="11"/>
      <c r="YD87" s="11"/>
      <c r="YE87" s="11"/>
      <c r="YF87" s="11"/>
      <c r="YG87" s="11"/>
      <c r="YH87" s="11"/>
      <c r="YI87" s="11"/>
      <c r="YJ87" s="11"/>
      <c r="YK87" s="11"/>
      <c r="YL87" s="11"/>
      <c r="YM87" s="11"/>
      <c r="YN87" s="11"/>
      <c r="YO87" s="11"/>
      <c r="YP87" s="11"/>
      <c r="YQ87" s="11"/>
      <c r="YR87" s="11"/>
      <c r="YS87" s="11"/>
      <c r="YT87" s="11"/>
      <c r="YU87" s="11"/>
      <c r="YV87" s="11"/>
      <c r="YW87" s="11"/>
      <c r="YX87" s="11"/>
      <c r="YY87" s="11"/>
      <c r="YZ87" s="11"/>
      <c r="ZA87" s="11"/>
      <c r="ZB87" s="11"/>
      <c r="ZC87" s="11"/>
      <c r="ZD87" s="11"/>
      <c r="ZE87" s="11"/>
      <c r="ZF87" s="11"/>
      <c r="ZG87" s="11"/>
      <c r="ZH87" s="11"/>
      <c r="ZI87" s="11"/>
      <c r="ZJ87" s="11"/>
      <c r="ZK87" s="11"/>
      <c r="ZL87" s="11"/>
      <c r="ZM87" s="11"/>
      <c r="ZN87" s="11"/>
      <c r="ZO87" s="11"/>
      <c r="ZP87" s="11"/>
      <c r="ZQ87" s="11"/>
      <c r="ZR87" s="11"/>
      <c r="ZS87" s="11"/>
      <c r="ZT87" s="11"/>
      <c r="ZU87" s="11"/>
      <c r="ZV87" s="11"/>
      <c r="ZW87" s="11"/>
      <c r="ZX87" s="11"/>
      <c r="ZY87" s="11"/>
      <c r="ZZ87" s="11"/>
      <c r="AAA87" s="11"/>
      <c r="AAB87" s="11"/>
      <c r="AAC87" s="11"/>
      <c r="AAD87" s="11"/>
      <c r="AAE87" s="11"/>
      <c r="AAF87" s="11"/>
      <c r="AAG87" s="11"/>
      <c r="AAH87" s="11"/>
      <c r="AAI87" s="11"/>
      <c r="AAJ87" s="11"/>
      <c r="AAK87" s="11"/>
      <c r="AAL87" s="11"/>
      <c r="AAM87" s="11"/>
      <c r="AAN87" s="11"/>
      <c r="AAO87" s="11"/>
      <c r="AAP87" s="11"/>
      <c r="AAQ87" s="11"/>
      <c r="AAR87" s="11"/>
      <c r="AAS87" s="11"/>
      <c r="AAT87" s="11"/>
      <c r="AAU87" s="11"/>
      <c r="AAV87" s="11"/>
      <c r="AAW87" s="11"/>
      <c r="AAX87" s="11"/>
      <c r="AAY87" s="11"/>
      <c r="AAZ87" s="11"/>
      <c r="ABA87" s="11"/>
      <c r="ABB87" s="11"/>
      <c r="ABC87" s="11"/>
      <c r="ABD87" s="11"/>
      <c r="ABE87" s="11"/>
      <c r="ABF87" s="11"/>
      <c r="ABG87" s="11"/>
      <c r="ABH87" s="11"/>
      <c r="ABI87" s="11"/>
      <c r="ABJ87" s="11"/>
      <c r="ABK87" s="11"/>
      <c r="ABL87" s="11"/>
      <c r="ABM87" s="11"/>
      <c r="ABN87" s="11"/>
      <c r="ABO87" s="11"/>
      <c r="ABP87" s="11"/>
      <c r="ABQ87" s="11"/>
      <c r="ABR87" s="11"/>
      <c r="ABS87" s="11"/>
      <c r="ABT87" s="11"/>
      <c r="ABU87" s="11"/>
      <c r="ABV87" s="11"/>
      <c r="ABW87" s="11"/>
      <c r="ABX87" s="11"/>
      <c r="ABY87" s="11"/>
      <c r="ABZ87" s="11"/>
      <c r="ACA87" s="11"/>
      <c r="ACB87" s="11"/>
      <c r="ACC87" s="11"/>
      <c r="ACD87" s="11"/>
      <c r="ACE87" s="11"/>
      <c r="ACF87" s="11"/>
      <c r="ACG87" s="11"/>
      <c r="ACH87" s="11"/>
      <c r="ACI87" s="11"/>
      <c r="ACJ87" s="11"/>
      <c r="ACK87" s="11"/>
      <c r="ACL87" s="11"/>
      <c r="ACM87" s="11"/>
      <c r="ACN87" s="11"/>
      <c r="ACO87" s="11"/>
      <c r="ACP87" s="11"/>
      <c r="ACQ87" s="11"/>
      <c r="ACR87" s="11"/>
      <c r="ACS87" s="11"/>
      <c r="ACT87" s="11"/>
      <c r="ACU87" s="11"/>
      <c r="ACV87" s="11"/>
      <c r="ACW87" s="11"/>
      <c r="ACX87" s="11"/>
      <c r="ACY87" s="11"/>
      <c r="ACZ87" s="11"/>
      <c r="ADA87" s="11"/>
      <c r="ADB87" s="11"/>
      <c r="ADC87" s="11"/>
      <c r="ADD87" s="11"/>
      <c r="ADE87" s="11"/>
      <c r="ADF87" s="11"/>
      <c r="ADG87" s="11"/>
      <c r="ADH87" s="11"/>
      <c r="ADI87" s="11"/>
      <c r="ADJ87" s="11"/>
      <c r="ADK87" s="11"/>
      <c r="ADL87" s="11"/>
      <c r="ADM87" s="11"/>
      <c r="ADN87" s="11"/>
      <c r="ADO87" s="11"/>
      <c r="ADP87" s="11"/>
      <c r="ADQ87" s="11"/>
      <c r="ADR87" s="11"/>
      <c r="ADS87" s="11"/>
      <c r="ADT87" s="11"/>
      <c r="ADU87" s="11"/>
      <c r="ADV87" s="11"/>
      <c r="ADW87" s="11"/>
      <c r="ADX87" s="11"/>
      <c r="ADY87" s="11"/>
      <c r="ADZ87" s="11"/>
      <c r="AEA87" s="11"/>
      <c r="AEB87" s="11"/>
      <c r="AEC87" s="11"/>
      <c r="AED87" s="11"/>
      <c r="AEE87" s="11"/>
      <c r="AEF87" s="11"/>
      <c r="AEG87" s="11"/>
      <c r="AEH87" s="11"/>
      <c r="AEI87" s="11"/>
      <c r="AEJ87" s="11"/>
      <c r="AEK87" s="11"/>
      <c r="AEL87" s="11"/>
      <c r="AEM87" s="11"/>
      <c r="AEN87" s="11"/>
      <c r="AEO87" s="11"/>
      <c r="AEP87" s="11"/>
      <c r="AEQ87" s="11"/>
      <c r="AER87" s="11"/>
      <c r="AES87" s="11"/>
      <c r="AET87" s="11"/>
      <c r="AEU87" s="11"/>
      <c r="AEV87" s="11"/>
      <c r="AEW87" s="11"/>
      <c r="AEX87" s="11"/>
      <c r="AEY87" s="11"/>
      <c r="AEZ87" s="11"/>
      <c r="AFA87" s="11"/>
      <c r="AFB87" s="11"/>
      <c r="AFC87" s="11"/>
      <c r="AFD87" s="11"/>
      <c r="AFE87" s="11"/>
      <c r="AFF87" s="11"/>
      <c r="AFG87" s="11"/>
      <c r="AFH87" s="11"/>
      <c r="AFI87" s="11"/>
    </row>
    <row r="88" spans="2:841">
      <c r="B88" s="11"/>
      <c r="C88" s="657"/>
      <c r="D88" s="315" t="s">
        <v>925</v>
      </c>
      <c r="E88" s="316">
        <f t="shared" ref="E88:S88" si="7">SUM(E80:E87)</f>
        <v>0</v>
      </c>
      <c r="F88" s="314" t="e">
        <f t="shared" si="7"/>
        <v>#N/A</v>
      </c>
      <c r="G88" s="317" t="e">
        <f t="shared" si="7"/>
        <v>#N/A</v>
      </c>
      <c r="H88" s="316">
        <f t="shared" si="7"/>
        <v>0</v>
      </c>
      <c r="I88" s="314" t="e">
        <f t="shared" si="7"/>
        <v>#N/A</v>
      </c>
      <c r="J88" s="317" t="e">
        <f t="shared" si="7"/>
        <v>#N/A</v>
      </c>
      <c r="K88" s="316">
        <f t="shared" si="7"/>
        <v>0</v>
      </c>
      <c r="L88" s="314" t="e">
        <f t="shared" si="7"/>
        <v>#N/A</v>
      </c>
      <c r="M88" s="317" t="e">
        <f t="shared" si="7"/>
        <v>#N/A</v>
      </c>
      <c r="N88" s="316">
        <f t="shared" si="7"/>
        <v>0</v>
      </c>
      <c r="O88" s="314" t="e">
        <f t="shared" si="7"/>
        <v>#N/A</v>
      </c>
      <c r="P88" s="317" t="e">
        <f t="shared" si="7"/>
        <v>#N/A</v>
      </c>
      <c r="Q88" s="316">
        <f t="shared" si="7"/>
        <v>0</v>
      </c>
      <c r="R88" s="314" t="e">
        <f t="shared" si="7"/>
        <v>#N/A</v>
      </c>
      <c r="S88" s="317" t="e">
        <f t="shared" si="7"/>
        <v>#N/A</v>
      </c>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1"/>
      <c r="JA88" s="11"/>
      <c r="JB88" s="11"/>
      <c r="JC88" s="11"/>
      <c r="JD88" s="11"/>
      <c r="JE88" s="11"/>
      <c r="JF88" s="11"/>
      <c r="JG88" s="11"/>
      <c r="JH88" s="11"/>
      <c r="JI88" s="11"/>
      <c r="JJ88" s="11"/>
      <c r="JK88" s="11"/>
      <c r="JL88" s="11"/>
      <c r="JM88" s="11"/>
      <c r="JN88" s="11"/>
      <c r="JO88" s="11"/>
      <c r="JP88" s="11"/>
      <c r="JQ88" s="11"/>
      <c r="JR88" s="11"/>
      <c r="JS88" s="11"/>
      <c r="JT88" s="11"/>
      <c r="JU88" s="11"/>
      <c r="JV88" s="11"/>
      <c r="JW88" s="11"/>
      <c r="JX88" s="11"/>
      <c r="JY88" s="11"/>
      <c r="JZ88" s="11"/>
      <c r="KA88" s="11"/>
      <c r="KB88" s="11"/>
      <c r="KC88" s="11"/>
      <c r="KD88" s="11"/>
      <c r="KE88" s="11"/>
      <c r="KF88" s="11"/>
      <c r="KG88" s="11"/>
      <c r="KH88" s="11"/>
      <c r="KI88" s="11"/>
      <c r="KJ88" s="11"/>
      <c r="KK88" s="11"/>
      <c r="KL88" s="11"/>
      <c r="KM88" s="11"/>
      <c r="KN88" s="11"/>
      <c r="KO88" s="11"/>
      <c r="KP88" s="11"/>
      <c r="KQ88" s="11"/>
      <c r="KR88" s="11"/>
      <c r="KS88" s="11"/>
      <c r="KT88" s="11"/>
      <c r="KU88" s="11"/>
      <c r="KV88" s="11"/>
      <c r="KW88" s="11"/>
      <c r="KX88" s="11"/>
      <c r="KY88" s="11"/>
      <c r="KZ88" s="11"/>
      <c r="LA88" s="11"/>
      <c r="LB88" s="11"/>
      <c r="LC88" s="11"/>
      <c r="LD88" s="11"/>
      <c r="LE88" s="11"/>
      <c r="LF88" s="11"/>
      <c r="LG88" s="11"/>
      <c r="LH88" s="11"/>
      <c r="LI88" s="11"/>
      <c r="LJ88" s="11"/>
      <c r="LK88" s="11"/>
      <c r="LL88" s="11"/>
      <c r="LM88" s="11"/>
      <c r="LN88" s="11"/>
      <c r="LO88" s="11"/>
      <c r="LP88" s="11"/>
      <c r="LQ88" s="11"/>
      <c r="LR88" s="11"/>
      <c r="LS88" s="11"/>
      <c r="LT88" s="11"/>
      <c r="LU88" s="11"/>
      <c r="LV88" s="11"/>
      <c r="LW88" s="11"/>
      <c r="LX88" s="11"/>
      <c r="LY88" s="11"/>
      <c r="LZ88" s="11"/>
      <c r="MA88" s="11"/>
      <c r="MB88" s="11"/>
      <c r="MC88" s="11"/>
      <c r="MD88" s="11"/>
      <c r="ME88" s="11"/>
      <c r="MF88" s="11"/>
      <c r="MG88" s="11"/>
      <c r="MH88" s="11"/>
      <c r="MI88" s="11"/>
      <c r="MJ88" s="11"/>
      <c r="MK88" s="11"/>
      <c r="ML88" s="11"/>
      <c r="MM88" s="11"/>
      <c r="MN88" s="11"/>
      <c r="MO88" s="11"/>
      <c r="MP88" s="11"/>
      <c r="MQ88" s="11"/>
      <c r="MR88" s="11"/>
      <c r="MS88" s="11"/>
      <c r="MT88" s="11"/>
      <c r="MU88" s="11"/>
      <c r="MV88" s="11"/>
      <c r="MW88" s="11"/>
      <c r="MX88" s="11"/>
      <c r="MY88" s="11"/>
      <c r="MZ88" s="11"/>
      <c r="NA88" s="11"/>
      <c r="NB88" s="11"/>
      <c r="NC88" s="11"/>
      <c r="ND88" s="11"/>
      <c r="NE88" s="11"/>
      <c r="NF88" s="11"/>
      <c r="NG88" s="11"/>
      <c r="NH88" s="11"/>
      <c r="NI88" s="11"/>
      <c r="NJ88" s="11"/>
      <c r="NK88" s="11"/>
      <c r="NL88" s="11"/>
      <c r="NM88" s="11"/>
      <c r="NN88" s="11"/>
      <c r="NO88" s="11"/>
      <c r="NP88" s="11"/>
      <c r="NQ88" s="11"/>
      <c r="NR88" s="11"/>
      <c r="NS88" s="11"/>
      <c r="NT88" s="11"/>
      <c r="NU88" s="11"/>
      <c r="NV88" s="11"/>
      <c r="NW88" s="11"/>
      <c r="NX88" s="11"/>
      <c r="NY88" s="11"/>
      <c r="NZ88" s="11"/>
      <c r="OA88" s="11"/>
      <c r="OB88" s="11"/>
      <c r="OC88" s="11"/>
      <c r="OD88" s="11"/>
      <c r="OE88" s="11"/>
      <c r="OF88" s="11"/>
      <c r="OG88" s="11"/>
      <c r="OH88" s="11"/>
      <c r="OI88" s="11"/>
      <c r="OJ88" s="11"/>
      <c r="OK88" s="11"/>
      <c r="OL88" s="11"/>
      <c r="OM88" s="11"/>
      <c r="ON88" s="11"/>
      <c r="OO88" s="11"/>
      <c r="OP88" s="11"/>
      <c r="OQ88" s="11"/>
      <c r="OR88" s="11"/>
      <c r="OS88" s="11"/>
      <c r="OT88" s="11"/>
      <c r="OU88" s="11"/>
      <c r="OV88" s="11"/>
      <c r="OW88" s="11"/>
      <c r="OX88" s="11"/>
      <c r="OY88" s="11"/>
      <c r="OZ88" s="11"/>
      <c r="PA88" s="11"/>
      <c r="PB88" s="11"/>
      <c r="PC88" s="11"/>
      <c r="PD88" s="11"/>
      <c r="PE88" s="11"/>
      <c r="PF88" s="11"/>
      <c r="PG88" s="11"/>
      <c r="PH88" s="11"/>
      <c r="PI88" s="11"/>
      <c r="PJ88" s="11"/>
      <c r="PK88" s="11"/>
      <c r="PL88" s="11"/>
      <c r="PM88" s="11"/>
      <c r="PN88" s="11"/>
      <c r="PO88" s="11"/>
      <c r="PP88" s="11"/>
      <c r="PQ88" s="11"/>
      <c r="PR88" s="11"/>
      <c r="PS88" s="11"/>
      <c r="PT88" s="11"/>
      <c r="PU88" s="11"/>
      <c r="PV88" s="11"/>
      <c r="PW88" s="11"/>
      <c r="PX88" s="11"/>
      <c r="PY88" s="11"/>
      <c r="PZ88" s="11"/>
      <c r="QA88" s="11"/>
      <c r="QB88" s="11"/>
      <c r="QC88" s="11"/>
      <c r="QD88" s="11"/>
      <c r="QE88" s="11"/>
      <c r="QF88" s="11"/>
      <c r="QG88" s="11"/>
      <c r="QH88" s="11"/>
      <c r="QI88" s="11"/>
      <c r="QJ88" s="11"/>
      <c r="QK88" s="11"/>
      <c r="QL88" s="11"/>
      <c r="QM88" s="11"/>
      <c r="QN88" s="11"/>
      <c r="QO88" s="11"/>
      <c r="QP88" s="11"/>
      <c r="QQ88" s="11"/>
      <c r="QR88" s="11"/>
      <c r="QS88" s="11"/>
      <c r="QT88" s="11"/>
      <c r="QU88" s="11"/>
      <c r="QV88" s="11"/>
      <c r="QW88" s="11"/>
      <c r="QX88" s="11"/>
      <c r="QY88" s="11"/>
      <c r="QZ88" s="11"/>
      <c r="RA88" s="11"/>
      <c r="RB88" s="11"/>
      <c r="RC88" s="11"/>
      <c r="RD88" s="11"/>
      <c r="RE88" s="11"/>
      <c r="RF88" s="11"/>
      <c r="RG88" s="11"/>
      <c r="RH88" s="11"/>
      <c r="RI88" s="11"/>
      <c r="RJ88" s="11"/>
      <c r="RK88" s="11"/>
      <c r="RL88" s="11"/>
      <c r="RM88" s="11"/>
      <c r="RN88" s="11"/>
      <c r="RO88" s="11"/>
      <c r="RP88" s="11"/>
      <c r="RQ88" s="11"/>
      <c r="RR88" s="11"/>
      <c r="RS88" s="11"/>
      <c r="RT88" s="11"/>
      <c r="RU88" s="11"/>
      <c r="RV88" s="11"/>
      <c r="RW88" s="11"/>
      <c r="RX88" s="11"/>
      <c r="RY88" s="11"/>
      <c r="RZ88" s="11"/>
      <c r="SA88" s="11"/>
      <c r="SB88" s="11"/>
      <c r="SC88" s="11"/>
      <c r="SD88" s="11"/>
      <c r="SE88" s="11"/>
      <c r="SF88" s="11"/>
      <c r="SG88" s="11"/>
      <c r="SH88" s="11"/>
      <c r="SI88" s="11"/>
      <c r="SJ88" s="11"/>
      <c r="SK88" s="11"/>
      <c r="SL88" s="11"/>
      <c r="SM88" s="11"/>
      <c r="SN88" s="11"/>
      <c r="SO88" s="11"/>
      <c r="SP88" s="11"/>
      <c r="SQ88" s="11"/>
      <c r="SR88" s="11"/>
      <c r="SS88" s="11"/>
      <c r="ST88" s="11"/>
      <c r="SU88" s="11"/>
      <c r="SV88" s="11"/>
      <c r="SW88" s="11"/>
      <c r="SX88" s="11"/>
      <c r="SY88" s="11"/>
      <c r="SZ88" s="11"/>
      <c r="TA88" s="11"/>
      <c r="TB88" s="11"/>
      <c r="TC88" s="11"/>
      <c r="TD88" s="11"/>
      <c r="TE88" s="11"/>
      <c r="TF88" s="11"/>
      <c r="TG88" s="11"/>
      <c r="TH88" s="11"/>
      <c r="TI88" s="11"/>
      <c r="TJ88" s="11"/>
      <c r="TK88" s="11"/>
      <c r="TL88" s="11"/>
      <c r="TM88" s="11"/>
      <c r="TN88" s="11"/>
      <c r="TO88" s="11"/>
      <c r="TP88" s="11"/>
      <c r="TQ88" s="11"/>
      <c r="TR88" s="11"/>
      <c r="TS88" s="11"/>
      <c r="TT88" s="11"/>
      <c r="TU88" s="11"/>
      <c r="TV88" s="11"/>
      <c r="TW88" s="11"/>
      <c r="TX88" s="11"/>
      <c r="TY88" s="11"/>
      <c r="TZ88" s="11"/>
      <c r="UA88" s="11"/>
      <c r="UB88" s="11"/>
      <c r="UC88" s="11"/>
      <c r="UD88" s="11"/>
      <c r="UE88" s="11"/>
      <c r="UF88" s="11"/>
      <c r="UG88" s="11"/>
      <c r="UH88" s="11"/>
      <c r="UI88" s="11"/>
      <c r="UJ88" s="11"/>
      <c r="UK88" s="11"/>
      <c r="UL88" s="11"/>
      <c r="UM88" s="11"/>
      <c r="UN88" s="11"/>
      <c r="UO88" s="11"/>
      <c r="UP88" s="11"/>
      <c r="UQ88" s="11"/>
      <c r="UR88" s="11"/>
      <c r="US88" s="11"/>
      <c r="UT88" s="11"/>
      <c r="UU88" s="11"/>
      <c r="UV88" s="11"/>
      <c r="UW88" s="11"/>
      <c r="UX88" s="11"/>
      <c r="UY88" s="11"/>
      <c r="UZ88" s="11"/>
      <c r="VA88" s="11"/>
      <c r="VB88" s="11"/>
      <c r="VC88" s="11"/>
      <c r="VD88" s="11"/>
      <c r="VE88" s="11"/>
      <c r="VF88" s="11"/>
      <c r="VG88" s="11"/>
      <c r="VH88" s="11"/>
      <c r="VI88" s="11"/>
      <c r="VJ88" s="11"/>
      <c r="VK88" s="11"/>
      <c r="VL88" s="11"/>
      <c r="VM88" s="11"/>
      <c r="VN88" s="11"/>
      <c r="VO88" s="11"/>
      <c r="VP88" s="11"/>
      <c r="VQ88" s="11"/>
      <c r="VR88" s="11"/>
      <c r="VS88" s="11"/>
      <c r="VT88" s="11"/>
      <c r="VU88" s="11"/>
      <c r="VV88" s="11"/>
      <c r="VW88" s="11"/>
      <c r="VX88" s="11"/>
      <c r="VY88" s="11"/>
      <c r="VZ88" s="11"/>
      <c r="WA88" s="11"/>
      <c r="WB88" s="11"/>
      <c r="WC88" s="11"/>
      <c r="WD88" s="11"/>
      <c r="WE88" s="11"/>
      <c r="WF88" s="11"/>
      <c r="WG88" s="11"/>
      <c r="WH88" s="11"/>
      <c r="WI88" s="11"/>
      <c r="WJ88" s="11"/>
      <c r="WK88" s="11"/>
      <c r="WL88" s="11"/>
      <c r="WM88" s="11"/>
      <c r="WN88" s="11"/>
      <c r="WO88" s="11"/>
      <c r="WP88" s="11"/>
      <c r="WQ88" s="11"/>
      <c r="WR88" s="11"/>
      <c r="WS88" s="11"/>
      <c r="WT88" s="11"/>
      <c r="WU88" s="11"/>
      <c r="WV88" s="11"/>
      <c r="WW88" s="11"/>
      <c r="WX88" s="11"/>
      <c r="WY88" s="11"/>
      <c r="WZ88" s="11"/>
      <c r="XA88" s="11"/>
      <c r="XB88" s="11"/>
      <c r="XC88" s="11"/>
      <c r="XD88" s="11"/>
      <c r="XE88" s="11"/>
      <c r="XF88" s="11"/>
      <c r="XG88" s="11"/>
      <c r="XH88" s="11"/>
      <c r="XI88" s="11"/>
      <c r="XJ88" s="11"/>
      <c r="XK88" s="11"/>
      <c r="XL88" s="11"/>
      <c r="XM88" s="11"/>
      <c r="XN88" s="11"/>
      <c r="XO88" s="11"/>
      <c r="XP88" s="11"/>
      <c r="XQ88" s="11"/>
      <c r="XR88" s="11"/>
      <c r="XS88" s="11"/>
      <c r="XT88" s="11"/>
      <c r="XU88" s="11"/>
      <c r="XV88" s="11"/>
      <c r="XW88" s="11"/>
      <c r="XX88" s="11"/>
      <c r="XY88" s="11"/>
      <c r="XZ88" s="11"/>
      <c r="YA88" s="11"/>
      <c r="YB88" s="11"/>
      <c r="YC88" s="11"/>
      <c r="YD88" s="11"/>
      <c r="YE88" s="11"/>
      <c r="YF88" s="11"/>
      <c r="YG88" s="11"/>
      <c r="YH88" s="11"/>
      <c r="YI88" s="11"/>
      <c r="YJ88" s="11"/>
      <c r="YK88" s="11"/>
      <c r="YL88" s="11"/>
      <c r="YM88" s="11"/>
      <c r="YN88" s="11"/>
      <c r="YO88" s="11"/>
      <c r="YP88" s="11"/>
      <c r="YQ88" s="11"/>
      <c r="YR88" s="11"/>
      <c r="YS88" s="11"/>
      <c r="YT88" s="11"/>
      <c r="YU88" s="11"/>
      <c r="YV88" s="11"/>
      <c r="YW88" s="11"/>
      <c r="YX88" s="11"/>
      <c r="YY88" s="11"/>
      <c r="YZ88" s="11"/>
      <c r="ZA88" s="11"/>
      <c r="ZB88" s="11"/>
      <c r="ZC88" s="11"/>
      <c r="ZD88" s="11"/>
      <c r="ZE88" s="11"/>
      <c r="ZF88" s="11"/>
      <c r="ZG88" s="11"/>
      <c r="ZH88" s="11"/>
      <c r="ZI88" s="11"/>
      <c r="ZJ88" s="11"/>
      <c r="ZK88" s="11"/>
      <c r="ZL88" s="11"/>
      <c r="ZM88" s="11"/>
      <c r="ZN88" s="11"/>
      <c r="ZO88" s="11"/>
      <c r="ZP88" s="11"/>
      <c r="ZQ88" s="11"/>
      <c r="ZR88" s="11"/>
      <c r="ZS88" s="11"/>
      <c r="ZT88" s="11"/>
      <c r="ZU88" s="11"/>
      <c r="ZV88" s="11"/>
      <c r="ZW88" s="11"/>
      <c r="ZX88" s="11"/>
      <c r="ZY88" s="11"/>
      <c r="ZZ88" s="11"/>
      <c r="AAA88" s="11"/>
      <c r="AAB88" s="11"/>
      <c r="AAC88" s="11"/>
      <c r="AAD88" s="11"/>
      <c r="AAE88" s="11"/>
      <c r="AAF88" s="11"/>
      <c r="AAG88" s="11"/>
      <c r="AAH88" s="11"/>
      <c r="AAI88" s="11"/>
      <c r="AAJ88" s="11"/>
      <c r="AAK88" s="11"/>
      <c r="AAL88" s="11"/>
      <c r="AAM88" s="11"/>
      <c r="AAN88" s="11"/>
      <c r="AAO88" s="11"/>
      <c r="AAP88" s="11"/>
      <c r="AAQ88" s="11"/>
      <c r="AAR88" s="11"/>
      <c r="AAS88" s="11"/>
      <c r="AAT88" s="11"/>
      <c r="AAU88" s="11"/>
      <c r="AAV88" s="11"/>
      <c r="AAW88" s="11"/>
      <c r="AAX88" s="11"/>
      <c r="AAY88" s="11"/>
      <c r="AAZ88" s="11"/>
      <c r="ABA88" s="11"/>
      <c r="ABB88" s="11"/>
      <c r="ABC88" s="11"/>
      <c r="ABD88" s="11"/>
      <c r="ABE88" s="11"/>
      <c r="ABF88" s="11"/>
      <c r="ABG88" s="11"/>
      <c r="ABH88" s="11"/>
      <c r="ABI88" s="11"/>
      <c r="ABJ88" s="11"/>
      <c r="ABK88" s="11"/>
      <c r="ABL88" s="11"/>
      <c r="ABM88" s="11"/>
      <c r="ABN88" s="11"/>
      <c r="ABO88" s="11"/>
      <c r="ABP88" s="11"/>
      <c r="ABQ88" s="11"/>
      <c r="ABR88" s="11"/>
      <c r="ABS88" s="11"/>
      <c r="ABT88" s="11"/>
      <c r="ABU88" s="11"/>
      <c r="ABV88" s="11"/>
      <c r="ABW88" s="11"/>
      <c r="ABX88" s="11"/>
      <c r="ABY88" s="11"/>
      <c r="ABZ88" s="11"/>
      <c r="ACA88" s="11"/>
      <c r="ACB88" s="11"/>
      <c r="ACC88" s="11"/>
      <c r="ACD88" s="11"/>
      <c r="ACE88" s="11"/>
      <c r="ACF88" s="11"/>
      <c r="ACG88" s="11"/>
      <c r="ACH88" s="11"/>
      <c r="ACI88" s="11"/>
      <c r="ACJ88" s="11"/>
      <c r="ACK88" s="11"/>
      <c r="ACL88" s="11"/>
      <c r="ACM88" s="11"/>
      <c r="ACN88" s="11"/>
      <c r="ACO88" s="11"/>
      <c r="ACP88" s="11"/>
      <c r="ACQ88" s="11"/>
      <c r="ACR88" s="11"/>
      <c r="ACS88" s="11"/>
      <c r="ACT88" s="11"/>
      <c r="ACU88" s="11"/>
      <c r="ACV88" s="11"/>
      <c r="ACW88" s="11"/>
      <c r="ACX88" s="11"/>
      <c r="ACY88" s="11"/>
      <c r="ACZ88" s="11"/>
      <c r="ADA88" s="11"/>
      <c r="ADB88" s="11"/>
      <c r="ADC88" s="11"/>
      <c r="ADD88" s="11"/>
      <c r="ADE88" s="11"/>
      <c r="ADF88" s="11"/>
      <c r="ADG88" s="11"/>
      <c r="ADH88" s="11"/>
      <c r="ADI88" s="11"/>
      <c r="ADJ88" s="11"/>
      <c r="ADK88" s="11"/>
      <c r="ADL88" s="11"/>
      <c r="ADM88" s="11"/>
      <c r="ADN88" s="11"/>
      <c r="ADO88" s="11"/>
      <c r="ADP88" s="11"/>
      <c r="ADQ88" s="11"/>
      <c r="ADR88" s="11"/>
      <c r="ADS88" s="11"/>
      <c r="ADT88" s="11"/>
      <c r="ADU88" s="11"/>
      <c r="ADV88" s="11"/>
      <c r="ADW88" s="11"/>
      <c r="ADX88" s="11"/>
      <c r="ADY88" s="11"/>
      <c r="ADZ88" s="11"/>
      <c r="AEA88" s="11"/>
      <c r="AEB88" s="11"/>
      <c r="AEC88" s="11"/>
      <c r="AED88" s="11"/>
      <c r="AEE88" s="11"/>
      <c r="AEF88" s="11"/>
      <c r="AEG88" s="11"/>
      <c r="AEH88" s="11"/>
      <c r="AEI88" s="11"/>
      <c r="AEJ88" s="11"/>
      <c r="AEK88" s="11"/>
      <c r="AEL88" s="11"/>
      <c r="AEM88" s="11"/>
      <c r="AEN88" s="11"/>
      <c r="AEO88" s="11"/>
      <c r="AEP88" s="11"/>
      <c r="AEQ88" s="11"/>
      <c r="AER88" s="11"/>
      <c r="AES88" s="11"/>
      <c r="AET88" s="11"/>
      <c r="AEU88" s="11"/>
      <c r="AEV88" s="11"/>
      <c r="AEW88" s="11"/>
      <c r="AEX88" s="11"/>
      <c r="AEY88" s="11"/>
      <c r="AEZ88" s="11"/>
      <c r="AFA88" s="11"/>
      <c r="AFB88" s="11"/>
      <c r="AFC88" s="11"/>
      <c r="AFD88" s="11"/>
      <c r="AFE88" s="11"/>
      <c r="AFF88" s="11"/>
      <c r="AFG88" s="11"/>
      <c r="AFH88" s="11"/>
      <c r="AFI88" s="11"/>
    </row>
    <row r="89" spans="2:841">
      <c r="B89" s="11"/>
      <c r="C89" s="657" t="str">
        <f>M_Datos!L44</f>
        <v>Educativo</v>
      </c>
      <c r="D89" s="289" t="s">
        <v>622</v>
      </c>
      <c r="E89" s="503" t="s">
        <v>623</v>
      </c>
      <c r="F89" s="503" t="s">
        <v>919</v>
      </c>
      <c r="G89" s="503" t="s">
        <v>624</v>
      </c>
      <c r="H89" s="503" t="s">
        <v>623</v>
      </c>
      <c r="I89" s="503" t="s">
        <v>919</v>
      </c>
      <c r="J89" s="503" t="s">
        <v>624</v>
      </c>
      <c r="K89" s="503" t="s">
        <v>623</v>
      </c>
      <c r="L89" s="503" t="s">
        <v>919</v>
      </c>
      <c r="M89" s="503" t="s">
        <v>624</v>
      </c>
      <c r="N89" s="503" t="s">
        <v>623</v>
      </c>
      <c r="O89" s="503" t="s">
        <v>919</v>
      </c>
      <c r="P89" s="503" t="s">
        <v>624</v>
      </c>
      <c r="Q89" s="503" t="s">
        <v>623</v>
      </c>
      <c r="R89" s="503" t="s">
        <v>919</v>
      </c>
      <c r="S89" s="503" t="s">
        <v>624</v>
      </c>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c r="JH89" s="11"/>
      <c r="JI89" s="11"/>
      <c r="JJ89" s="11"/>
      <c r="JK89" s="11"/>
      <c r="JL89" s="11"/>
      <c r="JM89" s="11"/>
      <c r="JN89" s="11"/>
      <c r="JO89" s="11"/>
      <c r="JP89" s="11"/>
      <c r="JQ89" s="11"/>
      <c r="JR89" s="11"/>
      <c r="JS89" s="11"/>
      <c r="JT89" s="11"/>
      <c r="JU89" s="11"/>
      <c r="JV89" s="11"/>
      <c r="JW89" s="11"/>
      <c r="JX89" s="11"/>
      <c r="JY89" s="11"/>
      <c r="JZ89" s="11"/>
      <c r="KA89" s="11"/>
      <c r="KB89" s="11"/>
      <c r="KC89" s="11"/>
      <c r="KD89" s="11"/>
      <c r="KE89" s="11"/>
      <c r="KF89" s="11"/>
      <c r="KG89" s="11"/>
      <c r="KH89" s="11"/>
      <c r="KI89" s="11"/>
      <c r="KJ89" s="11"/>
      <c r="KK89" s="11"/>
      <c r="KL89" s="11"/>
      <c r="KM89" s="11"/>
      <c r="KN89" s="11"/>
      <c r="KO89" s="11"/>
      <c r="KP89" s="11"/>
      <c r="KQ89" s="11"/>
      <c r="KR89" s="11"/>
      <c r="KS89" s="11"/>
      <c r="KT89" s="11"/>
      <c r="KU89" s="11"/>
      <c r="KV89" s="11"/>
      <c r="KW89" s="11"/>
      <c r="KX89" s="11"/>
      <c r="KY89" s="11"/>
      <c r="KZ89" s="11"/>
      <c r="LA89" s="11"/>
      <c r="LB89" s="11"/>
      <c r="LC89" s="11"/>
      <c r="LD89" s="11"/>
      <c r="LE89" s="11"/>
      <c r="LF89" s="11"/>
      <c r="LG89" s="11"/>
      <c r="LH89" s="11"/>
      <c r="LI89" s="11"/>
      <c r="LJ89" s="11"/>
      <c r="LK89" s="11"/>
      <c r="LL89" s="11"/>
      <c r="LM89" s="11"/>
      <c r="LN89" s="11"/>
      <c r="LO89" s="11"/>
      <c r="LP89" s="11"/>
      <c r="LQ89" s="11"/>
      <c r="LR89" s="11"/>
      <c r="LS89" s="11"/>
      <c r="LT89" s="11"/>
      <c r="LU89" s="11"/>
      <c r="LV89" s="11"/>
      <c r="LW89" s="11"/>
      <c r="LX89" s="11"/>
      <c r="LY89" s="11"/>
      <c r="LZ89" s="11"/>
      <c r="MA89" s="11"/>
      <c r="MB89" s="11"/>
      <c r="MC89" s="11"/>
      <c r="MD89" s="11"/>
      <c r="ME89" s="11"/>
      <c r="MF89" s="11"/>
      <c r="MG89" s="11"/>
      <c r="MH89" s="11"/>
      <c r="MI89" s="11"/>
      <c r="MJ89" s="11"/>
      <c r="MK89" s="11"/>
      <c r="ML89" s="11"/>
      <c r="MM89" s="11"/>
      <c r="MN89" s="11"/>
      <c r="MO89" s="11"/>
      <c r="MP89" s="11"/>
      <c r="MQ89" s="11"/>
      <c r="MR89" s="11"/>
      <c r="MS89" s="11"/>
      <c r="MT89" s="11"/>
      <c r="MU89" s="11"/>
      <c r="MV89" s="11"/>
      <c r="MW89" s="11"/>
      <c r="MX89" s="11"/>
      <c r="MY89" s="11"/>
      <c r="MZ89" s="11"/>
      <c r="NA89" s="11"/>
      <c r="NB89" s="11"/>
      <c r="NC89" s="11"/>
      <c r="ND89" s="11"/>
      <c r="NE89" s="11"/>
      <c r="NF89" s="11"/>
      <c r="NG89" s="11"/>
      <c r="NH89" s="11"/>
      <c r="NI89" s="11"/>
      <c r="NJ89" s="11"/>
      <c r="NK89" s="11"/>
      <c r="NL89" s="11"/>
      <c r="NM89" s="11"/>
      <c r="NN89" s="11"/>
      <c r="NO89" s="11"/>
      <c r="NP89" s="11"/>
      <c r="NQ89" s="11"/>
      <c r="NR89" s="11"/>
      <c r="NS89" s="11"/>
      <c r="NT89" s="11"/>
      <c r="NU89" s="11"/>
      <c r="NV89" s="11"/>
      <c r="NW89" s="11"/>
      <c r="NX89" s="11"/>
      <c r="NY89" s="11"/>
      <c r="NZ89" s="11"/>
      <c r="OA89" s="11"/>
      <c r="OB89" s="11"/>
      <c r="OC89" s="11"/>
      <c r="OD89" s="11"/>
      <c r="OE89" s="11"/>
      <c r="OF89" s="11"/>
      <c r="OG89" s="11"/>
      <c r="OH89" s="11"/>
      <c r="OI89" s="11"/>
      <c r="OJ89" s="11"/>
      <c r="OK89" s="11"/>
      <c r="OL89" s="11"/>
      <c r="OM89" s="11"/>
      <c r="ON89" s="11"/>
      <c r="OO89" s="11"/>
      <c r="OP89" s="11"/>
      <c r="OQ89" s="11"/>
      <c r="OR89" s="11"/>
      <c r="OS89" s="11"/>
      <c r="OT89" s="11"/>
      <c r="OU89" s="11"/>
      <c r="OV89" s="11"/>
      <c r="OW89" s="11"/>
      <c r="OX89" s="11"/>
      <c r="OY89" s="11"/>
      <c r="OZ89" s="11"/>
      <c r="PA89" s="11"/>
      <c r="PB89" s="11"/>
      <c r="PC89" s="11"/>
      <c r="PD89" s="11"/>
      <c r="PE89" s="11"/>
      <c r="PF89" s="11"/>
      <c r="PG89" s="11"/>
      <c r="PH89" s="11"/>
      <c r="PI89" s="11"/>
      <c r="PJ89" s="11"/>
      <c r="PK89" s="11"/>
      <c r="PL89" s="11"/>
      <c r="PM89" s="11"/>
      <c r="PN89" s="11"/>
      <c r="PO89" s="11"/>
      <c r="PP89" s="11"/>
      <c r="PQ89" s="11"/>
      <c r="PR89" s="11"/>
      <c r="PS89" s="11"/>
      <c r="PT89" s="11"/>
      <c r="PU89" s="11"/>
      <c r="PV89" s="11"/>
      <c r="PW89" s="11"/>
      <c r="PX89" s="11"/>
      <c r="PY89" s="11"/>
      <c r="PZ89" s="11"/>
      <c r="QA89" s="11"/>
      <c r="QB89" s="11"/>
      <c r="QC89" s="11"/>
      <c r="QD89" s="11"/>
      <c r="QE89" s="11"/>
      <c r="QF89" s="11"/>
      <c r="QG89" s="11"/>
      <c r="QH89" s="11"/>
      <c r="QI89" s="11"/>
      <c r="QJ89" s="11"/>
      <c r="QK89" s="11"/>
      <c r="QL89" s="11"/>
      <c r="QM89" s="11"/>
      <c r="QN89" s="11"/>
      <c r="QO89" s="11"/>
      <c r="QP89" s="11"/>
      <c r="QQ89" s="11"/>
      <c r="QR89" s="11"/>
      <c r="QS89" s="11"/>
      <c r="QT89" s="11"/>
      <c r="QU89" s="11"/>
      <c r="QV89" s="11"/>
      <c r="QW89" s="11"/>
      <c r="QX89" s="11"/>
      <c r="QY89" s="11"/>
      <c r="QZ89" s="11"/>
      <c r="RA89" s="11"/>
      <c r="RB89" s="11"/>
      <c r="RC89" s="11"/>
      <c r="RD89" s="11"/>
      <c r="RE89" s="11"/>
      <c r="RF89" s="11"/>
      <c r="RG89" s="11"/>
      <c r="RH89" s="11"/>
      <c r="RI89" s="11"/>
      <c r="RJ89" s="11"/>
      <c r="RK89" s="11"/>
      <c r="RL89" s="11"/>
      <c r="RM89" s="11"/>
      <c r="RN89" s="11"/>
      <c r="RO89" s="11"/>
      <c r="RP89" s="11"/>
      <c r="RQ89" s="11"/>
      <c r="RR89" s="11"/>
      <c r="RS89" s="11"/>
      <c r="RT89" s="11"/>
      <c r="RU89" s="11"/>
      <c r="RV89" s="11"/>
      <c r="RW89" s="11"/>
      <c r="RX89" s="11"/>
      <c r="RY89" s="11"/>
      <c r="RZ89" s="11"/>
      <c r="SA89" s="11"/>
      <c r="SB89" s="11"/>
      <c r="SC89" s="11"/>
      <c r="SD89" s="11"/>
      <c r="SE89" s="11"/>
      <c r="SF89" s="11"/>
      <c r="SG89" s="11"/>
      <c r="SH89" s="11"/>
      <c r="SI89" s="11"/>
      <c r="SJ89" s="11"/>
      <c r="SK89" s="11"/>
      <c r="SL89" s="11"/>
      <c r="SM89" s="11"/>
      <c r="SN89" s="11"/>
      <c r="SO89" s="11"/>
      <c r="SP89" s="11"/>
      <c r="SQ89" s="11"/>
      <c r="SR89" s="11"/>
      <c r="SS89" s="11"/>
      <c r="ST89" s="11"/>
      <c r="SU89" s="11"/>
      <c r="SV89" s="11"/>
      <c r="SW89" s="11"/>
      <c r="SX89" s="11"/>
      <c r="SY89" s="11"/>
      <c r="SZ89" s="11"/>
      <c r="TA89" s="11"/>
      <c r="TB89" s="11"/>
      <c r="TC89" s="11"/>
      <c r="TD89" s="11"/>
      <c r="TE89" s="11"/>
      <c r="TF89" s="11"/>
      <c r="TG89" s="11"/>
      <c r="TH89" s="11"/>
      <c r="TI89" s="11"/>
      <c r="TJ89" s="11"/>
      <c r="TK89" s="11"/>
      <c r="TL89" s="11"/>
      <c r="TM89" s="11"/>
      <c r="TN89" s="11"/>
      <c r="TO89" s="11"/>
      <c r="TP89" s="11"/>
      <c r="TQ89" s="11"/>
      <c r="TR89" s="11"/>
      <c r="TS89" s="11"/>
      <c r="TT89" s="11"/>
      <c r="TU89" s="11"/>
      <c r="TV89" s="11"/>
      <c r="TW89" s="11"/>
      <c r="TX89" s="11"/>
      <c r="TY89" s="11"/>
      <c r="TZ89" s="11"/>
      <c r="UA89" s="11"/>
      <c r="UB89" s="11"/>
      <c r="UC89" s="11"/>
      <c r="UD89" s="11"/>
      <c r="UE89" s="11"/>
      <c r="UF89" s="11"/>
      <c r="UG89" s="11"/>
      <c r="UH89" s="11"/>
      <c r="UI89" s="11"/>
      <c r="UJ89" s="11"/>
      <c r="UK89" s="11"/>
      <c r="UL89" s="11"/>
      <c r="UM89" s="11"/>
      <c r="UN89" s="11"/>
      <c r="UO89" s="11"/>
      <c r="UP89" s="11"/>
      <c r="UQ89" s="11"/>
      <c r="UR89" s="11"/>
      <c r="US89" s="11"/>
      <c r="UT89" s="11"/>
      <c r="UU89" s="11"/>
      <c r="UV89" s="11"/>
      <c r="UW89" s="11"/>
      <c r="UX89" s="11"/>
      <c r="UY89" s="11"/>
      <c r="UZ89" s="11"/>
      <c r="VA89" s="11"/>
      <c r="VB89" s="11"/>
      <c r="VC89" s="11"/>
      <c r="VD89" s="11"/>
      <c r="VE89" s="11"/>
      <c r="VF89" s="11"/>
      <c r="VG89" s="11"/>
      <c r="VH89" s="11"/>
      <c r="VI89" s="11"/>
      <c r="VJ89" s="11"/>
      <c r="VK89" s="11"/>
      <c r="VL89" s="11"/>
      <c r="VM89" s="11"/>
      <c r="VN89" s="11"/>
      <c r="VO89" s="11"/>
      <c r="VP89" s="11"/>
      <c r="VQ89" s="11"/>
      <c r="VR89" s="11"/>
      <c r="VS89" s="11"/>
      <c r="VT89" s="11"/>
      <c r="VU89" s="11"/>
      <c r="VV89" s="11"/>
      <c r="VW89" s="11"/>
      <c r="VX89" s="11"/>
      <c r="VY89" s="11"/>
      <c r="VZ89" s="11"/>
      <c r="WA89" s="11"/>
      <c r="WB89" s="11"/>
      <c r="WC89" s="11"/>
      <c r="WD89" s="11"/>
      <c r="WE89" s="11"/>
      <c r="WF89" s="11"/>
      <c r="WG89" s="11"/>
      <c r="WH89" s="11"/>
      <c r="WI89" s="11"/>
      <c r="WJ89" s="11"/>
      <c r="WK89" s="11"/>
      <c r="WL89" s="11"/>
      <c r="WM89" s="11"/>
      <c r="WN89" s="11"/>
      <c r="WO89" s="11"/>
      <c r="WP89" s="11"/>
      <c r="WQ89" s="11"/>
      <c r="WR89" s="11"/>
      <c r="WS89" s="11"/>
      <c r="WT89" s="11"/>
      <c r="WU89" s="11"/>
      <c r="WV89" s="11"/>
      <c r="WW89" s="11"/>
      <c r="WX89" s="11"/>
      <c r="WY89" s="11"/>
      <c r="WZ89" s="11"/>
      <c r="XA89" s="11"/>
      <c r="XB89" s="11"/>
      <c r="XC89" s="11"/>
      <c r="XD89" s="11"/>
      <c r="XE89" s="11"/>
      <c r="XF89" s="11"/>
      <c r="XG89" s="11"/>
      <c r="XH89" s="11"/>
      <c r="XI89" s="11"/>
      <c r="XJ89" s="11"/>
      <c r="XK89" s="11"/>
      <c r="XL89" s="11"/>
      <c r="XM89" s="11"/>
      <c r="XN89" s="11"/>
      <c r="XO89" s="11"/>
      <c r="XP89" s="11"/>
      <c r="XQ89" s="11"/>
      <c r="XR89" s="11"/>
      <c r="XS89" s="11"/>
      <c r="XT89" s="11"/>
      <c r="XU89" s="11"/>
      <c r="XV89" s="11"/>
      <c r="XW89" s="11"/>
      <c r="XX89" s="11"/>
      <c r="XY89" s="11"/>
      <c r="XZ89" s="11"/>
      <c r="YA89" s="11"/>
      <c r="YB89" s="11"/>
      <c r="YC89" s="11"/>
      <c r="YD89" s="11"/>
      <c r="YE89" s="11"/>
      <c r="YF89" s="11"/>
      <c r="YG89" s="11"/>
      <c r="YH89" s="11"/>
      <c r="YI89" s="11"/>
      <c r="YJ89" s="11"/>
      <c r="YK89" s="11"/>
      <c r="YL89" s="11"/>
      <c r="YM89" s="11"/>
      <c r="YN89" s="11"/>
      <c r="YO89" s="11"/>
      <c r="YP89" s="11"/>
      <c r="YQ89" s="11"/>
      <c r="YR89" s="11"/>
      <c r="YS89" s="11"/>
      <c r="YT89" s="11"/>
      <c r="YU89" s="11"/>
      <c r="YV89" s="11"/>
      <c r="YW89" s="11"/>
      <c r="YX89" s="11"/>
      <c r="YY89" s="11"/>
      <c r="YZ89" s="11"/>
      <c r="ZA89" s="11"/>
      <c r="ZB89" s="11"/>
      <c r="ZC89" s="11"/>
      <c r="ZD89" s="11"/>
      <c r="ZE89" s="11"/>
      <c r="ZF89" s="11"/>
      <c r="ZG89" s="11"/>
      <c r="ZH89" s="11"/>
      <c r="ZI89" s="11"/>
      <c r="ZJ89" s="11"/>
      <c r="ZK89" s="11"/>
      <c r="ZL89" s="11"/>
      <c r="ZM89" s="11"/>
      <c r="ZN89" s="11"/>
      <c r="ZO89" s="11"/>
      <c r="ZP89" s="11"/>
      <c r="ZQ89" s="11"/>
      <c r="ZR89" s="11"/>
      <c r="ZS89" s="11"/>
      <c r="ZT89" s="11"/>
      <c r="ZU89" s="11"/>
      <c r="ZV89" s="11"/>
      <c r="ZW89" s="11"/>
      <c r="ZX89" s="11"/>
      <c r="ZY89" s="11"/>
      <c r="ZZ89" s="11"/>
      <c r="AAA89" s="11"/>
      <c r="AAB89" s="11"/>
      <c r="AAC89" s="11"/>
      <c r="AAD89" s="11"/>
      <c r="AAE89" s="11"/>
      <c r="AAF89" s="11"/>
      <c r="AAG89" s="11"/>
      <c r="AAH89" s="11"/>
      <c r="AAI89" s="11"/>
      <c r="AAJ89" s="11"/>
      <c r="AAK89" s="11"/>
      <c r="AAL89" s="11"/>
      <c r="AAM89" s="11"/>
      <c r="AAN89" s="11"/>
      <c r="AAO89" s="11"/>
      <c r="AAP89" s="11"/>
      <c r="AAQ89" s="11"/>
      <c r="AAR89" s="11"/>
      <c r="AAS89" s="11"/>
      <c r="AAT89" s="11"/>
      <c r="AAU89" s="11"/>
      <c r="AAV89" s="11"/>
      <c r="AAW89" s="11"/>
      <c r="AAX89" s="11"/>
      <c r="AAY89" s="11"/>
      <c r="AAZ89" s="11"/>
      <c r="ABA89" s="11"/>
      <c r="ABB89" s="11"/>
      <c r="ABC89" s="11"/>
      <c r="ABD89" s="11"/>
      <c r="ABE89" s="11"/>
      <c r="ABF89" s="11"/>
      <c r="ABG89" s="11"/>
      <c r="ABH89" s="11"/>
      <c r="ABI89" s="11"/>
      <c r="ABJ89" s="11"/>
      <c r="ABK89" s="11"/>
      <c r="ABL89" s="11"/>
      <c r="ABM89" s="11"/>
      <c r="ABN89" s="11"/>
      <c r="ABO89" s="11"/>
      <c r="ABP89" s="11"/>
      <c r="ABQ89" s="11"/>
      <c r="ABR89" s="11"/>
      <c r="ABS89" s="11"/>
      <c r="ABT89" s="11"/>
      <c r="ABU89" s="11"/>
      <c r="ABV89" s="11"/>
      <c r="ABW89" s="11"/>
      <c r="ABX89" s="11"/>
      <c r="ABY89" s="11"/>
      <c r="ABZ89" s="11"/>
      <c r="ACA89" s="11"/>
      <c r="ACB89" s="11"/>
      <c r="ACC89" s="11"/>
      <c r="ACD89" s="11"/>
      <c r="ACE89" s="11"/>
      <c r="ACF89" s="11"/>
      <c r="ACG89" s="11"/>
      <c r="ACH89" s="11"/>
      <c r="ACI89" s="11"/>
      <c r="ACJ89" s="11"/>
      <c r="ACK89" s="11"/>
      <c r="ACL89" s="11"/>
      <c r="ACM89" s="11"/>
      <c r="ACN89" s="11"/>
      <c r="ACO89" s="11"/>
      <c r="ACP89" s="11"/>
      <c r="ACQ89" s="11"/>
      <c r="ACR89" s="11"/>
      <c r="ACS89" s="11"/>
      <c r="ACT89" s="11"/>
      <c r="ACU89" s="11"/>
      <c r="ACV89" s="11"/>
      <c r="ACW89" s="11"/>
      <c r="ACX89" s="11"/>
      <c r="ACY89" s="11"/>
      <c r="ACZ89" s="11"/>
      <c r="ADA89" s="11"/>
      <c r="ADB89" s="11"/>
      <c r="ADC89" s="11"/>
      <c r="ADD89" s="11"/>
      <c r="ADE89" s="11"/>
      <c r="ADF89" s="11"/>
      <c r="ADG89" s="11"/>
      <c r="ADH89" s="11"/>
      <c r="ADI89" s="11"/>
      <c r="ADJ89" s="11"/>
      <c r="ADK89" s="11"/>
      <c r="ADL89" s="11"/>
      <c r="ADM89" s="11"/>
      <c r="ADN89" s="11"/>
      <c r="ADO89" s="11"/>
      <c r="ADP89" s="11"/>
      <c r="ADQ89" s="11"/>
      <c r="ADR89" s="11"/>
      <c r="ADS89" s="11"/>
      <c r="ADT89" s="11"/>
      <c r="ADU89" s="11"/>
      <c r="ADV89" s="11"/>
      <c r="ADW89" s="11"/>
      <c r="ADX89" s="11"/>
      <c r="ADY89" s="11"/>
      <c r="ADZ89" s="11"/>
      <c r="AEA89" s="11"/>
      <c r="AEB89" s="11"/>
      <c r="AEC89" s="11"/>
      <c r="AED89" s="11"/>
      <c r="AEE89" s="11"/>
      <c r="AEF89" s="11"/>
      <c r="AEG89" s="11"/>
      <c r="AEH89" s="11"/>
      <c r="AEI89" s="11"/>
      <c r="AEJ89" s="11"/>
      <c r="AEK89" s="11"/>
      <c r="AEL89" s="11"/>
      <c r="AEM89" s="11"/>
      <c r="AEN89" s="11"/>
      <c r="AEO89" s="11"/>
      <c r="AEP89" s="11"/>
      <c r="AEQ89" s="11"/>
      <c r="AER89" s="11"/>
      <c r="AES89" s="11"/>
      <c r="AET89" s="11"/>
      <c r="AEU89" s="11"/>
      <c r="AEV89" s="11"/>
      <c r="AEW89" s="11"/>
      <c r="AEX89" s="11"/>
      <c r="AEY89" s="11"/>
      <c r="AEZ89" s="11"/>
      <c r="AFA89" s="11"/>
      <c r="AFB89" s="11"/>
      <c r="AFC89" s="11"/>
      <c r="AFD89" s="11"/>
      <c r="AFE89" s="11"/>
      <c r="AFF89" s="11"/>
      <c r="AFG89" s="11"/>
      <c r="AFH89" s="11"/>
      <c r="AFI89" s="11"/>
    </row>
    <row r="90" spans="2:841">
      <c r="B90" s="11"/>
      <c r="C90" s="657"/>
      <c r="D90" s="289" t="str">
        <f>IF(Idioma=Castellano,"Existente",IF(Idioma=Valencià,"Existent","Existente"))</f>
        <v>Existente</v>
      </c>
      <c r="E90" s="311">
        <f>SUMIFS(M_Datos!$N$44:$N$46,M_Datos!$O$44:$O$46,M_Lista!G18,M_Datos!$M$44:$M$46,M_Lista!$J$3)</f>
        <v>0</v>
      </c>
      <c r="F90" s="312" t="e">
        <f>IF(AND(M_FactoresComplement!$G$439="No",M_FactoresComplement!$G$441="No"),M_Cálculos_ND!E90*VLOOKUP(M_Datos!$E$12&amp;M_Cálculos_ND!D90,M_Factores!$M$10:$P$108,2,FALSE),IF(AND(M_FactoresComplement!$G$439="Sí",M_FactoresComplement!$G$441="No"),E90*M_FactoresComplement!G453,E90*VLOOKUP(M_FactoresComplement!$C$467&amp;M_Datos!$E$12&amp;M_Lista!G17,M_FactoresComplement!$F$446:$I$781,2,FALSE)))</f>
        <v>#N/A</v>
      </c>
      <c r="G90" s="313" t="e">
        <f>IF(AND(M_FactoresComplement!$G$439="No",M_FactoresComplement!$G$441="No"),M_Cálculos_ND!E90*VLOOKUP(M_Datos!$E$12&amp;M_Cálculos_ND!D90,M_Factores!$M$10:$P$108,3,FALSE),IF(AND(M_FactoresComplement!$G$439="Sí",M_FactoresComplement!$G$441="No"),E90*M_FactoresComplement!H453,E90*VLOOKUP(M_FactoresComplement!$C$467&amp;M_Datos!$E$12&amp;M_Lista!G17,M_FactoresComplement!$F$446:$I$781,3,FALSE)))</f>
        <v>#N/A</v>
      </c>
      <c r="H90" s="311">
        <f>SUMIFS(M_Datos!$P$44:$P$46,M_Datos!$Q$44:$Q$46,M_Lista!G18,M_Datos!$M$44:$M$46,M_Lista!$J$3)</f>
        <v>0</v>
      </c>
      <c r="I90" s="312" t="e">
        <f>IF(AND(M_FactoresComplement!$G$439="No",M_FactoresComplement!$G$441="No"),M_Cálculos_ND!H90*VLOOKUP(M_Datos!$E$12&amp;M_Cálculos_ND!D90,M_Factores!$M$10:$P$108,2,FALSE),IF(AND(M_FactoresComplement!$G$439="Sí",M_FactoresComplement!$G$441="No"),H90*M_FactoresComplement!G453,H90*VLOOKUP(M_FactoresComplement!$C$467&amp;M_Datos!$E$12&amp;M_Lista!G17,M_FactoresComplement!$F$446:$I$781,2,FALSE)))</f>
        <v>#N/A</v>
      </c>
      <c r="J90" s="313" t="e">
        <f>IF(AND(M_FactoresComplement!$G$439="No",M_FactoresComplement!$G$441="No"),M_Cálculos_ND!H90*VLOOKUP(M_Datos!$E$12&amp;M_Cálculos_ND!D90,M_Factores!$M$10:$P$108,3,FALSE),IF(AND(M_FactoresComplement!$G$439="Sí",M_FactoresComplement!$G$441="No"),H90*M_FactoresComplement!H453,H90*VLOOKUP(M_FactoresComplement!$C$467&amp;M_Datos!$E$12&amp;M_Lista!G17,M_FactoresComplement!$F$446:$I$781,3,FALSE)))</f>
        <v>#N/A</v>
      </c>
      <c r="K90" s="311">
        <f>SUMIFS(M_Datos!$R$44:$R$46,M_Datos!$S$44:$S$46,M_Lista!G18,M_Datos!$M$44:$M$46,M_Lista!$J$3)</f>
        <v>0</v>
      </c>
      <c r="L90" s="312" t="e">
        <f>IF(AND(M_FactoresComplement!$G$439="No",M_FactoresComplement!$G$441="No"),M_Cálculos_ND!K90*VLOOKUP(M_Datos!$E$12&amp;M_Cálculos_ND!D90,M_Factores!$M$10:$P$108,2,FALSE),IF(AND(M_FactoresComplement!$G$439="Sí",M_FactoresComplement!$G$441="No"),K90*M_FactoresComplement!G453,K90*VLOOKUP(M_FactoresComplement!$C$467&amp;M_Datos!$E$12&amp;M_Lista!G17,M_FactoresComplement!$F$446:$I$781,2,FALSE)))</f>
        <v>#N/A</v>
      </c>
      <c r="M90" s="313" t="e">
        <f>IF(AND(M_FactoresComplement!$G$439="No",M_FactoresComplement!$G$441="No"),M_Cálculos_ND!K90*VLOOKUP(M_Datos!$E$12&amp;M_Cálculos_ND!D90,M_Factores!$M$10:$P$108,3,FALSE),IF(AND(M_FactoresComplement!$G$439="Sí",M_FactoresComplement!$G$441="No"),K90*M_FactoresComplement!H453,K90*VLOOKUP(M_FactoresComplement!$C$467&amp;M_Datos!$E$12&amp;M_Lista!G17,M_FactoresComplement!$F$446:$I$781,3,FALSE)))</f>
        <v>#N/A</v>
      </c>
      <c r="N90" s="311">
        <f>SUMIFS(M_Datos!$T$44:$T$46,M_Datos!$U$44:$U$46,M_Lista!G18,M_Datos!$M$44:$M$46,M_Lista!$J$3)</f>
        <v>0</v>
      </c>
      <c r="O90" s="312" t="e">
        <f>IF(AND(M_FactoresComplement!$G$439="No",M_FactoresComplement!$G$441="No"),M_Cálculos_ND!N90*VLOOKUP(M_Datos!$E$12&amp;M_Cálculos_ND!D90,M_Factores!$M$10:$P$108,2,FALSE),IF(AND(M_FactoresComplement!$G$439="Sí",M_FactoresComplement!$G$441="No"),N90*M_FactoresComplement!G453,N90*VLOOKUP(M_FactoresComplement!$C$467&amp;M_Datos!$E$12&amp;M_Lista!G17,M_FactoresComplement!$F$446:$I$781,2,FALSE)))</f>
        <v>#N/A</v>
      </c>
      <c r="P90" s="313" t="e">
        <f>IF(AND(M_FactoresComplement!$G$439="No",M_FactoresComplement!$G$441="No"),M_Cálculos_ND!N90*VLOOKUP(M_Datos!$E$12&amp;M_Cálculos_ND!D90,M_Factores!$M$10:$P$108,3,FALSE),IF(AND(M_FactoresComplement!$G$439="Sí",M_FactoresComplement!$G$441="No"),N90*M_FactoresComplement!H453,N90*VLOOKUP(M_FactoresComplement!$C$467&amp;M_Datos!$E$12&amp;M_Lista!G17,M_FactoresComplement!$F$446:$I$781,3,FALSE)))</f>
        <v>#N/A</v>
      </c>
      <c r="Q90" s="311">
        <f>SUMIFS(M_Datos!$V$44:$V$46,M_Datos!$W$44:$W$46,M_Lista!G18,M_Datos!$M$44:$M$46,M_Lista!$J$3)</f>
        <v>0</v>
      </c>
      <c r="R90" s="312" t="e">
        <f>IF(AND(M_FactoresComplement!$G$439="No",M_FactoresComplement!$G$441="No"),M_Cálculos_ND!Q90*VLOOKUP(M_Datos!$E$12&amp;M_Cálculos_ND!D90,M_Factores!$M$10:$P$108,2,FALSE),IF(AND(M_FactoresComplement!$G$439="Sí",M_FactoresComplement!$G$441="No"),Q90*M_FactoresComplement!G453,Q90*VLOOKUP(M_FactoresComplement!$C$467&amp;M_Datos!$E$12&amp;M_Lista!G17,M_FactoresComplement!$F$446:$I$781,2,FALSE)))</f>
        <v>#N/A</v>
      </c>
      <c r="S90" s="313" t="e">
        <f>IF(AND(M_FactoresComplement!$G$439="No",M_FactoresComplement!$G$441="No"),M_Cálculos_ND!Q90*VLOOKUP(M_Datos!$E$12&amp;M_Cálculos_ND!D90,M_Factores!$M$10:$P$108,3,FALSE),IF(AND(M_FactoresComplement!$G$439="Sí",M_FactoresComplement!$G$441="No"),Q90*M_FactoresComplement!H453,Q90*VLOOKUP(M_FactoresComplement!$C$467&amp;M_Datos!$E$12&amp;M_Lista!G17,M_FactoresComplement!$F$446:$I$781,3,FALSE)))</f>
        <v>#N/A</v>
      </c>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1"/>
      <c r="JA90" s="11"/>
      <c r="JB90" s="11"/>
      <c r="JC90" s="11"/>
      <c r="JD90" s="11"/>
      <c r="JE90" s="11"/>
      <c r="JF90" s="11"/>
      <c r="JG90" s="11"/>
      <c r="JH90" s="11"/>
      <c r="JI90" s="11"/>
      <c r="JJ90" s="11"/>
      <c r="JK90" s="11"/>
      <c r="JL90" s="11"/>
      <c r="JM90" s="11"/>
      <c r="JN90" s="11"/>
      <c r="JO90" s="11"/>
      <c r="JP90" s="11"/>
      <c r="JQ90" s="11"/>
      <c r="JR90" s="11"/>
      <c r="JS90" s="11"/>
      <c r="JT90" s="11"/>
      <c r="JU90" s="11"/>
      <c r="JV90" s="11"/>
      <c r="JW90" s="11"/>
      <c r="JX90" s="11"/>
      <c r="JY90" s="11"/>
      <c r="JZ90" s="11"/>
      <c r="KA90" s="11"/>
      <c r="KB90" s="11"/>
      <c r="KC90" s="11"/>
      <c r="KD90" s="11"/>
      <c r="KE90" s="11"/>
      <c r="KF90" s="11"/>
      <c r="KG90" s="11"/>
      <c r="KH90" s="11"/>
      <c r="KI90" s="11"/>
      <c r="KJ90" s="11"/>
      <c r="KK90" s="11"/>
      <c r="KL90" s="11"/>
      <c r="KM90" s="11"/>
      <c r="KN90" s="11"/>
      <c r="KO90" s="11"/>
      <c r="KP90" s="11"/>
      <c r="KQ90" s="11"/>
      <c r="KR90" s="11"/>
      <c r="KS90" s="11"/>
      <c r="KT90" s="11"/>
      <c r="KU90" s="11"/>
      <c r="KV90" s="11"/>
      <c r="KW90" s="11"/>
      <c r="KX90" s="11"/>
      <c r="KY90" s="11"/>
      <c r="KZ90" s="11"/>
      <c r="LA90" s="11"/>
      <c r="LB90" s="11"/>
      <c r="LC90" s="11"/>
      <c r="LD90" s="11"/>
      <c r="LE90" s="11"/>
      <c r="LF90" s="11"/>
      <c r="LG90" s="11"/>
      <c r="LH90" s="11"/>
      <c r="LI90" s="11"/>
      <c r="LJ90" s="11"/>
      <c r="LK90" s="11"/>
      <c r="LL90" s="11"/>
      <c r="LM90" s="11"/>
      <c r="LN90" s="11"/>
      <c r="LO90" s="11"/>
      <c r="LP90" s="11"/>
      <c r="LQ90" s="11"/>
      <c r="LR90" s="11"/>
      <c r="LS90" s="11"/>
      <c r="LT90" s="11"/>
      <c r="LU90" s="11"/>
      <c r="LV90" s="11"/>
      <c r="LW90" s="11"/>
      <c r="LX90" s="11"/>
      <c r="LY90" s="11"/>
      <c r="LZ90" s="11"/>
      <c r="MA90" s="11"/>
      <c r="MB90" s="11"/>
      <c r="MC90" s="11"/>
      <c r="MD90" s="11"/>
      <c r="ME90" s="11"/>
      <c r="MF90" s="11"/>
      <c r="MG90" s="11"/>
      <c r="MH90" s="11"/>
      <c r="MI90" s="11"/>
      <c r="MJ90" s="11"/>
      <c r="MK90" s="11"/>
      <c r="ML90" s="11"/>
      <c r="MM90" s="11"/>
      <c r="MN90" s="11"/>
      <c r="MO90" s="11"/>
      <c r="MP90" s="11"/>
      <c r="MQ90" s="11"/>
      <c r="MR90" s="11"/>
      <c r="MS90" s="11"/>
      <c r="MT90" s="11"/>
      <c r="MU90" s="11"/>
      <c r="MV90" s="11"/>
      <c r="MW90" s="11"/>
      <c r="MX90" s="11"/>
      <c r="MY90" s="11"/>
      <c r="MZ90" s="11"/>
      <c r="NA90" s="11"/>
      <c r="NB90" s="11"/>
      <c r="NC90" s="11"/>
      <c r="ND90" s="11"/>
      <c r="NE90" s="11"/>
      <c r="NF90" s="11"/>
      <c r="NG90" s="11"/>
      <c r="NH90" s="11"/>
      <c r="NI90" s="11"/>
      <c r="NJ90" s="11"/>
      <c r="NK90" s="11"/>
      <c r="NL90" s="11"/>
      <c r="NM90" s="11"/>
      <c r="NN90" s="11"/>
      <c r="NO90" s="11"/>
      <c r="NP90" s="11"/>
      <c r="NQ90" s="11"/>
      <c r="NR90" s="11"/>
      <c r="NS90" s="11"/>
      <c r="NT90" s="11"/>
      <c r="NU90" s="11"/>
      <c r="NV90" s="11"/>
      <c r="NW90" s="11"/>
      <c r="NX90" s="11"/>
      <c r="NY90" s="11"/>
      <c r="NZ90" s="11"/>
      <c r="OA90" s="11"/>
      <c r="OB90" s="11"/>
      <c r="OC90" s="11"/>
      <c r="OD90" s="11"/>
      <c r="OE90" s="11"/>
      <c r="OF90" s="11"/>
      <c r="OG90" s="11"/>
      <c r="OH90" s="11"/>
      <c r="OI90" s="11"/>
      <c r="OJ90" s="11"/>
      <c r="OK90" s="11"/>
      <c r="OL90" s="11"/>
      <c r="OM90" s="11"/>
      <c r="ON90" s="11"/>
      <c r="OO90" s="11"/>
      <c r="OP90" s="11"/>
      <c r="OQ90" s="11"/>
      <c r="OR90" s="11"/>
      <c r="OS90" s="11"/>
      <c r="OT90" s="11"/>
      <c r="OU90" s="11"/>
      <c r="OV90" s="11"/>
      <c r="OW90" s="11"/>
      <c r="OX90" s="11"/>
      <c r="OY90" s="11"/>
      <c r="OZ90" s="11"/>
      <c r="PA90" s="11"/>
      <c r="PB90" s="11"/>
      <c r="PC90" s="11"/>
      <c r="PD90" s="11"/>
      <c r="PE90" s="11"/>
      <c r="PF90" s="11"/>
      <c r="PG90" s="11"/>
      <c r="PH90" s="11"/>
      <c r="PI90" s="11"/>
      <c r="PJ90" s="11"/>
      <c r="PK90" s="11"/>
      <c r="PL90" s="11"/>
      <c r="PM90" s="11"/>
      <c r="PN90" s="11"/>
      <c r="PO90" s="11"/>
      <c r="PP90" s="11"/>
      <c r="PQ90" s="11"/>
      <c r="PR90" s="11"/>
      <c r="PS90" s="11"/>
      <c r="PT90" s="11"/>
      <c r="PU90" s="11"/>
      <c r="PV90" s="11"/>
      <c r="PW90" s="11"/>
      <c r="PX90" s="11"/>
      <c r="PY90" s="11"/>
      <c r="PZ90" s="11"/>
      <c r="QA90" s="11"/>
      <c r="QB90" s="11"/>
      <c r="QC90" s="11"/>
      <c r="QD90" s="11"/>
      <c r="QE90" s="11"/>
      <c r="QF90" s="11"/>
      <c r="QG90" s="11"/>
      <c r="QH90" s="11"/>
      <c r="QI90" s="11"/>
      <c r="QJ90" s="11"/>
      <c r="QK90" s="11"/>
      <c r="QL90" s="11"/>
      <c r="QM90" s="11"/>
      <c r="QN90" s="11"/>
      <c r="QO90" s="11"/>
      <c r="QP90" s="11"/>
      <c r="QQ90" s="11"/>
      <c r="QR90" s="11"/>
      <c r="QS90" s="11"/>
      <c r="QT90" s="11"/>
      <c r="QU90" s="11"/>
      <c r="QV90" s="11"/>
      <c r="QW90" s="11"/>
      <c r="QX90" s="11"/>
      <c r="QY90" s="11"/>
      <c r="QZ90" s="11"/>
      <c r="RA90" s="11"/>
      <c r="RB90" s="11"/>
      <c r="RC90" s="11"/>
      <c r="RD90" s="11"/>
      <c r="RE90" s="11"/>
      <c r="RF90" s="11"/>
      <c r="RG90" s="11"/>
      <c r="RH90" s="11"/>
      <c r="RI90" s="11"/>
      <c r="RJ90" s="11"/>
      <c r="RK90" s="11"/>
      <c r="RL90" s="11"/>
      <c r="RM90" s="11"/>
      <c r="RN90" s="11"/>
      <c r="RO90" s="11"/>
      <c r="RP90" s="11"/>
      <c r="RQ90" s="11"/>
      <c r="RR90" s="11"/>
      <c r="RS90" s="11"/>
      <c r="RT90" s="11"/>
      <c r="RU90" s="11"/>
      <c r="RV90" s="11"/>
      <c r="RW90" s="11"/>
      <c r="RX90" s="11"/>
      <c r="RY90" s="11"/>
      <c r="RZ90" s="11"/>
      <c r="SA90" s="11"/>
      <c r="SB90" s="11"/>
      <c r="SC90" s="11"/>
      <c r="SD90" s="11"/>
      <c r="SE90" s="11"/>
      <c r="SF90" s="11"/>
      <c r="SG90" s="11"/>
      <c r="SH90" s="11"/>
      <c r="SI90" s="11"/>
      <c r="SJ90" s="11"/>
      <c r="SK90" s="11"/>
      <c r="SL90" s="11"/>
      <c r="SM90" s="11"/>
      <c r="SN90" s="11"/>
      <c r="SO90" s="11"/>
      <c r="SP90" s="11"/>
      <c r="SQ90" s="11"/>
      <c r="SR90" s="11"/>
      <c r="SS90" s="11"/>
      <c r="ST90" s="11"/>
      <c r="SU90" s="11"/>
      <c r="SV90" s="11"/>
      <c r="SW90" s="11"/>
      <c r="SX90" s="11"/>
      <c r="SY90" s="11"/>
      <c r="SZ90" s="11"/>
      <c r="TA90" s="11"/>
      <c r="TB90" s="11"/>
      <c r="TC90" s="11"/>
      <c r="TD90" s="11"/>
      <c r="TE90" s="11"/>
      <c r="TF90" s="11"/>
      <c r="TG90" s="11"/>
      <c r="TH90" s="11"/>
      <c r="TI90" s="11"/>
      <c r="TJ90" s="11"/>
      <c r="TK90" s="11"/>
      <c r="TL90" s="11"/>
      <c r="TM90" s="11"/>
      <c r="TN90" s="11"/>
      <c r="TO90" s="11"/>
      <c r="TP90" s="11"/>
      <c r="TQ90" s="11"/>
      <c r="TR90" s="11"/>
      <c r="TS90" s="11"/>
      <c r="TT90" s="11"/>
      <c r="TU90" s="11"/>
      <c r="TV90" s="11"/>
      <c r="TW90" s="11"/>
      <c r="TX90" s="11"/>
      <c r="TY90" s="11"/>
      <c r="TZ90" s="11"/>
      <c r="UA90" s="11"/>
      <c r="UB90" s="11"/>
      <c r="UC90" s="11"/>
      <c r="UD90" s="11"/>
      <c r="UE90" s="11"/>
      <c r="UF90" s="11"/>
      <c r="UG90" s="11"/>
      <c r="UH90" s="11"/>
      <c r="UI90" s="11"/>
      <c r="UJ90" s="11"/>
      <c r="UK90" s="11"/>
      <c r="UL90" s="11"/>
      <c r="UM90" s="11"/>
      <c r="UN90" s="11"/>
      <c r="UO90" s="11"/>
      <c r="UP90" s="11"/>
      <c r="UQ90" s="11"/>
      <c r="UR90" s="11"/>
      <c r="US90" s="11"/>
      <c r="UT90" s="11"/>
      <c r="UU90" s="11"/>
      <c r="UV90" s="11"/>
      <c r="UW90" s="11"/>
      <c r="UX90" s="11"/>
      <c r="UY90" s="11"/>
      <c r="UZ90" s="11"/>
      <c r="VA90" s="11"/>
      <c r="VB90" s="11"/>
      <c r="VC90" s="11"/>
      <c r="VD90" s="11"/>
      <c r="VE90" s="11"/>
      <c r="VF90" s="11"/>
      <c r="VG90" s="11"/>
      <c r="VH90" s="11"/>
      <c r="VI90" s="11"/>
      <c r="VJ90" s="11"/>
      <c r="VK90" s="11"/>
      <c r="VL90" s="11"/>
      <c r="VM90" s="11"/>
      <c r="VN90" s="11"/>
      <c r="VO90" s="11"/>
      <c r="VP90" s="11"/>
      <c r="VQ90" s="11"/>
      <c r="VR90" s="11"/>
      <c r="VS90" s="11"/>
      <c r="VT90" s="11"/>
      <c r="VU90" s="11"/>
      <c r="VV90" s="11"/>
      <c r="VW90" s="11"/>
      <c r="VX90" s="11"/>
      <c r="VY90" s="11"/>
      <c r="VZ90" s="11"/>
      <c r="WA90" s="11"/>
      <c r="WB90" s="11"/>
      <c r="WC90" s="11"/>
      <c r="WD90" s="11"/>
      <c r="WE90" s="11"/>
      <c r="WF90" s="11"/>
      <c r="WG90" s="11"/>
      <c r="WH90" s="11"/>
      <c r="WI90" s="11"/>
      <c r="WJ90" s="11"/>
      <c r="WK90" s="11"/>
      <c r="WL90" s="11"/>
      <c r="WM90" s="11"/>
      <c r="WN90" s="11"/>
      <c r="WO90" s="11"/>
      <c r="WP90" s="11"/>
      <c r="WQ90" s="11"/>
      <c r="WR90" s="11"/>
      <c r="WS90" s="11"/>
      <c r="WT90" s="11"/>
      <c r="WU90" s="11"/>
      <c r="WV90" s="11"/>
      <c r="WW90" s="11"/>
      <c r="WX90" s="11"/>
      <c r="WY90" s="11"/>
      <c r="WZ90" s="11"/>
      <c r="XA90" s="11"/>
      <c r="XB90" s="11"/>
      <c r="XC90" s="11"/>
      <c r="XD90" s="11"/>
      <c r="XE90" s="11"/>
      <c r="XF90" s="11"/>
      <c r="XG90" s="11"/>
      <c r="XH90" s="11"/>
      <c r="XI90" s="11"/>
      <c r="XJ90" s="11"/>
      <c r="XK90" s="11"/>
      <c r="XL90" s="11"/>
      <c r="XM90" s="11"/>
      <c r="XN90" s="11"/>
      <c r="XO90" s="11"/>
      <c r="XP90" s="11"/>
      <c r="XQ90" s="11"/>
      <c r="XR90" s="11"/>
      <c r="XS90" s="11"/>
      <c r="XT90" s="11"/>
      <c r="XU90" s="11"/>
      <c r="XV90" s="11"/>
      <c r="XW90" s="11"/>
      <c r="XX90" s="11"/>
      <c r="XY90" s="11"/>
      <c r="XZ90" s="11"/>
      <c r="YA90" s="11"/>
      <c r="YB90" s="11"/>
      <c r="YC90" s="11"/>
      <c r="YD90" s="11"/>
      <c r="YE90" s="11"/>
      <c r="YF90" s="11"/>
      <c r="YG90" s="11"/>
      <c r="YH90" s="11"/>
      <c r="YI90" s="11"/>
      <c r="YJ90" s="11"/>
      <c r="YK90" s="11"/>
      <c r="YL90" s="11"/>
      <c r="YM90" s="11"/>
      <c r="YN90" s="11"/>
      <c r="YO90" s="11"/>
      <c r="YP90" s="11"/>
      <c r="YQ90" s="11"/>
      <c r="YR90" s="11"/>
      <c r="YS90" s="11"/>
      <c r="YT90" s="11"/>
      <c r="YU90" s="11"/>
      <c r="YV90" s="11"/>
      <c r="YW90" s="11"/>
      <c r="YX90" s="11"/>
      <c r="YY90" s="11"/>
      <c r="YZ90" s="11"/>
      <c r="ZA90" s="11"/>
      <c r="ZB90" s="11"/>
      <c r="ZC90" s="11"/>
      <c r="ZD90" s="11"/>
      <c r="ZE90" s="11"/>
      <c r="ZF90" s="11"/>
      <c r="ZG90" s="11"/>
      <c r="ZH90" s="11"/>
      <c r="ZI90" s="11"/>
      <c r="ZJ90" s="11"/>
      <c r="ZK90" s="11"/>
      <c r="ZL90" s="11"/>
      <c r="ZM90" s="11"/>
      <c r="ZN90" s="11"/>
      <c r="ZO90" s="11"/>
      <c r="ZP90" s="11"/>
      <c r="ZQ90" s="11"/>
      <c r="ZR90" s="11"/>
      <c r="ZS90" s="11"/>
      <c r="ZT90" s="11"/>
      <c r="ZU90" s="11"/>
      <c r="ZV90" s="11"/>
      <c r="ZW90" s="11"/>
      <c r="ZX90" s="11"/>
      <c r="ZY90" s="11"/>
      <c r="ZZ90" s="11"/>
      <c r="AAA90" s="11"/>
      <c r="AAB90" s="11"/>
      <c r="AAC90" s="11"/>
      <c r="AAD90" s="11"/>
      <c r="AAE90" s="11"/>
      <c r="AAF90" s="11"/>
      <c r="AAG90" s="11"/>
      <c r="AAH90" s="11"/>
      <c r="AAI90" s="11"/>
      <c r="AAJ90" s="11"/>
      <c r="AAK90" s="11"/>
      <c r="AAL90" s="11"/>
      <c r="AAM90" s="11"/>
      <c r="AAN90" s="11"/>
      <c r="AAO90" s="11"/>
      <c r="AAP90" s="11"/>
      <c r="AAQ90" s="11"/>
      <c r="AAR90" s="11"/>
      <c r="AAS90" s="11"/>
      <c r="AAT90" s="11"/>
      <c r="AAU90" s="11"/>
      <c r="AAV90" s="11"/>
      <c r="AAW90" s="11"/>
      <c r="AAX90" s="11"/>
      <c r="AAY90" s="11"/>
      <c r="AAZ90" s="11"/>
      <c r="ABA90" s="11"/>
      <c r="ABB90" s="11"/>
      <c r="ABC90" s="11"/>
      <c r="ABD90" s="11"/>
      <c r="ABE90" s="11"/>
      <c r="ABF90" s="11"/>
      <c r="ABG90" s="11"/>
      <c r="ABH90" s="11"/>
      <c r="ABI90" s="11"/>
      <c r="ABJ90" s="11"/>
      <c r="ABK90" s="11"/>
      <c r="ABL90" s="11"/>
      <c r="ABM90" s="11"/>
      <c r="ABN90" s="11"/>
      <c r="ABO90" s="11"/>
      <c r="ABP90" s="11"/>
      <c r="ABQ90" s="11"/>
      <c r="ABR90" s="11"/>
      <c r="ABS90" s="11"/>
      <c r="ABT90" s="11"/>
      <c r="ABU90" s="11"/>
      <c r="ABV90" s="11"/>
      <c r="ABW90" s="11"/>
      <c r="ABX90" s="11"/>
      <c r="ABY90" s="11"/>
      <c r="ABZ90" s="11"/>
      <c r="ACA90" s="11"/>
      <c r="ACB90" s="11"/>
      <c r="ACC90" s="11"/>
      <c r="ACD90" s="11"/>
      <c r="ACE90" s="11"/>
      <c r="ACF90" s="11"/>
      <c r="ACG90" s="11"/>
      <c r="ACH90" s="11"/>
      <c r="ACI90" s="11"/>
      <c r="ACJ90" s="11"/>
      <c r="ACK90" s="11"/>
      <c r="ACL90" s="11"/>
      <c r="ACM90" s="11"/>
      <c r="ACN90" s="11"/>
      <c r="ACO90" s="11"/>
      <c r="ACP90" s="11"/>
      <c r="ACQ90" s="11"/>
      <c r="ACR90" s="11"/>
      <c r="ACS90" s="11"/>
      <c r="ACT90" s="11"/>
      <c r="ACU90" s="11"/>
      <c r="ACV90" s="11"/>
      <c r="ACW90" s="11"/>
      <c r="ACX90" s="11"/>
      <c r="ACY90" s="11"/>
      <c r="ACZ90" s="11"/>
      <c r="ADA90" s="11"/>
      <c r="ADB90" s="11"/>
      <c r="ADC90" s="11"/>
      <c r="ADD90" s="11"/>
      <c r="ADE90" s="11"/>
      <c r="ADF90" s="11"/>
      <c r="ADG90" s="11"/>
      <c r="ADH90" s="11"/>
      <c r="ADI90" s="11"/>
      <c r="ADJ90" s="11"/>
      <c r="ADK90" s="11"/>
      <c r="ADL90" s="11"/>
      <c r="ADM90" s="11"/>
      <c r="ADN90" s="11"/>
      <c r="ADO90" s="11"/>
      <c r="ADP90" s="11"/>
      <c r="ADQ90" s="11"/>
      <c r="ADR90" s="11"/>
      <c r="ADS90" s="11"/>
      <c r="ADT90" s="11"/>
      <c r="ADU90" s="11"/>
      <c r="ADV90" s="11"/>
      <c r="ADW90" s="11"/>
      <c r="ADX90" s="11"/>
      <c r="ADY90" s="11"/>
      <c r="ADZ90" s="11"/>
      <c r="AEA90" s="11"/>
      <c r="AEB90" s="11"/>
      <c r="AEC90" s="11"/>
      <c r="AED90" s="11"/>
      <c r="AEE90" s="11"/>
      <c r="AEF90" s="11"/>
      <c r="AEG90" s="11"/>
      <c r="AEH90" s="11"/>
      <c r="AEI90" s="11"/>
      <c r="AEJ90" s="11"/>
      <c r="AEK90" s="11"/>
      <c r="AEL90" s="11"/>
      <c r="AEM90" s="11"/>
      <c r="AEN90" s="11"/>
      <c r="AEO90" s="11"/>
      <c r="AEP90" s="11"/>
      <c r="AEQ90" s="11"/>
      <c r="AER90" s="11"/>
      <c r="AES90" s="11"/>
      <c r="AET90" s="11"/>
      <c r="AEU90" s="11"/>
      <c r="AEV90" s="11"/>
      <c r="AEW90" s="11"/>
      <c r="AEX90" s="11"/>
      <c r="AEY90" s="11"/>
      <c r="AEZ90" s="11"/>
      <c r="AFA90" s="11"/>
      <c r="AFB90" s="11"/>
      <c r="AFC90" s="11"/>
      <c r="AFD90" s="11"/>
      <c r="AFE90" s="11"/>
      <c r="AFF90" s="11"/>
      <c r="AFG90" s="11"/>
      <c r="AFH90" s="11"/>
      <c r="AFI90" s="11"/>
    </row>
    <row r="91" spans="2:841">
      <c r="B91" s="11"/>
      <c r="C91" s="657"/>
      <c r="D91" s="289" t="s">
        <v>625</v>
      </c>
      <c r="E91" s="311">
        <f>SUMIFS(M_Datos!$N$44:$N$46,M_Datos!$O$44:$O$46,M_Lista!G19,M_Datos!$M$44:$M$46,M_Lista!$J$3)</f>
        <v>0</v>
      </c>
      <c r="F91" s="312" t="e">
        <f>IF(AND(M_FactoresComplement!$G$439="No",M_FactoresComplement!$G$441="No"),M_Cálculos_ND!E91*VLOOKUP(M_Datos!$E$12&amp;M_Cálculos_ND!D91,M_Factores!$M$10:$P$108,2,FALSE),IF(AND(M_FactoresComplement!$G$439="Sí",M_FactoresComplement!$G$441="No"),E91*M_FactoresComplement!G454,E91*VLOOKUP(M_FactoresComplement!$C$467&amp;M_Datos!$E$12&amp;M_Lista!G18,M_FactoresComplement!$F$446:$I$781,2,FALSE)))</f>
        <v>#N/A</v>
      </c>
      <c r="G91" s="313" t="e">
        <f>IF(AND(M_FactoresComplement!$G$439="No",M_FactoresComplement!$G$441="No"),M_Cálculos_ND!E91*VLOOKUP(M_Datos!$E$12&amp;M_Cálculos_ND!D91,M_Factores!$M$10:$P$108,3,FALSE),IF(AND(M_FactoresComplement!$G$439="Sí",M_FactoresComplement!$G$441="No"),E91*M_FactoresComplement!H454,E91*VLOOKUP(M_FactoresComplement!$C$467&amp;M_Datos!$E$12&amp;M_Lista!G18,M_FactoresComplement!$F$446:$I$781,3,FALSE)))</f>
        <v>#N/A</v>
      </c>
      <c r="H91" s="311">
        <f>SUMIFS(M_Datos!$P$44:$P$46,M_Datos!$Q$44:$Q$46,M_Lista!G19,M_Datos!$M$44:$M$46,M_Lista!$J$3)</f>
        <v>0</v>
      </c>
      <c r="I91" s="312" t="e">
        <f>IF(AND(M_FactoresComplement!$G$439="No",M_FactoresComplement!$G$441="No"),M_Cálculos_ND!H91*VLOOKUP(M_Datos!$E$12&amp;M_Cálculos_ND!D91,M_Factores!$M$10:$P$108,2,FALSE),IF(AND(M_FactoresComplement!$G$439="Sí",M_FactoresComplement!$G$441="No"),H91*M_FactoresComplement!G454,H91*VLOOKUP(M_FactoresComplement!$C$467&amp;M_Datos!$E$12&amp;M_Lista!G18,M_FactoresComplement!$F$446:$I$781,2,FALSE)))</f>
        <v>#N/A</v>
      </c>
      <c r="J91" s="313" t="e">
        <f>IF(AND(M_FactoresComplement!$G$439="No",M_FactoresComplement!$G$441="No"),M_Cálculos_ND!H91*VLOOKUP(M_Datos!$E$12&amp;M_Cálculos_ND!D91,M_Factores!$M$10:$P$108,3,FALSE),IF(AND(M_FactoresComplement!$G$439="Sí",M_FactoresComplement!$G$441="No"),H91*M_FactoresComplement!H454,H91*VLOOKUP(M_FactoresComplement!$C$467&amp;M_Datos!$E$12&amp;M_Lista!G18,M_FactoresComplement!$F$446:$I$781,3,FALSE)))</f>
        <v>#N/A</v>
      </c>
      <c r="K91" s="311">
        <f>SUMIFS(M_Datos!$R$44:$R$46,M_Datos!$S$44:$S$46,M_Lista!G19,M_Datos!$M$44:$M$46,M_Lista!$J$3)</f>
        <v>0</v>
      </c>
      <c r="L91" s="312" t="e">
        <f>IF(AND(M_FactoresComplement!$G$439="No",M_FactoresComplement!$G$441="No"),M_Cálculos_ND!K91*VLOOKUP(M_Datos!$E$12&amp;M_Cálculos_ND!D91,M_Factores!$M$10:$P$108,2,FALSE),IF(AND(M_FactoresComplement!$G$439="Sí",M_FactoresComplement!$G$441="No"),K91*M_FactoresComplement!G454,K91*VLOOKUP(M_FactoresComplement!$C$467&amp;M_Datos!$E$12&amp;M_Lista!G18,M_FactoresComplement!$F$446:$I$781,2,FALSE)))</f>
        <v>#N/A</v>
      </c>
      <c r="M91" s="313" t="e">
        <f>IF(AND(M_FactoresComplement!$G$439="No",M_FactoresComplement!$G$441="No"),M_Cálculos_ND!K91*VLOOKUP(M_Datos!$E$12&amp;M_Cálculos_ND!D91,M_Factores!$M$10:$P$108,3,FALSE),IF(AND(M_FactoresComplement!$G$439="Sí",M_FactoresComplement!$G$441="No"),K91*M_FactoresComplement!H454,K91*VLOOKUP(M_FactoresComplement!$C$467&amp;M_Datos!$E$12&amp;M_Lista!G18,M_FactoresComplement!$F$446:$I$781,3,FALSE)))</f>
        <v>#N/A</v>
      </c>
      <c r="N91" s="311">
        <f>SUMIFS(M_Datos!$T$44:$T$46,M_Datos!$U$44:$U$46,M_Lista!G19,M_Datos!$M$44:$M$46,M_Lista!$J$3)</f>
        <v>0</v>
      </c>
      <c r="O91" s="312" t="e">
        <f>IF(AND(M_FactoresComplement!$G$439="No",M_FactoresComplement!$G$441="No"),M_Cálculos_ND!N91*VLOOKUP(M_Datos!$E$12&amp;M_Cálculos_ND!D91,M_Factores!$M$10:$P$108,2,FALSE),IF(AND(M_FactoresComplement!$G$439="Sí",M_FactoresComplement!$G$441="No"),N91*M_FactoresComplement!G454,N91*VLOOKUP(M_FactoresComplement!$C$467&amp;M_Datos!$E$12&amp;M_Lista!G18,M_FactoresComplement!$F$446:$I$781,2,FALSE)))</f>
        <v>#N/A</v>
      </c>
      <c r="P91" s="313" t="e">
        <f>IF(AND(M_FactoresComplement!$G$439="No",M_FactoresComplement!$G$441="No"),M_Cálculos_ND!N91*VLOOKUP(M_Datos!$E$12&amp;M_Cálculos_ND!D91,M_Factores!$M$10:$P$108,3,FALSE),IF(AND(M_FactoresComplement!$G$439="Sí",M_FactoresComplement!$G$441="No"),N91*M_FactoresComplement!H454,N91*VLOOKUP(M_FactoresComplement!$C$467&amp;M_Datos!$E$12&amp;M_Lista!G18,M_FactoresComplement!$F$446:$I$781,3,FALSE)))</f>
        <v>#N/A</v>
      </c>
      <c r="Q91" s="311">
        <f>SUMIFS(M_Datos!$V$44:$V$46,M_Datos!$W$44:$W$46,M_Lista!G19,M_Datos!$M$44:$M$46,M_Lista!$J$3)</f>
        <v>0</v>
      </c>
      <c r="R91" s="312" t="e">
        <f>IF(AND(M_FactoresComplement!$G$439="No",M_FactoresComplement!$G$441="No"),M_Cálculos_ND!Q91*VLOOKUP(M_Datos!$E$12&amp;M_Cálculos_ND!D91,M_Factores!$M$10:$P$108,2,FALSE),IF(AND(M_FactoresComplement!$G$439="Sí",M_FactoresComplement!$G$441="No"),Q91*M_FactoresComplement!G454,Q91*VLOOKUP(M_FactoresComplement!$C$467&amp;M_Datos!$E$12&amp;M_Lista!G18,M_FactoresComplement!$F$446:$I$781,2,FALSE)))</f>
        <v>#N/A</v>
      </c>
      <c r="S91" s="313" t="e">
        <f>IF(AND(M_FactoresComplement!$G$439="No",M_FactoresComplement!$G$441="No"),M_Cálculos_ND!Q91*VLOOKUP(M_Datos!$E$12&amp;M_Cálculos_ND!D91,M_Factores!$M$10:$P$108,3,FALSE),IF(AND(M_FactoresComplement!$G$439="Sí",M_FactoresComplement!$G$441="No"),Q91*M_FactoresComplement!H454,Q91*VLOOKUP(M_FactoresComplement!$C$467&amp;M_Datos!$E$12&amp;M_Lista!G18,M_FactoresComplement!$F$446:$I$781,3,FALSE)))</f>
        <v>#N/A</v>
      </c>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1"/>
      <c r="JA91" s="11"/>
      <c r="JB91" s="11"/>
      <c r="JC91" s="11"/>
      <c r="JD91" s="11"/>
      <c r="JE91" s="11"/>
      <c r="JF91" s="11"/>
      <c r="JG91" s="11"/>
      <c r="JH91" s="11"/>
      <c r="JI91" s="11"/>
      <c r="JJ91" s="11"/>
      <c r="JK91" s="11"/>
      <c r="JL91" s="11"/>
      <c r="JM91" s="11"/>
      <c r="JN91" s="11"/>
      <c r="JO91" s="11"/>
      <c r="JP91" s="11"/>
      <c r="JQ91" s="11"/>
      <c r="JR91" s="11"/>
      <c r="JS91" s="11"/>
      <c r="JT91" s="11"/>
      <c r="JU91" s="11"/>
      <c r="JV91" s="11"/>
      <c r="JW91" s="11"/>
      <c r="JX91" s="11"/>
      <c r="JY91" s="11"/>
      <c r="JZ91" s="11"/>
      <c r="KA91" s="11"/>
      <c r="KB91" s="11"/>
      <c r="KC91" s="11"/>
      <c r="KD91" s="11"/>
      <c r="KE91" s="11"/>
      <c r="KF91" s="11"/>
      <c r="KG91" s="11"/>
      <c r="KH91" s="11"/>
      <c r="KI91" s="11"/>
      <c r="KJ91" s="11"/>
      <c r="KK91" s="11"/>
      <c r="KL91" s="11"/>
      <c r="KM91" s="11"/>
      <c r="KN91" s="11"/>
      <c r="KO91" s="11"/>
      <c r="KP91" s="11"/>
      <c r="KQ91" s="11"/>
      <c r="KR91" s="11"/>
      <c r="KS91" s="11"/>
      <c r="KT91" s="11"/>
      <c r="KU91" s="11"/>
      <c r="KV91" s="11"/>
      <c r="KW91" s="11"/>
      <c r="KX91" s="11"/>
      <c r="KY91" s="11"/>
      <c r="KZ91" s="11"/>
      <c r="LA91" s="11"/>
      <c r="LB91" s="11"/>
      <c r="LC91" s="11"/>
      <c r="LD91" s="11"/>
      <c r="LE91" s="11"/>
      <c r="LF91" s="11"/>
      <c r="LG91" s="11"/>
      <c r="LH91" s="11"/>
      <c r="LI91" s="11"/>
      <c r="LJ91" s="11"/>
      <c r="LK91" s="11"/>
      <c r="LL91" s="11"/>
      <c r="LM91" s="11"/>
      <c r="LN91" s="11"/>
      <c r="LO91" s="11"/>
      <c r="LP91" s="11"/>
      <c r="LQ91" s="11"/>
      <c r="LR91" s="11"/>
      <c r="LS91" s="11"/>
      <c r="LT91" s="11"/>
      <c r="LU91" s="11"/>
      <c r="LV91" s="11"/>
      <c r="LW91" s="11"/>
      <c r="LX91" s="11"/>
      <c r="LY91" s="11"/>
      <c r="LZ91" s="11"/>
      <c r="MA91" s="11"/>
      <c r="MB91" s="11"/>
      <c r="MC91" s="11"/>
      <c r="MD91" s="11"/>
      <c r="ME91" s="11"/>
      <c r="MF91" s="11"/>
      <c r="MG91" s="11"/>
      <c r="MH91" s="11"/>
      <c r="MI91" s="11"/>
      <c r="MJ91" s="11"/>
      <c r="MK91" s="11"/>
      <c r="ML91" s="11"/>
      <c r="MM91" s="11"/>
      <c r="MN91" s="11"/>
      <c r="MO91" s="11"/>
      <c r="MP91" s="11"/>
      <c r="MQ91" s="11"/>
      <c r="MR91" s="11"/>
      <c r="MS91" s="11"/>
      <c r="MT91" s="11"/>
      <c r="MU91" s="11"/>
      <c r="MV91" s="11"/>
      <c r="MW91" s="11"/>
      <c r="MX91" s="11"/>
      <c r="MY91" s="11"/>
      <c r="MZ91" s="11"/>
      <c r="NA91" s="11"/>
      <c r="NB91" s="11"/>
      <c r="NC91" s="11"/>
      <c r="ND91" s="11"/>
      <c r="NE91" s="11"/>
      <c r="NF91" s="11"/>
      <c r="NG91" s="11"/>
      <c r="NH91" s="11"/>
      <c r="NI91" s="11"/>
      <c r="NJ91" s="11"/>
      <c r="NK91" s="11"/>
      <c r="NL91" s="11"/>
      <c r="NM91" s="11"/>
      <c r="NN91" s="11"/>
      <c r="NO91" s="11"/>
      <c r="NP91" s="11"/>
      <c r="NQ91" s="11"/>
      <c r="NR91" s="11"/>
      <c r="NS91" s="11"/>
      <c r="NT91" s="11"/>
      <c r="NU91" s="11"/>
      <c r="NV91" s="11"/>
      <c r="NW91" s="11"/>
      <c r="NX91" s="11"/>
      <c r="NY91" s="11"/>
      <c r="NZ91" s="11"/>
      <c r="OA91" s="11"/>
      <c r="OB91" s="11"/>
      <c r="OC91" s="11"/>
      <c r="OD91" s="11"/>
      <c r="OE91" s="11"/>
      <c r="OF91" s="11"/>
      <c r="OG91" s="11"/>
      <c r="OH91" s="11"/>
      <c r="OI91" s="11"/>
      <c r="OJ91" s="11"/>
      <c r="OK91" s="11"/>
      <c r="OL91" s="11"/>
      <c r="OM91" s="11"/>
      <c r="ON91" s="11"/>
      <c r="OO91" s="11"/>
      <c r="OP91" s="11"/>
      <c r="OQ91" s="11"/>
      <c r="OR91" s="11"/>
      <c r="OS91" s="11"/>
      <c r="OT91" s="11"/>
      <c r="OU91" s="11"/>
      <c r="OV91" s="11"/>
      <c r="OW91" s="11"/>
      <c r="OX91" s="11"/>
      <c r="OY91" s="11"/>
      <c r="OZ91" s="11"/>
      <c r="PA91" s="11"/>
      <c r="PB91" s="11"/>
      <c r="PC91" s="11"/>
      <c r="PD91" s="11"/>
      <c r="PE91" s="11"/>
      <c r="PF91" s="11"/>
      <c r="PG91" s="11"/>
      <c r="PH91" s="11"/>
      <c r="PI91" s="11"/>
      <c r="PJ91" s="11"/>
      <c r="PK91" s="11"/>
      <c r="PL91" s="11"/>
      <c r="PM91" s="11"/>
      <c r="PN91" s="11"/>
      <c r="PO91" s="11"/>
      <c r="PP91" s="11"/>
      <c r="PQ91" s="11"/>
      <c r="PR91" s="11"/>
      <c r="PS91" s="11"/>
      <c r="PT91" s="11"/>
      <c r="PU91" s="11"/>
      <c r="PV91" s="11"/>
      <c r="PW91" s="11"/>
      <c r="PX91" s="11"/>
      <c r="PY91" s="11"/>
      <c r="PZ91" s="11"/>
      <c r="QA91" s="11"/>
      <c r="QB91" s="11"/>
      <c r="QC91" s="11"/>
      <c r="QD91" s="11"/>
      <c r="QE91" s="11"/>
      <c r="QF91" s="11"/>
      <c r="QG91" s="11"/>
      <c r="QH91" s="11"/>
      <c r="QI91" s="11"/>
      <c r="QJ91" s="11"/>
      <c r="QK91" s="11"/>
      <c r="QL91" s="11"/>
      <c r="QM91" s="11"/>
      <c r="QN91" s="11"/>
      <c r="QO91" s="11"/>
      <c r="QP91" s="11"/>
      <c r="QQ91" s="11"/>
      <c r="QR91" s="11"/>
      <c r="QS91" s="11"/>
      <c r="QT91" s="11"/>
      <c r="QU91" s="11"/>
      <c r="QV91" s="11"/>
      <c r="QW91" s="11"/>
      <c r="QX91" s="11"/>
      <c r="QY91" s="11"/>
      <c r="QZ91" s="11"/>
      <c r="RA91" s="11"/>
      <c r="RB91" s="11"/>
      <c r="RC91" s="11"/>
      <c r="RD91" s="11"/>
      <c r="RE91" s="11"/>
      <c r="RF91" s="11"/>
      <c r="RG91" s="11"/>
      <c r="RH91" s="11"/>
      <c r="RI91" s="11"/>
      <c r="RJ91" s="11"/>
      <c r="RK91" s="11"/>
      <c r="RL91" s="11"/>
      <c r="RM91" s="11"/>
      <c r="RN91" s="11"/>
      <c r="RO91" s="11"/>
      <c r="RP91" s="11"/>
      <c r="RQ91" s="11"/>
      <c r="RR91" s="11"/>
      <c r="RS91" s="11"/>
      <c r="RT91" s="11"/>
      <c r="RU91" s="11"/>
      <c r="RV91" s="11"/>
      <c r="RW91" s="11"/>
      <c r="RX91" s="11"/>
      <c r="RY91" s="11"/>
      <c r="RZ91" s="11"/>
      <c r="SA91" s="11"/>
      <c r="SB91" s="11"/>
      <c r="SC91" s="11"/>
      <c r="SD91" s="11"/>
      <c r="SE91" s="11"/>
      <c r="SF91" s="11"/>
      <c r="SG91" s="11"/>
      <c r="SH91" s="11"/>
      <c r="SI91" s="11"/>
      <c r="SJ91" s="11"/>
      <c r="SK91" s="11"/>
      <c r="SL91" s="11"/>
      <c r="SM91" s="11"/>
      <c r="SN91" s="11"/>
      <c r="SO91" s="11"/>
      <c r="SP91" s="11"/>
      <c r="SQ91" s="11"/>
      <c r="SR91" s="11"/>
      <c r="SS91" s="11"/>
      <c r="ST91" s="11"/>
      <c r="SU91" s="11"/>
      <c r="SV91" s="11"/>
      <c r="SW91" s="11"/>
      <c r="SX91" s="11"/>
      <c r="SY91" s="11"/>
      <c r="SZ91" s="11"/>
      <c r="TA91" s="11"/>
      <c r="TB91" s="11"/>
      <c r="TC91" s="11"/>
      <c r="TD91" s="11"/>
      <c r="TE91" s="11"/>
      <c r="TF91" s="11"/>
      <c r="TG91" s="11"/>
      <c r="TH91" s="11"/>
      <c r="TI91" s="11"/>
      <c r="TJ91" s="11"/>
      <c r="TK91" s="11"/>
      <c r="TL91" s="11"/>
      <c r="TM91" s="11"/>
      <c r="TN91" s="11"/>
      <c r="TO91" s="11"/>
      <c r="TP91" s="11"/>
      <c r="TQ91" s="11"/>
      <c r="TR91" s="11"/>
      <c r="TS91" s="11"/>
      <c r="TT91" s="11"/>
      <c r="TU91" s="11"/>
      <c r="TV91" s="11"/>
      <c r="TW91" s="11"/>
      <c r="TX91" s="11"/>
      <c r="TY91" s="11"/>
      <c r="TZ91" s="11"/>
      <c r="UA91" s="11"/>
      <c r="UB91" s="11"/>
      <c r="UC91" s="11"/>
      <c r="UD91" s="11"/>
      <c r="UE91" s="11"/>
      <c r="UF91" s="11"/>
      <c r="UG91" s="11"/>
      <c r="UH91" s="11"/>
      <c r="UI91" s="11"/>
      <c r="UJ91" s="11"/>
      <c r="UK91" s="11"/>
      <c r="UL91" s="11"/>
      <c r="UM91" s="11"/>
      <c r="UN91" s="11"/>
      <c r="UO91" s="11"/>
      <c r="UP91" s="11"/>
      <c r="UQ91" s="11"/>
      <c r="UR91" s="11"/>
      <c r="US91" s="11"/>
      <c r="UT91" s="11"/>
      <c r="UU91" s="11"/>
      <c r="UV91" s="11"/>
      <c r="UW91" s="11"/>
      <c r="UX91" s="11"/>
      <c r="UY91" s="11"/>
      <c r="UZ91" s="11"/>
      <c r="VA91" s="11"/>
      <c r="VB91" s="11"/>
      <c r="VC91" s="11"/>
      <c r="VD91" s="11"/>
      <c r="VE91" s="11"/>
      <c r="VF91" s="11"/>
      <c r="VG91" s="11"/>
      <c r="VH91" s="11"/>
      <c r="VI91" s="11"/>
      <c r="VJ91" s="11"/>
      <c r="VK91" s="11"/>
      <c r="VL91" s="11"/>
      <c r="VM91" s="11"/>
      <c r="VN91" s="11"/>
      <c r="VO91" s="11"/>
      <c r="VP91" s="11"/>
      <c r="VQ91" s="11"/>
      <c r="VR91" s="11"/>
      <c r="VS91" s="11"/>
      <c r="VT91" s="11"/>
      <c r="VU91" s="11"/>
      <c r="VV91" s="11"/>
      <c r="VW91" s="11"/>
      <c r="VX91" s="11"/>
      <c r="VY91" s="11"/>
      <c r="VZ91" s="11"/>
      <c r="WA91" s="11"/>
      <c r="WB91" s="11"/>
      <c r="WC91" s="11"/>
      <c r="WD91" s="11"/>
      <c r="WE91" s="11"/>
      <c r="WF91" s="11"/>
      <c r="WG91" s="11"/>
      <c r="WH91" s="11"/>
      <c r="WI91" s="11"/>
      <c r="WJ91" s="11"/>
      <c r="WK91" s="11"/>
      <c r="WL91" s="11"/>
      <c r="WM91" s="11"/>
      <c r="WN91" s="11"/>
      <c r="WO91" s="11"/>
      <c r="WP91" s="11"/>
      <c r="WQ91" s="11"/>
      <c r="WR91" s="11"/>
      <c r="WS91" s="11"/>
      <c r="WT91" s="11"/>
      <c r="WU91" s="11"/>
      <c r="WV91" s="11"/>
      <c r="WW91" s="11"/>
      <c r="WX91" s="11"/>
      <c r="WY91" s="11"/>
      <c r="WZ91" s="11"/>
      <c r="XA91" s="11"/>
      <c r="XB91" s="11"/>
      <c r="XC91" s="11"/>
      <c r="XD91" s="11"/>
      <c r="XE91" s="11"/>
      <c r="XF91" s="11"/>
      <c r="XG91" s="11"/>
      <c r="XH91" s="11"/>
      <c r="XI91" s="11"/>
      <c r="XJ91" s="11"/>
      <c r="XK91" s="11"/>
      <c r="XL91" s="11"/>
      <c r="XM91" s="11"/>
      <c r="XN91" s="11"/>
      <c r="XO91" s="11"/>
      <c r="XP91" s="11"/>
      <c r="XQ91" s="11"/>
      <c r="XR91" s="11"/>
      <c r="XS91" s="11"/>
      <c r="XT91" s="11"/>
      <c r="XU91" s="11"/>
      <c r="XV91" s="11"/>
      <c r="XW91" s="11"/>
      <c r="XX91" s="11"/>
      <c r="XY91" s="11"/>
      <c r="XZ91" s="11"/>
      <c r="YA91" s="11"/>
      <c r="YB91" s="11"/>
      <c r="YC91" s="11"/>
      <c r="YD91" s="11"/>
      <c r="YE91" s="11"/>
      <c r="YF91" s="11"/>
      <c r="YG91" s="11"/>
      <c r="YH91" s="11"/>
      <c r="YI91" s="11"/>
      <c r="YJ91" s="11"/>
      <c r="YK91" s="11"/>
      <c r="YL91" s="11"/>
      <c r="YM91" s="11"/>
      <c r="YN91" s="11"/>
      <c r="YO91" s="11"/>
      <c r="YP91" s="11"/>
      <c r="YQ91" s="11"/>
      <c r="YR91" s="11"/>
      <c r="YS91" s="11"/>
      <c r="YT91" s="11"/>
      <c r="YU91" s="11"/>
      <c r="YV91" s="11"/>
      <c r="YW91" s="11"/>
      <c r="YX91" s="11"/>
      <c r="YY91" s="11"/>
      <c r="YZ91" s="11"/>
      <c r="ZA91" s="11"/>
      <c r="ZB91" s="11"/>
      <c r="ZC91" s="11"/>
      <c r="ZD91" s="11"/>
      <c r="ZE91" s="11"/>
      <c r="ZF91" s="11"/>
      <c r="ZG91" s="11"/>
      <c r="ZH91" s="11"/>
      <c r="ZI91" s="11"/>
      <c r="ZJ91" s="11"/>
      <c r="ZK91" s="11"/>
      <c r="ZL91" s="11"/>
      <c r="ZM91" s="11"/>
      <c r="ZN91" s="11"/>
      <c r="ZO91" s="11"/>
      <c r="ZP91" s="11"/>
      <c r="ZQ91" s="11"/>
      <c r="ZR91" s="11"/>
      <c r="ZS91" s="11"/>
      <c r="ZT91" s="11"/>
      <c r="ZU91" s="11"/>
      <c r="ZV91" s="11"/>
      <c r="ZW91" s="11"/>
      <c r="ZX91" s="11"/>
      <c r="ZY91" s="11"/>
      <c r="ZZ91" s="11"/>
      <c r="AAA91" s="11"/>
      <c r="AAB91" s="11"/>
      <c r="AAC91" s="11"/>
      <c r="AAD91" s="11"/>
      <c r="AAE91" s="11"/>
      <c r="AAF91" s="11"/>
      <c r="AAG91" s="11"/>
      <c r="AAH91" s="11"/>
      <c r="AAI91" s="11"/>
      <c r="AAJ91" s="11"/>
      <c r="AAK91" s="11"/>
      <c r="AAL91" s="11"/>
      <c r="AAM91" s="11"/>
      <c r="AAN91" s="11"/>
      <c r="AAO91" s="11"/>
      <c r="AAP91" s="11"/>
      <c r="AAQ91" s="11"/>
      <c r="AAR91" s="11"/>
      <c r="AAS91" s="11"/>
      <c r="AAT91" s="11"/>
      <c r="AAU91" s="11"/>
      <c r="AAV91" s="11"/>
      <c r="AAW91" s="11"/>
      <c r="AAX91" s="11"/>
      <c r="AAY91" s="11"/>
      <c r="AAZ91" s="11"/>
      <c r="ABA91" s="11"/>
      <c r="ABB91" s="11"/>
      <c r="ABC91" s="11"/>
      <c r="ABD91" s="11"/>
      <c r="ABE91" s="11"/>
      <c r="ABF91" s="11"/>
      <c r="ABG91" s="11"/>
      <c r="ABH91" s="11"/>
      <c r="ABI91" s="11"/>
      <c r="ABJ91" s="11"/>
      <c r="ABK91" s="11"/>
      <c r="ABL91" s="11"/>
      <c r="ABM91" s="11"/>
      <c r="ABN91" s="11"/>
      <c r="ABO91" s="11"/>
      <c r="ABP91" s="11"/>
      <c r="ABQ91" s="11"/>
      <c r="ABR91" s="11"/>
      <c r="ABS91" s="11"/>
      <c r="ABT91" s="11"/>
      <c r="ABU91" s="11"/>
      <c r="ABV91" s="11"/>
      <c r="ABW91" s="11"/>
      <c r="ABX91" s="11"/>
      <c r="ABY91" s="11"/>
      <c r="ABZ91" s="11"/>
      <c r="ACA91" s="11"/>
      <c r="ACB91" s="11"/>
      <c r="ACC91" s="11"/>
      <c r="ACD91" s="11"/>
      <c r="ACE91" s="11"/>
      <c r="ACF91" s="11"/>
      <c r="ACG91" s="11"/>
      <c r="ACH91" s="11"/>
      <c r="ACI91" s="11"/>
      <c r="ACJ91" s="11"/>
      <c r="ACK91" s="11"/>
      <c r="ACL91" s="11"/>
      <c r="ACM91" s="11"/>
      <c r="ACN91" s="11"/>
      <c r="ACO91" s="11"/>
      <c r="ACP91" s="11"/>
      <c r="ACQ91" s="11"/>
      <c r="ACR91" s="11"/>
      <c r="ACS91" s="11"/>
      <c r="ACT91" s="11"/>
      <c r="ACU91" s="11"/>
      <c r="ACV91" s="11"/>
      <c r="ACW91" s="11"/>
      <c r="ACX91" s="11"/>
      <c r="ACY91" s="11"/>
      <c r="ACZ91" s="11"/>
      <c r="ADA91" s="11"/>
      <c r="ADB91" s="11"/>
      <c r="ADC91" s="11"/>
      <c r="ADD91" s="11"/>
      <c r="ADE91" s="11"/>
      <c r="ADF91" s="11"/>
      <c r="ADG91" s="11"/>
      <c r="ADH91" s="11"/>
      <c r="ADI91" s="11"/>
      <c r="ADJ91" s="11"/>
      <c r="ADK91" s="11"/>
      <c r="ADL91" s="11"/>
      <c r="ADM91" s="11"/>
      <c r="ADN91" s="11"/>
      <c r="ADO91" s="11"/>
      <c r="ADP91" s="11"/>
      <c r="ADQ91" s="11"/>
      <c r="ADR91" s="11"/>
      <c r="ADS91" s="11"/>
      <c r="ADT91" s="11"/>
      <c r="ADU91" s="11"/>
      <c r="ADV91" s="11"/>
      <c r="ADW91" s="11"/>
      <c r="ADX91" s="11"/>
      <c r="ADY91" s="11"/>
      <c r="ADZ91" s="11"/>
      <c r="AEA91" s="11"/>
      <c r="AEB91" s="11"/>
      <c r="AEC91" s="11"/>
      <c r="AED91" s="11"/>
      <c r="AEE91" s="11"/>
      <c r="AEF91" s="11"/>
      <c r="AEG91" s="11"/>
      <c r="AEH91" s="11"/>
      <c r="AEI91" s="11"/>
      <c r="AEJ91" s="11"/>
      <c r="AEK91" s="11"/>
      <c r="AEL91" s="11"/>
      <c r="AEM91" s="11"/>
      <c r="AEN91" s="11"/>
      <c r="AEO91" s="11"/>
      <c r="AEP91" s="11"/>
      <c r="AEQ91" s="11"/>
      <c r="AER91" s="11"/>
      <c r="AES91" s="11"/>
      <c r="AET91" s="11"/>
      <c r="AEU91" s="11"/>
      <c r="AEV91" s="11"/>
      <c r="AEW91" s="11"/>
      <c r="AEX91" s="11"/>
      <c r="AEY91" s="11"/>
      <c r="AEZ91" s="11"/>
      <c r="AFA91" s="11"/>
      <c r="AFB91" s="11"/>
      <c r="AFC91" s="11"/>
      <c r="AFD91" s="11"/>
      <c r="AFE91" s="11"/>
      <c r="AFF91" s="11"/>
      <c r="AFG91" s="11"/>
      <c r="AFH91" s="11"/>
      <c r="AFI91" s="11"/>
    </row>
    <row r="92" spans="2:841">
      <c r="B92" s="11"/>
      <c r="C92" s="657"/>
      <c r="D92" s="289" t="s">
        <v>626</v>
      </c>
      <c r="E92" s="311">
        <f>SUMIFS(M_Datos!$N$44:$N$46,M_Datos!$O$44:$O$46,M_Lista!G20,M_Datos!$M$44:$M$46,M_Lista!$J$3)</f>
        <v>0</v>
      </c>
      <c r="F92" s="312" t="e">
        <f>IF(AND(M_FactoresComplement!$G$439="No",M_FactoresComplement!$G$441="No"),M_Cálculos_ND!E92*VLOOKUP(M_Datos!$E$12&amp;M_Cálculos_ND!D92,M_Factores!$M$10:$P$108,2,FALSE),IF(AND(M_FactoresComplement!$G$439="Sí",M_FactoresComplement!$G$441="No"),E92*M_FactoresComplement!G455,E92*VLOOKUP(M_FactoresComplement!$C$467&amp;M_Datos!$E$12&amp;M_Lista!G19,M_FactoresComplement!$F$446:$I$781,2,FALSE)))</f>
        <v>#N/A</v>
      </c>
      <c r="G92" s="313" t="e">
        <f>IF(AND(M_FactoresComplement!$G$439="No",M_FactoresComplement!$G$441="No"),M_Cálculos_ND!E92*VLOOKUP(M_Datos!$E$12&amp;M_Cálculos_ND!D92,M_Factores!$M$10:$P$108,3,FALSE),IF(AND(M_FactoresComplement!$G$439="Sí",M_FactoresComplement!$G$441="No"),E92*M_FactoresComplement!H455,E92*VLOOKUP(M_FactoresComplement!$C$467&amp;M_Datos!$E$12&amp;M_Lista!G19,M_FactoresComplement!$F$446:$I$781,3,FALSE)))</f>
        <v>#N/A</v>
      </c>
      <c r="H92" s="311">
        <f>SUMIFS(M_Datos!$P$44:$P$46,M_Datos!$Q$44:$Q$46,M_Lista!G20,M_Datos!$M$44:$M$46,M_Lista!$J$3)</f>
        <v>0</v>
      </c>
      <c r="I92" s="312" t="e">
        <f>IF(AND(M_FactoresComplement!$G$439="No",M_FactoresComplement!$G$441="No"),M_Cálculos_ND!H92*VLOOKUP(M_Datos!$E$12&amp;M_Cálculos_ND!D92,M_Factores!$M$10:$P$108,2,FALSE),IF(AND(M_FactoresComplement!$G$439="Sí",M_FactoresComplement!$G$441="No"),H92*M_FactoresComplement!G455,H92*VLOOKUP(M_FactoresComplement!$C$467&amp;M_Datos!$E$12&amp;M_Lista!G19,M_FactoresComplement!$F$446:$I$781,2,FALSE)))</f>
        <v>#N/A</v>
      </c>
      <c r="J92" s="313" t="e">
        <f>IF(AND(M_FactoresComplement!$G$439="No",M_FactoresComplement!$G$441="No"),M_Cálculos_ND!H92*VLOOKUP(M_Datos!$E$12&amp;M_Cálculos_ND!D92,M_Factores!$M$10:$P$108,3,FALSE),IF(AND(M_FactoresComplement!$G$439="Sí",M_FactoresComplement!$G$441="No"),H92*M_FactoresComplement!H455,H92*VLOOKUP(M_FactoresComplement!$C$467&amp;M_Datos!$E$12&amp;M_Lista!G19,M_FactoresComplement!$F$446:$I$781,3,FALSE)))</f>
        <v>#N/A</v>
      </c>
      <c r="K92" s="311">
        <f>SUMIFS(M_Datos!$R$44:$R$46,M_Datos!$S$44:$S$46,M_Lista!G20,M_Datos!$M$44:$M$46,M_Lista!$J$3)</f>
        <v>0</v>
      </c>
      <c r="L92" s="312" t="e">
        <f>IF(AND(M_FactoresComplement!$G$439="No",M_FactoresComplement!$G$441="No"),M_Cálculos_ND!K92*VLOOKUP(M_Datos!$E$12&amp;M_Cálculos_ND!D92,M_Factores!$M$10:$P$108,2,FALSE),IF(AND(M_FactoresComplement!$G$439="Sí",M_FactoresComplement!$G$441="No"),K92*M_FactoresComplement!G455,K92*VLOOKUP(M_FactoresComplement!$C$467&amp;M_Datos!$E$12&amp;M_Lista!G19,M_FactoresComplement!$F$446:$I$781,2,FALSE)))</f>
        <v>#N/A</v>
      </c>
      <c r="M92" s="313" t="e">
        <f>IF(AND(M_FactoresComplement!$G$439="No",M_FactoresComplement!$G$441="No"),M_Cálculos_ND!K92*VLOOKUP(M_Datos!$E$12&amp;M_Cálculos_ND!D92,M_Factores!$M$10:$P$108,3,FALSE),IF(AND(M_FactoresComplement!$G$439="Sí",M_FactoresComplement!$G$441="No"),K92*M_FactoresComplement!H455,K92*VLOOKUP(M_FactoresComplement!$C$467&amp;M_Datos!$E$12&amp;M_Lista!G19,M_FactoresComplement!$F$446:$I$781,3,FALSE)))</f>
        <v>#N/A</v>
      </c>
      <c r="N92" s="311">
        <f>SUMIFS(M_Datos!$T$44:$T$46,M_Datos!$U$44:$U$46,M_Lista!G20,M_Datos!$M$44:$M$46,M_Lista!$J$3)</f>
        <v>0</v>
      </c>
      <c r="O92" s="312" t="e">
        <f>IF(AND(M_FactoresComplement!$G$439="No",M_FactoresComplement!$G$441="No"),M_Cálculos_ND!N92*VLOOKUP(M_Datos!$E$12&amp;M_Cálculos_ND!D92,M_Factores!$M$10:$P$108,2,FALSE),IF(AND(M_FactoresComplement!$G$439="Sí",M_FactoresComplement!$G$441="No"),N92*M_FactoresComplement!G455,N92*VLOOKUP(M_FactoresComplement!$C$467&amp;M_Datos!$E$12&amp;M_Lista!G19,M_FactoresComplement!$F$446:$I$781,2,FALSE)))</f>
        <v>#N/A</v>
      </c>
      <c r="P92" s="313" t="e">
        <f>IF(AND(M_FactoresComplement!$G$439="No",M_FactoresComplement!$G$441="No"),M_Cálculos_ND!N92*VLOOKUP(M_Datos!$E$12&amp;M_Cálculos_ND!D92,M_Factores!$M$10:$P$108,3,FALSE),IF(AND(M_FactoresComplement!$G$439="Sí",M_FactoresComplement!$G$441="No"),N92*M_FactoresComplement!H455,N92*VLOOKUP(M_FactoresComplement!$C$467&amp;M_Datos!$E$12&amp;M_Lista!G19,M_FactoresComplement!$F$446:$I$781,3,FALSE)))</f>
        <v>#N/A</v>
      </c>
      <c r="Q92" s="311">
        <f>SUMIFS(M_Datos!$V$44:$V$46,M_Datos!$W$44:$W$46,M_Lista!G20,M_Datos!$M$44:$M$46,M_Lista!$J$3)</f>
        <v>0</v>
      </c>
      <c r="R92" s="312" t="e">
        <f>IF(AND(M_FactoresComplement!$G$439="No",M_FactoresComplement!$G$441="No"),M_Cálculos_ND!Q92*VLOOKUP(M_Datos!$E$12&amp;M_Cálculos_ND!D92,M_Factores!$M$10:$P$108,2,FALSE),IF(AND(M_FactoresComplement!$G$439="Sí",M_FactoresComplement!$G$441="No"),Q92*M_FactoresComplement!G455,Q92*VLOOKUP(M_FactoresComplement!$C$467&amp;M_Datos!$E$12&amp;M_Lista!G19,M_FactoresComplement!$F$446:$I$781,2,FALSE)))</f>
        <v>#N/A</v>
      </c>
      <c r="S92" s="313" t="e">
        <f>IF(AND(M_FactoresComplement!$G$439="No",M_FactoresComplement!$G$441="No"),M_Cálculos_ND!Q92*VLOOKUP(M_Datos!$E$12&amp;M_Cálculos_ND!D92,M_Factores!$M$10:$P$108,3,FALSE),IF(AND(M_FactoresComplement!$G$439="Sí",M_FactoresComplement!$G$441="No"),Q92*M_FactoresComplement!H455,Q92*VLOOKUP(M_FactoresComplement!$C$467&amp;M_Datos!$E$12&amp;M_Lista!G19,M_FactoresComplement!$F$446:$I$781,3,FALSE)))</f>
        <v>#N/A</v>
      </c>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1"/>
      <c r="JA92" s="11"/>
      <c r="JB92" s="11"/>
      <c r="JC92" s="11"/>
      <c r="JD92" s="11"/>
      <c r="JE92" s="11"/>
      <c r="JF92" s="11"/>
      <c r="JG92" s="11"/>
      <c r="JH92" s="11"/>
      <c r="JI92" s="11"/>
      <c r="JJ92" s="11"/>
      <c r="JK92" s="11"/>
      <c r="JL92" s="11"/>
      <c r="JM92" s="11"/>
      <c r="JN92" s="11"/>
      <c r="JO92" s="11"/>
      <c r="JP92" s="11"/>
      <c r="JQ92" s="11"/>
      <c r="JR92" s="11"/>
      <c r="JS92" s="11"/>
      <c r="JT92" s="11"/>
      <c r="JU92" s="11"/>
      <c r="JV92" s="11"/>
      <c r="JW92" s="11"/>
      <c r="JX92" s="11"/>
      <c r="JY92" s="11"/>
      <c r="JZ92" s="11"/>
      <c r="KA92" s="11"/>
      <c r="KB92" s="11"/>
      <c r="KC92" s="11"/>
      <c r="KD92" s="11"/>
      <c r="KE92" s="11"/>
      <c r="KF92" s="11"/>
      <c r="KG92" s="11"/>
      <c r="KH92" s="11"/>
      <c r="KI92" s="11"/>
      <c r="KJ92" s="11"/>
      <c r="KK92" s="11"/>
      <c r="KL92" s="11"/>
      <c r="KM92" s="11"/>
      <c r="KN92" s="11"/>
      <c r="KO92" s="11"/>
      <c r="KP92" s="11"/>
      <c r="KQ92" s="11"/>
      <c r="KR92" s="11"/>
      <c r="KS92" s="11"/>
      <c r="KT92" s="11"/>
      <c r="KU92" s="11"/>
      <c r="KV92" s="11"/>
      <c r="KW92" s="11"/>
      <c r="KX92" s="11"/>
      <c r="KY92" s="11"/>
      <c r="KZ92" s="11"/>
      <c r="LA92" s="11"/>
      <c r="LB92" s="11"/>
      <c r="LC92" s="11"/>
      <c r="LD92" s="11"/>
      <c r="LE92" s="11"/>
      <c r="LF92" s="11"/>
      <c r="LG92" s="11"/>
      <c r="LH92" s="11"/>
      <c r="LI92" s="11"/>
      <c r="LJ92" s="11"/>
      <c r="LK92" s="11"/>
      <c r="LL92" s="11"/>
      <c r="LM92" s="11"/>
      <c r="LN92" s="11"/>
      <c r="LO92" s="11"/>
      <c r="LP92" s="11"/>
      <c r="LQ92" s="11"/>
      <c r="LR92" s="11"/>
      <c r="LS92" s="11"/>
      <c r="LT92" s="11"/>
      <c r="LU92" s="11"/>
      <c r="LV92" s="11"/>
      <c r="LW92" s="11"/>
      <c r="LX92" s="11"/>
      <c r="LY92" s="11"/>
      <c r="LZ92" s="11"/>
      <c r="MA92" s="11"/>
      <c r="MB92" s="11"/>
      <c r="MC92" s="11"/>
      <c r="MD92" s="11"/>
      <c r="ME92" s="11"/>
      <c r="MF92" s="11"/>
      <c r="MG92" s="11"/>
      <c r="MH92" s="11"/>
      <c r="MI92" s="11"/>
      <c r="MJ92" s="11"/>
      <c r="MK92" s="11"/>
      <c r="ML92" s="11"/>
      <c r="MM92" s="11"/>
      <c r="MN92" s="11"/>
      <c r="MO92" s="11"/>
      <c r="MP92" s="11"/>
      <c r="MQ92" s="11"/>
      <c r="MR92" s="11"/>
      <c r="MS92" s="11"/>
      <c r="MT92" s="11"/>
      <c r="MU92" s="11"/>
      <c r="MV92" s="11"/>
      <c r="MW92" s="11"/>
      <c r="MX92" s="11"/>
      <c r="MY92" s="11"/>
      <c r="MZ92" s="11"/>
      <c r="NA92" s="11"/>
      <c r="NB92" s="11"/>
      <c r="NC92" s="11"/>
      <c r="ND92" s="11"/>
      <c r="NE92" s="11"/>
      <c r="NF92" s="11"/>
      <c r="NG92" s="11"/>
      <c r="NH92" s="11"/>
      <c r="NI92" s="11"/>
      <c r="NJ92" s="11"/>
      <c r="NK92" s="11"/>
      <c r="NL92" s="11"/>
      <c r="NM92" s="11"/>
      <c r="NN92" s="11"/>
      <c r="NO92" s="11"/>
      <c r="NP92" s="11"/>
      <c r="NQ92" s="11"/>
      <c r="NR92" s="11"/>
      <c r="NS92" s="11"/>
      <c r="NT92" s="11"/>
      <c r="NU92" s="11"/>
      <c r="NV92" s="11"/>
      <c r="NW92" s="11"/>
      <c r="NX92" s="11"/>
      <c r="NY92" s="11"/>
      <c r="NZ92" s="11"/>
      <c r="OA92" s="11"/>
      <c r="OB92" s="11"/>
      <c r="OC92" s="11"/>
      <c r="OD92" s="11"/>
      <c r="OE92" s="11"/>
      <c r="OF92" s="11"/>
      <c r="OG92" s="11"/>
      <c r="OH92" s="11"/>
      <c r="OI92" s="11"/>
      <c r="OJ92" s="11"/>
      <c r="OK92" s="11"/>
      <c r="OL92" s="11"/>
      <c r="OM92" s="11"/>
      <c r="ON92" s="11"/>
      <c r="OO92" s="11"/>
      <c r="OP92" s="11"/>
      <c r="OQ92" s="11"/>
      <c r="OR92" s="11"/>
      <c r="OS92" s="11"/>
      <c r="OT92" s="11"/>
      <c r="OU92" s="11"/>
      <c r="OV92" s="11"/>
      <c r="OW92" s="11"/>
      <c r="OX92" s="11"/>
      <c r="OY92" s="11"/>
      <c r="OZ92" s="11"/>
      <c r="PA92" s="11"/>
      <c r="PB92" s="11"/>
      <c r="PC92" s="11"/>
      <c r="PD92" s="11"/>
      <c r="PE92" s="11"/>
      <c r="PF92" s="11"/>
      <c r="PG92" s="11"/>
      <c r="PH92" s="11"/>
      <c r="PI92" s="11"/>
      <c r="PJ92" s="11"/>
      <c r="PK92" s="11"/>
      <c r="PL92" s="11"/>
      <c r="PM92" s="11"/>
      <c r="PN92" s="11"/>
      <c r="PO92" s="11"/>
      <c r="PP92" s="11"/>
      <c r="PQ92" s="11"/>
      <c r="PR92" s="11"/>
      <c r="PS92" s="11"/>
      <c r="PT92" s="11"/>
      <c r="PU92" s="11"/>
      <c r="PV92" s="11"/>
      <c r="PW92" s="11"/>
      <c r="PX92" s="11"/>
      <c r="PY92" s="11"/>
      <c r="PZ92" s="11"/>
      <c r="QA92" s="11"/>
      <c r="QB92" s="11"/>
      <c r="QC92" s="11"/>
      <c r="QD92" s="11"/>
      <c r="QE92" s="11"/>
      <c r="QF92" s="11"/>
      <c r="QG92" s="11"/>
      <c r="QH92" s="11"/>
      <c r="QI92" s="11"/>
      <c r="QJ92" s="11"/>
      <c r="QK92" s="11"/>
      <c r="QL92" s="11"/>
      <c r="QM92" s="11"/>
      <c r="QN92" s="11"/>
      <c r="QO92" s="11"/>
      <c r="QP92" s="11"/>
      <c r="QQ92" s="11"/>
      <c r="QR92" s="11"/>
      <c r="QS92" s="11"/>
      <c r="QT92" s="11"/>
      <c r="QU92" s="11"/>
      <c r="QV92" s="11"/>
      <c r="QW92" s="11"/>
      <c r="QX92" s="11"/>
      <c r="QY92" s="11"/>
      <c r="QZ92" s="11"/>
      <c r="RA92" s="11"/>
      <c r="RB92" s="11"/>
      <c r="RC92" s="11"/>
      <c r="RD92" s="11"/>
      <c r="RE92" s="11"/>
      <c r="RF92" s="11"/>
      <c r="RG92" s="11"/>
      <c r="RH92" s="11"/>
      <c r="RI92" s="11"/>
      <c r="RJ92" s="11"/>
      <c r="RK92" s="11"/>
      <c r="RL92" s="11"/>
      <c r="RM92" s="11"/>
      <c r="RN92" s="11"/>
      <c r="RO92" s="11"/>
      <c r="RP92" s="11"/>
      <c r="RQ92" s="11"/>
      <c r="RR92" s="11"/>
      <c r="RS92" s="11"/>
      <c r="RT92" s="11"/>
      <c r="RU92" s="11"/>
      <c r="RV92" s="11"/>
      <c r="RW92" s="11"/>
      <c r="RX92" s="11"/>
      <c r="RY92" s="11"/>
      <c r="RZ92" s="11"/>
      <c r="SA92" s="11"/>
      <c r="SB92" s="11"/>
      <c r="SC92" s="11"/>
      <c r="SD92" s="11"/>
      <c r="SE92" s="11"/>
      <c r="SF92" s="11"/>
      <c r="SG92" s="11"/>
      <c r="SH92" s="11"/>
      <c r="SI92" s="11"/>
      <c r="SJ92" s="11"/>
      <c r="SK92" s="11"/>
      <c r="SL92" s="11"/>
      <c r="SM92" s="11"/>
      <c r="SN92" s="11"/>
      <c r="SO92" s="11"/>
      <c r="SP92" s="11"/>
      <c r="SQ92" s="11"/>
      <c r="SR92" s="11"/>
      <c r="SS92" s="11"/>
      <c r="ST92" s="11"/>
      <c r="SU92" s="11"/>
      <c r="SV92" s="11"/>
      <c r="SW92" s="11"/>
      <c r="SX92" s="11"/>
      <c r="SY92" s="11"/>
      <c r="SZ92" s="11"/>
      <c r="TA92" s="11"/>
      <c r="TB92" s="11"/>
      <c r="TC92" s="11"/>
      <c r="TD92" s="11"/>
      <c r="TE92" s="11"/>
      <c r="TF92" s="11"/>
      <c r="TG92" s="11"/>
      <c r="TH92" s="11"/>
      <c r="TI92" s="11"/>
      <c r="TJ92" s="11"/>
      <c r="TK92" s="11"/>
      <c r="TL92" s="11"/>
      <c r="TM92" s="11"/>
      <c r="TN92" s="11"/>
      <c r="TO92" s="11"/>
      <c r="TP92" s="11"/>
      <c r="TQ92" s="11"/>
      <c r="TR92" s="11"/>
      <c r="TS92" s="11"/>
      <c r="TT92" s="11"/>
      <c r="TU92" s="11"/>
      <c r="TV92" s="11"/>
      <c r="TW92" s="11"/>
      <c r="TX92" s="11"/>
      <c r="TY92" s="11"/>
      <c r="TZ92" s="11"/>
      <c r="UA92" s="11"/>
      <c r="UB92" s="11"/>
      <c r="UC92" s="11"/>
      <c r="UD92" s="11"/>
      <c r="UE92" s="11"/>
      <c r="UF92" s="11"/>
      <c r="UG92" s="11"/>
      <c r="UH92" s="11"/>
      <c r="UI92" s="11"/>
      <c r="UJ92" s="11"/>
      <c r="UK92" s="11"/>
      <c r="UL92" s="11"/>
      <c r="UM92" s="11"/>
      <c r="UN92" s="11"/>
      <c r="UO92" s="11"/>
      <c r="UP92" s="11"/>
      <c r="UQ92" s="11"/>
      <c r="UR92" s="11"/>
      <c r="US92" s="11"/>
      <c r="UT92" s="11"/>
      <c r="UU92" s="11"/>
      <c r="UV92" s="11"/>
      <c r="UW92" s="11"/>
      <c r="UX92" s="11"/>
      <c r="UY92" s="11"/>
      <c r="UZ92" s="11"/>
      <c r="VA92" s="11"/>
      <c r="VB92" s="11"/>
      <c r="VC92" s="11"/>
      <c r="VD92" s="11"/>
      <c r="VE92" s="11"/>
      <c r="VF92" s="11"/>
      <c r="VG92" s="11"/>
      <c r="VH92" s="11"/>
      <c r="VI92" s="11"/>
      <c r="VJ92" s="11"/>
      <c r="VK92" s="11"/>
      <c r="VL92" s="11"/>
      <c r="VM92" s="11"/>
      <c r="VN92" s="11"/>
      <c r="VO92" s="11"/>
      <c r="VP92" s="11"/>
      <c r="VQ92" s="11"/>
      <c r="VR92" s="11"/>
      <c r="VS92" s="11"/>
      <c r="VT92" s="11"/>
      <c r="VU92" s="11"/>
      <c r="VV92" s="11"/>
      <c r="VW92" s="11"/>
      <c r="VX92" s="11"/>
      <c r="VY92" s="11"/>
      <c r="VZ92" s="11"/>
      <c r="WA92" s="11"/>
      <c r="WB92" s="11"/>
      <c r="WC92" s="11"/>
      <c r="WD92" s="11"/>
      <c r="WE92" s="11"/>
      <c r="WF92" s="11"/>
      <c r="WG92" s="11"/>
      <c r="WH92" s="11"/>
      <c r="WI92" s="11"/>
      <c r="WJ92" s="11"/>
      <c r="WK92" s="11"/>
      <c r="WL92" s="11"/>
      <c r="WM92" s="11"/>
      <c r="WN92" s="11"/>
      <c r="WO92" s="11"/>
      <c r="WP92" s="11"/>
      <c r="WQ92" s="11"/>
      <c r="WR92" s="11"/>
      <c r="WS92" s="11"/>
      <c r="WT92" s="11"/>
      <c r="WU92" s="11"/>
      <c r="WV92" s="11"/>
      <c r="WW92" s="11"/>
      <c r="WX92" s="11"/>
      <c r="WY92" s="11"/>
      <c r="WZ92" s="11"/>
      <c r="XA92" s="11"/>
      <c r="XB92" s="11"/>
      <c r="XC92" s="11"/>
      <c r="XD92" s="11"/>
      <c r="XE92" s="11"/>
      <c r="XF92" s="11"/>
      <c r="XG92" s="11"/>
      <c r="XH92" s="11"/>
      <c r="XI92" s="11"/>
      <c r="XJ92" s="11"/>
      <c r="XK92" s="11"/>
      <c r="XL92" s="11"/>
      <c r="XM92" s="11"/>
      <c r="XN92" s="11"/>
      <c r="XO92" s="11"/>
      <c r="XP92" s="11"/>
      <c r="XQ92" s="11"/>
      <c r="XR92" s="11"/>
      <c r="XS92" s="11"/>
      <c r="XT92" s="11"/>
      <c r="XU92" s="11"/>
      <c r="XV92" s="11"/>
      <c r="XW92" s="11"/>
      <c r="XX92" s="11"/>
      <c r="XY92" s="11"/>
      <c r="XZ92" s="11"/>
      <c r="YA92" s="11"/>
      <c r="YB92" s="11"/>
      <c r="YC92" s="11"/>
      <c r="YD92" s="11"/>
      <c r="YE92" s="11"/>
      <c r="YF92" s="11"/>
      <c r="YG92" s="11"/>
      <c r="YH92" s="11"/>
      <c r="YI92" s="11"/>
      <c r="YJ92" s="11"/>
      <c r="YK92" s="11"/>
      <c r="YL92" s="11"/>
      <c r="YM92" s="11"/>
      <c r="YN92" s="11"/>
      <c r="YO92" s="11"/>
      <c r="YP92" s="11"/>
      <c r="YQ92" s="11"/>
      <c r="YR92" s="11"/>
      <c r="YS92" s="11"/>
      <c r="YT92" s="11"/>
      <c r="YU92" s="11"/>
      <c r="YV92" s="11"/>
      <c r="YW92" s="11"/>
      <c r="YX92" s="11"/>
      <c r="YY92" s="11"/>
      <c r="YZ92" s="11"/>
      <c r="ZA92" s="11"/>
      <c r="ZB92" s="11"/>
      <c r="ZC92" s="11"/>
      <c r="ZD92" s="11"/>
      <c r="ZE92" s="11"/>
      <c r="ZF92" s="11"/>
      <c r="ZG92" s="11"/>
      <c r="ZH92" s="11"/>
      <c r="ZI92" s="11"/>
      <c r="ZJ92" s="11"/>
      <c r="ZK92" s="11"/>
      <c r="ZL92" s="11"/>
      <c r="ZM92" s="11"/>
      <c r="ZN92" s="11"/>
      <c r="ZO92" s="11"/>
      <c r="ZP92" s="11"/>
      <c r="ZQ92" s="11"/>
      <c r="ZR92" s="11"/>
      <c r="ZS92" s="11"/>
      <c r="ZT92" s="11"/>
      <c r="ZU92" s="11"/>
      <c r="ZV92" s="11"/>
      <c r="ZW92" s="11"/>
      <c r="ZX92" s="11"/>
      <c r="ZY92" s="11"/>
      <c r="ZZ92" s="11"/>
      <c r="AAA92" s="11"/>
      <c r="AAB92" s="11"/>
      <c r="AAC92" s="11"/>
      <c r="AAD92" s="11"/>
      <c r="AAE92" s="11"/>
      <c r="AAF92" s="11"/>
      <c r="AAG92" s="11"/>
      <c r="AAH92" s="11"/>
      <c r="AAI92" s="11"/>
      <c r="AAJ92" s="11"/>
      <c r="AAK92" s="11"/>
      <c r="AAL92" s="11"/>
      <c r="AAM92" s="11"/>
      <c r="AAN92" s="11"/>
      <c r="AAO92" s="11"/>
      <c r="AAP92" s="11"/>
      <c r="AAQ92" s="11"/>
      <c r="AAR92" s="11"/>
      <c r="AAS92" s="11"/>
      <c r="AAT92" s="11"/>
      <c r="AAU92" s="11"/>
      <c r="AAV92" s="11"/>
      <c r="AAW92" s="11"/>
      <c r="AAX92" s="11"/>
      <c r="AAY92" s="11"/>
      <c r="AAZ92" s="11"/>
      <c r="ABA92" s="11"/>
      <c r="ABB92" s="11"/>
      <c r="ABC92" s="11"/>
      <c r="ABD92" s="11"/>
      <c r="ABE92" s="11"/>
      <c r="ABF92" s="11"/>
      <c r="ABG92" s="11"/>
      <c r="ABH92" s="11"/>
      <c r="ABI92" s="11"/>
      <c r="ABJ92" s="11"/>
      <c r="ABK92" s="11"/>
      <c r="ABL92" s="11"/>
      <c r="ABM92" s="11"/>
      <c r="ABN92" s="11"/>
      <c r="ABO92" s="11"/>
      <c r="ABP92" s="11"/>
      <c r="ABQ92" s="11"/>
      <c r="ABR92" s="11"/>
      <c r="ABS92" s="11"/>
      <c r="ABT92" s="11"/>
      <c r="ABU92" s="11"/>
      <c r="ABV92" s="11"/>
      <c r="ABW92" s="11"/>
      <c r="ABX92" s="11"/>
      <c r="ABY92" s="11"/>
      <c r="ABZ92" s="11"/>
      <c r="ACA92" s="11"/>
      <c r="ACB92" s="11"/>
      <c r="ACC92" s="11"/>
      <c r="ACD92" s="11"/>
      <c r="ACE92" s="11"/>
      <c r="ACF92" s="11"/>
      <c r="ACG92" s="11"/>
      <c r="ACH92" s="11"/>
      <c r="ACI92" s="11"/>
      <c r="ACJ92" s="11"/>
      <c r="ACK92" s="11"/>
      <c r="ACL92" s="11"/>
      <c r="ACM92" s="11"/>
      <c r="ACN92" s="11"/>
      <c r="ACO92" s="11"/>
      <c r="ACP92" s="11"/>
      <c r="ACQ92" s="11"/>
      <c r="ACR92" s="11"/>
      <c r="ACS92" s="11"/>
      <c r="ACT92" s="11"/>
      <c r="ACU92" s="11"/>
      <c r="ACV92" s="11"/>
      <c r="ACW92" s="11"/>
      <c r="ACX92" s="11"/>
      <c r="ACY92" s="11"/>
      <c r="ACZ92" s="11"/>
      <c r="ADA92" s="11"/>
      <c r="ADB92" s="11"/>
      <c r="ADC92" s="11"/>
      <c r="ADD92" s="11"/>
      <c r="ADE92" s="11"/>
      <c r="ADF92" s="11"/>
      <c r="ADG92" s="11"/>
      <c r="ADH92" s="11"/>
      <c r="ADI92" s="11"/>
      <c r="ADJ92" s="11"/>
      <c r="ADK92" s="11"/>
      <c r="ADL92" s="11"/>
      <c r="ADM92" s="11"/>
      <c r="ADN92" s="11"/>
      <c r="ADO92" s="11"/>
      <c r="ADP92" s="11"/>
      <c r="ADQ92" s="11"/>
      <c r="ADR92" s="11"/>
      <c r="ADS92" s="11"/>
      <c r="ADT92" s="11"/>
      <c r="ADU92" s="11"/>
      <c r="ADV92" s="11"/>
      <c r="ADW92" s="11"/>
      <c r="ADX92" s="11"/>
      <c r="ADY92" s="11"/>
      <c r="ADZ92" s="11"/>
      <c r="AEA92" s="11"/>
      <c r="AEB92" s="11"/>
      <c r="AEC92" s="11"/>
      <c r="AED92" s="11"/>
      <c r="AEE92" s="11"/>
      <c r="AEF92" s="11"/>
      <c r="AEG92" s="11"/>
      <c r="AEH92" s="11"/>
      <c r="AEI92" s="11"/>
      <c r="AEJ92" s="11"/>
      <c r="AEK92" s="11"/>
      <c r="AEL92" s="11"/>
      <c r="AEM92" s="11"/>
      <c r="AEN92" s="11"/>
      <c r="AEO92" s="11"/>
      <c r="AEP92" s="11"/>
      <c r="AEQ92" s="11"/>
      <c r="AER92" s="11"/>
      <c r="AES92" s="11"/>
      <c r="AET92" s="11"/>
      <c r="AEU92" s="11"/>
      <c r="AEV92" s="11"/>
      <c r="AEW92" s="11"/>
      <c r="AEX92" s="11"/>
      <c r="AEY92" s="11"/>
      <c r="AEZ92" s="11"/>
      <c r="AFA92" s="11"/>
      <c r="AFB92" s="11"/>
      <c r="AFC92" s="11"/>
      <c r="AFD92" s="11"/>
      <c r="AFE92" s="11"/>
      <c r="AFF92" s="11"/>
      <c r="AFG92" s="11"/>
      <c r="AFH92" s="11"/>
      <c r="AFI92" s="11"/>
    </row>
    <row r="93" spans="2:841">
      <c r="B93" s="11"/>
      <c r="C93" s="657"/>
      <c r="D93" s="289" t="s">
        <v>627</v>
      </c>
      <c r="E93" s="311">
        <f>SUMIFS(M_Datos!$N$44:$N$46,M_Datos!$O$44:$O$46,M_Lista!G21,M_Datos!$M$44:$M$46,M_Lista!$J$3)</f>
        <v>0</v>
      </c>
      <c r="F93" s="312" t="e">
        <f>IF(AND(M_FactoresComplement!$G$439="No",M_FactoresComplement!$G$441="No"),M_Cálculos_ND!E93*VLOOKUP(M_Datos!$E$12&amp;M_Cálculos_ND!D93,M_Factores!$M$10:$P$108,2,FALSE),IF(AND(M_FactoresComplement!$G$439="Sí",M_FactoresComplement!$G$441="No"),E93*M_FactoresComplement!G456,E93*VLOOKUP(M_FactoresComplement!$C$467&amp;M_Datos!$E$12&amp;M_Lista!G20,M_FactoresComplement!$F$446:$I$781,2,FALSE)))</f>
        <v>#N/A</v>
      </c>
      <c r="G93" s="313" t="e">
        <f>IF(AND(M_FactoresComplement!$G$439="No",M_FactoresComplement!$G$441="No"),M_Cálculos_ND!E93*VLOOKUP(M_Datos!$E$12&amp;M_Cálculos_ND!D93,M_Factores!$M$10:$P$108,3,FALSE),IF(AND(M_FactoresComplement!$G$439="Sí",M_FactoresComplement!$G$441="No"),E93*M_FactoresComplement!H456,E93*VLOOKUP(M_FactoresComplement!$C$467&amp;M_Datos!$E$12&amp;M_Lista!G20,M_FactoresComplement!$F$446:$I$781,3,FALSE)))</f>
        <v>#N/A</v>
      </c>
      <c r="H93" s="311">
        <f>SUMIFS(M_Datos!$P$44:$P$46,M_Datos!$Q$44:$Q$46,M_Lista!G21,M_Datos!$M$44:$M$46,M_Lista!$J$3)</f>
        <v>0</v>
      </c>
      <c r="I93" s="312" t="e">
        <f>IF(AND(M_FactoresComplement!$G$439="No",M_FactoresComplement!$G$441="No"),M_Cálculos_ND!H93*VLOOKUP(M_Datos!$E$12&amp;M_Cálculos_ND!D93,M_Factores!$M$10:$P$108,2,FALSE),IF(AND(M_FactoresComplement!$G$439="Sí",M_FactoresComplement!$G$441="No"),H93*M_FactoresComplement!G456,H93*VLOOKUP(M_FactoresComplement!$C$467&amp;M_Datos!$E$12&amp;M_Lista!G20,M_FactoresComplement!$F$446:$I$781,2,FALSE)))</f>
        <v>#N/A</v>
      </c>
      <c r="J93" s="313" t="e">
        <f>IF(AND(M_FactoresComplement!$G$439="No",M_FactoresComplement!$G$441="No"),M_Cálculos_ND!H93*VLOOKUP(M_Datos!$E$12&amp;M_Cálculos_ND!D93,M_Factores!$M$10:$P$108,3,FALSE),IF(AND(M_FactoresComplement!$G$439="Sí",M_FactoresComplement!$G$441="No"),H93*M_FactoresComplement!H456,H93*VLOOKUP(M_FactoresComplement!$C$467&amp;M_Datos!$E$12&amp;M_Lista!G20,M_FactoresComplement!$F$446:$I$781,3,FALSE)))</f>
        <v>#N/A</v>
      </c>
      <c r="K93" s="311">
        <f>SUMIFS(M_Datos!$R$44:$R$46,M_Datos!$S$44:$S$46,M_Lista!G21,M_Datos!$M$44:$M$46,M_Lista!$J$3)</f>
        <v>0</v>
      </c>
      <c r="L93" s="312" t="e">
        <f>IF(AND(M_FactoresComplement!$G$439="No",M_FactoresComplement!$G$441="No"),M_Cálculos_ND!K93*VLOOKUP(M_Datos!$E$12&amp;M_Cálculos_ND!D93,M_Factores!$M$10:$P$108,2,FALSE),IF(AND(M_FactoresComplement!$G$439="Sí",M_FactoresComplement!$G$441="No"),K93*M_FactoresComplement!G456,K93*VLOOKUP(M_FactoresComplement!$C$467&amp;M_Datos!$E$12&amp;M_Lista!G20,M_FactoresComplement!$F$446:$I$781,2,FALSE)))</f>
        <v>#N/A</v>
      </c>
      <c r="M93" s="313" t="e">
        <f>IF(AND(M_FactoresComplement!$G$439="No",M_FactoresComplement!$G$441="No"),M_Cálculos_ND!K93*VLOOKUP(M_Datos!$E$12&amp;M_Cálculos_ND!D93,M_Factores!$M$10:$P$108,3,FALSE),IF(AND(M_FactoresComplement!$G$439="Sí",M_FactoresComplement!$G$441="No"),K93*M_FactoresComplement!H456,K93*VLOOKUP(M_FactoresComplement!$C$467&amp;M_Datos!$E$12&amp;M_Lista!G20,M_FactoresComplement!$F$446:$I$781,3,FALSE)))</f>
        <v>#N/A</v>
      </c>
      <c r="N93" s="311">
        <f>SUMIFS(M_Datos!$T$44:$T$46,M_Datos!$U$44:$U$46,M_Lista!G21,M_Datos!$M$44:$M$46,M_Lista!$J$3)</f>
        <v>0</v>
      </c>
      <c r="O93" s="312" t="e">
        <f>IF(AND(M_FactoresComplement!$G$439="No",M_FactoresComplement!$G$441="No"),M_Cálculos_ND!N93*VLOOKUP(M_Datos!$E$12&amp;M_Cálculos_ND!D93,M_Factores!$M$10:$P$108,2,FALSE),IF(AND(M_FactoresComplement!$G$439="Sí",M_FactoresComplement!$G$441="No"),N93*M_FactoresComplement!G456,N93*VLOOKUP(M_FactoresComplement!$C$467&amp;M_Datos!$E$12&amp;M_Lista!G20,M_FactoresComplement!$F$446:$I$781,2,FALSE)))</f>
        <v>#N/A</v>
      </c>
      <c r="P93" s="313" t="e">
        <f>IF(AND(M_FactoresComplement!$G$439="No",M_FactoresComplement!$G$441="No"),M_Cálculos_ND!N93*VLOOKUP(M_Datos!$E$12&amp;M_Cálculos_ND!D93,M_Factores!$M$10:$P$108,3,FALSE),IF(AND(M_FactoresComplement!$G$439="Sí",M_FactoresComplement!$G$441="No"),N93*M_FactoresComplement!H456,N93*VLOOKUP(M_FactoresComplement!$C$467&amp;M_Datos!$E$12&amp;M_Lista!G20,M_FactoresComplement!$F$446:$I$781,3,FALSE)))</f>
        <v>#N/A</v>
      </c>
      <c r="Q93" s="311">
        <f>SUMIFS(M_Datos!$V$44:$V$46,M_Datos!$W$44:$W$46,M_Lista!G21,M_Datos!$M$44:$M$46,M_Lista!$J$3)</f>
        <v>0</v>
      </c>
      <c r="R93" s="312" t="e">
        <f>IF(AND(M_FactoresComplement!$G$439="No",M_FactoresComplement!$G$441="No"),M_Cálculos_ND!Q93*VLOOKUP(M_Datos!$E$12&amp;M_Cálculos_ND!D93,M_Factores!$M$10:$P$108,2,FALSE),IF(AND(M_FactoresComplement!$G$439="Sí",M_FactoresComplement!$G$441="No"),Q93*M_FactoresComplement!G456,Q93*VLOOKUP(M_FactoresComplement!$C$467&amp;M_Datos!$E$12&amp;M_Lista!G20,M_FactoresComplement!$F$446:$I$781,2,FALSE)))</f>
        <v>#N/A</v>
      </c>
      <c r="S93" s="313" t="e">
        <f>IF(AND(M_FactoresComplement!$G$439="No",M_FactoresComplement!$G$441="No"),M_Cálculos_ND!Q93*VLOOKUP(M_Datos!$E$12&amp;M_Cálculos_ND!D93,M_Factores!$M$10:$P$108,3,FALSE),IF(AND(M_FactoresComplement!$G$439="Sí",M_FactoresComplement!$G$441="No"),Q93*M_FactoresComplement!H456,Q93*VLOOKUP(M_FactoresComplement!$C$467&amp;M_Datos!$E$12&amp;M_Lista!G20,M_FactoresComplement!$F$446:$I$781,3,FALSE)))</f>
        <v>#N/A</v>
      </c>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c r="JH93" s="11"/>
      <c r="JI93" s="11"/>
      <c r="JJ93" s="11"/>
      <c r="JK93" s="11"/>
      <c r="JL93" s="11"/>
      <c r="JM93" s="11"/>
      <c r="JN93" s="11"/>
      <c r="JO93" s="11"/>
      <c r="JP93" s="11"/>
      <c r="JQ93" s="11"/>
      <c r="JR93" s="11"/>
      <c r="JS93" s="11"/>
      <c r="JT93" s="11"/>
      <c r="JU93" s="11"/>
      <c r="JV93" s="11"/>
      <c r="JW93" s="11"/>
      <c r="JX93" s="11"/>
      <c r="JY93" s="11"/>
      <c r="JZ93" s="11"/>
      <c r="KA93" s="11"/>
      <c r="KB93" s="11"/>
      <c r="KC93" s="11"/>
      <c r="KD93" s="11"/>
      <c r="KE93" s="11"/>
      <c r="KF93" s="11"/>
      <c r="KG93" s="11"/>
      <c r="KH93" s="11"/>
      <c r="KI93" s="11"/>
      <c r="KJ93" s="11"/>
      <c r="KK93" s="11"/>
      <c r="KL93" s="11"/>
      <c r="KM93" s="11"/>
      <c r="KN93" s="11"/>
      <c r="KO93" s="11"/>
      <c r="KP93" s="11"/>
      <c r="KQ93" s="11"/>
      <c r="KR93" s="11"/>
      <c r="KS93" s="11"/>
      <c r="KT93" s="11"/>
      <c r="KU93" s="11"/>
      <c r="KV93" s="11"/>
      <c r="KW93" s="11"/>
      <c r="KX93" s="11"/>
      <c r="KY93" s="11"/>
      <c r="KZ93" s="11"/>
      <c r="LA93" s="11"/>
      <c r="LB93" s="11"/>
      <c r="LC93" s="11"/>
      <c r="LD93" s="11"/>
      <c r="LE93" s="11"/>
      <c r="LF93" s="11"/>
      <c r="LG93" s="11"/>
      <c r="LH93" s="11"/>
      <c r="LI93" s="11"/>
      <c r="LJ93" s="11"/>
      <c r="LK93" s="11"/>
      <c r="LL93" s="11"/>
      <c r="LM93" s="11"/>
      <c r="LN93" s="11"/>
      <c r="LO93" s="11"/>
      <c r="LP93" s="11"/>
      <c r="LQ93" s="11"/>
      <c r="LR93" s="11"/>
      <c r="LS93" s="11"/>
      <c r="LT93" s="11"/>
      <c r="LU93" s="11"/>
      <c r="LV93" s="11"/>
      <c r="LW93" s="11"/>
      <c r="LX93" s="11"/>
      <c r="LY93" s="11"/>
      <c r="LZ93" s="11"/>
      <c r="MA93" s="11"/>
      <c r="MB93" s="11"/>
      <c r="MC93" s="11"/>
      <c r="MD93" s="11"/>
      <c r="ME93" s="11"/>
      <c r="MF93" s="11"/>
      <c r="MG93" s="11"/>
      <c r="MH93" s="11"/>
      <c r="MI93" s="11"/>
      <c r="MJ93" s="11"/>
      <c r="MK93" s="11"/>
      <c r="ML93" s="11"/>
      <c r="MM93" s="11"/>
      <c r="MN93" s="11"/>
      <c r="MO93" s="11"/>
      <c r="MP93" s="11"/>
      <c r="MQ93" s="11"/>
      <c r="MR93" s="11"/>
      <c r="MS93" s="11"/>
      <c r="MT93" s="11"/>
      <c r="MU93" s="11"/>
      <c r="MV93" s="11"/>
      <c r="MW93" s="11"/>
      <c r="MX93" s="11"/>
      <c r="MY93" s="11"/>
      <c r="MZ93" s="11"/>
      <c r="NA93" s="11"/>
      <c r="NB93" s="11"/>
      <c r="NC93" s="11"/>
      <c r="ND93" s="11"/>
      <c r="NE93" s="11"/>
      <c r="NF93" s="11"/>
      <c r="NG93" s="11"/>
      <c r="NH93" s="11"/>
      <c r="NI93" s="11"/>
      <c r="NJ93" s="11"/>
      <c r="NK93" s="11"/>
      <c r="NL93" s="11"/>
      <c r="NM93" s="11"/>
      <c r="NN93" s="11"/>
      <c r="NO93" s="11"/>
      <c r="NP93" s="11"/>
      <c r="NQ93" s="11"/>
      <c r="NR93" s="11"/>
      <c r="NS93" s="11"/>
      <c r="NT93" s="11"/>
      <c r="NU93" s="11"/>
      <c r="NV93" s="11"/>
      <c r="NW93" s="11"/>
      <c r="NX93" s="11"/>
      <c r="NY93" s="11"/>
      <c r="NZ93" s="11"/>
      <c r="OA93" s="11"/>
      <c r="OB93" s="11"/>
      <c r="OC93" s="11"/>
      <c r="OD93" s="11"/>
      <c r="OE93" s="11"/>
      <c r="OF93" s="11"/>
      <c r="OG93" s="11"/>
      <c r="OH93" s="11"/>
      <c r="OI93" s="11"/>
      <c r="OJ93" s="11"/>
      <c r="OK93" s="11"/>
      <c r="OL93" s="11"/>
      <c r="OM93" s="11"/>
      <c r="ON93" s="11"/>
      <c r="OO93" s="11"/>
      <c r="OP93" s="11"/>
      <c r="OQ93" s="11"/>
      <c r="OR93" s="11"/>
      <c r="OS93" s="11"/>
      <c r="OT93" s="11"/>
      <c r="OU93" s="11"/>
      <c r="OV93" s="11"/>
      <c r="OW93" s="11"/>
      <c r="OX93" s="11"/>
      <c r="OY93" s="11"/>
      <c r="OZ93" s="11"/>
      <c r="PA93" s="11"/>
      <c r="PB93" s="11"/>
      <c r="PC93" s="11"/>
      <c r="PD93" s="11"/>
      <c r="PE93" s="11"/>
      <c r="PF93" s="11"/>
      <c r="PG93" s="11"/>
      <c r="PH93" s="11"/>
      <c r="PI93" s="11"/>
      <c r="PJ93" s="11"/>
      <c r="PK93" s="11"/>
      <c r="PL93" s="11"/>
      <c r="PM93" s="11"/>
      <c r="PN93" s="11"/>
      <c r="PO93" s="11"/>
      <c r="PP93" s="11"/>
      <c r="PQ93" s="11"/>
      <c r="PR93" s="11"/>
      <c r="PS93" s="11"/>
      <c r="PT93" s="11"/>
      <c r="PU93" s="11"/>
      <c r="PV93" s="11"/>
      <c r="PW93" s="11"/>
      <c r="PX93" s="11"/>
      <c r="PY93" s="11"/>
      <c r="PZ93" s="11"/>
      <c r="QA93" s="11"/>
      <c r="QB93" s="11"/>
      <c r="QC93" s="11"/>
      <c r="QD93" s="11"/>
      <c r="QE93" s="11"/>
      <c r="QF93" s="11"/>
      <c r="QG93" s="11"/>
      <c r="QH93" s="11"/>
      <c r="QI93" s="11"/>
      <c r="QJ93" s="11"/>
      <c r="QK93" s="11"/>
      <c r="QL93" s="11"/>
      <c r="QM93" s="11"/>
      <c r="QN93" s="11"/>
      <c r="QO93" s="11"/>
      <c r="QP93" s="11"/>
      <c r="QQ93" s="11"/>
      <c r="QR93" s="11"/>
      <c r="QS93" s="11"/>
      <c r="QT93" s="11"/>
      <c r="QU93" s="11"/>
      <c r="QV93" s="11"/>
      <c r="QW93" s="11"/>
      <c r="QX93" s="11"/>
      <c r="QY93" s="11"/>
      <c r="QZ93" s="11"/>
      <c r="RA93" s="11"/>
      <c r="RB93" s="11"/>
      <c r="RC93" s="11"/>
      <c r="RD93" s="11"/>
      <c r="RE93" s="11"/>
      <c r="RF93" s="11"/>
      <c r="RG93" s="11"/>
      <c r="RH93" s="11"/>
      <c r="RI93" s="11"/>
      <c r="RJ93" s="11"/>
      <c r="RK93" s="11"/>
      <c r="RL93" s="11"/>
      <c r="RM93" s="11"/>
      <c r="RN93" s="11"/>
      <c r="RO93" s="11"/>
      <c r="RP93" s="11"/>
      <c r="RQ93" s="11"/>
      <c r="RR93" s="11"/>
      <c r="RS93" s="11"/>
      <c r="RT93" s="11"/>
      <c r="RU93" s="11"/>
      <c r="RV93" s="11"/>
      <c r="RW93" s="11"/>
      <c r="RX93" s="11"/>
      <c r="RY93" s="11"/>
      <c r="RZ93" s="11"/>
      <c r="SA93" s="11"/>
      <c r="SB93" s="11"/>
      <c r="SC93" s="11"/>
      <c r="SD93" s="11"/>
      <c r="SE93" s="11"/>
      <c r="SF93" s="11"/>
      <c r="SG93" s="11"/>
      <c r="SH93" s="11"/>
      <c r="SI93" s="11"/>
      <c r="SJ93" s="11"/>
      <c r="SK93" s="11"/>
      <c r="SL93" s="11"/>
      <c r="SM93" s="11"/>
      <c r="SN93" s="11"/>
      <c r="SO93" s="11"/>
      <c r="SP93" s="11"/>
      <c r="SQ93" s="11"/>
      <c r="SR93" s="11"/>
      <c r="SS93" s="11"/>
      <c r="ST93" s="11"/>
      <c r="SU93" s="11"/>
      <c r="SV93" s="11"/>
      <c r="SW93" s="11"/>
      <c r="SX93" s="11"/>
      <c r="SY93" s="11"/>
      <c r="SZ93" s="11"/>
      <c r="TA93" s="11"/>
      <c r="TB93" s="11"/>
      <c r="TC93" s="11"/>
      <c r="TD93" s="11"/>
      <c r="TE93" s="11"/>
      <c r="TF93" s="11"/>
      <c r="TG93" s="11"/>
      <c r="TH93" s="11"/>
      <c r="TI93" s="11"/>
      <c r="TJ93" s="11"/>
      <c r="TK93" s="11"/>
      <c r="TL93" s="11"/>
      <c r="TM93" s="11"/>
      <c r="TN93" s="11"/>
      <c r="TO93" s="11"/>
      <c r="TP93" s="11"/>
      <c r="TQ93" s="11"/>
      <c r="TR93" s="11"/>
      <c r="TS93" s="11"/>
      <c r="TT93" s="11"/>
      <c r="TU93" s="11"/>
      <c r="TV93" s="11"/>
      <c r="TW93" s="11"/>
      <c r="TX93" s="11"/>
      <c r="TY93" s="11"/>
      <c r="TZ93" s="11"/>
      <c r="UA93" s="11"/>
      <c r="UB93" s="11"/>
      <c r="UC93" s="11"/>
      <c r="UD93" s="11"/>
      <c r="UE93" s="11"/>
      <c r="UF93" s="11"/>
      <c r="UG93" s="11"/>
      <c r="UH93" s="11"/>
      <c r="UI93" s="11"/>
      <c r="UJ93" s="11"/>
      <c r="UK93" s="11"/>
      <c r="UL93" s="11"/>
      <c r="UM93" s="11"/>
      <c r="UN93" s="11"/>
      <c r="UO93" s="11"/>
      <c r="UP93" s="11"/>
      <c r="UQ93" s="11"/>
      <c r="UR93" s="11"/>
      <c r="US93" s="11"/>
      <c r="UT93" s="11"/>
      <c r="UU93" s="11"/>
      <c r="UV93" s="11"/>
      <c r="UW93" s="11"/>
      <c r="UX93" s="11"/>
      <c r="UY93" s="11"/>
      <c r="UZ93" s="11"/>
      <c r="VA93" s="11"/>
      <c r="VB93" s="11"/>
      <c r="VC93" s="11"/>
      <c r="VD93" s="11"/>
      <c r="VE93" s="11"/>
      <c r="VF93" s="11"/>
      <c r="VG93" s="11"/>
      <c r="VH93" s="11"/>
      <c r="VI93" s="11"/>
      <c r="VJ93" s="11"/>
      <c r="VK93" s="11"/>
      <c r="VL93" s="11"/>
      <c r="VM93" s="11"/>
      <c r="VN93" s="11"/>
      <c r="VO93" s="11"/>
      <c r="VP93" s="11"/>
      <c r="VQ93" s="11"/>
      <c r="VR93" s="11"/>
      <c r="VS93" s="11"/>
      <c r="VT93" s="11"/>
      <c r="VU93" s="11"/>
      <c r="VV93" s="11"/>
      <c r="VW93" s="11"/>
      <c r="VX93" s="11"/>
      <c r="VY93" s="11"/>
      <c r="VZ93" s="11"/>
      <c r="WA93" s="11"/>
      <c r="WB93" s="11"/>
      <c r="WC93" s="11"/>
      <c r="WD93" s="11"/>
      <c r="WE93" s="11"/>
      <c r="WF93" s="11"/>
      <c r="WG93" s="11"/>
      <c r="WH93" s="11"/>
      <c r="WI93" s="11"/>
      <c r="WJ93" s="11"/>
      <c r="WK93" s="11"/>
      <c r="WL93" s="11"/>
      <c r="WM93" s="11"/>
      <c r="WN93" s="11"/>
      <c r="WO93" s="11"/>
      <c r="WP93" s="11"/>
      <c r="WQ93" s="11"/>
      <c r="WR93" s="11"/>
      <c r="WS93" s="11"/>
      <c r="WT93" s="11"/>
      <c r="WU93" s="11"/>
      <c r="WV93" s="11"/>
      <c r="WW93" s="11"/>
      <c r="WX93" s="11"/>
      <c r="WY93" s="11"/>
      <c r="WZ93" s="11"/>
      <c r="XA93" s="11"/>
      <c r="XB93" s="11"/>
      <c r="XC93" s="11"/>
      <c r="XD93" s="11"/>
      <c r="XE93" s="11"/>
      <c r="XF93" s="11"/>
      <c r="XG93" s="11"/>
      <c r="XH93" s="11"/>
      <c r="XI93" s="11"/>
      <c r="XJ93" s="11"/>
      <c r="XK93" s="11"/>
      <c r="XL93" s="11"/>
      <c r="XM93" s="11"/>
      <c r="XN93" s="11"/>
      <c r="XO93" s="11"/>
      <c r="XP93" s="11"/>
      <c r="XQ93" s="11"/>
      <c r="XR93" s="11"/>
      <c r="XS93" s="11"/>
      <c r="XT93" s="11"/>
      <c r="XU93" s="11"/>
      <c r="XV93" s="11"/>
      <c r="XW93" s="11"/>
      <c r="XX93" s="11"/>
      <c r="XY93" s="11"/>
      <c r="XZ93" s="11"/>
      <c r="YA93" s="11"/>
      <c r="YB93" s="11"/>
      <c r="YC93" s="11"/>
      <c r="YD93" s="11"/>
      <c r="YE93" s="11"/>
      <c r="YF93" s="11"/>
      <c r="YG93" s="11"/>
      <c r="YH93" s="11"/>
      <c r="YI93" s="11"/>
      <c r="YJ93" s="11"/>
      <c r="YK93" s="11"/>
      <c r="YL93" s="11"/>
      <c r="YM93" s="11"/>
      <c r="YN93" s="11"/>
      <c r="YO93" s="11"/>
      <c r="YP93" s="11"/>
      <c r="YQ93" s="11"/>
      <c r="YR93" s="11"/>
      <c r="YS93" s="11"/>
      <c r="YT93" s="11"/>
      <c r="YU93" s="11"/>
      <c r="YV93" s="11"/>
      <c r="YW93" s="11"/>
      <c r="YX93" s="11"/>
      <c r="YY93" s="11"/>
      <c r="YZ93" s="11"/>
      <c r="ZA93" s="11"/>
      <c r="ZB93" s="11"/>
      <c r="ZC93" s="11"/>
      <c r="ZD93" s="11"/>
      <c r="ZE93" s="11"/>
      <c r="ZF93" s="11"/>
      <c r="ZG93" s="11"/>
      <c r="ZH93" s="11"/>
      <c r="ZI93" s="11"/>
      <c r="ZJ93" s="11"/>
      <c r="ZK93" s="11"/>
      <c r="ZL93" s="11"/>
      <c r="ZM93" s="11"/>
      <c r="ZN93" s="11"/>
      <c r="ZO93" s="11"/>
      <c r="ZP93" s="11"/>
      <c r="ZQ93" s="11"/>
      <c r="ZR93" s="11"/>
      <c r="ZS93" s="11"/>
      <c r="ZT93" s="11"/>
      <c r="ZU93" s="11"/>
      <c r="ZV93" s="11"/>
      <c r="ZW93" s="11"/>
      <c r="ZX93" s="11"/>
      <c r="ZY93" s="11"/>
      <c r="ZZ93" s="11"/>
      <c r="AAA93" s="11"/>
      <c r="AAB93" s="11"/>
      <c r="AAC93" s="11"/>
      <c r="AAD93" s="11"/>
      <c r="AAE93" s="11"/>
      <c r="AAF93" s="11"/>
      <c r="AAG93" s="11"/>
      <c r="AAH93" s="11"/>
      <c r="AAI93" s="11"/>
      <c r="AAJ93" s="11"/>
      <c r="AAK93" s="11"/>
      <c r="AAL93" s="11"/>
      <c r="AAM93" s="11"/>
      <c r="AAN93" s="11"/>
      <c r="AAO93" s="11"/>
      <c r="AAP93" s="11"/>
      <c r="AAQ93" s="11"/>
      <c r="AAR93" s="11"/>
      <c r="AAS93" s="11"/>
      <c r="AAT93" s="11"/>
      <c r="AAU93" s="11"/>
      <c r="AAV93" s="11"/>
      <c r="AAW93" s="11"/>
      <c r="AAX93" s="11"/>
      <c r="AAY93" s="11"/>
      <c r="AAZ93" s="11"/>
      <c r="ABA93" s="11"/>
      <c r="ABB93" s="11"/>
      <c r="ABC93" s="11"/>
      <c r="ABD93" s="11"/>
      <c r="ABE93" s="11"/>
      <c r="ABF93" s="11"/>
      <c r="ABG93" s="11"/>
      <c r="ABH93" s="11"/>
      <c r="ABI93" s="11"/>
      <c r="ABJ93" s="11"/>
      <c r="ABK93" s="11"/>
      <c r="ABL93" s="11"/>
      <c r="ABM93" s="11"/>
      <c r="ABN93" s="11"/>
      <c r="ABO93" s="11"/>
      <c r="ABP93" s="11"/>
      <c r="ABQ93" s="11"/>
      <c r="ABR93" s="11"/>
      <c r="ABS93" s="11"/>
      <c r="ABT93" s="11"/>
      <c r="ABU93" s="11"/>
      <c r="ABV93" s="11"/>
      <c r="ABW93" s="11"/>
      <c r="ABX93" s="11"/>
      <c r="ABY93" s="11"/>
      <c r="ABZ93" s="11"/>
      <c r="ACA93" s="11"/>
      <c r="ACB93" s="11"/>
      <c r="ACC93" s="11"/>
      <c r="ACD93" s="11"/>
      <c r="ACE93" s="11"/>
      <c r="ACF93" s="11"/>
      <c r="ACG93" s="11"/>
      <c r="ACH93" s="11"/>
      <c r="ACI93" s="11"/>
      <c r="ACJ93" s="11"/>
      <c r="ACK93" s="11"/>
      <c r="ACL93" s="11"/>
      <c r="ACM93" s="11"/>
      <c r="ACN93" s="11"/>
      <c r="ACO93" s="11"/>
      <c r="ACP93" s="11"/>
      <c r="ACQ93" s="11"/>
      <c r="ACR93" s="11"/>
      <c r="ACS93" s="11"/>
      <c r="ACT93" s="11"/>
      <c r="ACU93" s="11"/>
      <c r="ACV93" s="11"/>
      <c r="ACW93" s="11"/>
      <c r="ACX93" s="11"/>
      <c r="ACY93" s="11"/>
      <c r="ACZ93" s="11"/>
      <c r="ADA93" s="11"/>
      <c r="ADB93" s="11"/>
      <c r="ADC93" s="11"/>
      <c r="ADD93" s="11"/>
      <c r="ADE93" s="11"/>
      <c r="ADF93" s="11"/>
      <c r="ADG93" s="11"/>
      <c r="ADH93" s="11"/>
      <c r="ADI93" s="11"/>
      <c r="ADJ93" s="11"/>
      <c r="ADK93" s="11"/>
      <c r="ADL93" s="11"/>
      <c r="ADM93" s="11"/>
      <c r="ADN93" s="11"/>
      <c r="ADO93" s="11"/>
      <c r="ADP93" s="11"/>
      <c r="ADQ93" s="11"/>
      <c r="ADR93" s="11"/>
      <c r="ADS93" s="11"/>
      <c r="ADT93" s="11"/>
      <c r="ADU93" s="11"/>
      <c r="ADV93" s="11"/>
      <c r="ADW93" s="11"/>
      <c r="ADX93" s="11"/>
      <c r="ADY93" s="11"/>
      <c r="ADZ93" s="11"/>
      <c r="AEA93" s="11"/>
      <c r="AEB93" s="11"/>
      <c r="AEC93" s="11"/>
      <c r="AED93" s="11"/>
      <c r="AEE93" s="11"/>
      <c r="AEF93" s="11"/>
      <c r="AEG93" s="11"/>
      <c r="AEH93" s="11"/>
      <c r="AEI93" s="11"/>
      <c r="AEJ93" s="11"/>
      <c r="AEK93" s="11"/>
      <c r="AEL93" s="11"/>
      <c r="AEM93" s="11"/>
      <c r="AEN93" s="11"/>
      <c r="AEO93" s="11"/>
      <c r="AEP93" s="11"/>
      <c r="AEQ93" s="11"/>
      <c r="AER93" s="11"/>
      <c r="AES93" s="11"/>
      <c r="AET93" s="11"/>
      <c r="AEU93" s="11"/>
      <c r="AEV93" s="11"/>
      <c r="AEW93" s="11"/>
      <c r="AEX93" s="11"/>
      <c r="AEY93" s="11"/>
      <c r="AEZ93" s="11"/>
      <c r="AFA93" s="11"/>
      <c r="AFB93" s="11"/>
      <c r="AFC93" s="11"/>
      <c r="AFD93" s="11"/>
      <c r="AFE93" s="11"/>
      <c r="AFF93" s="11"/>
      <c r="AFG93" s="11"/>
      <c r="AFH93" s="11"/>
      <c r="AFI93" s="11"/>
    </row>
    <row r="94" spans="2:841">
      <c r="B94" s="11"/>
      <c r="C94" s="657"/>
      <c r="D94" s="289" t="s">
        <v>628</v>
      </c>
      <c r="E94" s="311">
        <f>SUMIFS(M_Datos!$N$44:$N$46,M_Datos!$O$44:$O$46,M_Lista!G22,M_Datos!$M$44:$M$46,M_Lista!$J$3)</f>
        <v>0</v>
      </c>
      <c r="F94" s="312" t="e">
        <f>IF(AND(M_FactoresComplement!$G$439="No",M_FactoresComplement!$G$441="No"),M_Cálculos_ND!E94*VLOOKUP(M_Datos!$E$12&amp;M_Cálculos_ND!D94,M_Factores!$M$10:$P$108,2,FALSE),IF(AND(M_FactoresComplement!$G$439="Sí",M_FactoresComplement!$G$441="No"),E94*M_FactoresComplement!G457,E94*VLOOKUP(M_FactoresComplement!$C$467&amp;M_Datos!$E$12&amp;M_Lista!G21,M_FactoresComplement!$F$446:$I$781,2,FALSE)))</f>
        <v>#N/A</v>
      </c>
      <c r="G94" s="313" t="e">
        <f>IF(AND(M_FactoresComplement!$G$439="No",M_FactoresComplement!$G$441="No"),M_Cálculos_ND!E94*VLOOKUP(M_Datos!$E$12&amp;M_Cálculos_ND!D94,M_Factores!$M$10:$P$108,3,FALSE),IF(AND(M_FactoresComplement!$G$439="Sí",M_FactoresComplement!$G$441="No"),E94*M_FactoresComplement!H457,E94*VLOOKUP(M_FactoresComplement!$C$467&amp;M_Datos!$E$12&amp;M_Lista!G21,M_FactoresComplement!$F$446:$I$781,3,FALSE)))</f>
        <v>#N/A</v>
      </c>
      <c r="H94" s="311">
        <f>SUMIFS(M_Datos!$P$44:$P$46,M_Datos!$Q$44:$Q$46,M_Lista!G22,M_Datos!$M$44:$M$46,M_Lista!$J$3)</f>
        <v>0</v>
      </c>
      <c r="I94" s="312" t="e">
        <f>IF(AND(M_FactoresComplement!$G$439="No",M_FactoresComplement!$G$441="No"),M_Cálculos_ND!H94*VLOOKUP(M_Datos!$E$12&amp;M_Cálculos_ND!D94,M_Factores!$M$10:$P$108,2,FALSE),IF(AND(M_FactoresComplement!$G$439="Sí",M_FactoresComplement!$G$441="No"),H94*M_FactoresComplement!G457,H94*VLOOKUP(M_FactoresComplement!$C$467&amp;M_Datos!$E$12&amp;M_Lista!G21,M_FactoresComplement!$F$446:$I$781,2,FALSE)))</f>
        <v>#N/A</v>
      </c>
      <c r="J94" s="313" t="e">
        <f>IF(AND(M_FactoresComplement!$G$439="No",M_FactoresComplement!$G$441="No"),M_Cálculos_ND!H94*VLOOKUP(M_Datos!$E$12&amp;M_Cálculos_ND!D94,M_Factores!$M$10:$P$108,3,FALSE),IF(AND(M_FactoresComplement!$G$439="Sí",M_FactoresComplement!$G$441="No"),H94*M_FactoresComplement!H457,H94*VLOOKUP(M_FactoresComplement!$C$467&amp;M_Datos!$E$12&amp;M_Lista!G21,M_FactoresComplement!$F$446:$I$781,3,FALSE)))</f>
        <v>#N/A</v>
      </c>
      <c r="K94" s="311">
        <f>SUMIFS(M_Datos!$R$44:$R$46,M_Datos!$S$44:$S$46,M_Lista!G22,M_Datos!$M$44:$M$46,M_Lista!$J$3)</f>
        <v>0</v>
      </c>
      <c r="L94" s="312" t="e">
        <f>IF(AND(M_FactoresComplement!$G$439="No",M_FactoresComplement!$G$441="No"),M_Cálculos_ND!K94*VLOOKUP(M_Datos!$E$12&amp;M_Cálculos_ND!D94,M_Factores!$M$10:$P$108,2,FALSE),IF(AND(M_FactoresComplement!$G$439="Sí",M_FactoresComplement!$G$441="No"),K94*M_FactoresComplement!G457,K94*VLOOKUP(M_FactoresComplement!$C$467&amp;M_Datos!$E$12&amp;M_Lista!G21,M_FactoresComplement!$F$446:$I$781,2,FALSE)))</f>
        <v>#N/A</v>
      </c>
      <c r="M94" s="313" t="e">
        <f>IF(AND(M_FactoresComplement!$G$439="No",M_FactoresComplement!$G$441="No"),M_Cálculos_ND!K94*VLOOKUP(M_Datos!$E$12&amp;M_Cálculos_ND!D94,M_Factores!$M$10:$P$108,3,FALSE),IF(AND(M_FactoresComplement!$G$439="Sí",M_FactoresComplement!$G$441="No"),K94*M_FactoresComplement!H457,K94*VLOOKUP(M_FactoresComplement!$C$467&amp;M_Datos!$E$12&amp;M_Lista!G21,M_FactoresComplement!$F$446:$I$781,3,FALSE)))</f>
        <v>#N/A</v>
      </c>
      <c r="N94" s="311">
        <f>SUMIFS(M_Datos!$T$44:$T$46,M_Datos!$U$44:$U$46,M_Lista!G22,M_Datos!$M$44:$M$46,M_Lista!$J$3)</f>
        <v>0</v>
      </c>
      <c r="O94" s="312" t="e">
        <f>IF(AND(M_FactoresComplement!$G$439="No",M_FactoresComplement!$G$441="No"),M_Cálculos_ND!N94*VLOOKUP(M_Datos!$E$12&amp;M_Cálculos_ND!D94,M_Factores!$M$10:$P$108,2,FALSE),IF(AND(M_FactoresComplement!$G$439="Sí",M_FactoresComplement!$G$441="No"),N94*M_FactoresComplement!G457,N94*VLOOKUP(M_FactoresComplement!$C$467&amp;M_Datos!$E$12&amp;M_Lista!G21,M_FactoresComplement!$F$446:$I$781,2,FALSE)))</f>
        <v>#N/A</v>
      </c>
      <c r="P94" s="313" t="e">
        <f>IF(AND(M_FactoresComplement!$G$439="No",M_FactoresComplement!$G$441="No"),M_Cálculos_ND!N94*VLOOKUP(M_Datos!$E$12&amp;M_Cálculos_ND!D94,M_Factores!$M$10:$P$108,3,FALSE),IF(AND(M_FactoresComplement!$G$439="Sí",M_FactoresComplement!$G$441="No"),N94*M_FactoresComplement!H457,N94*VLOOKUP(M_FactoresComplement!$C$467&amp;M_Datos!$E$12&amp;M_Lista!G21,M_FactoresComplement!$F$446:$I$781,3,FALSE)))</f>
        <v>#N/A</v>
      </c>
      <c r="Q94" s="311">
        <f>SUMIFS(M_Datos!$V$44:$V$46,M_Datos!$W$44:$W$46,M_Lista!G22,M_Datos!$M$44:$M$46,M_Lista!$J$3)</f>
        <v>0</v>
      </c>
      <c r="R94" s="312" t="e">
        <f>IF(AND(M_FactoresComplement!$G$439="No",M_FactoresComplement!$G$441="No"),M_Cálculos_ND!Q94*VLOOKUP(M_Datos!$E$12&amp;M_Cálculos_ND!D94,M_Factores!$M$10:$P$108,2,FALSE),IF(AND(M_FactoresComplement!$G$439="Sí",M_FactoresComplement!$G$441="No"),Q94*M_FactoresComplement!G457,Q94*VLOOKUP(M_FactoresComplement!$C$467&amp;M_Datos!$E$12&amp;M_Lista!G21,M_FactoresComplement!$F$446:$I$781,2,FALSE)))</f>
        <v>#N/A</v>
      </c>
      <c r="S94" s="313" t="e">
        <f>IF(AND(M_FactoresComplement!$G$439="No",M_FactoresComplement!$G$441="No"),M_Cálculos_ND!Q94*VLOOKUP(M_Datos!$E$12&amp;M_Cálculos_ND!D94,M_Factores!$M$10:$P$108,3,FALSE),IF(AND(M_FactoresComplement!$G$439="Sí",M_FactoresComplement!$G$441="No"),Q94*M_FactoresComplement!H457,Q94*VLOOKUP(M_FactoresComplement!$C$467&amp;M_Datos!$E$12&amp;M_Lista!G21,M_FactoresComplement!$F$446:$I$781,3,FALSE)))</f>
        <v>#N/A</v>
      </c>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1"/>
      <c r="JA94" s="11"/>
      <c r="JB94" s="11"/>
      <c r="JC94" s="11"/>
      <c r="JD94" s="11"/>
      <c r="JE94" s="11"/>
      <c r="JF94" s="11"/>
      <c r="JG94" s="11"/>
      <c r="JH94" s="11"/>
      <c r="JI94" s="11"/>
      <c r="JJ94" s="11"/>
      <c r="JK94" s="11"/>
      <c r="JL94" s="11"/>
      <c r="JM94" s="11"/>
      <c r="JN94" s="11"/>
      <c r="JO94" s="11"/>
      <c r="JP94" s="11"/>
      <c r="JQ94" s="11"/>
      <c r="JR94" s="11"/>
      <c r="JS94" s="11"/>
      <c r="JT94" s="11"/>
      <c r="JU94" s="11"/>
      <c r="JV94" s="11"/>
      <c r="JW94" s="11"/>
      <c r="JX94" s="11"/>
      <c r="JY94" s="11"/>
      <c r="JZ94" s="11"/>
      <c r="KA94" s="11"/>
      <c r="KB94" s="11"/>
      <c r="KC94" s="11"/>
      <c r="KD94" s="11"/>
      <c r="KE94" s="11"/>
      <c r="KF94" s="11"/>
      <c r="KG94" s="11"/>
      <c r="KH94" s="11"/>
      <c r="KI94" s="11"/>
      <c r="KJ94" s="11"/>
      <c r="KK94" s="11"/>
      <c r="KL94" s="11"/>
      <c r="KM94" s="11"/>
      <c r="KN94" s="11"/>
      <c r="KO94" s="11"/>
      <c r="KP94" s="11"/>
      <c r="KQ94" s="11"/>
      <c r="KR94" s="11"/>
      <c r="KS94" s="11"/>
      <c r="KT94" s="11"/>
      <c r="KU94" s="11"/>
      <c r="KV94" s="11"/>
      <c r="KW94" s="11"/>
      <c r="KX94" s="11"/>
      <c r="KY94" s="11"/>
      <c r="KZ94" s="11"/>
      <c r="LA94" s="11"/>
      <c r="LB94" s="11"/>
      <c r="LC94" s="11"/>
      <c r="LD94" s="11"/>
      <c r="LE94" s="11"/>
      <c r="LF94" s="11"/>
      <c r="LG94" s="11"/>
      <c r="LH94" s="11"/>
      <c r="LI94" s="11"/>
      <c r="LJ94" s="11"/>
      <c r="LK94" s="11"/>
      <c r="LL94" s="11"/>
      <c r="LM94" s="11"/>
      <c r="LN94" s="11"/>
      <c r="LO94" s="11"/>
      <c r="LP94" s="11"/>
      <c r="LQ94" s="11"/>
      <c r="LR94" s="11"/>
      <c r="LS94" s="11"/>
      <c r="LT94" s="11"/>
      <c r="LU94" s="11"/>
      <c r="LV94" s="11"/>
      <c r="LW94" s="11"/>
      <c r="LX94" s="11"/>
      <c r="LY94" s="11"/>
      <c r="LZ94" s="11"/>
      <c r="MA94" s="11"/>
      <c r="MB94" s="11"/>
      <c r="MC94" s="11"/>
      <c r="MD94" s="11"/>
      <c r="ME94" s="11"/>
      <c r="MF94" s="11"/>
      <c r="MG94" s="11"/>
      <c r="MH94" s="11"/>
      <c r="MI94" s="11"/>
      <c r="MJ94" s="11"/>
      <c r="MK94" s="11"/>
      <c r="ML94" s="11"/>
      <c r="MM94" s="11"/>
      <c r="MN94" s="11"/>
      <c r="MO94" s="11"/>
      <c r="MP94" s="11"/>
      <c r="MQ94" s="11"/>
      <c r="MR94" s="11"/>
      <c r="MS94" s="11"/>
      <c r="MT94" s="11"/>
      <c r="MU94" s="11"/>
      <c r="MV94" s="11"/>
      <c r="MW94" s="11"/>
      <c r="MX94" s="11"/>
      <c r="MY94" s="11"/>
      <c r="MZ94" s="11"/>
      <c r="NA94" s="11"/>
      <c r="NB94" s="11"/>
      <c r="NC94" s="11"/>
      <c r="ND94" s="11"/>
      <c r="NE94" s="11"/>
      <c r="NF94" s="11"/>
      <c r="NG94" s="11"/>
      <c r="NH94" s="11"/>
      <c r="NI94" s="11"/>
      <c r="NJ94" s="11"/>
      <c r="NK94" s="11"/>
      <c r="NL94" s="11"/>
      <c r="NM94" s="11"/>
      <c r="NN94" s="11"/>
      <c r="NO94" s="11"/>
      <c r="NP94" s="11"/>
      <c r="NQ94" s="11"/>
      <c r="NR94" s="11"/>
      <c r="NS94" s="11"/>
      <c r="NT94" s="11"/>
      <c r="NU94" s="11"/>
      <c r="NV94" s="11"/>
      <c r="NW94" s="11"/>
      <c r="NX94" s="11"/>
      <c r="NY94" s="11"/>
      <c r="NZ94" s="11"/>
      <c r="OA94" s="11"/>
      <c r="OB94" s="11"/>
      <c r="OC94" s="11"/>
      <c r="OD94" s="11"/>
      <c r="OE94" s="11"/>
      <c r="OF94" s="11"/>
      <c r="OG94" s="11"/>
      <c r="OH94" s="11"/>
      <c r="OI94" s="11"/>
      <c r="OJ94" s="11"/>
      <c r="OK94" s="11"/>
      <c r="OL94" s="11"/>
      <c r="OM94" s="11"/>
      <c r="ON94" s="11"/>
      <c r="OO94" s="11"/>
      <c r="OP94" s="11"/>
      <c r="OQ94" s="11"/>
      <c r="OR94" s="11"/>
      <c r="OS94" s="11"/>
      <c r="OT94" s="11"/>
      <c r="OU94" s="11"/>
      <c r="OV94" s="11"/>
      <c r="OW94" s="11"/>
      <c r="OX94" s="11"/>
      <c r="OY94" s="11"/>
      <c r="OZ94" s="11"/>
      <c r="PA94" s="11"/>
      <c r="PB94" s="11"/>
      <c r="PC94" s="11"/>
      <c r="PD94" s="11"/>
      <c r="PE94" s="11"/>
      <c r="PF94" s="11"/>
      <c r="PG94" s="11"/>
      <c r="PH94" s="11"/>
      <c r="PI94" s="11"/>
      <c r="PJ94" s="11"/>
      <c r="PK94" s="11"/>
      <c r="PL94" s="11"/>
      <c r="PM94" s="11"/>
      <c r="PN94" s="11"/>
      <c r="PO94" s="11"/>
      <c r="PP94" s="11"/>
      <c r="PQ94" s="11"/>
      <c r="PR94" s="11"/>
      <c r="PS94" s="11"/>
      <c r="PT94" s="11"/>
      <c r="PU94" s="11"/>
      <c r="PV94" s="11"/>
      <c r="PW94" s="11"/>
      <c r="PX94" s="11"/>
      <c r="PY94" s="11"/>
      <c r="PZ94" s="11"/>
      <c r="QA94" s="11"/>
      <c r="QB94" s="11"/>
      <c r="QC94" s="11"/>
      <c r="QD94" s="11"/>
      <c r="QE94" s="11"/>
      <c r="QF94" s="11"/>
      <c r="QG94" s="11"/>
      <c r="QH94" s="11"/>
      <c r="QI94" s="11"/>
      <c r="QJ94" s="11"/>
      <c r="QK94" s="11"/>
      <c r="QL94" s="11"/>
      <c r="QM94" s="11"/>
      <c r="QN94" s="11"/>
      <c r="QO94" s="11"/>
      <c r="QP94" s="11"/>
      <c r="QQ94" s="11"/>
      <c r="QR94" s="11"/>
      <c r="QS94" s="11"/>
      <c r="QT94" s="11"/>
      <c r="QU94" s="11"/>
      <c r="QV94" s="11"/>
      <c r="QW94" s="11"/>
      <c r="QX94" s="11"/>
      <c r="QY94" s="11"/>
      <c r="QZ94" s="11"/>
      <c r="RA94" s="11"/>
      <c r="RB94" s="11"/>
      <c r="RC94" s="11"/>
      <c r="RD94" s="11"/>
      <c r="RE94" s="11"/>
      <c r="RF94" s="11"/>
      <c r="RG94" s="11"/>
      <c r="RH94" s="11"/>
      <c r="RI94" s="11"/>
      <c r="RJ94" s="11"/>
      <c r="RK94" s="11"/>
      <c r="RL94" s="11"/>
      <c r="RM94" s="11"/>
      <c r="RN94" s="11"/>
      <c r="RO94" s="11"/>
      <c r="RP94" s="11"/>
      <c r="RQ94" s="11"/>
      <c r="RR94" s="11"/>
      <c r="RS94" s="11"/>
      <c r="RT94" s="11"/>
      <c r="RU94" s="11"/>
      <c r="RV94" s="11"/>
      <c r="RW94" s="11"/>
      <c r="RX94" s="11"/>
      <c r="RY94" s="11"/>
      <c r="RZ94" s="11"/>
      <c r="SA94" s="11"/>
      <c r="SB94" s="11"/>
      <c r="SC94" s="11"/>
      <c r="SD94" s="11"/>
      <c r="SE94" s="11"/>
      <c r="SF94" s="11"/>
      <c r="SG94" s="11"/>
      <c r="SH94" s="11"/>
      <c r="SI94" s="11"/>
      <c r="SJ94" s="11"/>
      <c r="SK94" s="11"/>
      <c r="SL94" s="11"/>
      <c r="SM94" s="11"/>
      <c r="SN94" s="11"/>
      <c r="SO94" s="11"/>
      <c r="SP94" s="11"/>
      <c r="SQ94" s="11"/>
      <c r="SR94" s="11"/>
      <c r="SS94" s="11"/>
      <c r="ST94" s="11"/>
      <c r="SU94" s="11"/>
      <c r="SV94" s="11"/>
      <c r="SW94" s="11"/>
      <c r="SX94" s="11"/>
      <c r="SY94" s="11"/>
      <c r="SZ94" s="11"/>
      <c r="TA94" s="11"/>
      <c r="TB94" s="11"/>
      <c r="TC94" s="11"/>
      <c r="TD94" s="11"/>
      <c r="TE94" s="11"/>
      <c r="TF94" s="11"/>
      <c r="TG94" s="11"/>
      <c r="TH94" s="11"/>
      <c r="TI94" s="11"/>
      <c r="TJ94" s="11"/>
      <c r="TK94" s="11"/>
      <c r="TL94" s="11"/>
      <c r="TM94" s="11"/>
      <c r="TN94" s="11"/>
      <c r="TO94" s="11"/>
      <c r="TP94" s="11"/>
      <c r="TQ94" s="11"/>
      <c r="TR94" s="11"/>
      <c r="TS94" s="11"/>
      <c r="TT94" s="11"/>
      <c r="TU94" s="11"/>
      <c r="TV94" s="11"/>
      <c r="TW94" s="11"/>
      <c r="TX94" s="11"/>
      <c r="TY94" s="11"/>
      <c r="TZ94" s="11"/>
      <c r="UA94" s="11"/>
      <c r="UB94" s="11"/>
      <c r="UC94" s="11"/>
      <c r="UD94" s="11"/>
      <c r="UE94" s="11"/>
      <c r="UF94" s="11"/>
      <c r="UG94" s="11"/>
      <c r="UH94" s="11"/>
      <c r="UI94" s="11"/>
      <c r="UJ94" s="11"/>
      <c r="UK94" s="11"/>
      <c r="UL94" s="11"/>
      <c r="UM94" s="11"/>
      <c r="UN94" s="11"/>
      <c r="UO94" s="11"/>
      <c r="UP94" s="11"/>
      <c r="UQ94" s="11"/>
      <c r="UR94" s="11"/>
      <c r="US94" s="11"/>
      <c r="UT94" s="11"/>
      <c r="UU94" s="11"/>
      <c r="UV94" s="11"/>
      <c r="UW94" s="11"/>
      <c r="UX94" s="11"/>
      <c r="UY94" s="11"/>
      <c r="UZ94" s="11"/>
      <c r="VA94" s="11"/>
      <c r="VB94" s="11"/>
      <c r="VC94" s="11"/>
      <c r="VD94" s="11"/>
      <c r="VE94" s="11"/>
      <c r="VF94" s="11"/>
      <c r="VG94" s="11"/>
      <c r="VH94" s="11"/>
      <c r="VI94" s="11"/>
      <c r="VJ94" s="11"/>
      <c r="VK94" s="11"/>
      <c r="VL94" s="11"/>
      <c r="VM94" s="11"/>
      <c r="VN94" s="11"/>
      <c r="VO94" s="11"/>
      <c r="VP94" s="11"/>
      <c r="VQ94" s="11"/>
      <c r="VR94" s="11"/>
      <c r="VS94" s="11"/>
      <c r="VT94" s="11"/>
      <c r="VU94" s="11"/>
      <c r="VV94" s="11"/>
      <c r="VW94" s="11"/>
      <c r="VX94" s="11"/>
      <c r="VY94" s="11"/>
      <c r="VZ94" s="11"/>
      <c r="WA94" s="11"/>
      <c r="WB94" s="11"/>
      <c r="WC94" s="11"/>
      <c r="WD94" s="11"/>
      <c r="WE94" s="11"/>
      <c r="WF94" s="11"/>
      <c r="WG94" s="11"/>
      <c r="WH94" s="11"/>
      <c r="WI94" s="11"/>
      <c r="WJ94" s="11"/>
      <c r="WK94" s="11"/>
      <c r="WL94" s="11"/>
      <c r="WM94" s="11"/>
      <c r="WN94" s="11"/>
      <c r="WO94" s="11"/>
      <c r="WP94" s="11"/>
      <c r="WQ94" s="11"/>
      <c r="WR94" s="11"/>
      <c r="WS94" s="11"/>
      <c r="WT94" s="11"/>
      <c r="WU94" s="11"/>
      <c r="WV94" s="11"/>
      <c r="WW94" s="11"/>
      <c r="WX94" s="11"/>
      <c r="WY94" s="11"/>
      <c r="WZ94" s="11"/>
      <c r="XA94" s="11"/>
      <c r="XB94" s="11"/>
      <c r="XC94" s="11"/>
      <c r="XD94" s="11"/>
      <c r="XE94" s="11"/>
      <c r="XF94" s="11"/>
      <c r="XG94" s="11"/>
      <c r="XH94" s="11"/>
      <c r="XI94" s="11"/>
      <c r="XJ94" s="11"/>
      <c r="XK94" s="11"/>
      <c r="XL94" s="11"/>
      <c r="XM94" s="11"/>
      <c r="XN94" s="11"/>
      <c r="XO94" s="11"/>
      <c r="XP94" s="11"/>
      <c r="XQ94" s="11"/>
      <c r="XR94" s="11"/>
      <c r="XS94" s="11"/>
      <c r="XT94" s="11"/>
      <c r="XU94" s="11"/>
      <c r="XV94" s="11"/>
      <c r="XW94" s="11"/>
      <c r="XX94" s="11"/>
      <c r="XY94" s="11"/>
      <c r="XZ94" s="11"/>
      <c r="YA94" s="11"/>
      <c r="YB94" s="11"/>
      <c r="YC94" s="11"/>
      <c r="YD94" s="11"/>
      <c r="YE94" s="11"/>
      <c r="YF94" s="11"/>
      <c r="YG94" s="11"/>
      <c r="YH94" s="11"/>
      <c r="YI94" s="11"/>
      <c r="YJ94" s="11"/>
      <c r="YK94" s="11"/>
      <c r="YL94" s="11"/>
      <c r="YM94" s="11"/>
      <c r="YN94" s="11"/>
      <c r="YO94" s="11"/>
      <c r="YP94" s="11"/>
      <c r="YQ94" s="11"/>
      <c r="YR94" s="11"/>
      <c r="YS94" s="11"/>
      <c r="YT94" s="11"/>
      <c r="YU94" s="11"/>
      <c r="YV94" s="11"/>
      <c r="YW94" s="11"/>
      <c r="YX94" s="11"/>
      <c r="YY94" s="11"/>
      <c r="YZ94" s="11"/>
      <c r="ZA94" s="11"/>
      <c r="ZB94" s="11"/>
      <c r="ZC94" s="11"/>
      <c r="ZD94" s="11"/>
      <c r="ZE94" s="11"/>
      <c r="ZF94" s="11"/>
      <c r="ZG94" s="11"/>
      <c r="ZH94" s="11"/>
      <c r="ZI94" s="11"/>
      <c r="ZJ94" s="11"/>
      <c r="ZK94" s="11"/>
      <c r="ZL94" s="11"/>
      <c r="ZM94" s="11"/>
      <c r="ZN94" s="11"/>
      <c r="ZO94" s="11"/>
      <c r="ZP94" s="11"/>
      <c r="ZQ94" s="11"/>
      <c r="ZR94" s="11"/>
      <c r="ZS94" s="11"/>
      <c r="ZT94" s="11"/>
      <c r="ZU94" s="11"/>
      <c r="ZV94" s="11"/>
      <c r="ZW94" s="11"/>
      <c r="ZX94" s="11"/>
      <c r="ZY94" s="11"/>
      <c r="ZZ94" s="11"/>
      <c r="AAA94" s="11"/>
      <c r="AAB94" s="11"/>
      <c r="AAC94" s="11"/>
      <c r="AAD94" s="11"/>
      <c r="AAE94" s="11"/>
      <c r="AAF94" s="11"/>
      <c r="AAG94" s="11"/>
      <c r="AAH94" s="11"/>
      <c r="AAI94" s="11"/>
      <c r="AAJ94" s="11"/>
      <c r="AAK94" s="11"/>
      <c r="AAL94" s="11"/>
      <c r="AAM94" s="11"/>
      <c r="AAN94" s="11"/>
      <c r="AAO94" s="11"/>
      <c r="AAP94" s="11"/>
      <c r="AAQ94" s="11"/>
      <c r="AAR94" s="11"/>
      <c r="AAS94" s="11"/>
      <c r="AAT94" s="11"/>
      <c r="AAU94" s="11"/>
      <c r="AAV94" s="11"/>
      <c r="AAW94" s="11"/>
      <c r="AAX94" s="11"/>
      <c r="AAY94" s="11"/>
      <c r="AAZ94" s="11"/>
      <c r="ABA94" s="11"/>
      <c r="ABB94" s="11"/>
      <c r="ABC94" s="11"/>
      <c r="ABD94" s="11"/>
      <c r="ABE94" s="11"/>
      <c r="ABF94" s="11"/>
      <c r="ABG94" s="11"/>
      <c r="ABH94" s="11"/>
      <c r="ABI94" s="11"/>
      <c r="ABJ94" s="11"/>
      <c r="ABK94" s="11"/>
      <c r="ABL94" s="11"/>
      <c r="ABM94" s="11"/>
      <c r="ABN94" s="11"/>
      <c r="ABO94" s="11"/>
      <c r="ABP94" s="11"/>
      <c r="ABQ94" s="11"/>
      <c r="ABR94" s="11"/>
      <c r="ABS94" s="11"/>
      <c r="ABT94" s="11"/>
      <c r="ABU94" s="11"/>
      <c r="ABV94" s="11"/>
      <c r="ABW94" s="11"/>
      <c r="ABX94" s="11"/>
      <c r="ABY94" s="11"/>
      <c r="ABZ94" s="11"/>
      <c r="ACA94" s="11"/>
      <c r="ACB94" s="11"/>
      <c r="ACC94" s="11"/>
      <c r="ACD94" s="11"/>
      <c r="ACE94" s="11"/>
      <c r="ACF94" s="11"/>
      <c r="ACG94" s="11"/>
      <c r="ACH94" s="11"/>
      <c r="ACI94" s="11"/>
      <c r="ACJ94" s="11"/>
      <c r="ACK94" s="11"/>
      <c r="ACL94" s="11"/>
      <c r="ACM94" s="11"/>
      <c r="ACN94" s="11"/>
      <c r="ACO94" s="11"/>
      <c r="ACP94" s="11"/>
      <c r="ACQ94" s="11"/>
      <c r="ACR94" s="11"/>
      <c r="ACS94" s="11"/>
      <c r="ACT94" s="11"/>
      <c r="ACU94" s="11"/>
      <c r="ACV94" s="11"/>
      <c r="ACW94" s="11"/>
      <c r="ACX94" s="11"/>
      <c r="ACY94" s="11"/>
      <c r="ACZ94" s="11"/>
      <c r="ADA94" s="11"/>
      <c r="ADB94" s="11"/>
      <c r="ADC94" s="11"/>
      <c r="ADD94" s="11"/>
      <c r="ADE94" s="11"/>
      <c r="ADF94" s="11"/>
      <c r="ADG94" s="11"/>
      <c r="ADH94" s="11"/>
      <c r="ADI94" s="11"/>
      <c r="ADJ94" s="11"/>
      <c r="ADK94" s="11"/>
      <c r="ADL94" s="11"/>
      <c r="ADM94" s="11"/>
      <c r="ADN94" s="11"/>
      <c r="ADO94" s="11"/>
      <c r="ADP94" s="11"/>
      <c r="ADQ94" s="11"/>
      <c r="ADR94" s="11"/>
      <c r="ADS94" s="11"/>
      <c r="ADT94" s="11"/>
      <c r="ADU94" s="11"/>
      <c r="ADV94" s="11"/>
      <c r="ADW94" s="11"/>
      <c r="ADX94" s="11"/>
      <c r="ADY94" s="11"/>
      <c r="ADZ94" s="11"/>
      <c r="AEA94" s="11"/>
      <c r="AEB94" s="11"/>
      <c r="AEC94" s="11"/>
      <c r="AED94" s="11"/>
      <c r="AEE94" s="11"/>
      <c r="AEF94" s="11"/>
      <c r="AEG94" s="11"/>
      <c r="AEH94" s="11"/>
      <c r="AEI94" s="11"/>
      <c r="AEJ94" s="11"/>
      <c r="AEK94" s="11"/>
      <c r="AEL94" s="11"/>
      <c r="AEM94" s="11"/>
      <c r="AEN94" s="11"/>
      <c r="AEO94" s="11"/>
      <c r="AEP94" s="11"/>
      <c r="AEQ94" s="11"/>
      <c r="AER94" s="11"/>
      <c r="AES94" s="11"/>
      <c r="AET94" s="11"/>
      <c r="AEU94" s="11"/>
      <c r="AEV94" s="11"/>
      <c r="AEW94" s="11"/>
      <c r="AEX94" s="11"/>
      <c r="AEY94" s="11"/>
      <c r="AEZ94" s="11"/>
      <c r="AFA94" s="11"/>
      <c r="AFB94" s="11"/>
      <c r="AFC94" s="11"/>
      <c r="AFD94" s="11"/>
      <c r="AFE94" s="11"/>
      <c r="AFF94" s="11"/>
      <c r="AFG94" s="11"/>
      <c r="AFH94" s="11"/>
      <c r="AFI94" s="11"/>
    </row>
    <row r="95" spans="2:841">
      <c r="B95" s="11"/>
      <c r="C95" s="657"/>
      <c r="D95" s="289" t="s">
        <v>629</v>
      </c>
      <c r="E95" s="311">
        <f>SUMIFS(M_Datos!$N$44:$N$46,M_Datos!$O$44:$O$46,M_Lista!G23,M_Datos!$M$44:$M$46,M_Lista!$J$3)</f>
        <v>0</v>
      </c>
      <c r="F95" s="312" t="e">
        <f>IF(AND(M_FactoresComplement!$G$439="No",M_FactoresComplement!$G$441="No"),M_Cálculos_ND!E95*VLOOKUP(M_Datos!$E$12&amp;M_Cálculos_ND!D95,M_Factores!$M$10:$P$108,2,FALSE),IF(AND(M_FactoresComplement!$G$439="Sí",M_FactoresComplement!$G$441="No"),E95*M_FactoresComplement!G458,E95*VLOOKUP(M_FactoresComplement!$C$467&amp;M_Datos!$E$12&amp;M_Lista!G22,M_FactoresComplement!$F$446:$I$781,2,FALSE)))</f>
        <v>#N/A</v>
      </c>
      <c r="G95" s="313" t="e">
        <f>IF(AND(M_FactoresComplement!$G$439="No",M_FactoresComplement!$G$441="No"),M_Cálculos_ND!E95*VLOOKUP(M_Datos!$E$12&amp;M_Cálculos_ND!D95,M_Factores!$M$10:$P$108,3,FALSE),IF(AND(M_FactoresComplement!$G$439="Sí",M_FactoresComplement!$G$441="No"),E95*M_FactoresComplement!H458,E95*VLOOKUP(M_FactoresComplement!$C$467&amp;M_Datos!$E$12&amp;M_Lista!G22,M_FactoresComplement!$F$446:$I$781,3,FALSE)))</f>
        <v>#N/A</v>
      </c>
      <c r="H95" s="311">
        <f>SUMIFS(M_Datos!$P$44:$P$46,M_Datos!$Q$44:$Q$46,M_Lista!G23,M_Datos!$M$44:$M$46,M_Lista!$J$3)</f>
        <v>0</v>
      </c>
      <c r="I95" s="312" t="e">
        <f>IF(AND(M_FactoresComplement!$G$439="No",M_FactoresComplement!$G$441="No"),M_Cálculos_ND!H95*VLOOKUP(M_Datos!$E$12&amp;M_Cálculos_ND!D95,M_Factores!$M$10:$P$108,2,FALSE),IF(AND(M_FactoresComplement!$G$439="Sí",M_FactoresComplement!$G$441="No"),H95*M_FactoresComplement!G458,H95*VLOOKUP(M_FactoresComplement!$C$467&amp;M_Datos!$E$12&amp;M_Lista!G22,M_FactoresComplement!$F$446:$I$781,2,FALSE)))</f>
        <v>#N/A</v>
      </c>
      <c r="J95" s="313" t="e">
        <f>IF(AND(M_FactoresComplement!$G$439="No",M_FactoresComplement!$G$441="No"),M_Cálculos_ND!H95*VLOOKUP(M_Datos!$E$12&amp;M_Cálculos_ND!D95,M_Factores!$M$10:$P$108,3,FALSE),IF(AND(M_FactoresComplement!$G$439="Sí",M_FactoresComplement!$G$441="No"),H95*M_FactoresComplement!H458,H95*VLOOKUP(M_FactoresComplement!$C$467&amp;M_Datos!$E$12&amp;M_Lista!G22,M_FactoresComplement!$F$446:$I$781,3,FALSE)))</f>
        <v>#N/A</v>
      </c>
      <c r="K95" s="311">
        <f>SUMIFS(M_Datos!$R$44:$R$46,M_Datos!$S$44:$S$46,M_Lista!G23,M_Datos!$M$44:$M$46,M_Lista!$J$3)</f>
        <v>0</v>
      </c>
      <c r="L95" s="312" t="e">
        <f>IF(AND(M_FactoresComplement!$G$439="No",M_FactoresComplement!$G$441="No"),M_Cálculos_ND!K95*VLOOKUP(M_Datos!$E$12&amp;M_Cálculos_ND!D95,M_Factores!$M$10:$P$108,2,FALSE),IF(AND(M_FactoresComplement!$G$439="Sí",M_FactoresComplement!$G$441="No"),K95*M_FactoresComplement!G458,K95*VLOOKUP(M_FactoresComplement!$C$467&amp;M_Datos!$E$12&amp;M_Lista!G22,M_FactoresComplement!$F$446:$I$781,2,FALSE)))</f>
        <v>#N/A</v>
      </c>
      <c r="M95" s="313" t="e">
        <f>IF(AND(M_FactoresComplement!$G$439="No",M_FactoresComplement!$G$441="No"),M_Cálculos_ND!K95*VLOOKUP(M_Datos!$E$12&amp;M_Cálculos_ND!D95,M_Factores!$M$10:$P$108,3,FALSE),IF(AND(M_FactoresComplement!$G$439="Sí",M_FactoresComplement!$G$441="No"),K95*M_FactoresComplement!H458,K95*VLOOKUP(M_FactoresComplement!$C$467&amp;M_Datos!$E$12&amp;M_Lista!G22,M_FactoresComplement!$F$446:$I$781,3,FALSE)))</f>
        <v>#N/A</v>
      </c>
      <c r="N95" s="311">
        <f>SUMIFS(M_Datos!$T$44:$T$46,M_Datos!$U$44:$U$46,M_Lista!G23,M_Datos!$M$44:$M$46,M_Lista!$J$3)</f>
        <v>0</v>
      </c>
      <c r="O95" s="312" t="e">
        <f>IF(AND(M_FactoresComplement!$G$439="No",M_FactoresComplement!$G$441="No"),M_Cálculos_ND!N95*VLOOKUP(M_Datos!$E$12&amp;M_Cálculos_ND!D95,M_Factores!$M$10:$P$108,2,FALSE),IF(AND(M_FactoresComplement!$G$439="Sí",M_FactoresComplement!$G$441="No"),N95*M_FactoresComplement!G458,N95*VLOOKUP(M_FactoresComplement!$C$467&amp;M_Datos!$E$12&amp;M_Lista!G22,M_FactoresComplement!$F$446:$I$781,2,FALSE)))</f>
        <v>#N/A</v>
      </c>
      <c r="P95" s="313" t="e">
        <f>IF(AND(M_FactoresComplement!$G$439="No",M_FactoresComplement!$G$441="No"),M_Cálculos_ND!N95*VLOOKUP(M_Datos!$E$12&amp;M_Cálculos_ND!D95,M_Factores!$M$10:$P$108,3,FALSE),IF(AND(M_FactoresComplement!$G$439="Sí",M_FactoresComplement!$G$441="No"),N95*M_FactoresComplement!H458,N95*VLOOKUP(M_FactoresComplement!$C$467&amp;M_Datos!$E$12&amp;M_Lista!G22,M_FactoresComplement!$F$446:$I$781,3,FALSE)))</f>
        <v>#N/A</v>
      </c>
      <c r="Q95" s="311">
        <f>SUMIFS(M_Datos!$V$44:$V$46,M_Datos!$W$44:$W$46,M_Lista!G23,M_Datos!$M$44:$M$46,M_Lista!$J$3)</f>
        <v>0</v>
      </c>
      <c r="R95" s="312" t="e">
        <f>IF(AND(M_FactoresComplement!$G$439="No",M_FactoresComplement!$G$441="No"),M_Cálculos_ND!Q95*VLOOKUP(M_Datos!$E$12&amp;M_Cálculos_ND!D95,M_Factores!$M$10:$P$108,2,FALSE),IF(AND(M_FactoresComplement!$G$439="Sí",M_FactoresComplement!$G$441="No"),Q95*M_FactoresComplement!G458,Q95*VLOOKUP(M_FactoresComplement!$C$467&amp;M_Datos!$E$12&amp;M_Lista!G22,M_FactoresComplement!$F$446:$I$781,2,FALSE)))</f>
        <v>#N/A</v>
      </c>
      <c r="S95" s="313" t="e">
        <f>IF(AND(M_FactoresComplement!$G$439="No",M_FactoresComplement!$G$441="No"),M_Cálculos_ND!Q95*VLOOKUP(M_Datos!$E$12&amp;M_Cálculos_ND!D95,M_Factores!$M$10:$P$108,3,FALSE),IF(AND(M_FactoresComplement!$G$439="Sí",M_FactoresComplement!$G$441="No"),Q95*M_FactoresComplement!H458,Q95*VLOOKUP(M_FactoresComplement!$C$467&amp;M_Datos!$E$12&amp;M_Lista!G22,M_FactoresComplement!$F$446:$I$781,3,FALSE)))</f>
        <v>#N/A</v>
      </c>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1"/>
      <c r="JA95" s="11"/>
      <c r="JB95" s="11"/>
      <c r="JC95" s="11"/>
      <c r="JD95" s="11"/>
      <c r="JE95" s="11"/>
      <c r="JF95" s="11"/>
      <c r="JG95" s="11"/>
      <c r="JH95" s="11"/>
      <c r="JI95" s="11"/>
      <c r="JJ95" s="11"/>
      <c r="JK95" s="11"/>
      <c r="JL95" s="11"/>
      <c r="JM95" s="11"/>
      <c r="JN95" s="11"/>
      <c r="JO95" s="11"/>
      <c r="JP95" s="11"/>
      <c r="JQ95" s="11"/>
      <c r="JR95" s="11"/>
      <c r="JS95" s="11"/>
      <c r="JT95" s="11"/>
      <c r="JU95" s="11"/>
      <c r="JV95" s="11"/>
      <c r="JW95" s="11"/>
      <c r="JX95" s="11"/>
      <c r="JY95" s="11"/>
      <c r="JZ95" s="11"/>
      <c r="KA95" s="11"/>
      <c r="KB95" s="11"/>
      <c r="KC95" s="11"/>
      <c r="KD95" s="11"/>
      <c r="KE95" s="11"/>
      <c r="KF95" s="11"/>
      <c r="KG95" s="11"/>
      <c r="KH95" s="11"/>
      <c r="KI95" s="11"/>
      <c r="KJ95" s="11"/>
      <c r="KK95" s="11"/>
      <c r="KL95" s="11"/>
      <c r="KM95" s="11"/>
      <c r="KN95" s="11"/>
      <c r="KO95" s="11"/>
      <c r="KP95" s="11"/>
      <c r="KQ95" s="11"/>
      <c r="KR95" s="11"/>
      <c r="KS95" s="11"/>
      <c r="KT95" s="11"/>
      <c r="KU95" s="11"/>
      <c r="KV95" s="11"/>
      <c r="KW95" s="11"/>
      <c r="KX95" s="11"/>
      <c r="KY95" s="11"/>
      <c r="KZ95" s="11"/>
      <c r="LA95" s="11"/>
      <c r="LB95" s="11"/>
      <c r="LC95" s="11"/>
      <c r="LD95" s="11"/>
      <c r="LE95" s="11"/>
      <c r="LF95" s="11"/>
      <c r="LG95" s="11"/>
      <c r="LH95" s="11"/>
      <c r="LI95" s="11"/>
      <c r="LJ95" s="11"/>
      <c r="LK95" s="11"/>
      <c r="LL95" s="11"/>
      <c r="LM95" s="11"/>
      <c r="LN95" s="11"/>
      <c r="LO95" s="11"/>
      <c r="LP95" s="11"/>
      <c r="LQ95" s="11"/>
      <c r="LR95" s="11"/>
      <c r="LS95" s="11"/>
      <c r="LT95" s="11"/>
      <c r="LU95" s="11"/>
      <c r="LV95" s="11"/>
      <c r="LW95" s="11"/>
      <c r="LX95" s="11"/>
      <c r="LY95" s="11"/>
      <c r="LZ95" s="11"/>
      <c r="MA95" s="11"/>
      <c r="MB95" s="11"/>
      <c r="MC95" s="11"/>
      <c r="MD95" s="11"/>
      <c r="ME95" s="11"/>
      <c r="MF95" s="11"/>
      <c r="MG95" s="11"/>
      <c r="MH95" s="11"/>
      <c r="MI95" s="11"/>
      <c r="MJ95" s="11"/>
      <c r="MK95" s="11"/>
      <c r="ML95" s="11"/>
      <c r="MM95" s="11"/>
      <c r="MN95" s="11"/>
      <c r="MO95" s="11"/>
      <c r="MP95" s="11"/>
      <c r="MQ95" s="11"/>
      <c r="MR95" s="11"/>
      <c r="MS95" s="11"/>
      <c r="MT95" s="11"/>
      <c r="MU95" s="11"/>
      <c r="MV95" s="11"/>
      <c r="MW95" s="11"/>
      <c r="MX95" s="11"/>
      <c r="MY95" s="11"/>
      <c r="MZ95" s="11"/>
      <c r="NA95" s="11"/>
      <c r="NB95" s="11"/>
      <c r="NC95" s="11"/>
      <c r="ND95" s="11"/>
      <c r="NE95" s="11"/>
      <c r="NF95" s="11"/>
      <c r="NG95" s="11"/>
      <c r="NH95" s="11"/>
      <c r="NI95" s="11"/>
      <c r="NJ95" s="11"/>
      <c r="NK95" s="11"/>
      <c r="NL95" s="11"/>
      <c r="NM95" s="11"/>
      <c r="NN95" s="11"/>
      <c r="NO95" s="11"/>
      <c r="NP95" s="11"/>
      <c r="NQ95" s="11"/>
      <c r="NR95" s="11"/>
      <c r="NS95" s="11"/>
      <c r="NT95" s="11"/>
      <c r="NU95" s="11"/>
      <c r="NV95" s="11"/>
      <c r="NW95" s="11"/>
      <c r="NX95" s="11"/>
      <c r="NY95" s="11"/>
      <c r="NZ95" s="11"/>
      <c r="OA95" s="11"/>
      <c r="OB95" s="11"/>
      <c r="OC95" s="11"/>
      <c r="OD95" s="11"/>
      <c r="OE95" s="11"/>
      <c r="OF95" s="11"/>
      <c r="OG95" s="11"/>
      <c r="OH95" s="11"/>
      <c r="OI95" s="11"/>
      <c r="OJ95" s="11"/>
      <c r="OK95" s="11"/>
      <c r="OL95" s="11"/>
      <c r="OM95" s="11"/>
      <c r="ON95" s="11"/>
      <c r="OO95" s="11"/>
      <c r="OP95" s="11"/>
      <c r="OQ95" s="11"/>
      <c r="OR95" s="11"/>
      <c r="OS95" s="11"/>
      <c r="OT95" s="11"/>
      <c r="OU95" s="11"/>
      <c r="OV95" s="11"/>
      <c r="OW95" s="11"/>
      <c r="OX95" s="11"/>
      <c r="OY95" s="11"/>
      <c r="OZ95" s="11"/>
      <c r="PA95" s="11"/>
      <c r="PB95" s="11"/>
      <c r="PC95" s="11"/>
      <c r="PD95" s="11"/>
      <c r="PE95" s="11"/>
      <c r="PF95" s="11"/>
      <c r="PG95" s="11"/>
      <c r="PH95" s="11"/>
      <c r="PI95" s="11"/>
      <c r="PJ95" s="11"/>
      <c r="PK95" s="11"/>
      <c r="PL95" s="11"/>
      <c r="PM95" s="11"/>
      <c r="PN95" s="11"/>
      <c r="PO95" s="11"/>
      <c r="PP95" s="11"/>
      <c r="PQ95" s="11"/>
      <c r="PR95" s="11"/>
      <c r="PS95" s="11"/>
      <c r="PT95" s="11"/>
      <c r="PU95" s="11"/>
      <c r="PV95" s="11"/>
      <c r="PW95" s="11"/>
      <c r="PX95" s="11"/>
      <c r="PY95" s="11"/>
      <c r="PZ95" s="11"/>
      <c r="QA95" s="11"/>
      <c r="QB95" s="11"/>
      <c r="QC95" s="11"/>
      <c r="QD95" s="11"/>
      <c r="QE95" s="11"/>
      <c r="QF95" s="11"/>
      <c r="QG95" s="11"/>
      <c r="QH95" s="11"/>
      <c r="QI95" s="11"/>
      <c r="QJ95" s="11"/>
      <c r="QK95" s="11"/>
      <c r="QL95" s="11"/>
      <c r="QM95" s="11"/>
      <c r="QN95" s="11"/>
      <c r="QO95" s="11"/>
      <c r="QP95" s="11"/>
      <c r="QQ95" s="11"/>
      <c r="QR95" s="11"/>
      <c r="QS95" s="11"/>
      <c r="QT95" s="11"/>
      <c r="QU95" s="11"/>
      <c r="QV95" s="11"/>
      <c r="QW95" s="11"/>
      <c r="QX95" s="11"/>
      <c r="QY95" s="11"/>
      <c r="QZ95" s="11"/>
      <c r="RA95" s="11"/>
      <c r="RB95" s="11"/>
      <c r="RC95" s="11"/>
      <c r="RD95" s="11"/>
      <c r="RE95" s="11"/>
      <c r="RF95" s="11"/>
      <c r="RG95" s="11"/>
      <c r="RH95" s="11"/>
      <c r="RI95" s="11"/>
      <c r="RJ95" s="11"/>
      <c r="RK95" s="11"/>
      <c r="RL95" s="11"/>
      <c r="RM95" s="11"/>
      <c r="RN95" s="11"/>
      <c r="RO95" s="11"/>
      <c r="RP95" s="11"/>
      <c r="RQ95" s="11"/>
      <c r="RR95" s="11"/>
      <c r="RS95" s="11"/>
      <c r="RT95" s="11"/>
      <c r="RU95" s="11"/>
      <c r="RV95" s="11"/>
      <c r="RW95" s="11"/>
      <c r="RX95" s="11"/>
      <c r="RY95" s="11"/>
      <c r="RZ95" s="11"/>
      <c r="SA95" s="11"/>
      <c r="SB95" s="11"/>
      <c r="SC95" s="11"/>
      <c r="SD95" s="11"/>
      <c r="SE95" s="11"/>
      <c r="SF95" s="11"/>
      <c r="SG95" s="11"/>
      <c r="SH95" s="11"/>
      <c r="SI95" s="11"/>
      <c r="SJ95" s="11"/>
      <c r="SK95" s="11"/>
      <c r="SL95" s="11"/>
      <c r="SM95" s="11"/>
      <c r="SN95" s="11"/>
      <c r="SO95" s="11"/>
      <c r="SP95" s="11"/>
      <c r="SQ95" s="11"/>
      <c r="SR95" s="11"/>
      <c r="SS95" s="11"/>
      <c r="ST95" s="11"/>
      <c r="SU95" s="11"/>
      <c r="SV95" s="11"/>
      <c r="SW95" s="11"/>
      <c r="SX95" s="11"/>
      <c r="SY95" s="11"/>
      <c r="SZ95" s="11"/>
      <c r="TA95" s="11"/>
      <c r="TB95" s="11"/>
      <c r="TC95" s="11"/>
      <c r="TD95" s="11"/>
      <c r="TE95" s="11"/>
      <c r="TF95" s="11"/>
      <c r="TG95" s="11"/>
      <c r="TH95" s="11"/>
      <c r="TI95" s="11"/>
      <c r="TJ95" s="11"/>
      <c r="TK95" s="11"/>
      <c r="TL95" s="11"/>
      <c r="TM95" s="11"/>
      <c r="TN95" s="11"/>
      <c r="TO95" s="11"/>
      <c r="TP95" s="11"/>
      <c r="TQ95" s="11"/>
      <c r="TR95" s="11"/>
      <c r="TS95" s="11"/>
      <c r="TT95" s="11"/>
      <c r="TU95" s="11"/>
      <c r="TV95" s="11"/>
      <c r="TW95" s="11"/>
      <c r="TX95" s="11"/>
      <c r="TY95" s="11"/>
      <c r="TZ95" s="11"/>
      <c r="UA95" s="11"/>
      <c r="UB95" s="11"/>
      <c r="UC95" s="11"/>
      <c r="UD95" s="11"/>
      <c r="UE95" s="11"/>
      <c r="UF95" s="11"/>
      <c r="UG95" s="11"/>
      <c r="UH95" s="11"/>
      <c r="UI95" s="11"/>
      <c r="UJ95" s="11"/>
      <c r="UK95" s="11"/>
      <c r="UL95" s="11"/>
      <c r="UM95" s="11"/>
      <c r="UN95" s="11"/>
      <c r="UO95" s="11"/>
      <c r="UP95" s="11"/>
      <c r="UQ95" s="11"/>
      <c r="UR95" s="11"/>
      <c r="US95" s="11"/>
      <c r="UT95" s="11"/>
      <c r="UU95" s="11"/>
      <c r="UV95" s="11"/>
      <c r="UW95" s="11"/>
      <c r="UX95" s="11"/>
      <c r="UY95" s="11"/>
      <c r="UZ95" s="11"/>
      <c r="VA95" s="11"/>
      <c r="VB95" s="11"/>
      <c r="VC95" s="11"/>
      <c r="VD95" s="11"/>
      <c r="VE95" s="11"/>
      <c r="VF95" s="11"/>
      <c r="VG95" s="11"/>
      <c r="VH95" s="11"/>
      <c r="VI95" s="11"/>
      <c r="VJ95" s="11"/>
      <c r="VK95" s="11"/>
      <c r="VL95" s="11"/>
      <c r="VM95" s="11"/>
      <c r="VN95" s="11"/>
      <c r="VO95" s="11"/>
      <c r="VP95" s="11"/>
      <c r="VQ95" s="11"/>
      <c r="VR95" s="11"/>
      <c r="VS95" s="11"/>
      <c r="VT95" s="11"/>
      <c r="VU95" s="11"/>
      <c r="VV95" s="11"/>
      <c r="VW95" s="11"/>
      <c r="VX95" s="11"/>
      <c r="VY95" s="11"/>
      <c r="VZ95" s="11"/>
      <c r="WA95" s="11"/>
      <c r="WB95" s="11"/>
      <c r="WC95" s="11"/>
      <c r="WD95" s="11"/>
      <c r="WE95" s="11"/>
      <c r="WF95" s="11"/>
      <c r="WG95" s="11"/>
      <c r="WH95" s="11"/>
      <c r="WI95" s="11"/>
      <c r="WJ95" s="11"/>
      <c r="WK95" s="11"/>
      <c r="WL95" s="11"/>
      <c r="WM95" s="11"/>
      <c r="WN95" s="11"/>
      <c r="WO95" s="11"/>
      <c r="WP95" s="11"/>
      <c r="WQ95" s="11"/>
      <c r="WR95" s="11"/>
      <c r="WS95" s="11"/>
      <c r="WT95" s="11"/>
      <c r="WU95" s="11"/>
      <c r="WV95" s="11"/>
      <c r="WW95" s="11"/>
      <c r="WX95" s="11"/>
      <c r="WY95" s="11"/>
      <c r="WZ95" s="11"/>
      <c r="XA95" s="11"/>
      <c r="XB95" s="11"/>
      <c r="XC95" s="11"/>
      <c r="XD95" s="11"/>
      <c r="XE95" s="11"/>
      <c r="XF95" s="11"/>
      <c r="XG95" s="11"/>
      <c r="XH95" s="11"/>
      <c r="XI95" s="11"/>
      <c r="XJ95" s="11"/>
      <c r="XK95" s="11"/>
      <c r="XL95" s="11"/>
      <c r="XM95" s="11"/>
      <c r="XN95" s="11"/>
      <c r="XO95" s="11"/>
      <c r="XP95" s="11"/>
      <c r="XQ95" s="11"/>
      <c r="XR95" s="11"/>
      <c r="XS95" s="11"/>
      <c r="XT95" s="11"/>
      <c r="XU95" s="11"/>
      <c r="XV95" s="11"/>
      <c r="XW95" s="11"/>
      <c r="XX95" s="11"/>
      <c r="XY95" s="11"/>
      <c r="XZ95" s="11"/>
      <c r="YA95" s="11"/>
      <c r="YB95" s="11"/>
      <c r="YC95" s="11"/>
      <c r="YD95" s="11"/>
      <c r="YE95" s="11"/>
      <c r="YF95" s="11"/>
      <c r="YG95" s="11"/>
      <c r="YH95" s="11"/>
      <c r="YI95" s="11"/>
      <c r="YJ95" s="11"/>
      <c r="YK95" s="11"/>
      <c r="YL95" s="11"/>
      <c r="YM95" s="11"/>
      <c r="YN95" s="11"/>
      <c r="YO95" s="11"/>
      <c r="YP95" s="11"/>
      <c r="YQ95" s="11"/>
      <c r="YR95" s="11"/>
      <c r="YS95" s="11"/>
      <c r="YT95" s="11"/>
      <c r="YU95" s="11"/>
      <c r="YV95" s="11"/>
      <c r="YW95" s="11"/>
      <c r="YX95" s="11"/>
      <c r="YY95" s="11"/>
      <c r="YZ95" s="11"/>
      <c r="ZA95" s="11"/>
      <c r="ZB95" s="11"/>
      <c r="ZC95" s="11"/>
      <c r="ZD95" s="11"/>
      <c r="ZE95" s="11"/>
      <c r="ZF95" s="11"/>
      <c r="ZG95" s="11"/>
      <c r="ZH95" s="11"/>
      <c r="ZI95" s="11"/>
      <c r="ZJ95" s="11"/>
      <c r="ZK95" s="11"/>
      <c r="ZL95" s="11"/>
      <c r="ZM95" s="11"/>
      <c r="ZN95" s="11"/>
      <c r="ZO95" s="11"/>
      <c r="ZP95" s="11"/>
      <c r="ZQ95" s="11"/>
      <c r="ZR95" s="11"/>
      <c r="ZS95" s="11"/>
      <c r="ZT95" s="11"/>
      <c r="ZU95" s="11"/>
      <c r="ZV95" s="11"/>
      <c r="ZW95" s="11"/>
      <c r="ZX95" s="11"/>
      <c r="ZY95" s="11"/>
      <c r="ZZ95" s="11"/>
      <c r="AAA95" s="11"/>
      <c r="AAB95" s="11"/>
      <c r="AAC95" s="11"/>
      <c r="AAD95" s="11"/>
      <c r="AAE95" s="11"/>
      <c r="AAF95" s="11"/>
      <c r="AAG95" s="11"/>
      <c r="AAH95" s="11"/>
      <c r="AAI95" s="11"/>
      <c r="AAJ95" s="11"/>
      <c r="AAK95" s="11"/>
      <c r="AAL95" s="11"/>
      <c r="AAM95" s="11"/>
      <c r="AAN95" s="11"/>
      <c r="AAO95" s="11"/>
      <c r="AAP95" s="11"/>
      <c r="AAQ95" s="11"/>
      <c r="AAR95" s="11"/>
      <c r="AAS95" s="11"/>
      <c r="AAT95" s="11"/>
      <c r="AAU95" s="11"/>
      <c r="AAV95" s="11"/>
      <c r="AAW95" s="11"/>
      <c r="AAX95" s="11"/>
      <c r="AAY95" s="11"/>
      <c r="AAZ95" s="11"/>
      <c r="ABA95" s="11"/>
      <c r="ABB95" s="11"/>
      <c r="ABC95" s="11"/>
      <c r="ABD95" s="11"/>
      <c r="ABE95" s="11"/>
      <c r="ABF95" s="11"/>
      <c r="ABG95" s="11"/>
      <c r="ABH95" s="11"/>
      <c r="ABI95" s="11"/>
      <c r="ABJ95" s="11"/>
      <c r="ABK95" s="11"/>
      <c r="ABL95" s="11"/>
      <c r="ABM95" s="11"/>
      <c r="ABN95" s="11"/>
      <c r="ABO95" s="11"/>
      <c r="ABP95" s="11"/>
      <c r="ABQ95" s="11"/>
      <c r="ABR95" s="11"/>
      <c r="ABS95" s="11"/>
      <c r="ABT95" s="11"/>
      <c r="ABU95" s="11"/>
      <c r="ABV95" s="11"/>
      <c r="ABW95" s="11"/>
      <c r="ABX95" s="11"/>
      <c r="ABY95" s="11"/>
      <c r="ABZ95" s="11"/>
      <c r="ACA95" s="11"/>
      <c r="ACB95" s="11"/>
      <c r="ACC95" s="11"/>
      <c r="ACD95" s="11"/>
      <c r="ACE95" s="11"/>
      <c r="ACF95" s="11"/>
      <c r="ACG95" s="11"/>
      <c r="ACH95" s="11"/>
      <c r="ACI95" s="11"/>
      <c r="ACJ95" s="11"/>
      <c r="ACK95" s="11"/>
      <c r="ACL95" s="11"/>
      <c r="ACM95" s="11"/>
      <c r="ACN95" s="11"/>
      <c r="ACO95" s="11"/>
      <c r="ACP95" s="11"/>
      <c r="ACQ95" s="11"/>
      <c r="ACR95" s="11"/>
      <c r="ACS95" s="11"/>
      <c r="ACT95" s="11"/>
      <c r="ACU95" s="11"/>
      <c r="ACV95" s="11"/>
      <c r="ACW95" s="11"/>
      <c r="ACX95" s="11"/>
      <c r="ACY95" s="11"/>
      <c r="ACZ95" s="11"/>
      <c r="ADA95" s="11"/>
      <c r="ADB95" s="11"/>
      <c r="ADC95" s="11"/>
      <c r="ADD95" s="11"/>
      <c r="ADE95" s="11"/>
      <c r="ADF95" s="11"/>
      <c r="ADG95" s="11"/>
      <c r="ADH95" s="11"/>
      <c r="ADI95" s="11"/>
      <c r="ADJ95" s="11"/>
      <c r="ADK95" s="11"/>
      <c r="ADL95" s="11"/>
      <c r="ADM95" s="11"/>
      <c r="ADN95" s="11"/>
      <c r="ADO95" s="11"/>
      <c r="ADP95" s="11"/>
      <c r="ADQ95" s="11"/>
      <c r="ADR95" s="11"/>
      <c r="ADS95" s="11"/>
      <c r="ADT95" s="11"/>
      <c r="ADU95" s="11"/>
      <c r="ADV95" s="11"/>
      <c r="ADW95" s="11"/>
      <c r="ADX95" s="11"/>
      <c r="ADY95" s="11"/>
      <c r="ADZ95" s="11"/>
      <c r="AEA95" s="11"/>
      <c r="AEB95" s="11"/>
      <c r="AEC95" s="11"/>
      <c r="AED95" s="11"/>
      <c r="AEE95" s="11"/>
      <c r="AEF95" s="11"/>
      <c r="AEG95" s="11"/>
      <c r="AEH95" s="11"/>
      <c r="AEI95" s="11"/>
      <c r="AEJ95" s="11"/>
      <c r="AEK95" s="11"/>
      <c r="AEL95" s="11"/>
      <c r="AEM95" s="11"/>
      <c r="AEN95" s="11"/>
      <c r="AEO95" s="11"/>
      <c r="AEP95" s="11"/>
      <c r="AEQ95" s="11"/>
      <c r="AER95" s="11"/>
      <c r="AES95" s="11"/>
      <c r="AET95" s="11"/>
      <c r="AEU95" s="11"/>
      <c r="AEV95" s="11"/>
      <c r="AEW95" s="11"/>
      <c r="AEX95" s="11"/>
      <c r="AEY95" s="11"/>
      <c r="AEZ95" s="11"/>
      <c r="AFA95" s="11"/>
      <c r="AFB95" s="11"/>
      <c r="AFC95" s="11"/>
      <c r="AFD95" s="11"/>
      <c r="AFE95" s="11"/>
      <c r="AFF95" s="11"/>
      <c r="AFG95" s="11"/>
      <c r="AFH95" s="11"/>
      <c r="AFI95" s="11"/>
    </row>
    <row r="96" spans="2:841">
      <c r="B96" s="11"/>
      <c r="C96" s="657"/>
      <c r="D96" s="289" t="str">
        <f>IF(Idioma=Castellano,"Sin definir",IF(Idioma=Valencià,"Sense definir","Sin definir"))</f>
        <v>Sin definir</v>
      </c>
      <c r="E96" s="311">
        <f>SUMIFS(M_Datos!$N$44:$N$46,M_Datos!$O$44:$O$46,M_Lista!G24,M_Datos!$M$44:$M$46,M_Lista!$J$3)</f>
        <v>0</v>
      </c>
      <c r="F96" s="312" t="e">
        <f>IF(AND(M_FactoresComplement!$G$439="No",M_FactoresComplement!$G$441="No"),M_Cálculos_ND!E96*VLOOKUP(M_Datos!$E$12&amp;M_Cálculos_ND!D96,M_Factores!$M$10:$P$108,2,FALSE),IF(AND(M_FactoresComplement!$G$439="Sí",M_FactoresComplement!$G$441="No"),E96*M_FactoresComplement!G459,E96*VLOOKUP(M_FactoresComplement!$C$467&amp;M_Datos!$E$12&amp;M_Lista!G23,M_FactoresComplement!$F$446:$I$781,2,FALSE)))</f>
        <v>#N/A</v>
      </c>
      <c r="G96" s="313" t="e">
        <f>IF(AND(M_FactoresComplement!$G$439="No",M_FactoresComplement!$G$441="No"),M_Cálculos_ND!E96*VLOOKUP(M_Datos!$E$12&amp;M_Cálculos_ND!D96,M_Factores!$M$10:$P$108,3,FALSE),IF(AND(M_FactoresComplement!$G$439="Sí",M_FactoresComplement!$G$441="No"),E96*M_FactoresComplement!H459,E96*VLOOKUP(M_FactoresComplement!$C$467&amp;M_Datos!$E$12&amp;M_Lista!G23,M_FactoresComplement!$F$446:$I$781,3,FALSE)))</f>
        <v>#N/A</v>
      </c>
      <c r="H96" s="311">
        <f>SUMIFS(M_Datos!$P$44:$P$46,M_Datos!$Q$44:$Q$46,M_Lista!G24,M_Datos!$M$44:$M$46,M_Lista!$J$3)</f>
        <v>0</v>
      </c>
      <c r="I96" s="312" t="e">
        <f>IF(AND(M_FactoresComplement!$G$439="No",M_FactoresComplement!$G$441="No"),M_Cálculos_ND!H96*VLOOKUP(M_Datos!$E$12&amp;M_Cálculos_ND!D96,M_Factores!$M$10:$P$108,2,FALSE),IF(AND(M_FactoresComplement!$G$439="Sí",M_FactoresComplement!$G$441="No"),H96*M_FactoresComplement!G459,H96*VLOOKUP(M_FactoresComplement!$C$467&amp;M_Datos!$E$12&amp;M_Lista!G23,M_FactoresComplement!$F$446:$I$781,2,FALSE)))</f>
        <v>#N/A</v>
      </c>
      <c r="J96" s="313" t="e">
        <f>IF(AND(M_FactoresComplement!$G$439="No",M_FactoresComplement!$G$441="No"),M_Cálculos_ND!H96*VLOOKUP(M_Datos!$E$12&amp;M_Cálculos_ND!D96,M_Factores!$M$10:$P$108,3,FALSE),IF(AND(M_FactoresComplement!$G$439="Sí",M_FactoresComplement!$G$441="No"),H96*M_FactoresComplement!H459,H96*VLOOKUP(M_FactoresComplement!$C$467&amp;M_Datos!$E$12&amp;M_Lista!G23,M_FactoresComplement!$F$446:$I$781,3,FALSE)))</f>
        <v>#N/A</v>
      </c>
      <c r="K96" s="311">
        <f>SUMIFS(M_Datos!$R$44:$R$46,M_Datos!$S$44:$S$46,M_Lista!G24,M_Datos!$M$44:$M$46,M_Lista!$J$3)</f>
        <v>0</v>
      </c>
      <c r="L96" s="312" t="e">
        <f>IF(AND(M_FactoresComplement!$G$439="No",M_FactoresComplement!$G$441="No"),M_Cálculos_ND!K96*VLOOKUP(M_Datos!$E$12&amp;M_Cálculos_ND!D96,M_Factores!$M$10:$P$108,2,FALSE),IF(AND(M_FactoresComplement!$G$439="Sí",M_FactoresComplement!$G$441="No"),K96*M_FactoresComplement!G459,K96*VLOOKUP(M_FactoresComplement!$C$467&amp;M_Datos!$E$12&amp;M_Lista!G23,M_FactoresComplement!$F$446:$I$781,2,FALSE)))</f>
        <v>#N/A</v>
      </c>
      <c r="M96" s="313" t="e">
        <f>IF(AND(M_FactoresComplement!$G$439="No",M_FactoresComplement!$G$441="No"),M_Cálculos_ND!K96*VLOOKUP(M_Datos!$E$12&amp;M_Cálculos_ND!D96,M_Factores!$M$10:$P$108,3,FALSE),IF(AND(M_FactoresComplement!$G$439="Sí",M_FactoresComplement!$G$441="No"),K96*M_FactoresComplement!H459,K96*VLOOKUP(M_FactoresComplement!$C$467&amp;M_Datos!$E$12&amp;M_Lista!G23,M_FactoresComplement!$F$446:$I$781,3,FALSE)))</f>
        <v>#N/A</v>
      </c>
      <c r="N96" s="311">
        <f>SUMIFS(M_Datos!$T$44:$T$46,M_Datos!$U$44:$U$46,M_Lista!G24,M_Datos!$M$44:$M$46,M_Lista!$J$3)</f>
        <v>0</v>
      </c>
      <c r="O96" s="312" t="e">
        <f>IF(AND(M_FactoresComplement!$G$439="No",M_FactoresComplement!$G$441="No"),M_Cálculos_ND!N96*VLOOKUP(M_Datos!$E$12&amp;M_Cálculos_ND!D96,M_Factores!$M$10:$P$108,2,FALSE),IF(AND(M_FactoresComplement!$G$439="Sí",M_FactoresComplement!$G$441="No"),N96*M_FactoresComplement!G459,N96*VLOOKUP(M_FactoresComplement!$C$467&amp;M_Datos!$E$12&amp;M_Lista!G23,M_FactoresComplement!$F$446:$I$781,2,FALSE)))</f>
        <v>#N/A</v>
      </c>
      <c r="P96" s="313" t="e">
        <f>IF(AND(M_FactoresComplement!$G$439="No",M_FactoresComplement!$G$441="No"),M_Cálculos_ND!N96*VLOOKUP(M_Datos!$E$12&amp;M_Cálculos_ND!D96,M_Factores!$M$10:$P$108,3,FALSE),IF(AND(M_FactoresComplement!$G$439="Sí",M_FactoresComplement!$G$441="No"),N96*M_FactoresComplement!H459,N96*VLOOKUP(M_FactoresComplement!$C$467&amp;M_Datos!$E$12&amp;M_Lista!G23,M_FactoresComplement!$F$446:$I$781,3,FALSE)))</f>
        <v>#N/A</v>
      </c>
      <c r="Q96" s="311">
        <f>SUMIFS(M_Datos!$V$44:$V$46,M_Datos!$W$44:$W$46,M_Lista!G24,M_Datos!$M$44:$M$46,M_Lista!$J$3)</f>
        <v>0</v>
      </c>
      <c r="R96" s="312" t="e">
        <f>IF(AND(M_FactoresComplement!$G$439="No",M_FactoresComplement!$G$441="No"),M_Cálculos_ND!Q96*VLOOKUP(M_Datos!$E$12&amp;M_Cálculos_ND!D96,M_Factores!$M$10:$P$108,2,FALSE),IF(AND(M_FactoresComplement!$G$439="Sí",M_FactoresComplement!$G$441="No"),Q96*M_FactoresComplement!G459,Q96*VLOOKUP(M_FactoresComplement!$C$467&amp;M_Datos!$E$12&amp;M_Lista!G23,M_FactoresComplement!$F$446:$I$781,2,FALSE)))</f>
        <v>#N/A</v>
      </c>
      <c r="S96" s="313" t="e">
        <f>IF(AND(M_FactoresComplement!$G$439="No",M_FactoresComplement!$G$441="No"),M_Cálculos_ND!Q96*VLOOKUP(M_Datos!$E$12&amp;M_Cálculos_ND!D96,M_Factores!$M$10:$P$108,3,FALSE),IF(AND(M_FactoresComplement!$G$439="Sí",M_FactoresComplement!$G$441="No"),Q96*M_FactoresComplement!H459,Q96*VLOOKUP(M_FactoresComplement!$C$467&amp;M_Datos!$E$12&amp;M_Lista!G23,M_FactoresComplement!$F$446:$I$781,3,FALSE)))</f>
        <v>#N/A</v>
      </c>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1"/>
      <c r="JA96" s="11"/>
      <c r="JB96" s="11"/>
      <c r="JC96" s="11"/>
      <c r="JD96" s="11"/>
      <c r="JE96" s="11"/>
      <c r="JF96" s="11"/>
      <c r="JG96" s="11"/>
      <c r="JH96" s="11"/>
      <c r="JI96" s="11"/>
      <c r="JJ96" s="11"/>
      <c r="JK96" s="11"/>
      <c r="JL96" s="11"/>
      <c r="JM96" s="11"/>
      <c r="JN96" s="11"/>
      <c r="JO96" s="11"/>
      <c r="JP96" s="11"/>
      <c r="JQ96" s="11"/>
      <c r="JR96" s="11"/>
      <c r="JS96" s="11"/>
      <c r="JT96" s="11"/>
      <c r="JU96" s="11"/>
      <c r="JV96" s="11"/>
      <c r="JW96" s="11"/>
      <c r="JX96" s="11"/>
      <c r="JY96" s="11"/>
      <c r="JZ96" s="11"/>
      <c r="KA96" s="11"/>
      <c r="KB96" s="11"/>
      <c r="KC96" s="11"/>
      <c r="KD96" s="11"/>
      <c r="KE96" s="11"/>
      <c r="KF96" s="11"/>
      <c r="KG96" s="11"/>
      <c r="KH96" s="11"/>
      <c r="KI96" s="11"/>
      <c r="KJ96" s="11"/>
      <c r="KK96" s="11"/>
      <c r="KL96" s="11"/>
      <c r="KM96" s="11"/>
      <c r="KN96" s="11"/>
      <c r="KO96" s="11"/>
      <c r="KP96" s="11"/>
      <c r="KQ96" s="11"/>
      <c r="KR96" s="11"/>
      <c r="KS96" s="11"/>
      <c r="KT96" s="11"/>
      <c r="KU96" s="11"/>
      <c r="KV96" s="11"/>
      <c r="KW96" s="11"/>
      <c r="KX96" s="11"/>
      <c r="KY96" s="11"/>
      <c r="KZ96" s="11"/>
      <c r="LA96" s="11"/>
      <c r="LB96" s="11"/>
      <c r="LC96" s="11"/>
      <c r="LD96" s="11"/>
      <c r="LE96" s="11"/>
      <c r="LF96" s="11"/>
      <c r="LG96" s="11"/>
      <c r="LH96" s="11"/>
      <c r="LI96" s="11"/>
      <c r="LJ96" s="11"/>
      <c r="LK96" s="11"/>
      <c r="LL96" s="11"/>
      <c r="LM96" s="11"/>
      <c r="LN96" s="11"/>
      <c r="LO96" s="11"/>
      <c r="LP96" s="11"/>
      <c r="LQ96" s="11"/>
      <c r="LR96" s="11"/>
      <c r="LS96" s="11"/>
      <c r="LT96" s="11"/>
      <c r="LU96" s="11"/>
      <c r="LV96" s="11"/>
      <c r="LW96" s="11"/>
      <c r="LX96" s="11"/>
      <c r="LY96" s="11"/>
      <c r="LZ96" s="11"/>
      <c r="MA96" s="11"/>
      <c r="MB96" s="11"/>
      <c r="MC96" s="11"/>
      <c r="MD96" s="11"/>
      <c r="ME96" s="11"/>
      <c r="MF96" s="11"/>
      <c r="MG96" s="11"/>
      <c r="MH96" s="11"/>
      <c r="MI96" s="11"/>
      <c r="MJ96" s="11"/>
      <c r="MK96" s="11"/>
      <c r="ML96" s="11"/>
      <c r="MM96" s="11"/>
      <c r="MN96" s="11"/>
      <c r="MO96" s="11"/>
      <c r="MP96" s="11"/>
      <c r="MQ96" s="11"/>
      <c r="MR96" s="11"/>
      <c r="MS96" s="11"/>
      <c r="MT96" s="11"/>
      <c r="MU96" s="11"/>
      <c r="MV96" s="11"/>
      <c r="MW96" s="11"/>
      <c r="MX96" s="11"/>
      <c r="MY96" s="11"/>
      <c r="MZ96" s="11"/>
      <c r="NA96" s="11"/>
      <c r="NB96" s="11"/>
      <c r="NC96" s="11"/>
      <c r="ND96" s="11"/>
      <c r="NE96" s="11"/>
      <c r="NF96" s="11"/>
      <c r="NG96" s="11"/>
      <c r="NH96" s="11"/>
      <c r="NI96" s="11"/>
      <c r="NJ96" s="11"/>
      <c r="NK96" s="11"/>
      <c r="NL96" s="11"/>
      <c r="NM96" s="11"/>
      <c r="NN96" s="11"/>
      <c r="NO96" s="11"/>
      <c r="NP96" s="11"/>
      <c r="NQ96" s="11"/>
      <c r="NR96" s="11"/>
      <c r="NS96" s="11"/>
      <c r="NT96" s="11"/>
      <c r="NU96" s="11"/>
      <c r="NV96" s="11"/>
      <c r="NW96" s="11"/>
      <c r="NX96" s="11"/>
      <c r="NY96" s="11"/>
      <c r="NZ96" s="11"/>
      <c r="OA96" s="11"/>
      <c r="OB96" s="11"/>
      <c r="OC96" s="11"/>
      <c r="OD96" s="11"/>
      <c r="OE96" s="11"/>
      <c r="OF96" s="11"/>
      <c r="OG96" s="11"/>
      <c r="OH96" s="11"/>
      <c r="OI96" s="11"/>
      <c r="OJ96" s="11"/>
      <c r="OK96" s="11"/>
      <c r="OL96" s="11"/>
      <c r="OM96" s="11"/>
      <c r="ON96" s="11"/>
      <c r="OO96" s="11"/>
      <c r="OP96" s="11"/>
      <c r="OQ96" s="11"/>
      <c r="OR96" s="11"/>
      <c r="OS96" s="11"/>
      <c r="OT96" s="11"/>
      <c r="OU96" s="11"/>
      <c r="OV96" s="11"/>
      <c r="OW96" s="11"/>
      <c r="OX96" s="11"/>
      <c r="OY96" s="11"/>
      <c r="OZ96" s="11"/>
      <c r="PA96" s="11"/>
      <c r="PB96" s="11"/>
      <c r="PC96" s="11"/>
      <c r="PD96" s="11"/>
      <c r="PE96" s="11"/>
      <c r="PF96" s="11"/>
      <c r="PG96" s="11"/>
      <c r="PH96" s="11"/>
      <c r="PI96" s="11"/>
      <c r="PJ96" s="11"/>
      <c r="PK96" s="11"/>
      <c r="PL96" s="11"/>
      <c r="PM96" s="11"/>
      <c r="PN96" s="11"/>
      <c r="PO96" s="11"/>
      <c r="PP96" s="11"/>
      <c r="PQ96" s="11"/>
      <c r="PR96" s="11"/>
      <c r="PS96" s="11"/>
      <c r="PT96" s="11"/>
      <c r="PU96" s="11"/>
      <c r="PV96" s="11"/>
      <c r="PW96" s="11"/>
      <c r="PX96" s="11"/>
      <c r="PY96" s="11"/>
      <c r="PZ96" s="11"/>
      <c r="QA96" s="11"/>
      <c r="QB96" s="11"/>
      <c r="QC96" s="11"/>
      <c r="QD96" s="11"/>
      <c r="QE96" s="11"/>
      <c r="QF96" s="11"/>
      <c r="QG96" s="11"/>
      <c r="QH96" s="11"/>
      <c r="QI96" s="11"/>
      <c r="QJ96" s="11"/>
      <c r="QK96" s="11"/>
      <c r="QL96" s="11"/>
      <c r="QM96" s="11"/>
      <c r="QN96" s="11"/>
      <c r="QO96" s="11"/>
      <c r="QP96" s="11"/>
      <c r="QQ96" s="11"/>
      <c r="QR96" s="11"/>
      <c r="QS96" s="11"/>
      <c r="QT96" s="11"/>
      <c r="QU96" s="11"/>
      <c r="QV96" s="11"/>
      <c r="QW96" s="11"/>
      <c r="QX96" s="11"/>
      <c r="QY96" s="11"/>
      <c r="QZ96" s="11"/>
      <c r="RA96" s="11"/>
      <c r="RB96" s="11"/>
      <c r="RC96" s="11"/>
      <c r="RD96" s="11"/>
      <c r="RE96" s="11"/>
      <c r="RF96" s="11"/>
      <c r="RG96" s="11"/>
      <c r="RH96" s="11"/>
      <c r="RI96" s="11"/>
      <c r="RJ96" s="11"/>
      <c r="RK96" s="11"/>
      <c r="RL96" s="11"/>
      <c r="RM96" s="11"/>
      <c r="RN96" s="11"/>
      <c r="RO96" s="11"/>
      <c r="RP96" s="11"/>
      <c r="RQ96" s="11"/>
      <c r="RR96" s="11"/>
      <c r="RS96" s="11"/>
      <c r="RT96" s="11"/>
      <c r="RU96" s="11"/>
      <c r="RV96" s="11"/>
      <c r="RW96" s="11"/>
      <c r="RX96" s="11"/>
      <c r="RY96" s="11"/>
      <c r="RZ96" s="11"/>
      <c r="SA96" s="11"/>
      <c r="SB96" s="11"/>
      <c r="SC96" s="11"/>
      <c r="SD96" s="11"/>
      <c r="SE96" s="11"/>
      <c r="SF96" s="11"/>
      <c r="SG96" s="11"/>
      <c r="SH96" s="11"/>
      <c r="SI96" s="11"/>
      <c r="SJ96" s="11"/>
      <c r="SK96" s="11"/>
      <c r="SL96" s="11"/>
      <c r="SM96" s="11"/>
      <c r="SN96" s="11"/>
      <c r="SO96" s="11"/>
      <c r="SP96" s="11"/>
      <c r="SQ96" s="11"/>
      <c r="SR96" s="11"/>
      <c r="SS96" s="11"/>
      <c r="ST96" s="11"/>
      <c r="SU96" s="11"/>
      <c r="SV96" s="11"/>
      <c r="SW96" s="11"/>
      <c r="SX96" s="11"/>
      <c r="SY96" s="11"/>
      <c r="SZ96" s="11"/>
      <c r="TA96" s="11"/>
      <c r="TB96" s="11"/>
      <c r="TC96" s="11"/>
      <c r="TD96" s="11"/>
      <c r="TE96" s="11"/>
      <c r="TF96" s="11"/>
      <c r="TG96" s="11"/>
      <c r="TH96" s="11"/>
      <c r="TI96" s="11"/>
      <c r="TJ96" s="11"/>
      <c r="TK96" s="11"/>
      <c r="TL96" s="11"/>
      <c r="TM96" s="11"/>
      <c r="TN96" s="11"/>
      <c r="TO96" s="11"/>
      <c r="TP96" s="11"/>
      <c r="TQ96" s="11"/>
      <c r="TR96" s="11"/>
      <c r="TS96" s="11"/>
      <c r="TT96" s="11"/>
      <c r="TU96" s="11"/>
      <c r="TV96" s="11"/>
      <c r="TW96" s="11"/>
      <c r="TX96" s="11"/>
      <c r="TY96" s="11"/>
      <c r="TZ96" s="11"/>
      <c r="UA96" s="11"/>
      <c r="UB96" s="11"/>
      <c r="UC96" s="11"/>
      <c r="UD96" s="11"/>
      <c r="UE96" s="11"/>
      <c r="UF96" s="11"/>
      <c r="UG96" s="11"/>
      <c r="UH96" s="11"/>
      <c r="UI96" s="11"/>
      <c r="UJ96" s="11"/>
      <c r="UK96" s="11"/>
      <c r="UL96" s="11"/>
      <c r="UM96" s="11"/>
      <c r="UN96" s="11"/>
      <c r="UO96" s="11"/>
      <c r="UP96" s="11"/>
      <c r="UQ96" s="11"/>
      <c r="UR96" s="11"/>
      <c r="US96" s="11"/>
      <c r="UT96" s="11"/>
      <c r="UU96" s="11"/>
      <c r="UV96" s="11"/>
      <c r="UW96" s="11"/>
      <c r="UX96" s="11"/>
      <c r="UY96" s="11"/>
      <c r="UZ96" s="11"/>
      <c r="VA96" s="11"/>
      <c r="VB96" s="11"/>
      <c r="VC96" s="11"/>
      <c r="VD96" s="11"/>
      <c r="VE96" s="11"/>
      <c r="VF96" s="11"/>
      <c r="VG96" s="11"/>
      <c r="VH96" s="11"/>
      <c r="VI96" s="11"/>
      <c r="VJ96" s="11"/>
      <c r="VK96" s="11"/>
      <c r="VL96" s="11"/>
      <c r="VM96" s="11"/>
      <c r="VN96" s="11"/>
      <c r="VO96" s="11"/>
      <c r="VP96" s="11"/>
      <c r="VQ96" s="11"/>
      <c r="VR96" s="11"/>
      <c r="VS96" s="11"/>
      <c r="VT96" s="11"/>
      <c r="VU96" s="11"/>
      <c r="VV96" s="11"/>
      <c r="VW96" s="11"/>
      <c r="VX96" s="11"/>
      <c r="VY96" s="11"/>
      <c r="VZ96" s="11"/>
      <c r="WA96" s="11"/>
      <c r="WB96" s="11"/>
      <c r="WC96" s="11"/>
      <c r="WD96" s="11"/>
      <c r="WE96" s="11"/>
      <c r="WF96" s="11"/>
      <c r="WG96" s="11"/>
      <c r="WH96" s="11"/>
      <c r="WI96" s="11"/>
      <c r="WJ96" s="11"/>
      <c r="WK96" s="11"/>
      <c r="WL96" s="11"/>
      <c r="WM96" s="11"/>
      <c r="WN96" s="11"/>
      <c r="WO96" s="11"/>
      <c r="WP96" s="11"/>
      <c r="WQ96" s="11"/>
      <c r="WR96" s="11"/>
      <c r="WS96" s="11"/>
      <c r="WT96" s="11"/>
      <c r="WU96" s="11"/>
      <c r="WV96" s="11"/>
      <c r="WW96" s="11"/>
      <c r="WX96" s="11"/>
      <c r="WY96" s="11"/>
      <c r="WZ96" s="11"/>
      <c r="XA96" s="11"/>
      <c r="XB96" s="11"/>
      <c r="XC96" s="11"/>
      <c r="XD96" s="11"/>
      <c r="XE96" s="11"/>
      <c r="XF96" s="11"/>
      <c r="XG96" s="11"/>
      <c r="XH96" s="11"/>
      <c r="XI96" s="11"/>
      <c r="XJ96" s="11"/>
      <c r="XK96" s="11"/>
      <c r="XL96" s="11"/>
      <c r="XM96" s="11"/>
      <c r="XN96" s="11"/>
      <c r="XO96" s="11"/>
      <c r="XP96" s="11"/>
      <c r="XQ96" s="11"/>
      <c r="XR96" s="11"/>
      <c r="XS96" s="11"/>
      <c r="XT96" s="11"/>
      <c r="XU96" s="11"/>
      <c r="XV96" s="11"/>
      <c r="XW96" s="11"/>
      <c r="XX96" s="11"/>
      <c r="XY96" s="11"/>
      <c r="XZ96" s="11"/>
      <c r="YA96" s="11"/>
      <c r="YB96" s="11"/>
      <c r="YC96" s="11"/>
      <c r="YD96" s="11"/>
      <c r="YE96" s="11"/>
      <c r="YF96" s="11"/>
      <c r="YG96" s="11"/>
      <c r="YH96" s="11"/>
      <c r="YI96" s="11"/>
      <c r="YJ96" s="11"/>
      <c r="YK96" s="11"/>
      <c r="YL96" s="11"/>
      <c r="YM96" s="11"/>
      <c r="YN96" s="11"/>
      <c r="YO96" s="11"/>
      <c r="YP96" s="11"/>
      <c r="YQ96" s="11"/>
      <c r="YR96" s="11"/>
      <c r="YS96" s="11"/>
      <c r="YT96" s="11"/>
      <c r="YU96" s="11"/>
      <c r="YV96" s="11"/>
      <c r="YW96" s="11"/>
      <c r="YX96" s="11"/>
      <c r="YY96" s="11"/>
      <c r="YZ96" s="11"/>
      <c r="ZA96" s="11"/>
      <c r="ZB96" s="11"/>
      <c r="ZC96" s="11"/>
      <c r="ZD96" s="11"/>
      <c r="ZE96" s="11"/>
      <c r="ZF96" s="11"/>
      <c r="ZG96" s="11"/>
      <c r="ZH96" s="11"/>
      <c r="ZI96" s="11"/>
      <c r="ZJ96" s="11"/>
      <c r="ZK96" s="11"/>
      <c r="ZL96" s="11"/>
      <c r="ZM96" s="11"/>
      <c r="ZN96" s="11"/>
      <c r="ZO96" s="11"/>
      <c r="ZP96" s="11"/>
      <c r="ZQ96" s="11"/>
      <c r="ZR96" s="11"/>
      <c r="ZS96" s="11"/>
      <c r="ZT96" s="11"/>
      <c r="ZU96" s="11"/>
      <c r="ZV96" s="11"/>
      <c r="ZW96" s="11"/>
      <c r="ZX96" s="11"/>
      <c r="ZY96" s="11"/>
      <c r="ZZ96" s="11"/>
      <c r="AAA96" s="11"/>
      <c r="AAB96" s="11"/>
      <c r="AAC96" s="11"/>
      <c r="AAD96" s="11"/>
      <c r="AAE96" s="11"/>
      <c r="AAF96" s="11"/>
      <c r="AAG96" s="11"/>
      <c r="AAH96" s="11"/>
      <c r="AAI96" s="11"/>
      <c r="AAJ96" s="11"/>
      <c r="AAK96" s="11"/>
      <c r="AAL96" s="11"/>
      <c r="AAM96" s="11"/>
      <c r="AAN96" s="11"/>
      <c r="AAO96" s="11"/>
      <c r="AAP96" s="11"/>
      <c r="AAQ96" s="11"/>
      <c r="AAR96" s="11"/>
      <c r="AAS96" s="11"/>
      <c r="AAT96" s="11"/>
      <c r="AAU96" s="11"/>
      <c r="AAV96" s="11"/>
      <c r="AAW96" s="11"/>
      <c r="AAX96" s="11"/>
      <c r="AAY96" s="11"/>
      <c r="AAZ96" s="11"/>
      <c r="ABA96" s="11"/>
      <c r="ABB96" s="11"/>
      <c r="ABC96" s="11"/>
      <c r="ABD96" s="11"/>
      <c r="ABE96" s="11"/>
      <c r="ABF96" s="11"/>
      <c r="ABG96" s="11"/>
      <c r="ABH96" s="11"/>
      <c r="ABI96" s="11"/>
      <c r="ABJ96" s="11"/>
      <c r="ABK96" s="11"/>
      <c r="ABL96" s="11"/>
      <c r="ABM96" s="11"/>
      <c r="ABN96" s="11"/>
      <c r="ABO96" s="11"/>
      <c r="ABP96" s="11"/>
      <c r="ABQ96" s="11"/>
      <c r="ABR96" s="11"/>
      <c r="ABS96" s="11"/>
      <c r="ABT96" s="11"/>
      <c r="ABU96" s="11"/>
      <c r="ABV96" s="11"/>
      <c r="ABW96" s="11"/>
      <c r="ABX96" s="11"/>
      <c r="ABY96" s="11"/>
      <c r="ABZ96" s="11"/>
      <c r="ACA96" s="11"/>
      <c r="ACB96" s="11"/>
      <c r="ACC96" s="11"/>
      <c r="ACD96" s="11"/>
      <c r="ACE96" s="11"/>
      <c r="ACF96" s="11"/>
      <c r="ACG96" s="11"/>
      <c r="ACH96" s="11"/>
      <c r="ACI96" s="11"/>
      <c r="ACJ96" s="11"/>
      <c r="ACK96" s="11"/>
      <c r="ACL96" s="11"/>
      <c r="ACM96" s="11"/>
      <c r="ACN96" s="11"/>
      <c r="ACO96" s="11"/>
      <c r="ACP96" s="11"/>
      <c r="ACQ96" s="11"/>
      <c r="ACR96" s="11"/>
      <c r="ACS96" s="11"/>
      <c r="ACT96" s="11"/>
      <c r="ACU96" s="11"/>
      <c r="ACV96" s="11"/>
      <c r="ACW96" s="11"/>
      <c r="ACX96" s="11"/>
      <c r="ACY96" s="11"/>
      <c r="ACZ96" s="11"/>
      <c r="ADA96" s="11"/>
      <c r="ADB96" s="11"/>
      <c r="ADC96" s="11"/>
      <c r="ADD96" s="11"/>
      <c r="ADE96" s="11"/>
      <c r="ADF96" s="11"/>
      <c r="ADG96" s="11"/>
      <c r="ADH96" s="11"/>
      <c r="ADI96" s="11"/>
      <c r="ADJ96" s="11"/>
      <c r="ADK96" s="11"/>
      <c r="ADL96" s="11"/>
      <c r="ADM96" s="11"/>
      <c r="ADN96" s="11"/>
      <c r="ADO96" s="11"/>
      <c r="ADP96" s="11"/>
      <c r="ADQ96" s="11"/>
      <c r="ADR96" s="11"/>
      <c r="ADS96" s="11"/>
      <c r="ADT96" s="11"/>
      <c r="ADU96" s="11"/>
      <c r="ADV96" s="11"/>
      <c r="ADW96" s="11"/>
      <c r="ADX96" s="11"/>
      <c r="ADY96" s="11"/>
      <c r="ADZ96" s="11"/>
      <c r="AEA96" s="11"/>
      <c r="AEB96" s="11"/>
      <c r="AEC96" s="11"/>
      <c r="AED96" s="11"/>
      <c r="AEE96" s="11"/>
      <c r="AEF96" s="11"/>
      <c r="AEG96" s="11"/>
      <c r="AEH96" s="11"/>
      <c r="AEI96" s="11"/>
      <c r="AEJ96" s="11"/>
      <c r="AEK96" s="11"/>
      <c r="AEL96" s="11"/>
      <c r="AEM96" s="11"/>
      <c r="AEN96" s="11"/>
      <c r="AEO96" s="11"/>
      <c r="AEP96" s="11"/>
      <c r="AEQ96" s="11"/>
      <c r="AER96" s="11"/>
      <c r="AES96" s="11"/>
      <c r="AET96" s="11"/>
      <c r="AEU96" s="11"/>
      <c r="AEV96" s="11"/>
      <c r="AEW96" s="11"/>
      <c r="AEX96" s="11"/>
      <c r="AEY96" s="11"/>
      <c r="AEZ96" s="11"/>
      <c r="AFA96" s="11"/>
      <c r="AFB96" s="11"/>
      <c r="AFC96" s="11"/>
      <c r="AFD96" s="11"/>
      <c r="AFE96" s="11"/>
      <c r="AFF96" s="11"/>
      <c r="AFG96" s="11"/>
      <c r="AFH96" s="11"/>
      <c r="AFI96" s="11"/>
    </row>
    <row r="97" spans="2:841">
      <c r="B97" s="11"/>
      <c r="C97" s="657"/>
      <c r="D97" s="289" t="str">
        <f>IF(Idioma=Castellano,"Consumo nulo",IF(Idioma=Valencià,"Consum nul","Consumo nulo"))</f>
        <v>Consumo nulo</v>
      </c>
      <c r="E97" s="311">
        <f>SUMIFS(M_Datos!$N$44:$N$46,M_Datos!$O$44:$O$46,M_Lista!G25,M_Datos!$M$44:$M$46,M_Lista!$J$3)</f>
        <v>0</v>
      </c>
      <c r="F97" s="312">
        <v>0</v>
      </c>
      <c r="G97" s="313">
        <v>0</v>
      </c>
      <c r="H97" s="311">
        <f>SUMIFS(M_Datos!$P$44:$P$46,M_Datos!$Q$44:$Q$46,M_Lista!G25,M_Datos!$M$44:$M$46,M_Lista!$J$3)</f>
        <v>0</v>
      </c>
      <c r="I97" s="312">
        <v>0</v>
      </c>
      <c r="J97" s="313">
        <v>0</v>
      </c>
      <c r="K97" s="311">
        <f>SUMIFS(M_Datos!$R$44:$R$46,M_Datos!$S$44:$S$46,M_Lista!G25,M_Datos!$M$44:$M$46,M_Lista!$J$3)</f>
        <v>0</v>
      </c>
      <c r="L97" s="312">
        <v>0</v>
      </c>
      <c r="M97" s="313">
        <v>0</v>
      </c>
      <c r="N97" s="311">
        <f>SUMIFS(M_Datos!$T$44:$T$46,M_Datos!$U$44:$U$46,M_Lista!G25,M_Datos!$M$44:$M$46,M_Lista!$J$3)</f>
        <v>0</v>
      </c>
      <c r="O97" s="312">
        <v>0</v>
      </c>
      <c r="P97" s="313">
        <v>0</v>
      </c>
      <c r="Q97" s="311">
        <f>SUMIFS(M_Datos!$V$44:$V$46,M_Datos!$W$44:$W$46,M_Lista!G25,M_Datos!$M$44:$M$46,M_Lista!$J$3)</f>
        <v>0</v>
      </c>
      <c r="R97" s="312">
        <v>0</v>
      </c>
      <c r="S97" s="313">
        <v>0</v>
      </c>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1"/>
      <c r="JA97" s="11"/>
      <c r="JB97" s="11"/>
      <c r="JC97" s="11"/>
      <c r="JD97" s="11"/>
      <c r="JE97" s="11"/>
      <c r="JF97" s="11"/>
      <c r="JG97" s="11"/>
      <c r="JH97" s="11"/>
      <c r="JI97" s="11"/>
      <c r="JJ97" s="11"/>
      <c r="JK97" s="11"/>
      <c r="JL97" s="11"/>
      <c r="JM97" s="11"/>
      <c r="JN97" s="11"/>
      <c r="JO97" s="11"/>
      <c r="JP97" s="11"/>
      <c r="JQ97" s="11"/>
      <c r="JR97" s="11"/>
      <c r="JS97" s="11"/>
      <c r="JT97" s="11"/>
      <c r="JU97" s="11"/>
      <c r="JV97" s="11"/>
      <c r="JW97" s="11"/>
      <c r="JX97" s="11"/>
      <c r="JY97" s="11"/>
      <c r="JZ97" s="11"/>
      <c r="KA97" s="11"/>
      <c r="KB97" s="11"/>
      <c r="KC97" s="11"/>
      <c r="KD97" s="11"/>
      <c r="KE97" s="11"/>
      <c r="KF97" s="11"/>
      <c r="KG97" s="11"/>
      <c r="KH97" s="11"/>
      <c r="KI97" s="11"/>
      <c r="KJ97" s="11"/>
      <c r="KK97" s="11"/>
      <c r="KL97" s="11"/>
      <c r="KM97" s="11"/>
      <c r="KN97" s="11"/>
      <c r="KO97" s="11"/>
      <c r="KP97" s="11"/>
      <c r="KQ97" s="11"/>
      <c r="KR97" s="11"/>
      <c r="KS97" s="11"/>
      <c r="KT97" s="11"/>
      <c r="KU97" s="11"/>
      <c r="KV97" s="11"/>
      <c r="KW97" s="11"/>
      <c r="KX97" s="11"/>
      <c r="KY97" s="11"/>
      <c r="KZ97" s="11"/>
      <c r="LA97" s="11"/>
      <c r="LB97" s="11"/>
      <c r="LC97" s="11"/>
      <c r="LD97" s="11"/>
      <c r="LE97" s="11"/>
      <c r="LF97" s="11"/>
      <c r="LG97" s="11"/>
      <c r="LH97" s="11"/>
      <c r="LI97" s="11"/>
      <c r="LJ97" s="11"/>
      <c r="LK97" s="11"/>
      <c r="LL97" s="11"/>
      <c r="LM97" s="11"/>
      <c r="LN97" s="11"/>
      <c r="LO97" s="11"/>
      <c r="LP97" s="11"/>
      <c r="LQ97" s="11"/>
      <c r="LR97" s="11"/>
      <c r="LS97" s="11"/>
      <c r="LT97" s="11"/>
      <c r="LU97" s="11"/>
      <c r="LV97" s="11"/>
      <c r="LW97" s="11"/>
      <c r="LX97" s="11"/>
      <c r="LY97" s="11"/>
      <c r="LZ97" s="11"/>
      <c r="MA97" s="11"/>
      <c r="MB97" s="11"/>
      <c r="MC97" s="11"/>
      <c r="MD97" s="11"/>
      <c r="ME97" s="11"/>
      <c r="MF97" s="11"/>
      <c r="MG97" s="11"/>
      <c r="MH97" s="11"/>
      <c r="MI97" s="11"/>
      <c r="MJ97" s="11"/>
      <c r="MK97" s="11"/>
      <c r="ML97" s="11"/>
      <c r="MM97" s="11"/>
      <c r="MN97" s="11"/>
      <c r="MO97" s="11"/>
      <c r="MP97" s="11"/>
      <c r="MQ97" s="11"/>
      <c r="MR97" s="11"/>
      <c r="MS97" s="11"/>
      <c r="MT97" s="11"/>
      <c r="MU97" s="11"/>
      <c r="MV97" s="11"/>
      <c r="MW97" s="11"/>
      <c r="MX97" s="11"/>
      <c r="MY97" s="11"/>
      <c r="MZ97" s="11"/>
      <c r="NA97" s="11"/>
      <c r="NB97" s="11"/>
      <c r="NC97" s="11"/>
      <c r="ND97" s="11"/>
      <c r="NE97" s="11"/>
      <c r="NF97" s="11"/>
      <c r="NG97" s="11"/>
      <c r="NH97" s="11"/>
      <c r="NI97" s="11"/>
      <c r="NJ97" s="11"/>
      <c r="NK97" s="11"/>
      <c r="NL97" s="11"/>
      <c r="NM97" s="11"/>
      <c r="NN97" s="11"/>
      <c r="NO97" s="11"/>
      <c r="NP97" s="11"/>
      <c r="NQ97" s="11"/>
      <c r="NR97" s="11"/>
      <c r="NS97" s="11"/>
      <c r="NT97" s="11"/>
      <c r="NU97" s="11"/>
      <c r="NV97" s="11"/>
      <c r="NW97" s="11"/>
      <c r="NX97" s="11"/>
      <c r="NY97" s="11"/>
      <c r="NZ97" s="11"/>
      <c r="OA97" s="11"/>
      <c r="OB97" s="11"/>
      <c r="OC97" s="11"/>
      <c r="OD97" s="11"/>
      <c r="OE97" s="11"/>
      <c r="OF97" s="11"/>
      <c r="OG97" s="11"/>
      <c r="OH97" s="11"/>
      <c r="OI97" s="11"/>
      <c r="OJ97" s="11"/>
      <c r="OK97" s="11"/>
      <c r="OL97" s="11"/>
      <c r="OM97" s="11"/>
      <c r="ON97" s="11"/>
      <c r="OO97" s="11"/>
      <c r="OP97" s="11"/>
      <c r="OQ97" s="11"/>
      <c r="OR97" s="11"/>
      <c r="OS97" s="11"/>
      <c r="OT97" s="11"/>
      <c r="OU97" s="11"/>
      <c r="OV97" s="11"/>
      <c r="OW97" s="11"/>
      <c r="OX97" s="11"/>
      <c r="OY97" s="11"/>
      <c r="OZ97" s="11"/>
      <c r="PA97" s="11"/>
      <c r="PB97" s="11"/>
      <c r="PC97" s="11"/>
      <c r="PD97" s="11"/>
      <c r="PE97" s="11"/>
      <c r="PF97" s="11"/>
      <c r="PG97" s="11"/>
      <c r="PH97" s="11"/>
      <c r="PI97" s="11"/>
      <c r="PJ97" s="11"/>
      <c r="PK97" s="11"/>
      <c r="PL97" s="11"/>
      <c r="PM97" s="11"/>
      <c r="PN97" s="11"/>
      <c r="PO97" s="11"/>
      <c r="PP97" s="11"/>
      <c r="PQ97" s="11"/>
      <c r="PR97" s="11"/>
      <c r="PS97" s="11"/>
      <c r="PT97" s="11"/>
      <c r="PU97" s="11"/>
      <c r="PV97" s="11"/>
      <c r="PW97" s="11"/>
      <c r="PX97" s="11"/>
      <c r="PY97" s="11"/>
      <c r="PZ97" s="11"/>
      <c r="QA97" s="11"/>
      <c r="QB97" s="11"/>
      <c r="QC97" s="11"/>
      <c r="QD97" s="11"/>
      <c r="QE97" s="11"/>
      <c r="QF97" s="11"/>
      <c r="QG97" s="11"/>
      <c r="QH97" s="11"/>
      <c r="QI97" s="11"/>
      <c r="QJ97" s="11"/>
      <c r="QK97" s="11"/>
      <c r="QL97" s="11"/>
      <c r="QM97" s="11"/>
      <c r="QN97" s="11"/>
      <c r="QO97" s="11"/>
      <c r="QP97" s="11"/>
      <c r="QQ97" s="11"/>
      <c r="QR97" s="11"/>
      <c r="QS97" s="11"/>
      <c r="QT97" s="11"/>
      <c r="QU97" s="11"/>
      <c r="QV97" s="11"/>
      <c r="QW97" s="11"/>
      <c r="QX97" s="11"/>
      <c r="QY97" s="11"/>
      <c r="QZ97" s="11"/>
      <c r="RA97" s="11"/>
      <c r="RB97" s="11"/>
      <c r="RC97" s="11"/>
      <c r="RD97" s="11"/>
      <c r="RE97" s="11"/>
      <c r="RF97" s="11"/>
      <c r="RG97" s="11"/>
      <c r="RH97" s="11"/>
      <c r="RI97" s="11"/>
      <c r="RJ97" s="11"/>
      <c r="RK97" s="11"/>
      <c r="RL97" s="11"/>
      <c r="RM97" s="11"/>
      <c r="RN97" s="11"/>
      <c r="RO97" s="11"/>
      <c r="RP97" s="11"/>
      <c r="RQ97" s="11"/>
      <c r="RR97" s="11"/>
      <c r="RS97" s="11"/>
      <c r="RT97" s="11"/>
      <c r="RU97" s="11"/>
      <c r="RV97" s="11"/>
      <c r="RW97" s="11"/>
      <c r="RX97" s="11"/>
      <c r="RY97" s="11"/>
      <c r="RZ97" s="11"/>
      <c r="SA97" s="11"/>
      <c r="SB97" s="11"/>
      <c r="SC97" s="11"/>
      <c r="SD97" s="11"/>
      <c r="SE97" s="11"/>
      <c r="SF97" s="11"/>
      <c r="SG97" s="11"/>
      <c r="SH97" s="11"/>
      <c r="SI97" s="11"/>
      <c r="SJ97" s="11"/>
      <c r="SK97" s="11"/>
      <c r="SL97" s="11"/>
      <c r="SM97" s="11"/>
      <c r="SN97" s="11"/>
      <c r="SO97" s="11"/>
      <c r="SP97" s="11"/>
      <c r="SQ97" s="11"/>
      <c r="SR97" s="11"/>
      <c r="SS97" s="11"/>
      <c r="ST97" s="11"/>
      <c r="SU97" s="11"/>
      <c r="SV97" s="11"/>
      <c r="SW97" s="11"/>
      <c r="SX97" s="11"/>
      <c r="SY97" s="11"/>
      <c r="SZ97" s="11"/>
      <c r="TA97" s="11"/>
      <c r="TB97" s="11"/>
      <c r="TC97" s="11"/>
      <c r="TD97" s="11"/>
      <c r="TE97" s="11"/>
      <c r="TF97" s="11"/>
      <c r="TG97" s="11"/>
      <c r="TH97" s="11"/>
      <c r="TI97" s="11"/>
      <c r="TJ97" s="11"/>
      <c r="TK97" s="11"/>
      <c r="TL97" s="11"/>
      <c r="TM97" s="11"/>
      <c r="TN97" s="11"/>
      <c r="TO97" s="11"/>
      <c r="TP97" s="11"/>
      <c r="TQ97" s="11"/>
      <c r="TR97" s="11"/>
      <c r="TS97" s="11"/>
      <c r="TT97" s="11"/>
      <c r="TU97" s="11"/>
      <c r="TV97" s="11"/>
      <c r="TW97" s="11"/>
      <c r="TX97" s="11"/>
      <c r="TY97" s="11"/>
      <c r="TZ97" s="11"/>
      <c r="UA97" s="11"/>
      <c r="UB97" s="11"/>
      <c r="UC97" s="11"/>
      <c r="UD97" s="11"/>
      <c r="UE97" s="11"/>
      <c r="UF97" s="11"/>
      <c r="UG97" s="11"/>
      <c r="UH97" s="11"/>
      <c r="UI97" s="11"/>
      <c r="UJ97" s="11"/>
      <c r="UK97" s="11"/>
      <c r="UL97" s="11"/>
      <c r="UM97" s="11"/>
      <c r="UN97" s="11"/>
      <c r="UO97" s="11"/>
      <c r="UP97" s="11"/>
      <c r="UQ97" s="11"/>
      <c r="UR97" s="11"/>
      <c r="US97" s="11"/>
      <c r="UT97" s="11"/>
      <c r="UU97" s="11"/>
      <c r="UV97" s="11"/>
      <c r="UW97" s="11"/>
      <c r="UX97" s="11"/>
      <c r="UY97" s="11"/>
      <c r="UZ97" s="11"/>
      <c r="VA97" s="11"/>
      <c r="VB97" s="11"/>
      <c r="VC97" s="11"/>
      <c r="VD97" s="11"/>
      <c r="VE97" s="11"/>
      <c r="VF97" s="11"/>
      <c r="VG97" s="11"/>
      <c r="VH97" s="11"/>
      <c r="VI97" s="11"/>
      <c r="VJ97" s="11"/>
      <c r="VK97" s="11"/>
      <c r="VL97" s="11"/>
      <c r="VM97" s="11"/>
      <c r="VN97" s="11"/>
      <c r="VO97" s="11"/>
      <c r="VP97" s="11"/>
      <c r="VQ97" s="11"/>
      <c r="VR97" s="11"/>
      <c r="VS97" s="11"/>
      <c r="VT97" s="11"/>
      <c r="VU97" s="11"/>
      <c r="VV97" s="11"/>
      <c r="VW97" s="11"/>
      <c r="VX97" s="11"/>
      <c r="VY97" s="11"/>
      <c r="VZ97" s="11"/>
      <c r="WA97" s="11"/>
      <c r="WB97" s="11"/>
      <c r="WC97" s="11"/>
      <c r="WD97" s="11"/>
      <c r="WE97" s="11"/>
      <c r="WF97" s="11"/>
      <c r="WG97" s="11"/>
      <c r="WH97" s="11"/>
      <c r="WI97" s="11"/>
      <c r="WJ97" s="11"/>
      <c r="WK97" s="11"/>
      <c r="WL97" s="11"/>
      <c r="WM97" s="11"/>
      <c r="WN97" s="11"/>
      <c r="WO97" s="11"/>
      <c r="WP97" s="11"/>
      <c r="WQ97" s="11"/>
      <c r="WR97" s="11"/>
      <c r="WS97" s="11"/>
      <c r="WT97" s="11"/>
      <c r="WU97" s="11"/>
      <c r="WV97" s="11"/>
      <c r="WW97" s="11"/>
      <c r="WX97" s="11"/>
      <c r="WY97" s="11"/>
      <c r="WZ97" s="11"/>
      <c r="XA97" s="11"/>
      <c r="XB97" s="11"/>
      <c r="XC97" s="11"/>
      <c r="XD97" s="11"/>
      <c r="XE97" s="11"/>
      <c r="XF97" s="11"/>
      <c r="XG97" s="11"/>
      <c r="XH97" s="11"/>
      <c r="XI97" s="11"/>
      <c r="XJ97" s="11"/>
      <c r="XK97" s="11"/>
      <c r="XL97" s="11"/>
      <c r="XM97" s="11"/>
      <c r="XN97" s="11"/>
      <c r="XO97" s="11"/>
      <c r="XP97" s="11"/>
      <c r="XQ97" s="11"/>
      <c r="XR97" s="11"/>
      <c r="XS97" s="11"/>
      <c r="XT97" s="11"/>
      <c r="XU97" s="11"/>
      <c r="XV97" s="11"/>
      <c r="XW97" s="11"/>
      <c r="XX97" s="11"/>
      <c r="XY97" s="11"/>
      <c r="XZ97" s="11"/>
      <c r="YA97" s="11"/>
      <c r="YB97" s="11"/>
      <c r="YC97" s="11"/>
      <c r="YD97" s="11"/>
      <c r="YE97" s="11"/>
      <c r="YF97" s="11"/>
      <c r="YG97" s="11"/>
      <c r="YH97" s="11"/>
      <c r="YI97" s="11"/>
      <c r="YJ97" s="11"/>
      <c r="YK97" s="11"/>
      <c r="YL97" s="11"/>
      <c r="YM97" s="11"/>
      <c r="YN97" s="11"/>
      <c r="YO97" s="11"/>
      <c r="YP97" s="11"/>
      <c r="YQ97" s="11"/>
      <c r="YR97" s="11"/>
      <c r="YS97" s="11"/>
      <c r="YT97" s="11"/>
      <c r="YU97" s="11"/>
      <c r="YV97" s="11"/>
      <c r="YW97" s="11"/>
      <c r="YX97" s="11"/>
      <c r="YY97" s="11"/>
      <c r="YZ97" s="11"/>
      <c r="ZA97" s="11"/>
      <c r="ZB97" s="11"/>
      <c r="ZC97" s="11"/>
      <c r="ZD97" s="11"/>
      <c r="ZE97" s="11"/>
      <c r="ZF97" s="11"/>
      <c r="ZG97" s="11"/>
      <c r="ZH97" s="11"/>
      <c r="ZI97" s="11"/>
      <c r="ZJ97" s="11"/>
      <c r="ZK97" s="11"/>
      <c r="ZL97" s="11"/>
      <c r="ZM97" s="11"/>
      <c r="ZN97" s="11"/>
      <c r="ZO97" s="11"/>
      <c r="ZP97" s="11"/>
      <c r="ZQ97" s="11"/>
      <c r="ZR97" s="11"/>
      <c r="ZS97" s="11"/>
      <c r="ZT97" s="11"/>
      <c r="ZU97" s="11"/>
      <c r="ZV97" s="11"/>
      <c r="ZW97" s="11"/>
      <c r="ZX97" s="11"/>
      <c r="ZY97" s="11"/>
      <c r="ZZ97" s="11"/>
      <c r="AAA97" s="11"/>
      <c r="AAB97" s="11"/>
      <c r="AAC97" s="11"/>
      <c r="AAD97" s="11"/>
      <c r="AAE97" s="11"/>
      <c r="AAF97" s="11"/>
      <c r="AAG97" s="11"/>
      <c r="AAH97" s="11"/>
      <c r="AAI97" s="11"/>
      <c r="AAJ97" s="11"/>
      <c r="AAK97" s="11"/>
      <c r="AAL97" s="11"/>
      <c r="AAM97" s="11"/>
      <c r="AAN97" s="11"/>
      <c r="AAO97" s="11"/>
      <c r="AAP97" s="11"/>
      <c r="AAQ97" s="11"/>
      <c r="AAR97" s="11"/>
      <c r="AAS97" s="11"/>
      <c r="AAT97" s="11"/>
      <c r="AAU97" s="11"/>
      <c r="AAV97" s="11"/>
      <c r="AAW97" s="11"/>
      <c r="AAX97" s="11"/>
      <c r="AAY97" s="11"/>
      <c r="AAZ97" s="11"/>
      <c r="ABA97" s="11"/>
      <c r="ABB97" s="11"/>
      <c r="ABC97" s="11"/>
      <c r="ABD97" s="11"/>
      <c r="ABE97" s="11"/>
      <c r="ABF97" s="11"/>
      <c r="ABG97" s="11"/>
      <c r="ABH97" s="11"/>
      <c r="ABI97" s="11"/>
      <c r="ABJ97" s="11"/>
      <c r="ABK97" s="11"/>
      <c r="ABL97" s="11"/>
      <c r="ABM97" s="11"/>
      <c r="ABN97" s="11"/>
      <c r="ABO97" s="11"/>
      <c r="ABP97" s="11"/>
      <c r="ABQ97" s="11"/>
      <c r="ABR97" s="11"/>
      <c r="ABS97" s="11"/>
      <c r="ABT97" s="11"/>
      <c r="ABU97" s="11"/>
      <c r="ABV97" s="11"/>
      <c r="ABW97" s="11"/>
      <c r="ABX97" s="11"/>
      <c r="ABY97" s="11"/>
      <c r="ABZ97" s="11"/>
      <c r="ACA97" s="11"/>
      <c r="ACB97" s="11"/>
      <c r="ACC97" s="11"/>
      <c r="ACD97" s="11"/>
      <c r="ACE97" s="11"/>
      <c r="ACF97" s="11"/>
      <c r="ACG97" s="11"/>
      <c r="ACH97" s="11"/>
      <c r="ACI97" s="11"/>
      <c r="ACJ97" s="11"/>
      <c r="ACK97" s="11"/>
      <c r="ACL97" s="11"/>
      <c r="ACM97" s="11"/>
      <c r="ACN97" s="11"/>
      <c r="ACO97" s="11"/>
      <c r="ACP97" s="11"/>
      <c r="ACQ97" s="11"/>
      <c r="ACR97" s="11"/>
      <c r="ACS97" s="11"/>
      <c r="ACT97" s="11"/>
      <c r="ACU97" s="11"/>
      <c r="ACV97" s="11"/>
      <c r="ACW97" s="11"/>
      <c r="ACX97" s="11"/>
      <c r="ACY97" s="11"/>
      <c r="ACZ97" s="11"/>
      <c r="ADA97" s="11"/>
      <c r="ADB97" s="11"/>
      <c r="ADC97" s="11"/>
      <c r="ADD97" s="11"/>
      <c r="ADE97" s="11"/>
      <c r="ADF97" s="11"/>
      <c r="ADG97" s="11"/>
      <c r="ADH97" s="11"/>
      <c r="ADI97" s="11"/>
      <c r="ADJ97" s="11"/>
      <c r="ADK97" s="11"/>
      <c r="ADL97" s="11"/>
      <c r="ADM97" s="11"/>
      <c r="ADN97" s="11"/>
      <c r="ADO97" s="11"/>
      <c r="ADP97" s="11"/>
      <c r="ADQ97" s="11"/>
      <c r="ADR97" s="11"/>
      <c r="ADS97" s="11"/>
      <c r="ADT97" s="11"/>
      <c r="ADU97" s="11"/>
      <c r="ADV97" s="11"/>
      <c r="ADW97" s="11"/>
      <c r="ADX97" s="11"/>
      <c r="ADY97" s="11"/>
      <c r="ADZ97" s="11"/>
      <c r="AEA97" s="11"/>
      <c r="AEB97" s="11"/>
      <c r="AEC97" s="11"/>
      <c r="AED97" s="11"/>
      <c r="AEE97" s="11"/>
      <c r="AEF97" s="11"/>
      <c r="AEG97" s="11"/>
      <c r="AEH97" s="11"/>
      <c r="AEI97" s="11"/>
      <c r="AEJ97" s="11"/>
      <c r="AEK97" s="11"/>
      <c r="AEL97" s="11"/>
      <c r="AEM97" s="11"/>
      <c r="AEN97" s="11"/>
      <c r="AEO97" s="11"/>
      <c r="AEP97" s="11"/>
      <c r="AEQ97" s="11"/>
      <c r="AER97" s="11"/>
      <c r="AES97" s="11"/>
      <c r="AET97" s="11"/>
      <c r="AEU97" s="11"/>
      <c r="AEV97" s="11"/>
      <c r="AEW97" s="11"/>
      <c r="AEX97" s="11"/>
      <c r="AEY97" s="11"/>
      <c r="AEZ97" s="11"/>
      <c r="AFA97" s="11"/>
      <c r="AFB97" s="11"/>
      <c r="AFC97" s="11"/>
      <c r="AFD97" s="11"/>
      <c r="AFE97" s="11"/>
      <c r="AFF97" s="11"/>
      <c r="AFG97" s="11"/>
      <c r="AFH97" s="11"/>
      <c r="AFI97" s="11"/>
    </row>
    <row r="98" spans="2:841">
      <c r="B98" s="11"/>
      <c r="C98" s="657"/>
      <c r="D98" s="315" t="s">
        <v>925</v>
      </c>
      <c r="E98" s="316">
        <f t="shared" ref="E98:S98" si="8">SUM(E90:E97)</f>
        <v>0</v>
      </c>
      <c r="F98" s="314" t="e">
        <f t="shared" si="8"/>
        <v>#N/A</v>
      </c>
      <c r="G98" s="317" t="e">
        <f t="shared" si="8"/>
        <v>#N/A</v>
      </c>
      <c r="H98" s="316">
        <f t="shared" si="8"/>
        <v>0</v>
      </c>
      <c r="I98" s="314" t="e">
        <f t="shared" si="8"/>
        <v>#N/A</v>
      </c>
      <c r="J98" s="317" t="e">
        <f t="shared" si="8"/>
        <v>#N/A</v>
      </c>
      <c r="K98" s="316">
        <f t="shared" si="8"/>
        <v>0</v>
      </c>
      <c r="L98" s="314" t="e">
        <f t="shared" si="8"/>
        <v>#N/A</v>
      </c>
      <c r="M98" s="317" t="e">
        <f t="shared" si="8"/>
        <v>#N/A</v>
      </c>
      <c r="N98" s="316">
        <f t="shared" si="8"/>
        <v>0</v>
      </c>
      <c r="O98" s="314" t="e">
        <f t="shared" si="8"/>
        <v>#N/A</v>
      </c>
      <c r="P98" s="317" t="e">
        <f t="shared" si="8"/>
        <v>#N/A</v>
      </c>
      <c r="Q98" s="316">
        <f t="shared" si="8"/>
        <v>0</v>
      </c>
      <c r="R98" s="314" t="e">
        <f t="shared" si="8"/>
        <v>#N/A</v>
      </c>
      <c r="S98" s="317" t="e">
        <f t="shared" si="8"/>
        <v>#N/A</v>
      </c>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1"/>
      <c r="JA98" s="11"/>
      <c r="JB98" s="11"/>
      <c r="JC98" s="11"/>
      <c r="JD98" s="11"/>
      <c r="JE98" s="11"/>
      <c r="JF98" s="11"/>
      <c r="JG98" s="11"/>
      <c r="JH98" s="11"/>
      <c r="JI98" s="11"/>
      <c r="JJ98" s="11"/>
      <c r="JK98" s="11"/>
      <c r="JL98" s="11"/>
      <c r="JM98" s="11"/>
      <c r="JN98" s="11"/>
      <c r="JO98" s="11"/>
      <c r="JP98" s="11"/>
      <c r="JQ98" s="11"/>
      <c r="JR98" s="11"/>
      <c r="JS98" s="11"/>
      <c r="JT98" s="11"/>
      <c r="JU98" s="11"/>
      <c r="JV98" s="11"/>
      <c r="JW98" s="11"/>
      <c r="JX98" s="11"/>
      <c r="JY98" s="11"/>
      <c r="JZ98" s="11"/>
      <c r="KA98" s="11"/>
      <c r="KB98" s="11"/>
      <c r="KC98" s="11"/>
      <c r="KD98" s="11"/>
      <c r="KE98" s="11"/>
      <c r="KF98" s="11"/>
      <c r="KG98" s="11"/>
      <c r="KH98" s="11"/>
      <c r="KI98" s="11"/>
      <c r="KJ98" s="11"/>
      <c r="KK98" s="11"/>
      <c r="KL98" s="11"/>
      <c r="KM98" s="11"/>
      <c r="KN98" s="11"/>
      <c r="KO98" s="11"/>
      <c r="KP98" s="11"/>
      <c r="KQ98" s="11"/>
      <c r="KR98" s="11"/>
      <c r="KS98" s="11"/>
      <c r="KT98" s="11"/>
      <c r="KU98" s="11"/>
      <c r="KV98" s="11"/>
      <c r="KW98" s="11"/>
      <c r="KX98" s="11"/>
      <c r="KY98" s="11"/>
      <c r="KZ98" s="11"/>
      <c r="LA98" s="11"/>
      <c r="LB98" s="11"/>
      <c r="LC98" s="11"/>
      <c r="LD98" s="11"/>
      <c r="LE98" s="11"/>
      <c r="LF98" s="11"/>
      <c r="LG98" s="11"/>
      <c r="LH98" s="11"/>
      <c r="LI98" s="11"/>
      <c r="LJ98" s="11"/>
      <c r="LK98" s="11"/>
      <c r="LL98" s="11"/>
      <c r="LM98" s="11"/>
      <c r="LN98" s="11"/>
      <c r="LO98" s="11"/>
      <c r="LP98" s="11"/>
      <c r="LQ98" s="11"/>
      <c r="LR98" s="11"/>
      <c r="LS98" s="11"/>
      <c r="LT98" s="11"/>
      <c r="LU98" s="11"/>
      <c r="LV98" s="11"/>
      <c r="LW98" s="11"/>
      <c r="LX98" s="11"/>
      <c r="LY98" s="11"/>
      <c r="LZ98" s="11"/>
      <c r="MA98" s="11"/>
      <c r="MB98" s="11"/>
      <c r="MC98" s="11"/>
      <c r="MD98" s="11"/>
      <c r="ME98" s="11"/>
      <c r="MF98" s="11"/>
      <c r="MG98" s="11"/>
      <c r="MH98" s="11"/>
      <c r="MI98" s="11"/>
      <c r="MJ98" s="11"/>
      <c r="MK98" s="11"/>
      <c r="ML98" s="11"/>
      <c r="MM98" s="11"/>
      <c r="MN98" s="11"/>
      <c r="MO98" s="11"/>
      <c r="MP98" s="11"/>
      <c r="MQ98" s="11"/>
      <c r="MR98" s="11"/>
      <c r="MS98" s="11"/>
      <c r="MT98" s="11"/>
      <c r="MU98" s="11"/>
      <c r="MV98" s="11"/>
      <c r="MW98" s="11"/>
      <c r="MX98" s="11"/>
      <c r="MY98" s="11"/>
      <c r="MZ98" s="11"/>
      <c r="NA98" s="11"/>
      <c r="NB98" s="11"/>
      <c r="NC98" s="11"/>
      <c r="ND98" s="11"/>
      <c r="NE98" s="11"/>
      <c r="NF98" s="11"/>
      <c r="NG98" s="11"/>
      <c r="NH98" s="11"/>
      <c r="NI98" s="11"/>
      <c r="NJ98" s="11"/>
      <c r="NK98" s="11"/>
      <c r="NL98" s="11"/>
      <c r="NM98" s="11"/>
      <c r="NN98" s="11"/>
      <c r="NO98" s="11"/>
      <c r="NP98" s="11"/>
      <c r="NQ98" s="11"/>
      <c r="NR98" s="11"/>
      <c r="NS98" s="11"/>
      <c r="NT98" s="11"/>
      <c r="NU98" s="11"/>
      <c r="NV98" s="11"/>
      <c r="NW98" s="11"/>
      <c r="NX98" s="11"/>
      <c r="NY98" s="11"/>
      <c r="NZ98" s="11"/>
      <c r="OA98" s="11"/>
      <c r="OB98" s="11"/>
      <c r="OC98" s="11"/>
      <c r="OD98" s="11"/>
      <c r="OE98" s="11"/>
      <c r="OF98" s="11"/>
      <c r="OG98" s="11"/>
      <c r="OH98" s="11"/>
      <c r="OI98" s="11"/>
      <c r="OJ98" s="11"/>
      <c r="OK98" s="11"/>
      <c r="OL98" s="11"/>
      <c r="OM98" s="11"/>
      <c r="ON98" s="11"/>
      <c r="OO98" s="11"/>
      <c r="OP98" s="11"/>
      <c r="OQ98" s="11"/>
      <c r="OR98" s="11"/>
      <c r="OS98" s="11"/>
      <c r="OT98" s="11"/>
      <c r="OU98" s="11"/>
      <c r="OV98" s="11"/>
      <c r="OW98" s="11"/>
      <c r="OX98" s="11"/>
      <c r="OY98" s="11"/>
      <c r="OZ98" s="11"/>
      <c r="PA98" s="11"/>
      <c r="PB98" s="11"/>
      <c r="PC98" s="11"/>
      <c r="PD98" s="11"/>
      <c r="PE98" s="11"/>
      <c r="PF98" s="11"/>
      <c r="PG98" s="11"/>
      <c r="PH98" s="11"/>
      <c r="PI98" s="11"/>
      <c r="PJ98" s="11"/>
      <c r="PK98" s="11"/>
      <c r="PL98" s="11"/>
      <c r="PM98" s="11"/>
      <c r="PN98" s="11"/>
      <c r="PO98" s="11"/>
      <c r="PP98" s="11"/>
      <c r="PQ98" s="11"/>
      <c r="PR98" s="11"/>
      <c r="PS98" s="11"/>
      <c r="PT98" s="11"/>
      <c r="PU98" s="11"/>
      <c r="PV98" s="11"/>
      <c r="PW98" s="11"/>
      <c r="PX98" s="11"/>
      <c r="PY98" s="11"/>
      <c r="PZ98" s="11"/>
      <c r="QA98" s="11"/>
      <c r="QB98" s="11"/>
      <c r="QC98" s="11"/>
      <c r="QD98" s="11"/>
      <c r="QE98" s="11"/>
      <c r="QF98" s="11"/>
      <c r="QG98" s="11"/>
      <c r="QH98" s="11"/>
      <c r="QI98" s="11"/>
      <c r="QJ98" s="11"/>
      <c r="QK98" s="11"/>
      <c r="QL98" s="11"/>
      <c r="QM98" s="11"/>
      <c r="QN98" s="11"/>
      <c r="QO98" s="11"/>
      <c r="QP98" s="11"/>
      <c r="QQ98" s="11"/>
      <c r="QR98" s="11"/>
      <c r="QS98" s="11"/>
      <c r="QT98" s="11"/>
      <c r="QU98" s="11"/>
      <c r="QV98" s="11"/>
      <c r="QW98" s="11"/>
      <c r="QX98" s="11"/>
      <c r="QY98" s="11"/>
      <c r="QZ98" s="11"/>
      <c r="RA98" s="11"/>
      <c r="RB98" s="11"/>
      <c r="RC98" s="11"/>
      <c r="RD98" s="11"/>
      <c r="RE98" s="11"/>
      <c r="RF98" s="11"/>
      <c r="RG98" s="11"/>
      <c r="RH98" s="11"/>
      <c r="RI98" s="11"/>
      <c r="RJ98" s="11"/>
      <c r="RK98" s="11"/>
      <c r="RL98" s="11"/>
      <c r="RM98" s="11"/>
      <c r="RN98" s="11"/>
      <c r="RO98" s="11"/>
      <c r="RP98" s="11"/>
      <c r="RQ98" s="11"/>
      <c r="RR98" s="11"/>
      <c r="RS98" s="11"/>
      <c r="RT98" s="11"/>
      <c r="RU98" s="11"/>
      <c r="RV98" s="11"/>
      <c r="RW98" s="11"/>
      <c r="RX98" s="11"/>
      <c r="RY98" s="11"/>
      <c r="RZ98" s="11"/>
      <c r="SA98" s="11"/>
      <c r="SB98" s="11"/>
      <c r="SC98" s="11"/>
      <c r="SD98" s="11"/>
      <c r="SE98" s="11"/>
      <c r="SF98" s="11"/>
      <c r="SG98" s="11"/>
      <c r="SH98" s="11"/>
      <c r="SI98" s="11"/>
      <c r="SJ98" s="11"/>
      <c r="SK98" s="11"/>
      <c r="SL98" s="11"/>
      <c r="SM98" s="11"/>
      <c r="SN98" s="11"/>
      <c r="SO98" s="11"/>
      <c r="SP98" s="11"/>
      <c r="SQ98" s="11"/>
      <c r="SR98" s="11"/>
      <c r="SS98" s="11"/>
      <c r="ST98" s="11"/>
      <c r="SU98" s="11"/>
      <c r="SV98" s="11"/>
      <c r="SW98" s="11"/>
      <c r="SX98" s="11"/>
      <c r="SY98" s="11"/>
      <c r="SZ98" s="11"/>
      <c r="TA98" s="11"/>
      <c r="TB98" s="11"/>
      <c r="TC98" s="11"/>
      <c r="TD98" s="11"/>
      <c r="TE98" s="11"/>
      <c r="TF98" s="11"/>
      <c r="TG98" s="11"/>
      <c r="TH98" s="11"/>
      <c r="TI98" s="11"/>
      <c r="TJ98" s="11"/>
      <c r="TK98" s="11"/>
      <c r="TL98" s="11"/>
      <c r="TM98" s="11"/>
      <c r="TN98" s="11"/>
      <c r="TO98" s="11"/>
      <c r="TP98" s="11"/>
      <c r="TQ98" s="11"/>
      <c r="TR98" s="11"/>
      <c r="TS98" s="11"/>
      <c r="TT98" s="11"/>
      <c r="TU98" s="11"/>
      <c r="TV98" s="11"/>
      <c r="TW98" s="11"/>
      <c r="TX98" s="11"/>
      <c r="TY98" s="11"/>
      <c r="TZ98" s="11"/>
      <c r="UA98" s="11"/>
      <c r="UB98" s="11"/>
      <c r="UC98" s="11"/>
      <c r="UD98" s="11"/>
      <c r="UE98" s="11"/>
      <c r="UF98" s="11"/>
      <c r="UG98" s="11"/>
      <c r="UH98" s="11"/>
      <c r="UI98" s="11"/>
      <c r="UJ98" s="11"/>
      <c r="UK98" s="11"/>
      <c r="UL98" s="11"/>
      <c r="UM98" s="11"/>
      <c r="UN98" s="11"/>
      <c r="UO98" s="11"/>
      <c r="UP98" s="11"/>
      <c r="UQ98" s="11"/>
      <c r="UR98" s="11"/>
      <c r="US98" s="11"/>
      <c r="UT98" s="11"/>
      <c r="UU98" s="11"/>
      <c r="UV98" s="11"/>
      <c r="UW98" s="11"/>
      <c r="UX98" s="11"/>
      <c r="UY98" s="11"/>
      <c r="UZ98" s="11"/>
      <c r="VA98" s="11"/>
      <c r="VB98" s="11"/>
      <c r="VC98" s="11"/>
      <c r="VD98" s="11"/>
      <c r="VE98" s="11"/>
      <c r="VF98" s="11"/>
      <c r="VG98" s="11"/>
      <c r="VH98" s="11"/>
      <c r="VI98" s="11"/>
      <c r="VJ98" s="11"/>
      <c r="VK98" s="11"/>
      <c r="VL98" s="11"/>
      <c r="VM98" s="11"/>
      <c r="VN98" s="11"/>
      <c r="VO98" s="11"/>
      <c r="VP98" s="11"/>
      <c r="VQ98" s="11"/>
      <c r="VR98" s="11"/>
      <c r="VS98" s="11"/>
      <c r="VT98" s="11"/>
      <c r="VU98" s="11"/>
      <c r="VV98" s="11"/>
      <c r="VW98" s="11"/>
      <c r="VX98" s="11"/>
      <c r="VY98" s="11"/>
      <c r="VZ98" s="11"/>
      <c r="WA98" s="11"/>
      <c r="WB98" s="11"/>
      <c r="WC98" s="11"/>
      <c r="WD98" s="11"/>
      <c r="WE98" s="11"/>
      <c r="WF98" s="11"/>
      <c r="WG98" s="11"/>
      <c r="WH98" s="11"/>
      <c r="WI98" s="11"/>
      <c r="WJ98" s="11"/>
      <c r="WK98" s="11"/>
      <c r="WL98" s="11"/>
      <c r="WM98" s="11"/>
      <c r="WN98" s="11"/>
      <c r="WO98" s="11"/>
      <c r="WP98" s="11"/>
      <c r="WQ98" s="11"/>
      <c r="WR98" s="11"/>
      <c r="WS98" s="11"/>
      <c r="WT98" s="11"/>
      <c r="WU98" s="11"/>
      <c r="WV98" s="11"/>
      <c r="WW98" s="11"/>
      <c r="WX98" s="11"/>
      <c r="WY98" s="11"/>
      <c r="WZ98" s="11"/>
      <c r="XA98" s="11"/>
      <c r="XB98" s="11"/>
      <c r="XC98" s="11"/>
      <c r="XD98" s="11"/>
      <c r="XE98" s="11"/>
      <c r="XF98" s="11"/>
      <c r="XG98" s="11"/>
      <c r="XH98" s="11"/>
      <c r="XI98" s="11"/>
      <c r="XJ98" s="11"/>
      <c r="XK98" s="11"/>
      <c r="XL98" s="11"/>
      <c r="XM98" s="11"/>
      <c r="XN98" s="11"/>
      <c r="XO98" s="11"/>
      <c r="XP98" s="11"/>
      <c r="XQ98" s="11"/>
      <c r="XR98" s="11"/>
      <c r="XS98" s="11"/>
      <c r="XT98" s="11"/>
      <c r="XU98" s="11"/>
      <c r="XV98" s="11"/>
      <c r="XW98" s="11"/>
      <c r="XX98" s="11"/>
      <c r="XY98" s="11"/>
      <c r="XZ98" s="11"/>
      <c r="YA98" s="11"/>
      <c r="YB98" s="11"/>
      <c r="YC98" s="11"/>
      <c r="YD98" s="11"/>
      <c r="YE98" s="11"/>
      <c r="YF98" s="11"/>
      <c r="YG98" s="11"/>
      <c r="YH98" s="11"/>
      <c r="YI98" s="11"/>
      <c r="YJ98" s="11"/>
      <c r="YK98" s="11"/>
      <c r="YL98" s="11"/>
      <c r="YM98" s="11"/>
      <c r="YN98" s="11"/>
      <c r="YO98" s="11"/>
      <c r="YP98" s="11"/>
      <c r="YQ98" s="11"/>
      <c r="YR98" s="11"/>
      <c r="YS98" s="11"/>
      <c r="YT98" s="11"/>
      <c r="YU98" s="11"/>
      <c r="YV98" s="11"/>
      <c r="YW98" s="11"/>
      <c r="YX98" s="11"/>
      <c r="YY98" s="11"/>
      <c r="YZ98" s="11"/>
      <c r="ZA98" s="11"/>
      <c r="ZB98" s="11"/>
      <c r="ZC98" s="11"/>
      <c r="ZD98" s="11"/>
      <c r="ZE98" s="11"/>
      <c r="ZF98" s="11"/>
      <c r="ZG98" s="11"/>
      <c r="ZH98" s="11"/>
      <c r="ZI98" s="11"/>
      <c r="ZJ98" s="11"/>
      <c r="ZK98" s="11"/>
      <c r="ZL98" s="11"/>
      <c r="ZM98" s="11"/>
      <c r="ZN98" s="11"/>
      <c r="ZO98" s="11"/>
      <c r="ZP98" s="11"/>
      <c r="ZQ98" s="11"/>
      <c r="ZR98" s="11"/>
      <c r="ZS98" s="11"/>
      <c r="ZT98" s="11"/>
      <c r="ZU98" s="11"/>
      <c r="ZV98" s="11"/>
      <c r="ZW98" s="11"/>
      <c r="ZX98" s="11"/>
      <c r="ZY98" s="11"/>
      <c r="ZZ98" s="11"/>
      <c r="AAA98" s="11"/>
      <c r="AAB98" s="11"/>
      <c r="AAC98" s="11"/>
      <c r="AAD98" s="11"/>
      <c r="AAE98" s="11"/>
      <c r="AAF98" s="11"/>
      <c r="AAG98" s="11"/>
      <c r="AAH98" s="11"/>
      <c r="AAI98" s="11"/>
      <c r="AAJ98" s="11"/>
      <c r="AAK98" s="11"/>
      <c r="AAL98" s="11"/>
      <c r="AAM98" s="11"/>
      <c r="AAN98" s="11"/>
      <c r="AAO98" s="11"/>
      <c r="AAP98" s="11"/>
      <c r="AAQ98" s="11"/>
      <c r="AAR98" s="11"/>
      <c r="AAS98" s="11"/>
      <c r="AAT98" s="11"/>
      <c r="AAU98" s="11"/>
      <c r="AAV98" s="11"/>
      <c r="AAW98" s="11"/>
      <c r="AAX98" s="11"/>
      <c r="AAY98" s="11"/>
      <c r="AAZ98" s="11"/>
      <c r="ABA98" s="11"/>
      <c r="ABB98" s="11"/>
      <c r="ABC98" s="11"/>
      <c r="ABD98" s="11"/>
      <c r="ABE98" s="11"/>
      <c r="ABF98" s="11"/>
      <c r="ABG98" s="11"/>
      <c r="ABH98" s="11"/>
      <c r="ABI98" s="11"/>
      <c r="ABJ98" s="11"/>
      <c r="ABK98" s="11"/>
      <c r="ABL98" s="11"/>
      <c r="ABM98" s="11"/>
      <c r="ABN98" s="11"/>
      <c r="ABO98" s="11"/>
      <c r="ABP98" s="11"/>
      <c r="ABQ98" s="11"/>
      <c r="ABR98" s="11"/>
      <c r="ABS98" s="11"/>
      <c r="ABT98" s="11"/>
      <c r="ABU98" s="11"/>
      <c r="ABV98" s="11"/>
      <c r="ABW98" s="11"/>
      <c r="ABX98" s="11"/>
      <c r="ABY98" s="11"/>
      <c r="ABZ98" s="11"/>
      <c r="ACA98" s="11"/>
      <c r="ACB98" s="11"/>
      <c r="ACC98" s="11"/>
      <c r="ACD98" s="11"/>
      <c r="ACE98" s="11"/>
      <c r="ACF98" s="11"/>
      <c r="ACG98" s="11"/>
      <c r="ACH98" s="11"/>
      <c r="ACI98" s="11"/>
      <c r="ACJ98" s="11"/>
      <c r="ACK98" s="11"/>
      <c r="ACL98" s="11"/>
      <c r="ACM98" s="11"/>
      <c r="ACN98" s="11"/>
      <c r="ACO98" s="11"/>
      <c r="ACP98" s="11"/>
      <c r="ACQ98" s="11"/>
      <c r="ACR98" s="11"/>
      <c r="ACS98" s="11"/>
      <c r="ACT98" s="11"/>
      <c r="ACU98" s="11"/>
      <c r="ACV98" s="11"/>
      <c r="ACW98" s="11"/>
      <c r="ACX98" s="11"/>
      <c r="ACY98" s="11"/>
      <c r="ACZ98" s="11"/>
      <c r="ADA98" s="11"/>
      <c r="ADB98" s="11"/>
      <c r="ADC98" s="11"/>
      <c r="ADD98" s="11"/>
      <c r="ADE98" s="11"/>
      <c r="ADF98" s="11"/>
      <c r="ADG98" s="11"/>
      <c r="ADH98" s="11"/>
      <c r="ADI98" s="11"/>
      <c r="ADJ98" s="11"/>
      <c r="ADK98" s="11"/>
      <c r="ADL98" s="11"/>
      <c r="ADM98" s="11"/>
      <c r="ADN98" s="11"/>
      <c r="ADO98" s="11"/>
      <c r="ADP98" s="11"/>
      <c r="ADQ98" s="11"/>
      <c r="ADR98" s="11"/>
      <c r="ADS98" s="11"/>
      <c r="ADT98" s="11"/>
      <c r="ADU98" s="11"/>
      <c r="ADV98" s="11"/>
      <c r="ADW98" s="11"/>
      <c r="ADX98" s="11"/>
      <c r="ADY98" s="11"/>
      <c r="ADZ98" s="11"/>
      <c r="AEA98" s="11"/>
      <c r="AEB98" s="11"/>
      <c r="AEC98" s="11"/>
      <c r="AED98" s="11"/>
      <c r="AEE98" s="11"/>
      <c r="AEF98" s="11"/>
      <c r="AEG98" s="11"/>
      <c r="AEH98" s="11"/>
      <c r="AEI98" s="11"/>
      <c r="AEJ98" s="11"/>
      <c r="AEK98" s="11"/>
      <c r="AEL98" s="11"/>
      <c r="AEM98" s="11"/>
      <c r="AEN98" s="11"/>
      <c r="AEO98" s="11"/>
      <c r="AEP98" s="11"/>
      <c r="AEQ98" s="11"/>
      <c r="AER98" s="11"/>
      <c r="AES98" s="11"/>
      <c r="AET98" s="11"/>
      <c r="AEU98" s="11"/>
      <c r="AEV98" s="11"/>
      <c r="AEW98" s="11"/>
      <c r="AEX98" s="11"/>
      <c r="AEY98" s="11"/>
      <c r="AEZ98" s="11"/>
      <c r="AFA98" s="11"/>
      <c r="AFB98" s="11"/>
      <c r="AFC98" s="11"/>
      <c r="AFD98" s="11"/>
      <c r="AFE98" s="11"/>
      <c r="AFF98" s="11"/>
      <c r="AFG98" s="11"/>
      <c r="AFH98" s="11"/>
      <c r="AFI98" s="11"/>
    </row>
    <row r="99" spans="2:841">
      <c r="B99" s="11"/>
      <c r="C99" s="657" t="str">
        <f>M_Datos!L47</f>
        <v>Deportivo</v>
      </c>
      <c r="D99" s="289" t="s">
        <v>622</v>
      </c>
      <c r="E99" s="503" t="s">
        <v>623</v>
      </c>
      <c r="F99" s="503" t="s">
        <v>919</v>
      </c>
      <c r="G99" s="503" t="s">
        <v>624</v>
      </c>
      <c r="H99" s="503" t="s">
        <v>623</v>
      </c>
      <c r="I99" s="503" t="s">
        <v>919</v>
      </c>
      <c r="J99" s="503" t="s">
        <v>624</v>
      </c>
      <c r="K99" s="503" t="s">
        <v>623</v>
      </c>
      <c r="L99" s="503" t="s">
        <v>919</v>
      </c>
      <c r="M99" s="503" t="s">
        <v>624</v>
      </c>
      <c r="N99" s="503" t="s">
        <v>623</v>
      </c>
      <c r="O99" s="503" t="s">
        <v>919</v>
      </c>
      <c r="P99" s="503" t="s">
        <v>624</v>
      </c>
      <c r="Q99" s="503" t="s">
        <v>623</v>
      </c>
      <c r="R99" s="503" t="s">
        <v>919</v>
      </c>
      <c r="S99" s="503" t="s">
        <v>624</v>
      </c>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c r="KA99" s="11"/>
      <c r="KB99" s="11"/>
      <c r="KC99" s="11"/>
      <c r="KD99" s="11"/>
      <c r="KE99" s="11"/>
      <c r="KF99" s="11"/>
      <c r="KG99" s="11"/>
      <c r="KH99" s="11"/>
      <c r="KI99" s="11"/>
      <c r="KJ99" s="11"/>
      <c r="KK99" s="11"/>
      <c r="KL99" s="11"/>
      <c r="KM99" s="11"/>
      <c r="KN99" s="11"/>
      <c r="KO99" s="11"/>
      <c r="KP99" s="11"/>
      <c r="KQ99" s="11"/>
      <c r="KR99" s="11"/>
      <c r="KS99" s="11"/>
      <c r="KT99" s="11"/>
      <c r="KU99" s="11"/>
      <c r="KV99" s="11"/>
      <c r="KW99" s="11"/>
      <c r="KX99" s="11"/>
      <c r="KY99" s="11"/>
      <c r="KZ99" s="11"/>
      <c r="LA99" s="11"/>
      <c r="LB99" s="11"/>
      <c r="LC99" s="11"/>
      <c r="LD99" s="11"/>
      <c r="LE99" s="11"/>
      <c r="LF99" s="11"/>
      <c r="LG99" s="11"/>
      <c r="LH99" s="11"/>
      <c r="LI99" s="11"/>
      <c r="LJ99" s="11"/>
      <c r="LK99" s="11"/>
      <c r="LL99" s="11"/>
      <c r="LM99" s="11"/>
      <c r="LN99" s="11"/>
      <c r="LO99" s="11"/>
      <c r="LP99" s="11"/>
      <c r="LQ99" s="11"/>
      <c r="LR99" s="11"/>
      <c r="LS99" s="11"/>
      <c r="LT99" s="11"/>
      <c r="LU99" s="11"/>
      <c r="LV99" s="11"/>
      <c r="LW99" s="11"/>
      <c r="LX99" s="11"/>
      <c r="LY99" s="11"/>
      <c r="LZ99" s="11"/>
      <c r="MA99" s="11"/>
      <c r="MB99" s="11"/>
      <c r="MC99" s="11"/>
      <c r="MD99" s="11"/>
      <c r="ME99" s="11"/>
      <c r="MF99" s="11"/>
      <c r="MG99" s="11"/>
      <c r="MH99" s="11"/>
      <c r="MI99" s="11"/>
      <c r="MJ99" s="11"/>
      <c r="MK99" s="11"/>
      <c r="ML99" s="11"/>
      <c r="MM99" s="11"/>
      <c r="MN99" s="11"/>
      <c r="MO99" s="11"/>
      <c r="MP99" s="11"/>
      <c r="MQ99" s="11"/>
      <c r="MR99" s="11"/>
      <c r="MS99" s="11"/>
      <c r="MT99" s="11"/>
      <c r="MU99" s="11"/>
      <c r="MV99" s="11"/>
      <c r="MW99" s="11"/>
      <c r="MX99" s="11"/>
      <c r="MY99" s="11"/>
      <c r="MZ99" s="11"/>
      <c r="NA99" s="11"/>
      <c r="NB99" s="11"/>
      <c r="NC99" s="11"/>
      <c r="ND99" s="11"/>
      <c r="NE99" s="11"/>
      <c r="NF99" s="11"/>
      <c r="NG99" s="11"/>
      <c r="NH99" s="11"/>
      <c r="NI99" s="11"/>
      <c r="NJ99" s="11"/>
      <c r="NK99" s="11"/>
      <c r="NL99" s="11"/>
      <c r="NM99" s="11"/>
      <c r="NN99" s="11"/>
      <c r="NO99" s="11"/>
      <c r="NP99" s="11"/>
      <c r="NQ99" s="11"/>
      <c r="NR99" s="11"/>
      <c r="NS99" s="11"/>
      <c r="NT99" s="11"/>
      <c r="NU99" s="11"/>
      <c r="NV99" s="11"/>
      <c r="NW99" s="11"/>
      <c r="NX99" s="11"/>
      <c r="NY99" s="11"/>
      <c r="NZ99" s="11"/>
      <c r="OA99" s="11"/>
      <c r="OB99" s="11"/>
      <c r="OC99" s="11"/>
      <c r="OD99" s="11"/>
      <c r="OE99" s="11"/>
      <c r="OF99" s="11"/>
      <c r="OG99" s="11"/>
      <c r="OH99" s="11"/>
      <c r="OI99" s="11"/>
      <c r="OJ99" s="11"/>
      <c r="OK99" s="11"/>
      <c r="OL99" s="11"/>
      <c r="OM99" s="11"/>
      <c r="ON99" s="11"/>
      <c r="OO99" s="11"/>
      <c r="OP99" s="11"/>
      <c r="OQ99" s="11"/>
      <c r="OR99" s="11"/>
      <c r="OS99" s="11"/>
      <c r="OT99" s="11"/>
      <c r="OU99" s="11"/>
      <c r="OV99" s="11"/>
      <c r="OW99" s="11"/>
      <c r="OX99" s="11"/>
      <c r="OY99" s="11"/>
      <c r="OZ99" s="11"/>
      <c r="PA99" s="11"/>
      <c r="PB99" s="11"/>
      <c r="PC99" s="11"/>
      <c r="PD99" s="11"/>
      <c r="PE99" s="11"/>
      <c r="PF99" s="11"/>
      <c r="PG99" s="11"/>
      <c r="PH99" s="11"/>
      <c r="PI99" s="11"/>
      <c r="PJ99" s="11"/>
      <c r="PK99" s="11"/>
      <c r="PL99" s="11"/>
      <c r="PM99" s="11"/>
      <c r="PN99" s="11"/>
      <c r="PO99" s="11"/>
      <c r="PP99" s="11"/>
      <c r="PQ99" s="11"/>
      <c r="PR99" s="11"/>
      <c r="PS99" s="11"/>
      <c r="PT99" s="11"/>
      <c r="PU99" s="11"/>
      <c r="PV99" s="11"/>
      <c r="PW99" s="11"/>
      <c r="PX99" s="11"/>
      <c r="PY99" s="11"/>
      <c r="PZ99" s="11"/>
      <c r="QA99" s="11"/>
      <c r="QB99" s="11"/>
      <c r="QC99" s="11"/>
      <c r="QD99" s="11"/>
      <c r="QE99" s="11"/>
      <c r="QF99" s="11"/>
      <c r="QG99" s="11"/>
      <c r="QH99" s="11"/>
      <c r="QI99" s="11"/>
      <c r="QJ99" s="11"/>
      <c r="QK99" s="11"/>
      <c r="QL99" s="11"/>
      <c r="QM99" s="11"/>
      <c r="QN99" s="11"/>
      <c r="QO99" s="11"/>
      <c r="QP99" s="11"/>
      <c r="QQ99" s="11"/>
      <c r="QR99" s="11"/>
      <c r="QS99" s="11"/>
      <c r="QT99" s="11"/>
      <c r="QU99" s="11"/>
      <c r="QV99" s="11"/>
      <c r="QW99" s="11"/>
      <c r="QX99" s="11"/>
      <c r="QY99" s="11"/>
      <c r="QZ99" s="11"/>
      <c r="RA99" s="11"/>
      <c r="RB99" s="11"/>
      <c r="RC99" s="11"/>
      <c r="RD99" s="11"/>
      <c r="RE99" s="11"/>
      <c r="RF99" s="11"/>
      <c r="RG99" s="11"/>
      <c r="RH99" s="11"/>
      <c r="RI99" s="11"/>
      <c r="RJ99" s="11"/>
      <c r="RK99" s="11"/>
      <c r="RL99" s="11"/>
      <c r="RM99" s="11"/>
      <c r="RN99" s="11"/>
      <c r="RO99" s="11"/>
      <c r="RP99" s="11"/>
      <c r="RQ99" s="11"/>
      <c r="RR99" s="11"/>
      <c r="RS99" s="11"/>
      <c r="RT99" s="11"/>
      <c r="RU99" s="11"/>
      <c r="RV99" s="11"/>
      <c r="RW99" s="11"/>
      <c r="RX99" s="11"/>
      <c r="RY99" s="11"/>
      <c r="RZ99" s="11"/>
      <c r="SA99" s="11"/>
      <c r="SB99" s="11"/>
      <c r="SC99" s="11"/>
      <c r="SD99" s="11"/>
      <c r="SE99" s="11"/>
      <c r="SF99" s="11"/>
      <c r="SG99" s="11"/>
      <c r="SH99" s="11"/>
      <c r="SI99" s="11"/>
      <c r="SJ99" s="11"/>
      <c r="SK99" s="11"/>
      <c r="SL99" s="11"/>
      <c r="SM99" s="11"/>
      <c r="SN99" s="11"/>
      <c r="SO99" s="11"/>
      <c r="SP99" s="11"/>
      <c r="SQ99" s="11"/>
      <c r="SR99" s="11"/>
      <c r="SS99" s="11"/>
      <c r="ST99" s="11"/>
      <c r="SU99" s="11"/>
      <c r="SV99" s="11"/>
      <c r="SW99" s="11"/>
      <c r="SX99" s="11"/>
      <c r="SY99" s="11"/>
      <c r="SZ99" s="11"/>
      <c r="TA99" s="11"/>
      <c r="TB99" s="11"/>
      <c r="TC99" s="11"/>
      <c r="TD99" s="11"/>
      <c r="TE99" s="11"/>
      <c r="TF99" s="11"/>
      <c r="TG99" s="11"/>
      <c r="TH99" s="11"/>
      <c r="TI99" s="11"/>
      <c r="TJ99" s="11"/>
      <c r="TK99" s="11"/>
      <c r="TL99" s="11"/>
      <c r="TM99" s="11"/>
      <c r="TN99" s="11"/>
      <c r="TO99" s="11"/>
      <c r="TP99" s="11"/>
      <c r="TQ99" s="11"/>
      <c r="TR99" s="11"/>
      <c r="TS99" s="11"/>
      <c r="TT99" s="11"/>
      <c r="TU99" s="11"/>
      <c r="TV99" s="11"/>
      <c r="TW99" s="11"/>
      <c r="TX99" s="11"/>
      <c r="TY99" s="11"/>
      <c r="TZ99" s="11"/>
      <c r="UA99" s="11"/>
      <c r="UB99" s="11"/>
      <c r="UC99" s="11"/>
      <c r="UD99" s="11"/>
      <c r="UE99" s="11"/>
      <c r="UF99" s="11"/>
      <c r="UG99" s="11"/>
      <c r="UH99" s="11"/>
      <c r="UI99" s="11"/>
      <c r="UJ99" s="11"/>
      <c r="UK99" s="11"/>
      <c r="UL99" s="11"/>
      <c r="UM99" s="11"/>
      <c r="UN99" s="11"/>
      <c r="UO99" s="11"/>
      <c r="UP99" s="11"/>
      <c r="UQ99" s="11"/>
      <c r="UR99" s="11"/>
      <c r="US99" s="11"/>
      <c r="UT99" s="11"/>
      <c r="UU99" s="11"/>
      <c r="UV99" s="11"/>
      <c r="UW99" s="11"/>
      <c r="UX99" s="11"/>
      <c r="UY99" s="11"/>
      <c r="UZ99" s="11"/>
      <c r="VA99" s="11"/>
      <c r="VB99" s="11"/>
      <c r="VC99" s="11"/>
      <c r="VD99" s="11"/>
      <c r="VE99" s="11"/>
      <c r="VF99" s="11"/>
      <c r="VG99" s="11"/>
      <c r="VH99" s="11"/>
      <c r="VI99" s="11"/>
      <c r="VJ99" s="11"/>
      <c r="VK99" s="11"/>
      <c r="VL99" s="11"/>
      <c r="VM99" s="11"/>
      <c r="VN99" s="11"/>
      <c r="VO99" s="11"/>
      <c r="VP99" s="11"/>
      <c r="VQ99" s="11"/>
      <c r="VR99" s="11"/>
      <c r="VS99" s="11"/>
      <c r="VT99" s="11"/>
      <c r="VU99" s="11"/>
      <c r="VV99" s="11"/>
      <c r="VW99" s="11"/>
      <c r="VX99" s="11"/>
      <c r="VY99" s="11"/>
      <c r="VZ99" s="11"/>
      <c r="WA99" s="11"/>
      <c r="WB99" s="11"/>
      <c r="WC99" s="11"/>
      <c r="WD99" s="11"/>
      <c r="WE99" s="11"/>
      <c r="WF99" s="11"/>
      <c r="WG99" s="11"/>
      <c r="WH99" s="11"/>
      <c r="WI99" s="11"/>
      <c r="WJ99" s="11"/>
      <c r="WK99" s="11"/>
      <c r="WL99" s="11"/>
      <c r="WM99" s="11"/>
      <c r="WN99" s="11"/>
      <c r="WO99" s="11"/>
      <c r="WP99" s="11"/>
      <c r="WQ99" s="11"/>
      <c r="WR99" s="11"/>
      <c r="WS99" s="11"/>
      <c r="WT99" s="11"/>
      <c r="WU99" s="11"/>
      <c r="WV99" s="11"/>
      <c r="WW99" s="11"/>
      <c r="WX99" s="11"/>
      <c r="WY99" s="11"/>
      <c r="WZ99" s="11"/>
      <c r="XA99" s="11"/>
      <c r="XB99" s="11"/>
      <c r="XC99" s="11"/>
      <c r="XD99" s="11"/>
      <c r="XE99" s="11"/>
      <c r="XF99" s="11"/>
      <c r="XG99" s="11"/>
      <c r="XH99" s="11"/>
      <c r="XI99" s="11"/>
      <c r="XJ99" s="11"/>
      <c r="XK99" s="11"/>
      <c r="XL99" s="11"/>
      <c r="XM99" s="11"/>
      <c r="XN99" s="11"/>
      <c r="XO99" s="11"/>
      <c r="XP99" s="11"/>
      <c r="XQ99" s="11"/>
      <c r="XR99" s="11"/>
      <c r="XS99" s="11"/>
      <c r="XT99" s="11"/>
      <c r="XU99" s="11"/>
      <c r="XV99" s="11"/>
      <c r="XW99" s="11"/>
      <c r="XX99" s="11"/>
      <c r="XY99" s="11"/>
      <c r="XZ99" s="11"/>
      <c r="YA99" s="11"/>
      <c r="YB99" s="11"/>
      <c r="YC99" s="11"/>
      <c r="YD99" s="11"/>
      <c r="YE99" s="11"/>
      <c r="YF99" s="11"/>
      <c r="YG99" s="11"/>
      <c r="YH99" s="11"/>
      <c r="YI99" s="11"/>
      <c r="YJ99" s="11"/>
      <c r="YK99" s="11"/>
      <c r="YL99" s="11"/>
      <c r="YM99" s="11"/>
      <c r="YN99" s="11"/>
      <c r="YO99" s="11"/>
      <c r="YP99" s="11"/>
      <c r="YQ99" s="11"/>
      <c r="YR99" s="11"/>
      <c r="YS99" s="11"/>
      <c r="YT99" s="11"/>
      <c r="YU99" s="11"/>
      <c r="YV99" s="11"/>
      <c r="YW99" s="11"/>
      <c r="YX99" s="11"/>
      <c r="YY99" s="11"/>
      <c r="YZ99" s="11"/>
      <c r="ZA99" s="11"/>
      <c r="ZB99" s="11"/>
      <c r="ZC99" s="11"/>
      <c r="ZD99" s="11"/>
      <c r="ZE99" s="11"/>
      <c r="ZF99" s="11"/>
      <c r="ZG99" s="11"/>
      <c r="ZH99" s="11"/>
      <c r="ZI99" s="11"/>
      <c r="ZJ99" s="11"/>
      <c r="ZK99" s="11"/>
      <c r="ZL99" s="11"/>
      <c r="ZM99" s="11"/>
      <c r="ZN99" s="11"/>
      <c r="ZO99" s="11"/>
      <c r="ZP99" s="11"/>
      <c r="ZQ99" s="11"/>
      <c r="ZR99" s="11"/>
      <c r="ZS99" s="11"/>
      <c r="ZT99" s="11"/>
      <c r="ZU99" s="11"/>
      <c r="ZV99" s="11"/>
      <c r="ZW99" s="11"/>
      <c r="ZX99" s="11"/>
      <c r="ZY99" s="11"/>
      <c r="ZZ99" s="11"/>
      <c r="AAA99" s="11"/>
      <c r="AAB99" s="11"/>
      <c r="AAC99" s="11"/>
      <c r="AAD99" s="11"/>
      <c r="AAE99" s="11"/>
      <c r="AAF99" s="11"/>
      <c r="AAG99" s="11"/>
      <c r="AAH99" s="11"/>
      <c r="AAI99" s="11"/>
      <c r="AAJ99" s="11"/>
      <c r="AAK99" s="11"/>
      <c r="AAL99" s="11"/>
      <c r="AAM99" s="11"/>
      <c r="AAN99" s="11"/>
      <c r="AAO99" s="11"/>
      <c r="AAP99" s="11"/>
      <c r="AAQ99" s="11"/>
      <c r="AAR99" s="11"/>
      <c r="AAS99" s="11"/>
      <c r="AAT99" s="11"/>
      <c r="AAU99" s="11"/>
      <c r="AAV99" s="11"/>
      <c r="AAW99" s="11"/>
      <c r="AAX99" s="11"/>
      <c r="AAY99" s="11"/>
      <c r="AAZ99" s="11"/>
      <c r="ABA99" s="11"/>
      <c r="ABB99" s="11"/>
      <c r="ABC99" s="11"/>
      <c r="ABD99" s="11"/>
      <c r="ABE99" s="11"/>
      <c r="ABF99" s="11"/>
      <c r="ABG99" s="11"/>
      <c r="ABH99" s="11"/>
      <c r="ABI99" s="11"/>
      <c r="ABJ99" s="11"/>
      <c r="ABK99" s="11"/>
      <c r="ABL99" s="11"/>
      <c r="ABM99" s="11"/>
      <c r="ABN99" s="11"/>
      <c r="ABO99" s="11"/>
      <c r="ABP99" s="11"/>
      <c r="ABQ99" s="11"/>
      <c r="ABR99" s="11"/>
      <c r="ABS99" s="11"/>
      <c r="ABT99" s="11"/>
      <c r="ABU99" s="11"/>
      <c r="ABV99" s="11"/>
      <c r="ABW99" s="11"/>
      <c r="ABX99" s="11"/>
      <c r="ABY99" s="11"/>
      <c r="ABZ99" s="11"/>
      <c r="ACA99" s="11"/>
      <c r="ACB99" s="11"/>
      <c r="ACC99" s="11"/>
      <c r="ACD99" s="11"/>
      <c r="ACE99" s="11"/>
      <c r="ACF99" s="11"/>
      <c r="ACG99" s="11"/>
      <c r="ACH99" s="11"/>
      <c r="ACI99" s="11"/>
      <c r="ACJ99" s="11"/>
      <c r="ACK99" s="11"/>
      <c r="ACL99" s="11"/>
      <c r="ACM99" s="11"/>
      <c r="ACN99" s="11"/>
      <c r="ACO99" s="11"/>
      <c r="ACP99" s="11"/>
      <c r="ACQ99" s="11"/>
      <c r="ACR99" s="11"/>
      <c r="ACS99" s="11"/>
      <c r="ACT99" s="11"/>
      <c r="ACU99" s="11"/>
      <c r="ACV99" s="11"/>
      <c r="ACW99" s="11"/>
      <c r="ACX99" s="11"/>
      <c r="ACY99" s="11"/>
      <c r="ACZ99" s="11"/>
      <c r="ADA99" s="11"/>
      <c r="ADB99" s="11"/>
      <c r="ADC99" s="11"/>
      <c r="ADD99" s="11"/>
      <c r="ADE99" s="11"/>
      <c r="ADF99" s="11"/>
      <c r="ADG99" s="11"/>
      <c r="ADH99" s="11"/>
      <c r="ADI99" s="11"/>
      <c r="ADJ99" s="11"/>
      <c r="ADK99" s="11"/>
      <c r="ADL99" s="11"/>
      <c r="ADM99" s="11"/>
      <c r="ADN99" s="11"/>
      <c r="ADO99" s="11"/>
      <c r="ADP99" s="11"/>
      <c r="ADQ99" s="11"/>
      <c r="ADR99" s="11"/>
      <c r="ADS99" s="11"/>
      <c r="ADT99" s="11"/>
      <c r="ADU99" s="11"/>
      <c r="ADV99" s="11"/>
      <c r="ADW99" s="11"/>
      <c r="ADX99" s="11"/>
      <c r="ADY99" s="11"/>
      <c r="ADZ99" s="11"/>
      <c r="AEA99" s="11"/>
      <c r="AEB99" s="11"/>
      <c r="AEC99" s="11"/>
      <c r="AED99" s="11"/>
      <c r="AEE99" s="11"/>
      <c r="AEF99" s="11"/>
      <c r="AEG99" s="11"/>
      <c r="AEH99" s="11"/>
      <c r="AEI99" s="11"/>
      <c r="AEJ99" s="11"/>
      <c r="AEK99" s="11"/>
      <c r="AEL99" s="11"/>
      <c r="AEM99" s="11"/>
      <c r="AEN99" s="11"/>
      <c r="AEO99" s="11"/>
      <c r="AEP99" s="11"/>
      <c r="AEQ99" s="11"/>
      <c r="AER99" s="11"/>
      <c r="AES99" s="11"/>
      <c r="AET99" s="11"/>
      <c r="AEU99" s="11"/>
      <c r="AEV99" s="11"/>
      <c r="AEW99" s="11"/>
      <c r="AEX99" s="11"/>
      <c r="AEY99" s="11"/>
      <c r="AEZ99" s="11"/>
      <c r="AFA99" s="11"/>
      <c r="AFB99" s="11"/>
      <c r="AFC99" s="11"/>
      <c r="AFD99" s="11"/>
      <c r="AFE99" s="11"/>
      <c r="AFF99" s="11"/>
      <c r="AFG99" s="11"/>
      <c r="AFH99" s="11"/>
      <c r="AFI99" s="11"/>
    </row>
    <row r="100" spans="2:841">
      <c r="B100" s="11"/>
      <c r="C100" s="657"/>
      <c r="D100" s="289" t="str">
        <f>IF(Idioma=Castellano,"Existente",IF(Idioma=Valencià,"Existent","Existente"))</f>
        <v>Existente</v>
      </c>
      <c r="E100" s="311">
        <f>SUMIFS(M_Datos!$N$47:$N$49,M_Datos!$O$47:$O$49,M_Lista!G18,M_Datos!$M$47:$M$49,M_Lista!$J$3)</f>
        <v>0</v>
      </c>
      <c r="F100" s="312" t="e">
        <f>IF(AND(M_FactoresComplement!$G$439="No",M_FactoresComplement!$G$441="No"),M_Cálculos_ND!E100*VLOOKUP(M_Datos!$E$12&amp;M_Cálculos_ND!D100,M_Factores!$M$10:$P$108,2,FALSE),IF(AND(M_FactoresComplement!$G$439="Sí",M_FactoresComplement!$G$441="No"),E100*M_FactoresComplement!G460,E100*VLOOKUP(M_FactoresComplement!$C$467&amp;M_Datos!$E$12&amp;M_Lista!G17,M_FactoresComplement!$F$446:$I$781,2,FALSE)))</f>
        <v>#N/A</v>
      </c>
      <c r="G100" s="313" t="e">
        <f>IF(AND(M_FactoresComplement!$G$439="No",M_FactoresComplement!$G$441="No"),M_Cálculos_ND!E100*VLOOKUP(M_Datos!$E$12&amp;M_Cálculos_ND!D100,M_Factores!$M$10:$P$108,3,FALSE),IF(AND(M_FactoresComplement!$G$439="Sí",M_FactoresComplement!$G$441="No"),E100*M_FactoresComplement!H460,E100*VLOOKUP(M_FactoresComplement!$C$467&amp;M_Datos!$E$12&amp;M_Lista!G17,M_FactoresComplement!$F$446:$I$781,3,FALSE)))</f>
        <v>#N/A</v>
      </c>
      <c r="H100" s="311">
        <f>SUMIFS(M_Datos!$P$47:$P$49,M_Datos!$Q$47:$Q$49,M_Lista!G18,M_Datos!$M$47:$M$49,M_Lista!$J$3)</f>
        <v>0</v>
      </c>
      <c r="I100" s="312" t="e">
        <f>IF(AND(M_FactoresComplement!$G$439="No",M_FactoresComplement!$G$441="No"),M_Cálculos_ND!H100*VLOOKUP(M_Datos!$E$12&amp;M_Cálculos_ND!D100,M_Factores!$M$10:$P$108,2,FALSE),IF(AND(M_FactoresComplement!$G$439="Sí",M_FactoresComplement!$G$441="No"),H100*M_FactoresComplement!G460,H100*VLOOKUP(M_FactoresComplement!$C$467&amp;M_Datos!$E$12&amp;M_Lista!G17,M_FactoresComplement!$F$446:$I$781,2,FALSE)))</f>
        <v>#N/A</v>
      </c>
      <c r="J100" s="313" t="e">
        <f>IF(AND(M_FactoresComplement!$G$439="No",M_FactoresComplement!$G$441="No"),M_Cálculos_ND!H100*VLOOKUP(M_Datos!$E$12&amp;M_Cálculos_ND!D100,M_Factores!$M$10:$P$108,3,FALSE),IF(AND(M_FactoresComplement!$G$439="Sí",M_FactoresComplement!$G$441="No"),H100*M_FactoresComplement!H460,H100*VLOOKUP(M_FactoresComplement!$C$467&amp;M_Datos!$E$12&amp;M_Lista!G17,M_FactoresComplement!$F$446:$I$781,3,FALSE)))</f>
        <v>#N/A</v>
      </c>
      <c r="K100" s="311">
        <f>SUMIFS(M_Datos!$R$47:$R$49,M_Datos!$S$47:$S$49,M_Lista!G18,M_Datos!$M$47:$M$49,M_Lista!$J$3)</f>
        <v>0</v>
      </c>
      <c r="L100" s="312" t="e">
        <f>IF(AND(M_FactoresComplement!$G$439="No",M_FactoresComplement!$G$441="No"),M_Cálculos_ND!K100*VLOOKUP(M_Datos!$E$12&amp;M_Cálculos_ND!D100,M_Factores!$M$10:$P$108,2,FALSE),IF(AND(M_FactoresComplement!$G$439="Sí",M_FactoresComplement!$G$441="No"),K100*M_FactoresComplement!G460,K100*VLOOKUP(M_FactoresComplement!$C$467&amp;M_Datos!$E$12&amp;M_Lista!G17,M_FactoresComplement!$F$446:$I$781,2,FALSE)))</f>
        <v>#N/A</v>
      </c>
      <c r="M100" s="313" t="e">
        <f>IF(AND(M_FactoresComplement!$G$439="No",M_FactoresComplement!$G$441="No"),M_Cálculos_ND!K100*VLOOKUP(M_Datos!$E$12&amp;M_Cálculos_ND!D100,M_Factores!$M$10:$P$108,3,FALSE),IF(AND(M_FactoresComplement!$G$439="Sí",M_FactoresComplement!$G$441="No"),K100*M_FactoresComplement!H460,K100*VLOOKUP(M_FactoresComplement!$C$467&amp;M_Datos!$E$12&amp;M_Lista!G17,M_FactoresComplement!$F$446:$I$781,3,FALSE)))</f>
        <v>#N/A</v>
      </c>
      <c r="N100" s="311">
        <f>SUMIFS(M_Datos!$T$47:$T$49,M_Datos!$U$47:$U$49,M_Lista!G18,M_Datos!$M$47:$M$49,M_Lista!$J$3)</f>
        <v>0</v>
      </c>
      <c r="O100" s="312" t="e">
        <f>IF(AND(M_FactoresComplement!$G$439="No",M_FactoresComplement!$G$441="No"),M_Cálculos_ND!N100*VLOOKUP(M_Datos!$E$12&amp;M_Cálculos_ND!D100,M_Factores!$M$10:$P$108,2,FALSE),IF(AND(M_FactoresComplement!$G$439="Sí",M_FactoresComplement!$G$441="No"),N100*M_FactoresComplement!G460,N100*VLOOKUP(M_FactoresComplement!$C$467&amp;M_Datos!$E$12&amp;M_Lista!G17,M_FactoresComplement!$F$446:$I$781,2,FALSE)))</f>
        <v>#N/A</v>
      </c>
      <c r="P100" s="313" t="e">
        <f>IF(AND(M_FactoresComplement!$G$439="No",M_FactoresComplement!$G$441="No"),M_Cálculos_ND!N100*VLOOKUP(M_Datos!$E$12&amp;M_Cálculos_ND!D100,M_Factores!$M$10:$P$108,3,FALSE),IF(AND(M_FactoresComplement!$G$439="Sí",M_FactoresComplement!$G$441="No"),N100*M_FactoresComplement!H460,N100*VLOOKUP(M_FactoresComplement!$C$467&amp;M_Datos!$E$12&amp;M_Lista!G17,M_FactoresComplement!$F$446:$I$781,3,FALSE)))</f>
        <v>#N/A</v>
      </c>
      <c r="Q100" s="311">
        <f>SUMIFS(M_Datos!$V$47:$V$49,M_Datos!$W$47:$W$49,M_Lista!G18,M_Datos!$M$47:$M$49,M_Lista!$J$3)</f>
        <v>0</v>
      </c>
      <c r="R100" s="312" t="e">
        <f>IF(AND(M_FactoresComplement!$G$439="No",M_FactoresComplement!$G$441="No"),M_Cálculos_ND!Q100*VLOOKUP(M_Datos!$E$12&amp;M_Cálculos_ND!D100,M_Factores!$M$10:$P$108,2,FALSE),IF(AND(M_FactoresComplement!$G$439="Sí",M_FactoresComplement!$G$441="No"),Q100*M_FactoresComplement!G460,Q100*VLOOKUP(M_FactoresComplement!$C$467&amp;M_Datos!$E$12&amp;M_Lista!G17,M_FactoresComplement!$F$446:$I$781,2,FALSE)))</f>
        <v>#N/A</v>
      </c>
      <c r="S100" s="313" t="e">
        <f>IF(AND(M_FactoresComplement!$G$439="No",M_FactoresComplement!$G$441="No"),M_Cálculos_ND!Q100*VLOOKUP(M_Datos!$E$12&amp;M_Cálculos_ND!D100,M_Factores!$M$10:$P$108,3,FALSE),IF(AND(M_FactoresComplement!$G$439="Sí",M_FactoresComplement!$G$441="No"),Q100*M_FactoresComplement!H460,Q100*VLOOKUP(M_FactoresComplement!$C$467&amp;M_Datos!$E$12&amp;M_Lista!G17,M_FactoresComplement!$F$446:$I$781,3,FALSE)))</f>
        <v>#N/A</v>
      </c>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c r="JH100" s="11"/>
      <c r="JI100" s="11"/>
      <c r="JJ100" s="11"/>
      <c r="JK100" s="11"/>
      <c r="JL100" s="11"/>
      <c r="JM100" s="11"/>
      <c r="JN100" s="11"/>
      <c r="JO100" s="11"/>
      <c r="JP100" s="11"/>
      <c r="JQ100" s="11"/>
      <c r="JR100" s="11"/>
      <c r="JS100" s="11"/>
      <c r="JT100" s="11"/>
      <c r="JU100" s="11"/>
      <c r="JV100" s="11"/>
      <c r="JW100" s="11"/>
      <c r="JX100" s="11"/>
      <c r="JY100" s="11"/>
      <c r="JZ100" s="11"/>
      <c r="KA100" s="11"/>
      <c r="KB100" s="11"/>
      <c r="KC100" s="11"/>
      <c r="KD100" s="11"/>
      <c r="KE100" s="11"/>
      <c r="KF100" s="11"/>
      <c r="KG100" s="11"/>
      <c r="KH100" s="11"/>
      <c r="KI100" s="11"/>
      <c r="KJ100" s="11"/>
      <c r="KK100" s="11"/>
      <c r="KL100" s="11"/>
      <c r="KM100" s="11"/>
      <c r="KN100" s="11"/>
      <c r="KO100" s="11"/>
      <c r="KP100" s="11"/>
      <c r="KQ100" s="11"/>
      <c r="KR100" s="11"/>
      <c r="KS100" s="11"/>
      <c r="KT100" s="11"/>
      <c r="KU100" s="11"/>
      <c r="KV100" s="11"/>
      <c r="KW100" s="11"/>
      <c r="KX100" s="11"/>
      <c r="KY100" s="11"/>
      <c r="KZ100" s="11"/>
      <c r="LA100" s="11"/>
      <c r="LB100" s="11"/>
      <c r="LC100" s="11"/>
      <c r="LD100" s="11"/>
      <c r="LE100" s="11"/>
      <c r="LF100" s="11"/>
      <c r="LG100" s="11"/>
      <c r="LH100" s="11"/>
      <c r="LI100" s="11"/>
      <c r="LJ100" s="11"/>
      <c r="LK100" s="11"/>
      <c r="LL100" s="11"/>
      <c r="LM100" s="11"/>
      <c r="LN100" s="11"/>
      <c r="LO100" s="11"/>
      <c r="LP100" s="11"/>
      <c r="LQ100" s="11"/>
      <c r="LR100" s="11"/>
      <c r="LS100" s="11"/>
      <c r="LT100" s="11"/>
      <c r="LU100" s="11"/>
      <c r="LV100" s="11"/>
      <c r="LW100" s="11"/>
      <c r="LX100" s="11"/>
      <c r="LY100" s="11"/>
      <c r="LZ100" s="11"/>
      <c r="MA100" s="11"/>
      <c r="MB100" s="11"/>
      <c r="MC100" s="11"/>
      <c r="MD100" s="11"/>
      <c r="ME100" s="11"/>
      <c r="MF100" s="11"/>
      <c r="MG100" s="11"/>
      <c r="MH100" s="11"/>
      <c r="MI100" s="11"/>
      <c r="MJ100" s="11"/>
      <c r="MK100" s="11"/>
      <c r="ML100" s="11"/>
      <c r="MM100" s="11"/>
      <c r="MN100" s="11"/>
      <c r="MO100" s="11"/>
      <c r="MP100" s="11"/>
      <c r="MQ100" s="11"/>
      <c r="MR100" s="11"/>
      <c r="MS100" s="11"/>
      <c r="MT100" s="11"/>
      <c r="MU100" s="11"/>
      <c r="MV100" s="11"/>
      <c r="MW100" s="11"/>
      <c r="MX100" s="11"/>
      <c r="MY100" s="11"/>
      <c r="MZ100" s="11"/>
      <c r="NA100" s="11"/>
      <c r="NB100" s="11"/>
      <c r="NC100" s="11"/>
      <c r="ND100" s="11"/>
      <c r="NE100" s="11"/>
      <c r="NF100" s="11"/>
      <c r="NG100" s="11"/>
      <c r="NH100" s="11"/>
      <c r="NI100" s="11"/>
      <c r="NJ100" s="11"/>
      <c r="NK100" s="11"/>
      <c r="NL100" s="11"/>
      <c r="NM100" s="11"/>
      <c r="NN100" s="11"/>
      <c r="NO100" s="11"/>
      <c r="NP100" s="11"/>
      <c r="NQ100" s="11"/>
      <c r="NR100" s="11"/>
      <c r="NS100" s="11"/>
      <c r="NT100" s="11"/>
      <c r="NU100" s="11"/>
      <c r="NV100" s="11"/>
      <c r="NW100" s="11"/>
      <c r="NX100" s="11"/>
      <c r="NY100" s="11"/>
      <c r="NZ100" s="11"/>
      <c r="OA100" s="11"/>
      <c r="OB100" s="11"/>
      <c r="OC100" s="11"/>
      <c r="OD100" s="11"/>
      <c r="OE100" s="11"/>
      <c r="OF100" s="11"/>
      <c r="OG100" s="11"/>
      <c r="OH100" s="11"/>
      <c r="OI100" s="11"/>
      <c r="OJ100" s="11"/>
      <c r="OK100" s="11"/>
      <c r="OL100" s="11"/>
      <c r="OM100" s="11"/>
      <c r="ON100" s="11"/>
      <c r="OO100" s="11"/>
      <c r="OP100" s="11"/>
      <c r="OQ100" s="11"/>
      <c r="OR100" s="11"/>
      <c r="OS100" s="11"/>
      <c r="OT100" s="11"/>
      <c r="OU100" s="11"/>
      <c r="OV100" s="11"/>
      <c r="OW100" s="11"/>
      <c r="OX100" s="11"/>
      <c r="OY100" s="11"/>
      <c r="OZ100" s="11"/>
      <c r="PA100" s="11"/>
      <c r="PB100" s="11"/>
      <c r="PC100" s="11"/>
      <c r="PD100" s="11"/>
      <c r="PE100" s="11"/>
      <c r="PF100" s="11"/>
      <c r="PG100" s="11"/>
      <c r="PH100" s="11"/>
      <c r="PI100" s="11"/>
      <c r="PJ100" s="11"/>
      <c r="PK100" s="11"/>
      <c r="PL100" s="11"/>
      <c r="PM100" s="11"/>
      <c r="PN100" s="11"/>
      <c r="PO100" s="11"/>
      <c r="PP100" s="11"/>
      <c r="PQ100" s="11"/>
      <c r="PR100" s="11"/>
      <c r="PS100" s="11"/>
      <c r="PT100" s="11"/>
      <c r="PU100" s="11"/>
      <c r="PV100" s="11"/>
      <c r="PW100" s="11"/>
      <c r="PX100" s="11"/>
      <c r="PY100" s="11"/>
      <c r="PZ100" s="11"/>
      <c r="QA100" s="11"/>
      <c r="QB100" s="11"/>
      <c r="QC100" s="11"/>
      <c r="QD100" s="11"/>
      <c r="QE100" s="11"/>
      <c r="QF100" s="11"/>
      <c r="QG100" s="11"/>
      <c r="QH100" s="11"/>
      <c r="QI100" s="11"/>
      <c r="QJ100" s="11"/>
      <c r="QK100" s="11"/>
      <c r="QL100" s="11"/>
      <c r="QM100" s="11"/>
      <c r="QN100" s="11"/>
      <c r="QO100" s="11"/>
      <c r="QP100" s="11"/>
      <c r="QQ100" s="11"/>
      <c r="QR100" s="11"/>
      <c r="QS100" s="11"/>
      <c r="QT100" s="11"/>
      <c r="QU100" s="11"/>
      <c r="QV100" s="11"/>
      <c r="QW100" s="11"/>
      <c r="QX100" s="11"/>
      <c r="QY100" s="11"/>
      <c r="QZ100" s="11"/>
      <c r="RA100" s="11"/>
      <c r="RB100" s="11"/>
      <c r="RC100" s="11"/>
      <c r="RD100" s="11"/>
      <c r="RE100" s="11"/>
      <c r="RF100" s="11"/>
      <c r="RG100" s="11"/>
      <c r="RH100" s="11"/>
      <c r="RI100" s="11"/>
      <c r="RJ100" s="11"/>
      <c r="RK100" s="11"/>
      <c r="RL100" s="11"/>
      <c r="RM100" s="11"/>
      <c r="RN100" s="11"/>
      <c r="RO100" s="11"/>
      <c r="RP100" s="11"/>
      <c r="RQ100" s="11"/>
      <c r="RR100" s="11"/>
      <c r="RS100" s="11"/>
      <c r="RT100" s="11"/>
      <c r="RU100" s="11"/>
      <c r="RV100" s="11"/>
      <c r="RW100" s="11"/>
      <c r="RX100" s="11"/>
      <c r="RY100" s="11"/>
      <c r="RZ100" s="11"/>
      <c r="SA100" s="11"/>
      <c r="SB100" s="11"/>
      <c r="SC100" s="11"/>
      <c r="SD100" s="11"/>
      <c r="SE100" s="11"/>
      <c r="SF100" s="11"/>
      <c r="SG100" s="11"/>
      <c r="SH100" s="11"/>
      <c r="SI100" s="11"/>
      <c r="SJ100" s="11"/>
      <c r="SK100" s="11"/>
      <c r="SL100" s="11"/>
      <c r="SM100" s="11"/>
      <c r="SN100" s="11"/>
      <c r="SO100" s="11"/>
      <c r="SP100" s="11"/>
      <c r="SQ100" s="11"/>
      <c r="SR100" s="11"/>
      <c r="SS100" s="11"/>
      <c r="ST100" s="11"/>
      <c r="SU100" s="11"/>
      <c r="SV100" s="11"/>
      <c r="SW100" s="11"/>
      <c r="SX100" s="11"/>
      <c r="SY100" s="11"/>
      <c r="SZ100" s="11"/>
      <c r="TA100" s="11"/>
      <c r="TB100" s="11"/>
      <c r="TC100" s="11"/>
      <c r="TD100" s="11"/>
      <c r="TE100" s="11"/>
      <c r="TF100" s="11"/>
      <c r="TG100" s="11"/>
      <c r="TH100" s="11"/>
      <c r="TI100" s="11"/>
      <c r="TJ100" s="11"/>
      <c r="TK100" s="11"/>
      <c r="TL100" s="11"/>
      <c r="TM100" s="11"/>
      <c r="TN100" s="11"/>
      <c r="TO100" s="11"/>
      <c r="TP100" s="11"/>
      <c r="TQ100" s="11"/>
      <c r="TR100" s="11"/>
      <c r="TS100" s="11"/>
      <c r="TT100" s="11"/>
      <c r="TU100" s="11"/>
      <c r="TV100" s="11"/>
      <c r="TW100" s="11"/>
      <c r="TX100" s="11"/>
      <c r="TY100" s="11"/>
      <c r="TZ100" s="11"/>
      <c r="UA100" s="11"/>
      <c r="UB100" s="11"/>
      <c r="UC100" s="11"/>
      <c r="UD100" s="11"/>
      <c r="UE100" s="11"/>
      <c r="UF100" s="11"/>
      <c r="UG100" s="11"/>
      <c r="UH100" s="11"/>
      <c r="UI100" s="11"/>
      <c r="UJ100" s="11"/>
      <c r="UK100" s="11"/>
      <c r="UL100" s="11"/>
      <c r="UM100" s="11"/>
      <c r="UN100" s="11"/>
      <c r="UO100" s="11"/>
      <c r="UP100" s="11"/>
      <c r="UQ100" s="11"/>
      <c r="UR100" s="11"/>
      <c r="US100" s="11"/>
      <c r="UT100" s="11"/>
      <c r="UU100" s="11"/>
      <c r="UV100" s="11"/>
      <c r="UW100" s="11"/>
      <c r="UX100" s="11"/>
      <c r="UY100" s="11"/>
      <c r="UZ100" s="11"/>
      <c r="VA100" s="11"/>
      <c r="VB100" s="11"/>
      <c r="VC100" s="11"/>
      <c r="VD100" s="11"/>
      <c r="VE100" s="11"/>
      <c r="VF100" s="11"/>
      <c r="VG100" s="11"/>
      <c r="VH100" s="11"/>
      <c r="VI100" s="11"/>
      <c r="VJ100" s="11"/>
      <c r="VK100" s="11"/>
      <c r="VL100" s="11"/>
      <c r="VM100" s="11"/>
      <c r="VN100" s="11"/>
      <c r="VO100" s="11"/>
      <c r="VP100" s="11"/>
      <c r="VQ100" s="11"/>
      <c r="VR100" s="11"/>
      <c r="VS100" s="11"/>
      <c r="VT100" s="11"/>
      <c r="VU100" s="11"/>
      <c r="VV100" s="11"/>
      <c r="VW100" s="11"/>
      <c r="VX100" s="11"/>
      <c r="VY100" s="11"/>
      <c r="VZ100" s="11"/>
      <c r="WA100" s="11"/>
      <c r="WB100" s="11"/>
      <c r="WC100" s="11"/>
      <c r="WD100" s="11"/>
      <c r="WE100" s="11"/>
      <c r="WF100" s="11"/>
      <c r="WG100" s="11"/>
      <c r="WH100" s="11"/>
      <c r="WI100" s="11"/>
      <c r="WJ100" s="11"/>
      <c r="WK100" s="11"/>
      <c r="WL100" s="11"/>
      <c r="WM100" s="11"/>
      <c r="WN100" s="11"/>
      <c r="WO100" s="11"/>
      <c r="WP100" s="11"/>
      <c r="WQ100" s="11"/>
      <c r="WR100" s="11"/>
      <c r="WS100" s="11"/>
      <c r="WT100" s="11"/>
      <c r="WU100" s="11"/>
      <c r="WV100" s="11"/>
      <c r="WW100" s="11"/>
      <c r="WX100" s="11"/>
      <c r="WY100" s="11"/>
      <c r="WZ100" s="11"/>
      <c r="XA100" s="11"/>
      <c r="XB100" s="11"/>
      <c r="XC100" s="11"/>
      <c r="XD100" s="11"/>
      <c r="XE100" s="11"/>
      <c r="XF100" s="11"/>
      <c r="XG100" s="11"/>
      <c r="XH100" s="11"/>
      <c r="XI100" s="11"/>
      <c r="XJ100" s="11"/>
      <c r="XK100" s="11"/>
      <c r="XL100" s="11"/>
      <c r="XM100" s="11"/>
      <c r="XN100" s="11"/>
      <c r="XO100" s="11"/>
      <c r="XP100" s="11"/>
      <c r="XQ100" s="11"/>
      <c r="XR100" s="11"/>
      <c r="XS100" s="11"/>
      <c r="XT100" s="11"/>
      <c r="XU100" s="11"/>
      <c r="XV100" s="11"/>
      <c r="XW100" s="11"/>
      <c r="XX100" s="11"/>
      <c r="XY100" s="11"/>
      <c r="XZ100" s="11"/>
      <c r="YA100" s="11"/>
      <c r="YB100" s="11"/>
      <c r="YC100" s="11"/>
      <c r="YD100" s="11"/>
      <c r="YE100" s="11"/>
      <c r="YF100" s="11"/>
      <c r="YG100" s="11"/>
      <c r="YH100" s="11"/>
      <c r="YI100" s="11"/>
      <c r="YJ100" s="11"/>
      <c r="YK100" s="11"/>
      <c r="YL100" s="11"/>
      <c r="YM100" s="11"/>
      <c r="YN100" s="11"/>
      <c r="YO100" s="11"/>
      <c r="YP100" s="11"/>
      <c r="YQ100" s="11"/>
      <c r="YR100" s="11"/>
      <c r="YS100" s="11"/>
      <c r="YT100" s="11"/>
      <c r="YU100" s="11"/>
      <c r="YV100" s="11"/>
      <c r="YW100" s="11"/>
      <c r="YX100" s="11"/>
      <c r="YY100" s="11"/>
      <c r="YZ100" s="11"/>
      <c r="ZA100" s="11"/>
      <c r="ZB100" s="11"/>
      <c r="ZC100" s="11"/>
      <c r="ZD100" s="11"/>
      <c r="ZE100" s="11"/>
      <c r="ZF100" s="11"/>
      <c r="ZG100" s="11"/>
      <c r="ZH100" s="11"/>
      <c r="ZI100" s="11"/>
      <c r="ZJ100" s="11"/>
      <c r="ZK100" s="11"/>
      <c r="ZL100" s="11"/>
      <c r="ZM100" s="11"/>
      <c r="ZN100" s="11"/>
      <c r="ZO100" s="11"/>
      <c r="ZP100" s="11"/>
      <c r="ZQ100" s="11"/>
      <c r="ZR100" s="11"/>
      <c r="ZS100" s="11"/>
      <c r="ZT100" s="11"/>
      <c r="ZU100" s="11"/>
      <c r="ZV100" s="11"/>
      <c r="ZW100" s="11"/>
      <c r="ZX100" s="11"/>
      <c r="ZY100" s="11"/>
      <c r="ZZ100" s="11"/>
      <c r="AAA100" s="11"/>
      <c r="AAB100" s="11"/>
      <c r="AAC100" s="11"/>
      <c r="AAD100" s="11"/>
      <c r="AAE100" s="11"/>
      <c r="AAF100" s="11"/>
      <c r="AAG100" s="11"/>
      <c r="AAH100" s="11"/>
      <c r="AAI100" s="11"/>
      <c r="AAJ100" s="11"/>
      <c r="AAK100" s="11"/>
      <c r="AAL100" s="11"/>
      <c r="AAM100" s="11"/>
      <c r="AAN100" s="11"/>
      <c r="AAO100" s="11"/>
      <c r="AAP100" s="11"/>
      <c r="AAQ100" s="11"/>
      <c r="AAR100" s="11"/>
      <c r="AAS100" s="11"/>
      <c r="AAT100" s="11"/>
      <c r="AAU100" s="11"/>
      <c r="AAV100" s="11"/>
      <c r="AAW100" s="11"/>
      <c r="AAX100" s="11"/>
      <c r="AAY100" s="11"/>
      <c r="AAZ100" s="11"/>
      <c r="ABA100" s="11"/>
      <c r="ABB100" s="11"/>
      <c r="ABC100" s="11"/>
      <c r="ABD100" s="11"/>
      <c r="ABE100" s="11"/>
      <c r="ABF100" s="11"/>
      <c r="ABG100" s="11"/>
      <c r="ABH100" s="11"/>
      <c r="ABI100" s="11"/>
      <c r="ABJ100" s="11"/>
      <c r="ABK100" s="11"/>
      <c r="ABL100" s="11"/>
      <c r="ABM100" s="11"/>
      <c r="ABN100" s="11"/>
      <c r="ABO100" s="11"/>
      <c r="ABP100" s="11"/>
      <c r="ABQ100" s="11"/>
      <c r="ABR100" s="11"/>
      <c r="ABS100" s="11"/>
      <c r="ABT100" s="11"/>
      <c r="ABU100" s="11"/>
      <c r="ABV100" s="11"/>
      <c r="ABW100" s="11"/>
      <c r="ABX100" s="11"/>
      <c r="ABY100" s="11"/>
      <c r="ABZ100" s="11"/>
      <c r="ACA100" s="11"/>
      <c r="ACB100" s="11"/>
      <c r="ACC100" s="11"/>
      <c r="ACD100" s="11"/>
      <c r="ACE100" s="11"/>
      <c r="ACF100" s="11"/>
      <c r="ACG100" s="11"/>
      <c r="ACH100" s="11"/>
      <c r="ACI100" s="11"/>
      <c r="ACJ100" s="11"/>
      <c r="ACK100" s="11"/>
      <c r="ACL100" s="11"/>
      <c r="ACM100" s="11"/>
      <c r="ACN100" s="11"/>
      <c r="ACO100" s="11"/>
      <c r="ACP100" s="11"/>
      <c r="ACQ100" s="11"/>
      <c r="ACR100" s="11"/>
      <c r="ACS100" s="11"/>
      <c r="ACT100" s="11"/>
      <c r="ACU100" s="11"/>
      <c r="ACV100" s="11"/>
      <c r="ACW100" s="11"/>
      <c r="ACX100" s="11"/>
      <c r="ACY100" s="11"/>
      <c r="ACZ100" s="11"/>
      <c r="ADA100" s="11"/>
      <c r="ADB100" s="11"/>
      <c r="ADC100" s="11"/>
      <c r="ADD100" s="11"/>
      <c r="ADE100" s="11"/>
      <c r="ADF100" s="11"/>
      <c r="ADG100" s="11"/>
      <c r="ADH100" s="11"/>
      <c r="ADI100" s="11"/>
      <c r="ADJ100" s="11"/>
      <c r="ADK100" s="11"/>
      <c r="ADL100" s="11"/>
      <c r="ADM100" s="11"/>
      <c r="ADN100" s="11"/>
      <c r="ADO100" s="11"/>
      <c r="ADP100" s="11"/>
      <c r="ADQ100" s="11"/>
      <c r="ADR100" s="11"/>
      <c r="ADS100" s="11"/>
      <c r="ADT100" s="11"/>
      <c r="ADU100" s="11"/>
      <c r="ADV100" s="11"/>
      <c r="ADW100" s="11"/>
      <c r="ADX100" s="11"/>
      <c r="ADY100" s="11"/>
      <c r="ADZ100" s="11"/>
      <c r="AEA100" s="11"/>
      <c r="AEB100" s="11"/>
      <c r="AEC100" s="11"/>
      <c r="AED100" s="11"/>
      <c r="AEE100" s="11"/>
      <c r="AEF100" s="11"/>
      <c r="AEG100" s="11"/>
      <c r="AEH100" s="11"/>
      <c r="AEI100" s="11"/>
      <c r="AEJ100" s="11"/>
      <c r="AEK100" s="11"/>
      <c r="AEL100" s="11"/>
      <c r="AEM100" s="11"/>
      <c r="AEN100" s="11"/>
      <c r="AEO100" s="11"/>
      <c r="AEP100" s="11"/>
      <c r="AEQ100" s="11"/>
      <c r="AER100" s="11"/>
      <c r="AES100" s="11"/>
      <c r="AET100" s="11"/>
      <c r="AEU100" s="11"/>
      <c r="AEV100" s="11"/>
      <c r="AEW100" s="11"/>
      <c r="AEX100" s="11"/>
      <c r="AEY100" s="11"/>
      <c r="AEZ100" s="11"/>
      <c r="AFA100" s="11"/>
      <c r="AFB100" s="11"/>
      <c r="AFC100" s="11"/>
      <c r="AFD100" s="11"/>
      <c r="AFE100" s="11"/>
      <c r="AFF100" s="11"/>
      <c r="AFG100" s="11"/>
      <c r="AFH100" s="11"/>
      <c r="AFI100" s="11"/>
    </row>
    <row r="101" spans="2:841">
      <c r="B101" s="11"/>
      <c r="C101" s="657"/>
      <c r="D101" s="289" t="s">
        <v>625</v>
      </c>
      <c r="E101" s="311">
        <f>SUMIFS(M_Datos!$N$47:$N$49,M_Datos!$O$47:$O$49,M_Lista!G19,M_Datos!$M$47:$M$49,M_Lista!$J$3)</f>
        <v>0</v>
      </c>
      <c r="F101" s="312" t="e">
        <f>IF(AND(M_FactoresComplement!$G$439="No",M_FactoresComplement!$G$441="No"),M_Cálculos_ND!E101*VLOOKUP(M_Datos!$E$12&amp;M_Cálculos_ND!D101,M_Factores!$M$10:$P$108,2,FALSE),IF(AND(M_FactoresComplement!$G$439="Sí",M_FactoresComplement!$G$441="No"),E101*M_FactoresComplement!G461,E101*VLOOKUP(M_FactoresComplement!$C$467&amp;M_Datos!$E$12&amp;M_Lista!G18,M_FactoresComplement!$F$446:$I$781,2,FALSE)))</f>
        <v>#N/A</v>
      </c>
      <c r="G101" s="313" t="e">
        <f>IF(AND(M_FactoresComplement!$G$439="No",M_FactoresComplement!$G$441="No"),M_Cálculos_ND!E101*VLOOKUP(M_Datos!$E$12&amp;M_Cálculos_ND!D101,M_Factores!$M$10:$P$108,3,FALSE),IF(AND(M_FactoresComplement!$G$439="Sí",M_FactoresComplement!$G$441="No"),E101*M_FactoresComplement!H461,E101*VLOOKUP(M_FactoresComplement!$C$467&amp;M_Datos!$E$12&amp;M_Lista!G18,M_FactoresComplement!$F$446:$I$781,3,FALSE)))</f>
        <v>#N/A</v>
      </c>
      <c r="H101" s="311">
        <f>SUMIFS(M_Datos!$P$47:$P$49,M_Datos!$Q$47:$Q$49,M_Lista!G19,M_Datos!$M$47:$M$49,M_Lista!$J$3)</f>
        <v>0</v>
      </c>
      <c r="I101" s="312" t="e">
        <f>IF(AND(M_FactoresComplement!$G$439="No",M_FactoresComplement!$G$441="No"),M_Cálculos_ND!H101*VLOOKUP(M_Datos!$E$12&amp;M_Cálculos_ND!D101,M_Factores!$M$10:$P$108,2,FALSE),IF(AND(M_FactoresComplement!$G$439="Sí",M_FactoresComplement!$G$441="No"),H101*M_FactoresComplement!G461,H101*VLOOKUP(M_FactoresComplement!$C$467&amp;M_Datos!$E$12&amp;M_Lista!G18,M_FactoresComplement!$F$446:$I$781,2,FALSE)))</f>
        <v>#N/A</v>
      </c>
      <c r="J101" s="313" t="e">
        <f>IF(AND(M_FactoresComplement!$G$439="No",M_FactoresComplement!$G$441="No"),M_Cálculos_ND!H101*VLOOKUP(M_Datos!$E$12&amp;M_Cálculos_ND!D101,M_Factores!$M$10:$P$108,3,FALSE),IF(AND(M_FactoresComplement!$G$439="Sí",M_FactoresComplement!$G$441="No"),H101*M_FactoresComplement!H461,H101*VLOOKUP(M_FactoresComplement!$C$467&amp;M_Datos!$E$12&amp;M_Lista!G18,M_FactoresComplement!$F$446:$I$781,3,FALSE)))</f>
        <v>#N/A</v>
      </c>
      <c r="K101" s="311">
        <f>SUMIFS(M_Datos!$R$47:$R$49,M_Datos!$S$47:$S$49,M_Lista!G19,M_Datos!$M$47:$M$49,M_Lista!$J$3)</f>
        <v>0</v>
      </c>
      <c r="L101" s="312" t="e">
        <f>IF(AND(M_FactoresComplement!$G$439="No",M_FactoresComplement!$G$441="No"),M_Cálculos_ND!K101*VLOOKUP(M_Datos!$E$12&amp;M_Cálculos_ND!D101,M_Factores!$M$10:$P$108,2,FALSE),IF(AND(M_FactoresComplement!$G$439="Sí",M_FactoresComplement!$G$441="No"),K101*M_FactoresComplement!G461,K101*VLOOKUP(M_FactoresComplement!$C$467&amp;M_Datos!$E$12&amp;M_Lista!G18,M_FactoresComplement!$F$446:$I$781,2,FALSE)))</f>
        <v>#N/A</v>
      </c>
      <c r="M101" s="313" t="e">
        <f>IF(AND(M_FactoresComplement!$G$439="No",M_FactoresComplement!$G$441="No"),M_Cálculos_ND!K101*VLOOKUP(M_Datos!$E$12&amp;M_Cálculos_ND!D101,M_Factores!$M$10:$P$108,3,FALSE),IF(AND(M_FactoresComplement!$G$439="Sí",M_FactoresComplement!$G$441="No"),K101*M_FactoresComplement!H461,K101*VLOOKUP(M_FactoresComplement!$C$467&amp;M_Datos!$E$12&amp;M_Lista!G18,M_FactoresComplement!$F$446:$I$781,3,FALSE)))</f>
        <v>#N/A</v>
      </c>
      <c r="N101" s="311">
        <f>SUMIFS(M_Datos!$T$47:$T$49,M_Datos!$U$47:$U$49,M_Lista!G19,M_Datos!$M$47:$M$49,M_Lista!$J$3)</f>
        <v>0</v>
      </c>
      <c r="O101" s="312" t="e">
        <f>IF(AND(M_FactoresComplement!$G$439="No",M_FactoresComplement!$G$441="No"),M_Cálculos_ND!N101*VLOOKUP(M_Datos!$E$12&amp;M_Cálculos_ND!D101,M_Factores!$M$10:$P$108,2,FALSE),IF(AND(M_FactoresComplement!$G$439="Sí",M_FactoresComplement!$G$441="No"),N101*M_FactoresComplement!G461,N101*VLOOKUP(M_FactoresComplement!$C$467&amp;M_Datos!$E$12&amp;M_Lista!G18,M_FactoresComplement!$F$446:$I$781,2,FALSE)))</f>
        <v>#N/A</v>
      </c>
      <c r="P101" s="313" t="e">
        <f>IF(AND(M_FactoresComplement!$G$439="No",M_FactoresComplement!$G$441="No"),M_Cálculos_ND!N101*VLOOKUP(M_Datos!$E$12&amp;M_Cálculos_ND!D101,M_Factores!$M$10:$P$108,3,FALSE),IF(AND(M_FactoresComplement!$G$439="Sí",M_FactoresComplement!$G$441="No"),N101*M_FactoresComplement!H461,N101*VLOOKUP(M_FactoresComplement!$C$467&amp;M_Datos!$E$12&amp;M_Lista!G18,M_FactoresComplement!$F$446:$I$781,3,FALSE)))</f>
        <v>#N/A</v>
      </c>
      <c r="Q101" s="311">
        <f>SUMIFS(M_Datos!$V$47:$V$49,M_Datos!$W$47:$W$49,M_Lista!G19,M_Datos!$M$47:$M$49,M_Lista!$J$3)</f>
        <v>0</v>
      </c>
      <c r="R101" s="312" t="e">
        <f>IF(AND(M_FactoresComplement!$G$439="No",M_FactoresComplement!$G$441="No"),M_Cálculos_ND!Q101*VLOOKUP(M_Datos!$E$12&amp;M_Cálculos_ND!D101,M_Factores!$M$10:$P$108,2,FALSE),IF(AND(M_FactoresComplement!$G$439="Sí",M_FactoresComplement!$G$441="No"),Q101*M_FactoresComplement!G461,Q101*VLOOKUP(M_FactoresComplement!$C$467&amp;M_Datos!$E$12&amp;M_Lista!G18,M_FactoresComplement!$F$446:$I$781,2,FALSE)))</f>
        <v>#N/A</v>
      </c>
      <c r="S101" s="313" t="e">
        <f>IF(AND(M_FactoresComplement!$G$439="No",M_FactoresComplement!$G$441="No"),M_Cálculos_ND!Q101*VLOOKUP(M_Datos!$E$12&amp;M_Cálculos_ND!D101,M_Factores!$M$10:$P$108,3,FALSE),IF(AND(M_FactoresComplement!$G$439="Sí",M_FactoresComplement!$G$441="No"),Q101*M_FactoresComplement!H461,Q101*VLOOKUP(M_FactoresComplement!$C$467&amp;M_Datos!$E$12&amp;M_Lista!G18,M_FactoresComplement!$F$446:$I$781,3,FALSE)))</f>
        <v>#N/A</v>
      </c>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1"/>
      <c r="JA101" s="11"/>
      <c r="JB101" s="11"/>
      <c r="JC101" s="11"/>
      <c r="JD101" s="11"/>
      <c r="JE101" s="11"/>
      <c r="JF101" s="11"/>
      <c r="JG101" s="11"/>
      <c r="JH101" s="11"/>
      <c r="JI101" s="11"/>
      <c r="JJ101" s="11"/>
      <c r="JK101" s="11"/>
      <c r="JL101" s="11"/>
      <c r="JM101" s="11"/>
      <c r="JN101" s="11"/>
      <c r="JO101" s="11"/>
      <c r="JP101" s="11"/>
      <c r="JQ101" s="11"/>
      <c r="JR101" s="11"/>
      <c r="JS101" s="11"/>
      <c r="JT101" s="11"/>
      <c r="JU101" s="11"/>
      <c r="JV101" s="11"/>
      <c r="JW101" s="11"/>
      <c r="JX101" s="11"/>
      <c r="JY101" s="11"/>
      <c r="JZ101" s="11"/>
      <c r="KA101" s="11"/>
      <c r="KB101" s="11"/>
      <c r="KC101" s="11"/>
      <c r="KD101" s="11"/>
      <c r="KE101" s="11"/>
      <c r="KF101" s="11"/>
      <c r="KG101" s="11"/>
      <c r="KH101" s="11"/>
      <c r="KI101" s="11"/>
      <c r="KJ101" s="11"/>
      <c r="KK101" s="11"/>
      <c r="KL101" s="11"/>
      <c r="KM101" s="11"/>
      <c r="KN101" s="11"/>
      <c r="KO101" s="11"/>
      <c r="KP101" s="11"/>
      <c r="KQ101" s="11"/>
      <c r="KR101" s="11"/>
      <c r="KS101" s="11"/>
      <c r="KT101" s="11"/>
      <c r="KU101" s="11"/>
      <c r="KV101" s="11"/>
      <c r="KW101" s="11"/>
      <c r="KX101" s="11"/>
      <c r="KY101" s="11"/>
      <c r="KZ101" s="11"/>
      <c r="LA101" s="11"/>
      <c r="LB101" s="11"/>
      <c r="LC101" s="11"/>
      <c r="LD101" s="11"/>
      <c r="LE101" s="11"/>
      <c r="LF101" s="11"/>
      <c r="LG101" s="11"/>
      <c r="LH101" s="11"/>
      <c r="LI101" s="11"/>
      <c r="LJ101" s="11"/>
      <c r="LK101" s="11"/>
      <c r="LL101" s="11"/>
      <c r="LM101" s="11"/>
      <c r="LN101" s="11"/>
      <c r="LO101" s="11"/>
      <c r="LP101" s="11"/>
      <c r="LQ101" s="11"/>
      <c r="LR101" s="11"/>
      <c r="LS101" s="11"/>
      <c r="LT101" s="11"/>
      <c r="LU101" s="11"/>
      <c r="LV101" s="11"/>
      <c r="LW101" s="11"/>
      <c r="LX101" s="11"/>
      <c r="LY101" s="11"/>
      <c r="LZ101" s="11"/>
      <c r="MA101" s="11"/>
      <c r="MB101" s="11"/>
      <c r="MC101" s="11"/>
      <c r="MD101" s="11"/>
      <c r="ME101" s="11"/>
      <c r="MF101" s="11"/>
      <c r="MG101" s="11"/>
      <c r="MH101" s="11"/>
      <c r="MI101" s="11"/>
      <c r="MJ101" s="11"/>
      <c r="MK101" s="11"/>
      <c r="ML101" s="11"/>
      <c r="MM101" s="11"/>
      <c r="MN101" s="11"/>
      <c r="MO101" s="11"/>
      <c r="MP101" s="11"/>
      <c r="MQ101" s="11"/>
      <c r="MR101" s="11"/>
      <c r="MS101" s="11"/>
      <c r="MT101" s="11"/>
      <c r="MU101" s="11"/>
      <c r="MV101" s="11"/>
      <c r="MW101" s="11"/>
      <c r="MX101" s="11"/>
      <c r="MY101" s="11"/>
      <c r="MZ101" s="11"/>
      <c r="NA101" s="11"/>
      <c r="NB101" s="11"/>
      <c r="NC101" s="11"/>
      <c r="ND101" s="11"/>
      <c r="NE101" s="11"/>
      <c r="NF101" s="11"/>
      <c r="NG101" s="11"/>
      <c r="NH101" s="11"/>
      <c r="NI101" s="11"/>
      <c r="NJ101" s="11"/>
      <c r="NK101" s="11"/>
      <c r="NL101" s="11"/>
      <c r="NM101" s="11"/>
      <c r="NN101" s="11"/>
      <c r="NO101" s="11"/>
      <c r="NP101" s="11"/>
      <c r="NQ101" s="11"/>
      <c r="NR101" s="11"/>
      <c r="NS101" s="11"/>
      <c r="NT101" s="11"/>
      <c r="NU101" s="11"/>
      <c r="NV101" s="11"/>
      <c r="NW101" s="11"/>
      <c r="NX101" s="11"/>
      <c r="NY101" s="11"/>
      <c r="NZ101" s="11"/>
      <c r="OA101" s="11"/>
      <c r="OB101" s="11"/>
      <c r="OC101" s="11"/>
      <c r="OD101" s="11"/>
      <c r="OE101" s="11"/>
      <c r="OF101" s="11"/>
      <c r="OG101" s="11"/>
      <c r="OH101" s="11"/>
      <c r="OI101" s="11"/>
      <c r="OJ101" s="11"/>
      <c r="OK101" s="11"/>
      <c r="OL101" s="11"/>
      <c r="OM101" s="11"/>
      <c r="ON101" s="11"/>
      <c r="OO101" s="11"/>
      <c r="OP101" s="11"/>
      <c r="OQ101" s="11"/>
      <c r="OR101" s="11"/>
      <c r="OS101" s="11"/>
      <c r="OT101" s="11"/>
      <c r="OU101" s="11"/>
      <c r="OV101" s="11"/>
      <c r="OW101" s="11"/>
      <c r="OX101" s="11"/>
      <c r="OY101" s="11"/>
      <c r="OZ101" s="11"/>
      <c r="PA101" s="11"/>
      <c r="PB101" s="11"/>
      <c r="PC101" s="11"/>
      <c r="PD101" s="11"/>
      <c r="PE101" s="11"/>
      <c r="PF101" s="11"/>
      <c r="PG101" s="11"/>
      <c r="PH101" s="11"/>
      <c r="PI101" s="11"/>
      <c r="PJ101" s="11"/>
      <c r="PK101" s="11"/>
      <c r="PL101" s="11"/>
      <c r="PM101" s="11"/>
      <c r="PN101" s="11"/>
      <c r="PO101" s="11"/>
      <c r="PP101" s="11"/>
      <c r="PQ101" s="11"/>
      <c r="PR101" s="11"/>
      <c r="PS101" s="11"/>
      <c r="PT101" s="11"/>
      <c r="PU101" s="11"/>
      <c r="PV101" s="11"/>
      <c r="PW101" s="11"/>
      <c r="PX101" s="11"/>
      <c r="PY101" s="11"/>
      <c r="PZ101" s="11"/>
      <c r="QA101" s="11"/>
      <c r="QB101" s="11"/>
      <c r="QC101" s="11"/>
      <c r="QD101" s="11"/>
      <c r="QE101" s="11"/>
      <c r="QF101" s="11"/>
      <c r="QG101" s="11"/>
      <c r="QH101" s="11"/>
      <c r="QI101" s="11"/>
      <c r="QJ101" s="11"/>
      <c r="QK101" s="11"/>
      <c r="QL101" s="11"/>
      <c r="QM101" s="11"/>
      <c r="QN101" s="11"/>
      <c r="QO101" s="11"/>
      <c r="QP101" s="11"/>
      <c r="QQ101" s="11"/>
      <c r="QR101" s="11"/>
      <c r="QS101" s="11"/>
      <c r="QT101" s="11"/>
      <c r="QU101" s="11"/>
      <c r="QV101" s="11"/>
      <c r="QW101" s="11"/>
      <c r="QX101" s="11"/>
      <c r="QY101" s="11"/>
      <c r="QZ101" s="11"/>
      <c r="RA101" s="11"/>
      <c r="RB101" s="11"/>
      <c r="RC101" s="11"/>
      <c r="RD101" s="11"/>
      <c r="RE101" s="11"/>
      <c r="RF101" s="11"/>
      <c r="RG101" s="11"/>
      <c r="RH101" s="11"/>
      <c r="RI101" s="11"/>
      <c r="RJ101" s="11"/>
      <c r="RK101" s="11"/>
      <c r="RL101" s="11"/>
      <c r="RM101" s="11"/>
      <c r="RN101" s="11"/>
      <c r="RO101" s="11"/>
      <c r="RP101" s="11"/>
      <c r="RQ101" s="11"/>
      <c r="RR101" s="11"/>
      <c r="RS101" s="11"/>
      <c r="RT101" s="11"/>
      <c r="RU101" s="11"/>
      <c r="RV101" s="11"/>
      <c r="RW101" s="11"/>
      <c r="RX101" s="11"/>
      <c r="RY101" s="11"/>
      <c r="RZ101" s="11"/>
      <c r="SA101" s="11"/>
      <c r="SB101" s="11"/>
      <c r="SC101" s="11"/>
      <c r="SD101" s="11"/>
      <c r="SE101" s="11"/>
      <c r="SF101" s="11"/>
      <c r="SG101" s="11"/>
      <c r="SH101" s="11"/>
      <c r="SI101" s="11"/>
      <c r="SJ101" s="11"/>
      <c r="SK101" s="11"/>
      <c r="SL101" s="11"/>
      <c r="SM101" s="11"/>
      <c r="SN101" s="11"/>
      <c r="SO101" s="11"/>
      <c r="SP101" s="11"/>
      <c r="SQ101" s="11"/>
      <c r="SR101" s="11"/>
      <c r="SS101" s="11"/>
      <c r="ST101" s="11"/>
      <c r="SU101" s="11"/>
      <c r="SV101" s="11"/>
      <c r="SW101" s="11"/>
      <c r="SX101" s="11"/>
      <c r="SY101" s="11"/>
      <c r="SZ101" s="11"/>
      <c r="TA101" s="11"/>
      <c r="TB101" s="11"/>
      <c r="TC101" s="11"/>
      <c r="TD101" s="11"/>
      <c r="TE101" s="11"/>
      <c r="TF101" s="11"/>
      <c r="TG101" s="11"/>
      <c r="TH101" s="11"/>
      <c r="TI101" s="11"/>
      <c r="TJ101" s="11"/>
      <c r="TK101" s="11"/>
      <c r="TL101" s="11"/>
      <c r="TM101" s="11"/>
      <c r="TN101" s="11"/>
      <c r="TO101" s="11"/>
      <c r="TP101" s="11"/>
      <c r="TQ101" s="11"/>
      <c r="TR101" s="11"/>
      <c r="TS101" s="11"/>
      <c r="TT101" s="11"/>
      <c r="TU101" s="11"/>
      <c r="TV101" s="11"/>
      <c r="TW101" s="11"/>
      <c r="TX101" s="11"/>
      <c r="TY101" s="11"/>
      <c r="TZ101" s="11"/>
      <c r="UA101" s="11"/>
      <c r="UB101" s="11"/>
      <c r="UC101" s="11"/>
      <c r="UD101" s="11"/>
      <c r="UE101" s="11"/>
      <c r="UF101" s="11"/>
      <c r="UG101" s="11"/>
      <c r="UH101" s="11"/>
      <c r="UI101" s="11"/>
      <c r="UJ101" s="11"/>
      <c r="UK101" s="11"/>
      <c r="UL101" s="11"/>
      <c r="UM101" s="11"/>
      <c r="UN101" s="11"/>
      <c r="UO101" s="11"/>
      <c r="UP101" s="11"/>
      <c r="UQ101" s="11"/>
      <c r="UR101" s="11"/>
      <c r="US101" s="11"/>
      <c r="UT101" s="11"/>
      <c r="UU101" s="11"/>
      <c r="UV101" s="11"/>
      <c r="UW101" s="11"/>
      <c r="UX101" s="11"/>
      <c r="UY101" s="11"/>
      <c r="UZ101" s="11"/>
      <c r="VA101" s="11"/>
      <c r="VB101" s="11"/>
      <c r="VC101" s="11"/>
      <c r="VD101" s="11"/>
      <c r="VE101" s="11"/>
      <c r="VF101" s="11"/>
      <c r="VG101" s="11"/>
      <c r="VH101" s="11"/>
      <c r="VI101" s="11"/>
      <c r="VJ101" s="11"/>
      <c r="VK101" s="11"/>
      <c r="VL101" s="11"/>
      <c r="VM101" s="11"/>
      <c r="VN101" s="11"/>
      <c r="VO101" s="11"/>
      <c r="VP101" s="11"/>
      <c r="VQ101" s="11"/>
      <c r="VR101" s="11"/>
      <c r="VS101" s="11"/>
      <c r="VT101" s="11"/>
      <c r="VU101" s="11"/>
      <c r="VV101" s="11"/>
      <c r="VW101" s="11"/>
      <c r="VX101" s="11"/>
      <c r="VY101" s="11"/>
      <c r="VZ101" s="11"/>
      <c r="WA101" s="11"/>
      <c r="WB101" s="11"/>
      <c r="WC101" s="11"/>
      <c r="WD101" s="11"/>
      <c r="WE101" s="11"/>
      <c r="WF101" s="11"/>
      <c r="WG101" s="11"/>
      <c r="WH101" s="11"/>
      <c r="WI101" s="11"/>
      <c r="WJ101" s="11"/>
      <c r="WK101" s="11"/>
      <c r="WL101" s="11"/>
      <c r="WM101" s="11"/>
      <c r="WN101" s="11"/>
      <c r="WO101" s="11"/>
      <c r="WP101" s="11"/>
      <c r="WQ101" s="11"/>
      <c r="WR101" s="11"/>
      <c r="WS101" s="11"/>
      <c r="WT101" s="11"/>
      <c r="WU101" s="11"/>
      <c r="WV101" s="11"/>
      <c r="WW101" s="11"/>
      <c r="WX101" s="11"/>
      <c r="WY101" s="11"/>
      <c r="WZ101" s="11"/>
      <c r="XA101" s="11"/>
      <c r="XB101" s="11"/>
      <c r="XC101" s="11"/>
      <c r="XD101" s="11"/>
      <c r="XE101" s="11"/>
      <c r="XF101" s="11"/>
      <c r="XG101" s="11"/>
      <c r="XH101" s="11"/>
      <c r="XI101" s="11"/>
      <c r="XJ101" s="11"/>
      <c r="XK101" s="11"/>
      <c r="XL101" s="11"/>
      <c r="XM101" s="11"/>
      <c r="XN101" s="11"/>
      <c r="XO101" s="11"/>
      <c r="XP101" s="11"/>
      <c r="XQ101" s="11"/>
      <c r="XR101" s="11"/>
      <c r="XS101" s="11"/>
      <c r="XT101" s="11"/>
      <c r="XU101" s="11"/>
      <c r="XV101" s="11"/>
      <c r="XW101" s="11"/>
      <c r="XX101" s="11"/>
      <c r="XY101" s="11"/>
      <c r="XZ101" s="11"/>
      <c r="YA101" s="11"/>
      <c r="YB101" s="11"/>
      <c r="YC101" s="11"/>
      <c r="YD101" s="11"/>
      <c r="YE101" s="11"/>
      <c r="YF101" s="11"/>
      <c r="YG101" s="11"/>
      <c r="YH101" s="11"/>
      <c r="YI101" s="11"/>
      <c r="YJ101" s="11"/>
      <c r="YK101" s="11"/>
      <c r="YL101" s="11"/>
      <c r="YM101" s="11"/>
      <c r="YN101" s="11"/>
      <c r="YO101" s="11"/>
      <c r="YP101" s="11"/>
      <c r="YQ101" s="11"/>
      <c r="YR101" s="11"/>
      <c r="YS101" s="11"/>
      <c r="YT101" s="11"/>
      <c r="YU101" s="11"/>
      <c r="YV101" s="11"/>
      <c r="YW101" s="11"/>
      <c r="YX101" s="11"/>
      <c r="YY101" s="11"/>
      <c r="YZ101" s="11"/>
      <c r="ZA101" s="11"/>
      <c r="ZB101" s="11"/>
      <c r="ZC101" s="11"/>
      <c r="ZD101" s="11"/>
      <c r="ZE101" s="11"/>
      <c r="ZF101" s="11"/>
      <c r="ZG101" s="11"/>
      <c r="ZH101" s="11"/>
      <c r="ZI101" s="11"/>
      <c r="ZJ101" s="11"/>
      <c r="ZK101" s="11"/>
      <c r="ZL101" s="11"/>
      <c r="ZM101" s="11"/>
      <c r="ZN101" s="11"/>
      <c r="ZO101" s="11"/>
      <c r="ZP101" s="11"/>
      <c r="ZQ101" s="11"/>
      <c r="ZR101" s="11"/>
      <c r="ZS101" s="11"/>
      <c r="ZT101" s="11"/>
      <c r="ZU101" s="11"/>
      <c r="ZV101" s="11"/>
      <c r="ZW101" s="11"/>
      <c r="ZX101" s="11"/>
      <c r="ZY101" s="11"/>
      <c r="ZZ101" s="11"/>
      <c r="AAA101" s="11"/>
      <c r="AAB101" s="11"/>
      <c r="AAC101" s="11"/>
      <c r="AAD101" s="11"/>
      <c r="AAE101" s="11"/>
      <c r="AAF101" s="11"/>
      <c r="AAG101" s="11"/>
      <c r="AAH101" s="11"/>
      <c r="AAI101" s="11"/>
      <c r="AAJ101" s="11"/>
      <c r="AAK101" s="11"/>
      <c r="AAL101" s="11"/>
      <c r="AAM101" s="11"/>
      <c r="AAN101" s="11"/>
      <c r="AAO101" s="11"/>
      <c r="AAP101" s="11"/>
      <c r="AAQ101" s="11"/>
      <c r="AAR101" s="11"/>
      <c r="AAS101" s="11"/>
      <c r="AAT101" s="11"/>
      <c r="AAU101" s="11"/>
      <c r="AAV101" s="11"/>
      <c r="AAW101" s="11"/>
      <c r="AAX101" s="11"/>
      <c r="AAY101" s="11"/>
      <c r="AAZ101" s="11"/>
      <c r="ABA101" s="11"/>
      <c r="ABB101" s="11"/>
      <c r="ABC101" s="11"/>
      <c r="ABD101" s="11"/>
      <c r="ABE101" s="11"/>
      <c r="ABF101" s="11"/>
      <c r="ABG101" s="11"/>
      <c r="ABH101" s="11"/>
      <c r="ABI101" s="11"/>
      <c r="ABJ101" s="11"/>
      <c r="ABK101" s="11"/>
      <c r="ABL101" s="11"/>
      <c r="ABM101" s="11"/>
      <c r="ABN101" s="11"/>
      <c r="ABO101" s="11"/>
      <c r="ABP101" s="11"/>
      <c r="ABQ101" s="11"/>
      <c r="ABR101" s="11"/>
      <c r="ABS101" s="11"/>
      <c r="ABT101" s="11"/>
      <c r="ABU101" s="11"/>
      <c r="ABV101" s="11"/>
      <c r="ABW101" s="11"/>
      <c r="ABX101" s="11"/>
      <c r="ABY101" s="11"/>
      <c r="ABZ101" s="11"/>
      <c r="ACA101" s="11"/>
      <c r="ACB101" s="11"/>
      <c r="ACC101" s="11"/>
      <c r="ACD101" s="11"/>
      <c r="ACE101" s="11"/>
      <c r="ACF101" s="11"/>
      <c r="ACG101" s="11"/>
      <c r="ACH101" s="11"/>
      <c r="ACI101" s="11"/>
      <c r="ACJ101" s="11"/>
      <c r="ACK101" s="11"/>
      <c r="ACL101" s="11"/>
      <c r="ACM101" s="11"/>
      <c r="ACN101" s="11"/>
      <c r="ACO101" s="11"/>
      <c r="ACP101" s="11"/>
      <c r="ACQ101" s="11"/>
      <c r="ACR101" s="11"/>
      <c r="ACS101" s="11"/>
      <c r="ACT101" s="11"/>
      <c r="ACU101" s="11"/>
      <c r="ACV101" s="11"/>
      <c r="ACW101" s="11"/>
      <c r="ACX101" s="11"/>
      <c r="ACY101" s="11"/>
      <c r="ACZ101" s="11"/>
      <c r="ADA101" s="11"/>
      <c r="ADB101" s="11"/>
      <c r="ADC101" s="11"/>
      <c r="ADD101" s="11"/>
      <c r="ADE101" s="11"/>
      <c r="ADF101" s="11"/>
      <c r="ADG101" s="11"/>
      <c r="ADH101" s="11"/>
      <c r="ADI101" s="11"/>
      <c r="ADJ101" s="11"/>
      <c r="ADK101" s="11"/>
      <c r="ADL101" s="11"/>
      <c r="ADM101" s="11"/>
      <c r="ADN101" s="11"/>
      <c r="ADO101" s="11"/>
      <c r="ADP101" s="11"/>
      <c r="ADQ101" s="11"/>
      <c r="ADR101" s="11"/>
      <c r="ADS101" s="11"/>
      <c r="ADT101" s="11"/>
      <c r="ADU101" s="11"/>
      <c r="ADV101" s="11"/>
      <c r="ADW101" s="11"/>
      <c r="ADX101" s="11"/>
      <c r="ADY101" s="11"/>
      <c r="ADZ101" s="11"/>
      <c r="AEA101" s="11"/>
      <c r="AEB101" s="11"/>
      <c r="AEC101" s="11"/>
      <c r="AED101" s="11"/>
      <c r="AEE101" s="11"/>
      <c r="AEF101" s="11"/>
      <c r="AEG101" s="11"/>
      <c r="AEH101" s="11"/>
      <c r="AEI101" s="11"/>
      <c r="AEJ101" s="11"/>
      <c r="AEK101" s="11"/>
      <c r="AEL101" s="11"/>
      <c r="AEM101" s="11"/>
      <c r="AEN101" s="11"/>
      <c r="AEO101" s="11"/>
      <c r="AEP101" s="11"/>
      <c r="AEQ101" s="11"/>
      <c r="AER101" s="11"/>
      <c r="AES101" s="11"/>
      <c r="AET101" s="11"/>
      <c r="AEU101" s="11"/>
      <c r="AEV101" s="11"/>
      <c r="AEW101" s="11"/>
      <c r="AEX101" s="11"/>
      <c r="AEY101" s="11"/>
      <c r="AEZ101" s="11"/>
      <c r="AFA101" s="11"/>
      <c r="AFB101" s="11"/>
      <c r="AFC101" s="11"/>
      <c r="AFD101" s="11"/>
      <c r="AFE101" s="11"/>
      <c r="AFF101" s="11"/>
      <c r="AFG101" s="11"/>
      <c r="AFH101" s="11"/>
      <c r="AFI101" s="11"/>
    </row>
    <row r="102" spans="2:841">
      <c r="B102" s="11"/>
      <c r="C102" s="657"/>
      <c r="D102" s="289" t="s">
        <v>626</v>
      </c>
      <c r="E102" s="311">
        <f>SUMIFS(M_Datos!$N$47:$N$49,M_Datos!$O$47:$O$49,M_Lista!G20,M_Datos!$M$47:$M$49,M_Lista!$J$3)</f>
        <v>0</v>
      </c>
      <c r="F102" s="312" t="e">
        <f>IF(AND(M_FactoresComplement!$G$439="No",M_FactoresComplement!$G$441="No"),M_Cálculos_ND!E102*VLOOKUP(M_Datos!$E$12&amp;M_Cálculos_ND!D102,M_Factores!$M$10:$P$108,2,FALSE),IF(AND(M_FactoresComplement!$G$439="Sí",M_FactoresComplement!$G$441="No"),E102*M_FactoresComplement!G462,E102*VLOOKUP(M_FactoresComplement!$C$467&amp;M_Datos!$E$12&amp;M_Lista!G19,M_FactoresComplement!$F$446:$I$781,2,FALSE)))</f>
        <v>#N/A</v>
      </c>
      <c r="G102" s="313" t="e">
        <f>IF(AND(M_FactoresComplement!$G$439="No",M_FactoresComplement!$G$441="No"),M_Cálculos_ND!E102*VLOOKUP(M_Datos!$E$12&amp;M_Cálculos_ND!D102,M_Factores!$M$10:$P$108,3,FALSE),IF(AND(M_FactoresComplement!$G$439="Sí",M_FactoresComplement!$G$441="No"),E102*M_FactoresComplement!H462,E102*VLOOKUP(M_FactoresComplement!$C$467&amp;M_Datos!$E$12&amp;M_Lista!G19,M_FactoresComplement!$F$446:$I$781,3,FALSE)))</f>
        <v>#N/A</v>
      </c>
      <c r="H102" s="311">
        <f>SUMIFS(M_Datos!$P$47:$P$49,M_Datos!$Q$47:$Q$49,M_Lista!G20,M_Datos!$M$47:$M$49,M_Lista!$J$3)</f>
        <v>0</v>
      </c>
      <c r="I102" s="312" t="e">
        <f>IF(AND(M_FactoresComplement!$G$439="No",M_FactoresComplement!$G$441="No"),M_Cálculos_ND!H102*VLOOKUP(M_Datos!$E$12&amp;M_Cálculos_ND!D102,M_Factores!$M$10:$P$108,2,FALSE),IF(AND(M_FactoresComplement!$G$439="Sí",M_FactoresComplement!$G$441="No"),H102*M_FactoresComplement!G462,H102*VLOOKUP(M_FactoresComplement!$C$467&amp;M_Datos!$E$12&amp;M_Lista!G19,M_FactoresComplement!$F$446:$I$781,2,FALSE)))</f>
        <v>#N/A</v>
      </c>
      <c r="J102" s="313" t="e">
        <f>IF(AND(M_FactoresComplement!$G$439="No",M_FactoresComplement!$G$441="No"),M_Cálculos_ND!H102*VLOOKUP(M_Datos!$E$12&amp;M_Cálculos_ND!D102,M_Factores!$M$10:$P$108,3,FALSE),IF(AND(M_FactoresComplement!$G$439="Sí",M_FactoresComplement!$G$441="No"),H102*M_FactoresComplement!H462,H102*VLOOKUP(M_FactoresComplement!$C$467&amp;M_Datos!$E$12&amp;M_Lista!G19,M_FactoresComplement!$F$446:$I$781,3,FALSE)))</f>
        <v>#N/A</v>
      </c>
      <c r="K102" s="311">
        <f>SUMIFS(M_Datos!$R$47:$R$49,M_Datos!$S$47:$S$49,M_Lista!G20,M_Datos!$M$47:$M$49,M_Lista!$J$3)</f>
        <v>0</v>
      </c>
      <c r="L102" s="312" t="e">
        <f>IF(AND(M_FactoresComplement!$G$439="No",M_FactoresComplement!$G$441="No"),M_Cálculos_ND!K102*VLOOKUP(M_Datos!$E$12&amp;M_Cálculos_ND!D102,M_Factores!$M$10:$P$108,2,FALSE),IF(AND(M_FactoresComplement!$G$439="Sí",M_FactoresComplement!$G$441="No"),K102*M_FactoresComplement!G462,K102*VLOOKUP(M_FactoresComplement!$C$467&amp;M_Datos!$E$12&amp;M_Lista!G19,M_FactoresComplement!$F$446:$I$781,2,FALSE)))</f>
        <v>#N/A</v>
      </c>
      <c r="M102" s="313" t="e">
        <f>IF(AND(M_FactoresComplement!$G$439="No",M_FactoresComplement!$G$441="No"),M_Cálculos_ND!K102*VLOOKUP(M_Datos!$E$12&amp;M_Cálculos_ND!D102,M_Factores!$M$10:$P$108,3,FALSE),IF(AND(M_FactoresComplement!$G$439="Sí",M_FactoresComplement!$G$441="No"),K102*M_FactoresComplement!H462,K102*VLOOKUP(M_FactoresComplement!$C$467&amp;M_Datos!$E$12&amp;M_Lista!G19,M_FactoresComplement!$F$446:$I$781,3,FALSE)))</f>
        <v>#N/A</v>
      </c>
      <c r="N102" s="311">
        <f>SUMIFS(M_Datos!$T$47:$T$49,M_Datos!$U$47:$U$49,M_Lista!G20,M_Datos!$M$47:$M$49,M_Lista!$J$3)</f>
        <v>0</v>
      </c>
      <c r="O102" s="312" t="e">
        <f>IF(AND(M_FactoresComplement!$G$439="No",M_FactoresComplement!$G$441="No"),M_Cálculos_ND!N102*VLOOKUP(M_Datos!$E$12&amp;M_Cálculos_ND!D102,M_Factores!$M$10:$P$108,2,FALSE),IF(AND(M_FactoresComplement!$G$439="Sí",M_FactoresComplement!$G$441="No"),N102*M_FactoresComplement!G462,N102*VLOOKUP(M_FactoresComplement!$C$467&amp;M_Datos!$E$12&amp;M_Lista!G19,M_FactoresComplement!$F$446:$I$781,2,FALSE)))</f>
        <v>#N/A</v>
      </c>
      <c r="P102" s="313" t="e">
        <f>IF(AND(M_FactoresComplement!$G$439="No",M_FactoresComplement!$G$441="No"),M_Cálculos_ND!N102*VLOOKUP(M_Datos!$E$12&amp;M_Cálculos_ND!D102,M_Factores!$M$10:$P$108,3,FALSE),IF(AND(M_FactoresComplement!$G$439="Sí",M_FactoresComplement!$G$441="No"),N102*M_FactoresComplement!H462,N102*VLOOKUP(M_FactoresComplement!$C$467&amp;M_Datos!$E$12&amp;M_Lista!G19,M_FactoresComplement!$F$446:$I$781,3,FALSE)))</f>
        <v>#N/A</v>
      </c>
      <c r="Q102" s="311">
        <f>SUMIFS(M_Datos!$V$47:$V$49,M_Datos!$W$47:$W$49,M_Lista!G20,M_Datos!$M$47:$M$49,M_Lista!$J$3)</f>
        <v>0</v>
      </c>
      <c r="R102" s="312" t="e">
        <f>IF(AND(M_FactoresComplement!$G$439="No",M_FactoresComplement!$G$441="No"),M_Cálculos_ND!Q102*VLOOKUP(M_Datos!$E$12&amp;M_Cálculos_ND!D102,M_Factores!$M$10:$P$108,2,FALSE),IF(AND(M_FactoresComplement!$G$439="Sí",M_FactoresComplement!$G$441="No"),Q102*M_FactoresComplement!G462,Q102*VLOOKUP(M_FactoresComplement!$C$467&amp;M_Datos!$E$12&amp;M_Lista!G19,M_FactoresComplement!$F$446:$I$781,2,FALSE)))</f>
        <v>#N/A</v>
      </c>
      <c r="S102" s="313" t="e">
        <f>IF(AND(M_FactoresComplement!$G$439="No",M_FactoresComplement!$G$441="No"),M_Cálculos_ND!Q102*VLOOKUP(M_Datos!$E$12&amp;M_Cálculos_ND!D102,M_Factores!$M$10:$P$108,3,FALSE),IF(AND(M_FactoresComplement!$G$439="Sí",M_FactoresComplement!$G$441="No"),Q102*M_FactoresComplement!H462,Q102*VLOOKUP(M_FactoresComplement!$C$467&amp;M_Datos!$E$12&amp;M_Lista!G19,M_FactoresComplement!$F$446:$I$781,3,FALSE)))</f>
        <v>#N/A</v>
      </c>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1"/>
      <c r="JA102" s="11"/>
      <c r="JB102" s="11"/>
      <c r="JC102" s="11"/>
      <c r="JD102" s="11"/>
      <c r="JE102" s="11"/>
      <c r="JF102" s="11"/>
      <c r="JG102" s="11"/>
      <c r="JH102" s="11"/>
      <c r="JI102" s="11"/>
      <c r="JJ102" s="11"/>
      <c r="JK102" s="11"/>
      <c r="JL102" s="11"/>
      <c r="JM102" s="11"/>
      <c r="JN102" s="11"/>
      <c r="JO102" s="11"/>
      <c r="JP102" s="11"/>
      <c r="JQ102" s="11"/>
      <c r="JR102" s="11"/>
      <c r="JS102" s="11"/>
      <c r="JT102" s="11"/>
      <c r="JU102" s="11"/>
      <c r="JV102" s="11"/>
      <c r="JW102" s="11"/>
      <c r="JX102" s="11"/>
      <c r="JY102" s="11"/>
      <c r="JZ102" s="11"/>
      <c r="KA102" s="11"/>
      <c r="KB102" s="11"/>
      <c r="KC102" s="11"/>
      <c r="KD102" s="11"/>
      <c r="KE102" s="11"/>
      <c r="KF102" s="11"/>
      <c r="KG102" s="11"/>
      <c r="KH102" s="11"/>
      <c r="KI102" s="11"/>
      <c r="KJ102" s="11"/>
      <c r="KK102" s="11"/>
      <c r="KL102" s="11"/>
      <c r="KM102" s="11"/>
      <c r="KN102" s="11"/>
      <c r="KO102" s="11"/>
      <c r="KP102" s="11"/>
      <c r="KQ102" s="11"/>
      <c r="KR102" s="11"/>
      <c r="KS102" s="11"/>
      <c r="KT102" s="11"/>
      <c r="KU102" s="11"/>
      <c r="KV102" s="11"/>
      <c r="KW102" s="11"/>
      <c r="KX102" s="11"/>
      <c r="KY102" s="11"/>
      <c r="KZ102" s="11"/>
      <c r="LA102" s="11"/>
      <c r="LB102" s="11"/>
      <c r="LC102" s="11"/>
      <c r="LD102" s="11"/>
      <c r="LE102" s="11"/>
      <c r="LF102" s="11"/>
      <c r="LG102" s="11"/>
      <c r="LH102" s="11"/>
      <c r="LI102" s="11"/>
      <c r="LJ102" s="11"/>
      <c r="LK102" s="11"/>
      <c r="LL102" s="11"/>
      <c r="LM102" s="11"/>
      <c r="LN102" s="11"/>
      <c r="LO102" s="11"/>
      <c r="LP102" s="11"/>
      <c r="LQ102" s="11"/>
      <c r="LR102" s="11"/>
      <c r="LS102" s="11"/>
      <c r="LT102" s="11"/>
      <c r="LU102" s="11"/>
      <c r="LV102" s="11"/>
      <c r="LW102" s="11"/>
      <c r="LX102" s="11"/>
      <c r="LY102" s="11"/>
      <c r="LZ102" s="11"/>
      <c r="MA102" s="11"/>
      <c r="MB102" s="11"/>
      <c r="MC102" s="11"/>
      <c r="MD102" s="11"/>
      <c r="ME102" s="11"/>
      <c r="MF102" s="11"/>
      <c r="MG102" s="11"/>
      <c r="MH102" s="11"/>
      <c r="MI102" s="11"/>
      <c r="MJ102" s="11"/>
      <c r="MK102" s="11"/>
      <c r="ML102" s="11"/>
      <c r="MM102" s="11"/>
      <c r="MN102" s="11"/>
      <c r="MO102" s="11"/>
      <c r="MP102" s="11"/>
      <c r="MQ102" s="11"/>
      <c r="MR102" s="11"/>
      <c r="MS102" s="11"/>
      <c r="MT102" s="11"/>
      <c r="MU102" s="11"/>
      <c r="MV102" s="11"/>
      <c r="MW102" s="11"/>
      <c r="MX102" s="11"/>
      <c r="MY102" s="11"/>
      <c r="MZ102" s="11"/>
      <c r="NA102" s="11"/>
      <c r="NB102" s="11"/>
      <c r="NC102" s="11"/>
      <c r="ND102" s="11"/>
      <c r="NE102" s="11"/>
      <c r="NF102" s="11"/>
      <c r="NG102" s="11"/>
      <c r="NH102" s="11"/>
      <c r="NI102" s="11"/>
      <c r="NJ102" s="11"/>
      <c r="NK102" s="11"/>
      <c r="NL102" s="11"/>
      <c r="NM102" s="11"/>
      <c r="NN102" s="11"/>
      <c r="NO102" s="11"/>
      <c r="NP102" s="11"/>
      <c r="NQ102" s="11"/>
      <c r="NR102" s="11"/>
      <c r="NS102" s="11"/>
      <c r="NT102" s="11"/>
      <c r="NU102" s="11"/>
      <c r="NV102" s="11"/>
      <c r="NW102" s="11"/>
      <c r="NX102" s="11"/>
      <c r="NY102" s="11"/>
      <c r="NZ102" s="11"/>
      <c r="OA102" s="11"/>
      <c r="OB102" s="11"/>
      <c r="OC102" s="11"/>
      <c r="OD102" s="11"/>
      <c r="OE102" s="11"/>
      <c r="OF102" s="11"/>
      <c r="OG102" s="11"/>
      <c r="OH102" s="11"/>
      <c r="OI102" s="11"/>
      <c r="OJ102" s="11"/>
      <c r="OK102" s="11"/>
      <c r="OL102" s="11"/>
      <c r="OM102" s="11"/>
      <c r="ON102" s="11"/>
      <c r="OO102" s="11"/>
      <c r="OP102" s="11"/>
      <c r="OQ102" s="11"/>
      <c r="OR102" s="11"/>
      <c r="OS102" s="11"/>
      <c r="OT102" s="11"/>
      <c r="OU102" s="11"/>
      <c r="OV102" s="11"/>
      <c r="OW102" s="11"/>
      <c r="OX102" s="11"/>
      <c r="OY102" s="11"/>
      <c r="OZ102" s="11"/>
      <c r="PA102" s="11"/>
      <c r="PB102" s="11"/>
      <c r="PC102" s="11"/>
      <c r="PD102" s="11"/>
      <c r="PE102" s="11"/>
      <c r="PF102" s="11"/>
      <c r="PG102" s="11"/>
      <c r="PH102" s="11"/>
      <c r="PI102" s="11"/>
      <c r="PJ102" s="11"/>
      <c r="PK102" s="11"/>
      <c r="PL102" s="11"/>
      <c r="PM102" s="11"/>
      <c r="PN102" s="11"/>
      <c r="PO102" s="11"/>
      <c r="PP102" s="11"/>
      <c r="PQ102" s="11"/>
      <c r="PR102" s="11"/>
      <c r="PS102" s="11"/>
      <c r="PT102" s="11"/>
      <c r="PU102" s="11"/>
      <c r="PV102" s="11"/>
      <c r="PW102" s="11"/>
      <c r="PX102" s="11"/>
      <c r="PY102" s="11"/>
      <c r="PZ102" s="11"/>
      <c r="QA102" s="11"/>
      <c r="QB102" s="11"/>
      <c r="QC102" s="11"/>
      <c r="QD102" s="11"/>
      <c r="QE102" s="11"/>
      <c r="QF102" s="11"/>
      <c r="QG102" s="11"/>
      <c r="QH102" s="11"/>
      <c r="QI102" s="11"/>
      <c r="QJ102" s="11"/>
      <c r="QK102" s="11"/>
      <c r="QL102" s="11"/>
      <c r="QM102" s="11"/>
      <c r="QN102" s="11"/>
      <c r="QO102" s="11"/>
      <c r="QP102" s="11"/>
      <c r="QQ102" s="11"/>
      <c r="QR102" s="11"/>
      <c r="QS102" s="11"/>
      <c r="QT102" s="11"/>
      <c r="QU102" s="11"/>
      <c r="QV102" s="11"/>
      <c r="QW102" s="11"/>
      <c r="QX102" s="11"/>
      <c r="QY102" s="11"/>
      <c r="QZ102" s="11"/>
      <c r="RA102" s="11"/>
      <c r="RB102" s="11"/>
      <c r="RC102" s="11"/>
      <c r="RD102" s="11"/>
      <c r="RE102" s="11"/>
      <c r="RF102" s="11"/>
      <c r="RG102" s="11"/>
      <c r="RH102" s="11"/>
      <c r="RI102" s="11"/>
      <c r="RJ102" s="11"/>
      <c r="RK102" s="11"/>
      <c r="RL102" s="11"/>
      <c r="RM102" s="11"/>
      <c r="RN102" s="11"/>
      <c r="RO102" s="11"/>
      <c r="RP102" s="11"/>
      <c r="RQ102" s="11"/>
      <c r="RR102" s="11"/>
      <c r="RS102" s="11"/>
      <c r="RT102" s="11"/>
      <c r="RU102" s="11"/>
      <c r="RV102" s="11"/>
      <c r="RW102" s="11"/>
      <c r="RX102" s="11"/>
      <c r="RY102" s="11"/>
      <c r="RZ102" s="11"/>
      <c r="SA102" s="11"/>
      <c r="SB102" s="11"/>
      <c r="SC102" s="11"/>
      <c r="SD102" s="11"/>
      <c r="SE102" s="11"/>
      <c r="SF102" s="11"/>
      <c r="SG102" s="11"/>
      <c r="SH102" s="11"/>
      <c r="SI102" s="11"/>
      <c r="SJ102" s="11"/>
      <c r="SK102" s="11"/>
      <c r="SL102" s="11"/>
      <c r="SM102" s="11"/>
      <c r="SN102" s="11"/>
      <c r="SO102" s="11"/>
      <c r="SP102" s="11"/>
      <c r="SQ102" s="11"/>
      <c r="SR102" s="11"/>
      <c r="SS102" s="11"/>
      <c r="ST102" s="11"/>
      <c r="SU102" s="11"/>
      <c r="SV102" s="11"/>
      <c r="SW102" s="11"/>
      <c r="SX102" s="11"/>
      <c r="SY102" s="11"/>
      <c r="SZ102" s="11"/>
      <c r="TA102" s="11"/>
      <c r="TB102" s="11"/>
      <c r="TC102" s="11"/>
      <c r="TD102" s="11"/>
      <c r="TE102" s="11"/>
      <c r="TF102" s="11"/>
      <c r="TG102" s="11"/>
      <c r="TH102" s="11"/>
      <c r="TI102" s="11"/>
      <c r="TJ102" s="11"/>
      <c r="TK102" s="11"/>
      <c r="TL102" s="11"/>
      <c r="TM102" s="11"/>
      <c r="TN102" s="11"/>
      <c r="TO102" s="11"/>
      <c r="TP102" s="11"/>
      <c r="TQ102" s="11"/>
      <c r="TR102" s="11"/>
      <c r="TS102" s="11"/>
      <c r="TT102" s="11"/>
      <c r="TU102" s="11"/>
      <c r="TV102" s="11"/>
      <c r="TW102" s="11"/>
      <c r="TX102" s="11"/>
      <c r="TY102" s="11"/>
      <c r="TZ102" s="11"/>
      <c r="UA102" s="11"/>
      <c r="UB102" s="11"/>
      <c r="UC102" s="11"/>
      <c r="UD102" s="11"/>
      <c r="UE102" s="11"/>
      <c r="UF102" s="11"/>
      <c r="UG102" s="11"/>
      <c r="UH102" s="11"/>
      <c r="UI102" s="11"/>
      <c r="UJ102" s="11"/>
      <c r="UK102" s="11"/>
      <c r="UL102" s="11"/>
      <c r="UM102" s="11"/>
      <c r="UN102" s="11"/>
      <c r="UO102" s="11"/>
      <c r="UP102" s="11"/>
      <c r="UQ102" s="11"/>
      <c r="UR102" s="11"/>
      <c r="US102" s="11"/>
      <c r="UT102" s="11"/>
      <c r="UU102" s="11"/>
      <c r="UV102" s="11"/>
      <c r="UW102" s="11"/>
      <c r="UX102" s="11"/>
      <c r="UY102" s="11"/>
      <c r="UZ102" s="11"/>
      <c r="VA102" s="11"/>
      <c r="VB102" s="11"/>
      <c r="VC102" s="11"/>
      <c r="VD102" s="11"/>
      <c r="VE102" s="11"/>
      <c r="VF102" s="11"/>
      <c r="VG102" s="11"/>
      <c r="VH102" s="11"/>
      <c r="VI102" s="11"/>
      <c r="VJ102" s="11"/>
      <c r="VK102" s="11"/>
      <c r="VL102" s="11"/>
      <c r="VM102" s="11"/>
      <c r="VN102" s="11"/>
      <c r="VO102" s="11"/>
      <c r="VP102" s="11"/>
      <c r="VQ102" s="11"/>
      <c r="VR102" s="11"/>
      <c r="VS102" s="11"/>
      <c r="VT102" s="11"/>
      <c r="VU102" s="11"/>
      <c r="VV102" s="11"/>
      <c r="VW102" s="11"/>
      <c r="VX102" s="11"/>
      <c r="VY102" s="11"/>
      <c r="VZ102" s="11"/>
      <c r="WA102" s="11"/>
      <c r="WB102" s="11"/>
      <c r="WC102" s="11"/>
      <c r="WD102" s="11"/>
      <c r="WE102" s="11"/>
      <c r="WF102" s="11"/>
      <c r="WG102" s="11"/>
      <c r="WH102" s="11"/>
      <c r="WI102" s="11"/>
      <c r="WJ102" s="11"/>
      <c r="WK102" s="11"/>
      <c r="WL102" s="11"/>
      <c r="WM102" s="11"/>
      <c r="WN102" s="11"/>
      <c r="WO102" s="11"/>
      <c r="WP102" s="11"/>
      <c r="WQ102" s="11"/>
      <c r="WR102" s="11"/>
      <c r="WS102" s="11"/>
      <c r="WT102" s="11"/>
      <c r="WU102" s="11"/>
      <c r="WV102" s="11"/>
      <c r="WW102" s="11"/>
      <c r="WX102" s="11"/>
      <c r="WY102" s="11"/>
      <c r="WZ102" s="11"/>
      <c r="XA102" s="11"/>
      <c r="XB102" s="11"/>
      <c r="XC102" s="11"/>
      <c r="XD102" s="11"/>
      <c r="XE102" s="11"/>
      <c r="XF102" s="11"/>
      <c r="XG102" s="11"/>
      <c r="XH102" s="11"/>
      <c r="XI102" s="11"/>
      <c r="XJ102" s="11"/>
      <c r="XK102" s="11"/>
      <c r="XL102" s="11"/>
      <c r="XM102" s="11"/>
      <c r="XN102" s="11"/>
      <c r="XO102" s="11"/>
      <c r="XP102" s="11"/>
      <c r="XQ102" s="11"/>
      <c r="XR102" s="11"/>
      <c r="XS102" s="11"/>
      <c r="XT102" s="11"/>
      <c r="XU102" s="11"/>
      <c r="XV102" s="11"/>
      <c r="XW102" s="11"/>
      <c r="XX102" s="11"/>
      <c r="XY102" s="11"/>
      <c r="XZ102" s="11"/>
      <c r="YA102" s="11"/>
      <c r="YB102" s="11"/>
      <c r="YC102" s="11"/>
      <c r="YD102" s="11"/>
      <c r="YE102" s="11"/>
      <c r="YF102" s="11"/>
      <c r="YG102" s="11"/>
      <c r="YH102" s="11"/>
      <c r="YI102" s="11"/>
      <c r="YJ102" s="11"/>
      <c r="YK102" s="11"/>
      <c r="YL102" s="11"/>
      <c r="YM102" s="11"/>
      <c r="YN102" s="11"/>
      <c r="YO102" s="11"/>
      <c r="YP102" s="11"/>
      <c r="YQ102" s="11"/>
      <c r="YR102" s="11"/>
      <c r="YS102" s="11"/>
      <c r="YT102" s="11"/>
      <c r="YU102" s="11"/>
      <c r="YV102" s="11"/>
      <c r="YW102" s="11"/>
      <c r="YX102" s="11"/>
      <c r="YY102" s="11"/>
      <c r="YZ102" s="11"/>
      <c r="ZA102" s="11"/>
      <c r="ZB102" s="11"/>
      <c r="ZC102" s="11"/>
      <c r="ZD102" s="11"/>
      <c r="ZE102" s="11"/>
      <c r="ZF102" s="11"/>
      <c r="ZG102" s="11"/>
      <c r="ZH102" s="11"/>
      <c r="ZI102" s="11"/>
      <c r="ZJ102" s="11"/>
      <c r="ZK102" s="11"/>
      <c r="ZL102" s="11"/>
      <c r="ZM102" s="11"/>
      <c r="ZN102" s="11"/>
      <c r="ZO102" s="11"/>
      <c r="ZP102" s="11"/>
      <c r="ZQ102" s="11"/>
      <c r="ZR102" s="11"/>
      <c r="ZS102" s="11"/>
      <c r="ZT102" s="11"/>
      <c r="ZU102" s="11"/>
      <c r="ZV102" s="11"/>
      <c r="ZW102" s="11"/>
      <c r="ZX102" s="11"/>
      <c r="ZY102" s="11"/>
      <c r="ZZ102" s="11"/>
      <c r="AAA102" s="11"/>
      <c r="AAB102" s="11"/>
      <c r="AAC102" s="11"/>
      <c r="AAD102" s="11"/>
      <c r="AAE102" s="11"/>
      <c r="AAF102" s="11"/>
      <c r="AAG102" s="11"/>
      <c r="AAH102" s="11"/>
      <c r="AAI102" s="11"/>
      <c r="AAJ102" s="11"/>
      <c r="AAK102" s="11"/>
      <c r="AAL102" s="11"/>
      <c r="AAM102" s="11"/>
      <c r="AAN102" s="11"/>
      <c r="AAO102" s="11"/>
      <c r="AAP102" s="11"/>
      <c r="AAQ102" s="11"/>
      <c r="AAR102" s="11"/>
      <c r="AAS102" s="11"/>
      <c r="AAT102" s="11"/>
      <c r="AAU102" s="11"/>
      <c r="AAV102" s="11"/>
      <c r="AAW102" s="11"/>
      <c r="AAX102" s="11"/>
      <c r="AAY102" s="11"/>
      <c r="AAZ102" s="11"/>
      <c r="ABA102" s="11"/>
      <c r="ABB102" s="11"/>
      <c r="ABC102" s="11"/>
      <c r="ABD102" s="11"/>
      <c r="ABE102" s="11"/>
      <c r="ABF102" s="11"/>
      <c r="ABG102" s="11"/>
      <c r="ABH102" s="11"/>
      <c r="ABI102" s="11"/>
      <c r="ABJ102" s="11"/>
      <c r="ABK102" s="11"/>
      <c r="ABL102" s="11"/>
      <c r="ABM102" s="11"/>
      <c r="ABN102" s="11"/>
      <c r="ABO102" s="11"/>
      <c r="ABP102" s="11"/>
      <c r="ABQ102" s="11"/>
      <c r="ABR102" s="11"/>
      <c r="ABS102" s="11"/>
      <c r="ABT102" s="11"/>
      <c r="ABU102" s="11"/>
      <c r="ABV102" s="11"/>
      <c r="ABW102" s="11"/>
      <c r="ABX102" s="11"/>
      <c r="ABY102" s="11"/>
      <c r="ABZ102" s="11"/>
      <c r="ACA102" s="11"/>
      <c r="ACB102" s="11"/>
      <c r="ACC102" s="11"/>
      <c r="ACD102" s="11"/>
      <c r="ACE102" s="11"/>
      <c r="ACF102" s="11"/>
      <c r="ACG102" s="11"/>
      <c r="ACH102" s="11"/>
      <c r="ACI102" s="11"/>
      <c r="ACJ102" s="11"/>
      <c r="ACK102" s="11"/>
      <c r="ACL102" s="11"/>
      <c r="ACM102" s="11"/>
      <c r="ACN102" s="11"/>
      <c r="ACO102" s="11"/>
      <c r="ACP102" s="11"/>
      <c r="ACQ102" s="11"/>
      <c r="ACR102" s="11"/>
      <c r="ACS102" s="11"/>
      <c r="ACT102" s="11"/>
      <c r="ACU102" s="11"/>
      <c r="ACV102" s="11"/>
      <c r="ACW102" s="11"/>
      <c r="ACX102" s="11"/>
      <c r="ACY102" s="11"/>
      <c r="ACZ102" s="11"/>
      <c r="ADA102" s="11"/>
      <c r="ADB102" s="11"/>
      <c r="ADC102" s="11"/>
      <c r="ADD102" s="11"/>
      <c r="ADE102" s="11"/>
      <c r="ADF102" s="11"/>
      <c r="ADG102" s="11"/>
      <c r="ADH102" s="11"/>
      <c r="ADI102" s="11"/>
      <c r="ADJ102" s="11"/>
      <c r="ADK102" s="11"/>
      <c r="ADL102" s="11"/>
      <c r="ADM102" s="11"/>
      <c r="ADN102" s="11"/>
      <c r="ADO102" s="11"/>
      <c r="ADP102" s="11"/>
      <c r="ADQ102" s="11"/>
      <c r="ADR102" s="11"/>
      <c r="ADS102" s="11"/>
      <c r="ADT102" s="11"/>
      <c r="ADU102" s="11"/>
      <c r="ADV102" s="11"/>
      <c r="ADW102" s="11"/>
      <c r="ADX102" s="11"/>
      <c r="ADY102" s="11"/>
      <c r="ADZ102" s="11"/>
      <c r="AEA102" s="11"/>
      <c r="AEB102" s="11"/>
      <c r="AEC102" s="11"/>
      <c r="AED102" s="11"/>
      <c r="AEE102" s="11"/>
      <c r="AEF102" s="11"/>
      <c r="AEG102" s="11"/>
      <c r="AEH102" s="11"/>
      <c r="AEI102" s="11"/>
      <c r="AEJ102" s="11"/>
      <c r="AEK102" s="11"/>
      <c r="AEL102" s="11"/>
      <c r="AEM102" s="11"/>
      <c r="AEN102" s="11"/>
      <c r="AEO102" s="11"/>
      <c r="AEP102" s="11"/>
      <c r="AEQ102" s="11"/>
      <c r="AER102" s="11"/>
      <c r="AES102" s="11"/>
      <c r="AET102" s="11"/>
      <c r="AEU102" s="11"/>
      <c r="AEV102" s="11"/>
      <c r="AEW102" s="11"/>
      <c r="AEX102" s="11"/>
      <c r="AEY102" s="11"/>
      <c r="AEZ102" s="11"/>
      <c r="AFA102" s="11"/>
      <c r="AFB102" s="11"/>
      <c r="AFC102" s="11"/>
      <c r="AFD102" s="11"/>
      <c r="AFE102" s="11"/>
      <c r="AFF102" s="11"/>
      <c r="AFG102" s="11"/>
      <c r="AFH102" s="11"/>
      <c r="AFI102" s="11"/>
    </row>
    <row r="103" spans="2:841">
      <c r="B103" s="11"/>
      <c r="C103" s="657"/>
      <c r="D103" s="289" t="s">
        <v>627</v>
      </c>
      <c r="E103" s="311">
        <f>SUMIFS(M_Datos!$N$47:$N$49,M_Datos!$O$47:$O$49,M_Lista!G21,M_Datos!$M$47:$M$49,M_Lista!$J$3)</f>
        <v>0</v>
      </c>
      <c r="F103" s="312" t="e">
        <f>IF(AND(M_FactoresComplement!$G$439="No",M_FactoresComplement!$G$441="No"),M_Cálculos_ND!E103*VLOOKUP(M_Datos!$E$12&amp;M_Cálculos_ND!D103,M_Factores!$M$10:$P$108,2,FALSE),IF(AND(M_FactoresComplement!$G$439="Sí",M_FactoresComplement!$G$441="No"),E103*M_FactoresComplement!G463,E103*VLOOKUP(M_FactoresComplement!$C$467&amp;M_Datos!$E$12&amp;M_Lista!G20,M_FactoresComplement!$F$446:$I$781,2,FALSE)))</f>
        <v>#N/A</v>
      </c>
      <c r="G103" s="313" t="e">
        <f>IF(AND(M_FactoresComplement!$G$439="No",M_FactoresComplement!$G$441="No"),M_Cálculos_ND!E103*VLOOKUP(M_Datos!$E$12&amp;M_Cálculos_ND!D103,M_Factores!$M$10:$P$108,3,FALSE),IF(AND(M_FactoresComplement!$G$439="Sí",M_FactoresComplement!$G$441="No"),E103*M_FactoresComplement!H463,E103*VLOOKUP(M_FactoresComplement!$C$467&amp;M_Datos!$E$12&amp;M_Lista!G20,M_FactoresComplement!$F$446:$I$781,3,FALSE)))</f>
        <v>#N/A</v>
      </c>
      <c r="H103" s="311">
        <f>SUMIFS(M_Datos!$P$47:$P$49,M_Datos!$Q$47:$Q$49,M_Lista!G21,M_Datos!$M$47:$M$49,M_Lista!$J$3)</f>
        <v>0</v>
      </c>
      <c r="I103" s="312" t="e">
        <f>IF(AND(M_FactoresComplement!$G$439="No",M_FactoresComplement!$G$441="No"),M_Cálculos_ND!H103*VLOOKUP(M_Datos!$E$12&amp;M_Cálculos_ND!D103,M_Factores!$M$10:$P$108,2,FALSE),IF(AND(M_FactoresComplement!$G$439="Sí",M_FactoresComplement!$G$441="No"),H103*M_FactoresComplement!G463,H103*VLOOKUP(M_FactoresComplement!$C$467&amp;M_Datos!$E$12&amp;M_Lista!G20,M_FactoresComplement!$F$446:$I$781,2,FALSE)))</f>
        <v>#N/A</v>
      </c>
      <c r="J103" s="313" t="e">
        <f>IF(AND(M_FactoresComplement!$G$439="No",M_FactoresComplement!$G$441="No"),M_Cálculos_ND!H103*VLOOKUP(M_Datos!$E$12&amp;M_Cálculos_ND!D103,M_Factores!$M$10:$P$108,3,FALSE),IF(AND(M_FactoresComplement!$G$439="Sí",M_FactoresComplement!$G$441="No"),H103*M_FactoresComplement!H463,H103*VLOOKUP(M_FactoresComplement!$C$467&amp;M_Datos!$E$12&amp;M_Lista!G20,M_FactoresComplement!$F$446:$I$781,3,FALSE)))</f>
        <v>#N/A</v>
      </c>
      <c r="K103" s="311">
        <f>SUMIFS(M_Datos!$R$47:$R$49,M_Datos!$S$47:$S$49,M_Lista!G21,M_Datos!$M$47:$M$49,M_Lista!$J$3)</f>
        <v>0</v>
      </c>
      <c r="L103" s="312" t="e">
        <f>IF(AND(M_FactoresComplement!$G$439="No",M_FactoresComplement!$G$441="No"),M_Cálculos_ND!K103*VLOOKUP(M_Datos!$E$12&amp;M_Cálculos_ND!D103,M_Factores!$M$10:$P$108,2,FALSE),IF(AND(M_FactoresComplement!$G$439="Sí",M_FactoresComplement!$G$441="No"),K103*M_FactoresComplement!G463,K103*VLOOKUP(M_FactoresComplement!$C$467&amp;M_Datos!$E$12&amp;M_Lista!G20,M_FactoresComplement!$F$446:$I$781,2,FALSE)))</f>
        <v>#N/A</v>
      </c>
      <c r="M103" s="313" t="e">
        <f>IF(AND(M_FactoresComplement!$G$439="No",M_FactoresComplement!$G$441="No"),M_Cálculos_ND!K103*VLOOKUP(M_Datos!$E$12&amp;M_Cálculos_ND!D103,M_Factores!$M$10:$P$108,3,FALSE),IF(AND(M_FactoresComplement!$G$439="Sí",M_FactoresComplement!$G$441="No"),K103*M_FactoresComplement!H463,K103*VLOOKUP(M_FactoresComplement!$C$467&amp;M_Datos!$E$12&amp;M_Lista!G20,M_FactoresComplement!$F$446:$I$781,3,FALSE)))</f>
        <v>#N/A</v>
      </c>
      <c r="N103" s="311">
        <f>SUMIFS(M_Datos!$T$47:$T$49,M_Datos!$U$47:$U$49,M_Lista!G21,M_Datos!$M$47:$M$49,M_Lista!$J$3)</f>
        <v>0</v>
      </c>
      <c r="O103" s="312" t="e">
        <f>IF(AND(M_FactoresComplement!$G$439="No",M_FactoresComplement!$G$441="No"),M_Cálculos_ND!N103*VLOOKUP(M_Datos!$E$12&amp;M_Cálculos_ND!D103,M_Factores!$M$10:$P$108,2,FALSE),IF(AND(M_FactoresComplement!$G$439="Sí",M_FactoresComplement!$G$441="No"),N103*M_FactoresComplement!G463,N103*VLOOKUP(M_FactoresComplement!$C$467&amp;M_Datos!$E$12&amp;M_Lista!G20,M_FactoresComplement!$F$446:$I$781,2,FALSE)))</f>
        <v>#N/A</v>
      </c>
      <c r="P103" s="313" t="e">
        <f>IF(AND(M_FactoresComplement!$G$439="No",M_FactoresComplement!$G$441="No"),M_Cálculos_ND!N103*VLOOKUP(M_Datos!$E$12&amp;M_Cálculos_ND!D103,M_Factores!$M$10:$P$108,3,FALSE),IF(AND(M_FactoresComplement!$G$439="Sí",M_FactoresComplement!$G$441="No"),N103*M_FactoresComplement!H463,N103*VLOOKUP(M_FactoresComplement!$C$467&amp;M_Datos!$E$12&amp;M_Lista!G20,M_FactoresComplement!$F$446:$I$781,3,FALSE)))</f>
        <v>#N/A</v>
      </c>
      <c r="Q103" s="311">
        <f>SUMIFS(M_Datos!$V$47:$V$49,M_Datos!$W$47:$W$49,M_Lista!G21,M_Datos!$M$47:$M$49,M_Lista!$J$3)</f>
        <v>0</v>
      </c>
      <c r="R103" s="312" t="e">
        <f>IF(AND(M_FactoresComplement!$G$439="No",M_FactoresComplement!$G$441="No"),M_Cálculos_ND!Q103*VLOOKUP(M_Datos!$E$12&amp;M_Cálculos_ND!D103,M_Factores!$M$10:$P$108,2,FALSE),IF(AND(M_FactoresComplement!$G$439="Sí",M_FactoresComplement!$G$441="No"),Q103*M_FactoresComplement!G463,Q103*VLOOKUP(M_FactoresComplement!$C$467&amp;M_Datos!$E$12&amp;M_Lista!G20,M_FactoresComplement!$F$446:$I$781,2,FALSE)))</f>
        <v>#N/A</v>
      </c>
      <c r="S103" s="313" t="e">
        <f>IF(AND(M_FactoresComplement!$G$439="No",M_FactoresComplement!$G$441="No"),M_Cálculos_ND!Q103*VLOOKUP(M_Datos!$E$12&amp;M_Cálculos_ND!D103,M_Factores!$M$10:$P$108,3,FALSE),IF(AND(M_FactoresComplement!$G$439="Sí",M_FactoresComplement!$G$441="No"),Q103*M_FactoresComplement!H463,Q103*VLOOKUP(M_FactoresComplement!$C$467&amp;M_Datos!$E$12&amp;M_Lista!G20,M_FactoresComplement!$F$446:$I$781,3,FALSE)))</f>
        <v>#N/A</v>
      </c>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c r="JH103" s="11"/>
      <c r="JI103" s="11"/>
      <c r="JJ103" s="11"/>
      <c r="JK103" s="11"/>
      <c r="JL103" s="11"/>
      <c r="JM103" s="11"/>
      <c r="JN103" s="11"/>
      <c r="JO103" s="11"/>
      <c r="JP103" s="11"/>
      <c r="JQ103" s="11"/>
      <c r="JR103" s="11"/>
      <c r="JS103" s="11"/>
      <c r="JT103" s="11"/>
      <c r="JU103" s="11"/>
      <c r="JV103" s="11"/>
      <c r="JW103" s="11"/>
      <c r="JX103" s="11"/>
      <c r="JY103" s="11"/>
      <c r="JZ103" s="11"/>
      <c r="KA103" s="11"/>
      <c r="KB103" s="11"/>
      <c r="KC103" s="11"/>
      <c r="KD103" s="11"/>
      <c r="KE103" s="11"/>
      <c r="KF103" s="11"/>
      <c r="KG103" s="11"/>
      <c r="KH103" s="11"/>
      <c r="KI103" s="11"/>
      <c r="KJ103" s="11"/>
      <c r="KK103" s="11"/>
      <c r="KL103" s="11"/>
      <c r="KM103" s="11"/>
      <c r="KN103" s="11"/>
      <c r="KO103" s="11"/>
      <c r="KP103" s="11"/>
      <c r="KQ103" s="11"/>
      <c r="KR103" s="11"/>
      <c r="KS103" s="11"/>
      <c r="KT103" s="11"/>
      <c r="KU103" s="11"/>
      <c r="KV103" s="11"/>
      <c r="KW103" s="11"/>
      <c r="KX103" s="11"/>
      <c r="KY103" s="11"/>
      <c r="KZ103" s="11"/>
      <c r="LA103" s="11"/>
      <c r="LB103" s="11"/>
      <c r="LC103" s="11"/>
      <c r="LD103" s="11"/>
      <c r="LE103" s="11"/>
      <c r="LF103" s="11"/>
      <c r="LG103" s="11"/>
      <c r="LH103" s="11"/>
      <c r="LI103" s="11"/>
      <c r="LJ103" s="11"/>
      <c r="LK103" s="11"/>
      <c r="LL103" s="11"/>
      <c r="LM103" s="11"/>
      <c r="LN103" s="11"/>
      <c r="LO103" s="11"/>
      <c r="LP103" s="11"/>
      <c r="LQ103" s="11"/>
      <c r="LR103" s="11"/>
      <c r="LS103" s="11"/>
      <c r="LT103" s="11"/>
      <c r="LU103" s="11"/>
      <c r="LV103" s="11"/>
      <c r="LW103" s="11"/>
      <c r="LX103" s="11"/>
      <c r="LY103" s="11"/>
      <c r="LZ103" s="11"/>
      <c r="MA103" s="11"/>
      <c r="MB103" s="11"/>
      <c r="MC103" s="11"/>
      <c r="MD103" s="11"/>
      <c r="ME103" s="11"/>
      <c r="MF103" s="11"/>
      <c r="MG103" s="11"/>
      <c r="MH103" s="11"/>
      <c r="MI103" s="11"/>
      <c r="MJ103" s="11"/>
      <c r="MK103" s="11"/>
      <c r="ML103" s="11"/>
      <c r="MM103" s="11"/>
      <c r="MN103" s="11"/>
      <c r="MO103" s="11"/>
      <c r="MP103" s="11"/>
      <c r="MQ103" s="11"/>
      <c r="MR103" s="11"/>
      <c r="MS103" s="11"/>
      <c r="MT103" s="11"/>
      <c r="MU103" s="11"/>
      <c r="MV103" s="11"/>
      <c r="MW103" s="11"/>
      <c r="MX103" s="11"/>
      <c r="MY103" s="11"/>
      <c r="MZ103" s="11"/>
      <c r="NA103" s="11"/>
      <c r="NB103" s="11"/>
      <c r="NC103" s="11"/>
      <c r="ND103" s="11"/>
      <c r="NE103" s="11"/>
      <c r="NF103" s="11"/>
      <c r="NG103" s="11"/>
      <c r="NH103" s="11"/>
      <c r="NI103" s="11"/>
      <c r="NJ103" s="11"/>
      <c r="NK103" s="11"/>
      <c r="NL103" s="11"/>
      <c r="NM103" s="11"/>
      <c r="NN103" s="11"/>
      <c r="NO103" s="11"/>
      <c r="NP103" s="11"/>
      <c r="NQ103" s="11"/>
      <c r="NR103" s="11"/>
      <c r="NS103" s="11"/>
      <c r="NT103" s="11"/>
      <c r="NU103" s="11"/>
      <c r="NV103" s="11"/>
      <c r="NW103" s="11"/>
      <c r="NX103" s="11"/>
      <c r="NY103" s="11"/>
      <c r="NZ103" s="11"/>
      <c r="OA103" s="11"/>
      <c r="OB103" s="11"/>
      <c r="OC103" s="11"/>
      <c r="OD103" s="11"/>
      <c r="OE103" s="11"/>
      <c r="OF103" s="11"/>
      <c r="OG103" s="11"/>
      <c r="OH103" s="11"/>
      <c r="OI103" s="11"/>
      <c r="OJ103" s="11"/>
      <c r="OK103" s="11"/>
      <c r="OL103" s="11"/>
      <c r="OM103" s="11"/>
      <c r="ON103" s="11"/>
      <c r="OO103" s="11"/>
      <c r="OP103" s="11"/>
      <c r="OQ103" s="11"/>
      <c r="OR103" s="11"/>
      <c r="OS103" s="11"/>
      <c r="OT103" s="11"/>
      <c r="OU103" s="11"/>
      <c r="OV103" s="11"/>
      <c r="OW103" s="11"/>
      <c r="OX103" s="11"/>
      <c r="OY103" s="11"/>
      <c r="OZ103" s="11"/>
      <c r="PA103" s="11"/>
      <c r="PB103" s="11"/>
      <c r="PC103" s="11"/>
      <c r="PD103" s="11"/>
      <c r="PE103" s="11"/>
      <c r="PF103" s="11"/>
      <c r="PG103" s="11"/>
      <c r="PH103" s="11"/>
      <c r="PI103" s="11"/>
      <c r="PJ103" s="11"/>
      <c r="PK103" s="11"/>
      <c r="PL103" s="11"/>
      <c r="PM103" s="11"/>
      <c r="PN103" s="11"/>
      <c r="PO103" s="11"/>
      <c r="PP103" s="11"/>
      <c r="PQ103" s="11"/>
      <c r="PR103" s="11"/>
      <c r="PS103" s="11"/>
      <c r="PT103" s="11"/>
      <c r="PU103" s="11"/>
      <c r="PV103" s="11"/>
      <c r="PW103" s="11"/>
      <c r="PX103" s="11"/>
      <c r="PY103" s="11"/>
      <c r="PZ103" s="11"/>
      <c r="QA103" s="11"/>
      <c r="QB103" s="11"/>
      <c r="QC103" s="11"/>
      <c r="QD103" s="11"/>
      <c r="QE103" s="11"/>
      <c r="QF103" s="11"/>
      <c r="QG103" s="11"/>
      <c r="QH103" s="11"/>
      <c r="QI103" s="11"/>
      <c r="QJ103" s="11"/>
      <c r="QK103" s="11"/>
      <c r="QL103" s="11"/>
      <c r="QM103" s="11"/>
      <c r="QN103" s="11"/>
      <c r="QO103" s="11"/>
      <c r="QP103" s="11"/>
      <c r="QQ103" s="11"/>
      <c r="QR103" s="11"/>
      <c r="QS103" s="11"/>
      <c r="QT103" s="11"/>
      <c r="QU103" s="11"/>
      <c r="QV103" s="11"/>
      <c r="QW103" s="11"/>
      <c r="QX103" s="11"/>
      <c r="QY103" s="11"/>
      <c r="QZ103" s="11"/>
      <c r="RA103" s="11"/>
      <c r="RB103" s="11"/>
      <c r="RC103" s="11"/>
      <c r="RD103" s="11"/>
      <c r="RE103" s="11"/>
      <c r="RF103" s="11"/>
      <c r="RG103" s="11"/>
      <c r="RH103" s="11"/>
      <c r="RI103" s="11"/>
      <c r="RJ103" s="11"/>
      <c r="RK103" s="11"/>
      <c r="RL103" s="11"/>
      <c r="RM103" s="11"/>
      <c r="RN103" s="11"/>
      <c r="RO103" s="11"/>
      <c r="RP103" s="11"/>
      <c r="RQ103" s="11"/>
      <c r="RR103" s="11"/>
      <c r="RS103" s="11"/>
      <c r="RT103" s="11"/>
      <c r="RU103" s="11"/>
      <c r="RV103" s="11"/>
      <c r="RW103" s="11"/>
      <c r="RX103" s="11"/>
      <c r="RY103" s="11"/>
      <c r="RZ103" s="11"/>
      <c r="SA103" s="11"/>
      <c r="SB103" s="11"/>
      <c r="SC103" s="11"/>
      <c r="SD103" s="11"/>
      <c r="SE103" s="11"/>
      <c r="SF103" s="11"/>
      <c r="SG103" s="11"/>
      <c r="SH103" s="11"/>
      <c r="SI103" s="11"/>
      <c r="SJ103" s="11"/>
      <c r="SK103" s="11"/>
      <c r="SL103" s="11"/>
      <c r="SM103" s="11"/>
      <c r="SN103" s="11"/>
      <c r="SO103" s="11"/>
      <c r="SP103" s="11"/>
      <c r="SQ103" s="11"/>
      <c r="SR103" s="11"/>
      <c r="SS103" s="11"/>
      <c r="ST103" s="11"/>
      <c r="SU103" s="11"/>
      <c r="SV103" s="11"/>
      <c r="SW103" s="11"/>
      <c r="SX103" s="11"/>
      <c r="SY103" s="11"/>
      <c r="SZ103" s="11"/>
      <c r="TA103" s="11"/>
      <c r="TB103" s="11"/>
      <c r="TC103" s="11"/>
      <c r="TD103" s="11"/>
      <c r="TE103" s="11"/>
      <c r="TF103" s="11"/>
      <c r="TG103" s="11"/>
      <c r="TH103" s="11"/>
      <c r="TI103" s="11"/>
      <c r="TJ103" s="11"/>
      <c r="TK103" s="11"/>
      <c r="TL103" s="11"/>
      <c r="TM103" s="11"/>
      <c r="TN103" s="11"/>
      <c r="TO103" s="11"/>
      <c r="TP103" s="11"/>
      <c r="TQ103" s="11"/>
      <c r="TR103" s="11"/>
      <c r="TS103" s="11"/>
      <c r="TT103" s="11"/>
      <c r="TU103" s="11"/>
      <c r="TV103" s="11"/>
      <c r="TW103" s="11"/>
      <c r="TX103" s="11"/>
      <c r="TY103" s="11"/>
      <c r="TZ103" s="11"/>
      <c r="UA103" s="11"/>
      <c r="UB103" s="11"/>
      <c r="UC103" s="11"/>
      <c r="UD103" s="11"/>
      <c r="UE103" s="11"/>
      <c r="UF103" s="11"/>
      <c r="UG103" s="11"/>
      <c r="UH103" s="11"/>
      <c r="UI103" s="11"/>
      <c r="UJ103" s="11"/>
      <c r="UK103" s="11"/>
      <c r="UL103" s="11"/>
      <c r="UM103" s="11"/>
      <c r="UN103" s="11"/>
      <c r="UO103" s="11"/>
      <c r="UP103" s="11"/>
      <c r="UQ103" s="11"/>
      <c r="UR103" s="11"/>
      <c r="US103" s="11"/>
      <c r="UT103" s="11"/>
      <c r="UU103" s="11"/>
      <c r="UV103" s="11"/>
      <c r="UW103" s="11"/>
      <c r="UX103" s="11"/>
      <c r="UY103" s="11"/>
      <c r="UZ103" s="11"/>
      <c r="VA103" s="11"/>
      <c r="VB103" s="11"/>
      <c r="VC103" s="11"/>
      <c r="VD103" s="11"/>
      <c r="VE103" s="11"/>
      <c r="VF103" s="11"/>
      <c r="VG103" s="11"/>
      <c r="VH103" s="11"/>
      <c r="VI103" s="11"/>
      <c r="VJ103" s="11"/>
      <c r="VK103" s="11"/>
      <c r="VL103" s="11"/>
      <c r="VM103" s="11"/>
      <c r="VN103" s="11"/>
      <c r="VO103" s="11"/>
      <c r="VP103" s="11"/>
      <c r="VQ103" s="11"/>
      <c r="VR103" s="11"/>
      <c r="VS103" s="11"/>
      <c r="VT103" s="11"/>
      <c r="VU103" s="11"/>
      <c r="VV103" s="11"/>
      <c r="VW103" s="11"/>
      <c r="VX103" s="11"/>
      <c r="VY103" s="11"/>
      <c r="VZ103" s="11"/>
      <c r="WA103" s="11"/>
      <c r="WB103" s="11"/>
      <c r="WC103" s="11"/>
      <c r="WD103" s="11"/>
      <c r="WE103" s="11"/>
      <c r="WF103" s="11"/>
      <c r="WG103" s="11"/>
      <c r="WH103" s="11"/>
      <c r="WI103" s="11"/>
      <c r="WJ103" s="11"/>
      <c r="WK103" s="11"/>
      <c r="WL103" s="11"/>
      <c r="WM103" s="11"/>
      <c r="WN103" s="11"/>
      <c r="WO103" s="11"/>
      <c r="WP103" s="11"/>
      <c r="WQ103" s="11"/>
      <c r="WR103" s="11"/>
      <c r="WS103" s="11"/>
      <c r="WT103" s="11"/>
      <c r="WU103" s="11"/>
      <c r="WV103" s="11"/>
      <c r="WW103" s="11"/>
      <c r="WX103" s="11"/>
      <c r="WY103" s="11"/>
      <c r="WZ103" s="11"/>
      <c r="XA103" s="11"/>
      <c r="XB103" s="11"/>
      <c r="XC103" s="11"/>
      <c r="XD103" s="11"/>
      <c r="XE103" s="11"/>
      <c r="XF103" s="11"/>
      <c r="XG103" s="11"/>
      <c r="XH103" s="11"/>
      <c r="XI103" s="11"/>
      <c r="XJ103" s="11"/>
      <c r="XK103" s="11"/>
      <c r="XL103" s="11"/>
      <c r="XM103" s="11"/>
      <c r="XN103" s="11"/>
      <c r="XO103" s="11"/>
      <c r="XP103" s="11"/>
      <c r="XQ103" s="11"/>
      <c r="XR103" s="11"/>
      <c r="XS103" s="11"/>
      <c r="XT103" s="11"/>
      <c r="XU103" s="11"/>
      <c r="XV103" s="11"/>
      <c r="XW103" s="11"/>
      <c r="XX103" s="11"/>
      <c r="XY103" s="11"/>
      <c r="XZ103" s="11"/>
      <c r="YA103" s="11"/>
      <c r="YB103" s="11"/>
      <c r="YC103" s="11"/>
      <c r="YD103" s="11"/>
      <c r="YE103" s="11"/>
      <c r="YF103" s="11"/>
      <c r="YG103" s="11"/>
      <c r="YH103" s="11"/>
      <c r="YI103" s="11"/>
      <c r="YJ103" s="11"/>
      <c r="YK103" s="11"/>
      <c r="YL103" s="11"/>
      <c r="YM103" s="11"/>
      <c r="YN103" s="11"/>
      <c r="YO103" s="11"/>
      <c r="YP103" s="11"/>
      <c r="YQ103" s="11"/>
      <c r="YR103" s="11"/>
      <c r="YS103" s="11"/>
      <c r="YT103" s="11"/>
      <c r="YU103" s="11"/>
      <c r="YV103" s="11"/>
      <c r="YW103" s="11"/>
      <c r="YX103" s="11"/>
      <c r="YY103" s="11"/>
      <c r="YZ103" s="11"/>
      <c r="ZA103" s="11"/>
      <c r="ZB103" s="11"/>
      <c r="ZC103" s="11"/>
      <c r="ZD103" s="11"/>
      <c r="ZE103" s="11"/>
      <c r="ZF103" s="11"/>
      <c r="ZG103" s="11"/>
      <c r="ZH103" s="11"/>
      <c r="ZI103" s="11"/>
      <c r="ZJ103" s="11"/>
      <c r="ZK103" s="11"/>
      <c r="ZL103" s="11"/>
      <c r="ZM103" s="11"/>
      <c r="ZN103" s="11"/>
      <c r="ZO103" s="11"/>
      <c r="ZP103" s="11"/>
      <c r="ZQ103" s="11"/>
      <c r="ZR103" s="11"/>
      <c r="ZS103" s="11"/>
      <c r="ZT103" s="11"/>
      <c r="ZU103" s="11"/>
      <c r="ZV103" s="11"/>
      <c r="ZW103" s="11"/>
      <c r="ZX103" s="11"/>
      <c r="ZY103" s="11"/>
      <c r="ZZ103" s="11"/>
      <c r="AAA103" s="11"/>
      <c r="AAB103" s="11"/>
      <c r="AAC103" s="11"/>
      <c r="AAD103" s="11"/>
      <c r="AAE103" s="11"/>
      <c r="AAF103" s="11"/>
      <c r="AAG103" s="11"/>
      <c r="AAH103" s="11"/>
      <c r="AAI103" s="11"/>
      <c r="AAJ103" s="11"/>
      <c r="AAK103" s="11"/>
      <c r="AAL103" s="11"/>
      <c r="AAM103" s="11"/>
      <c r="AAN103" s="11"/>
      <c r="AAO103" s="11"/>
      <c r="AAP103" s="11"/>
      <c r="AAQ103" s="11"/>
      <c r="AAR103" s="11"/>
      <c r="AAS103" s="11"/>
      <c r="AAT103" s="11"/>
      <c r="AAU103" s="11"/>
      <c r="AAV103" s="11"/>
      <c r="AAW103" s="11"/>
      <c r="AAX103" s="11"/>
      <c r="AAY103" s="11"/>
      <c r="AAZ103" s="11"/>
      <c r="ABA103" s="11"/>
      <c r="ABB103" s="11"/>
      <c r="ABC103" s="11"/>
      <c r="ABD103" s="11"/>
      <c r="ABE103" s="11"/>
      <c r="ABF103" s="11"/>
      <c r="ABG103" s="11"/>
      <c r="ABH103" s="11"/>
      <c r="ABI103" s="11"/>
      <c r="ABJ103" s="11"/>
      <c r="ABK103" s="11"/>
      <c r="ABL103" s="11"/>
      <c r="ABM103" s="11"/>
      <c r="ABN103" s="11"/>
      <c r="ABO103" s="11"/>
      <c r="ABP103" s="11"/>
      <c r="ABQ103" s="11"/>
      <c r="ABR103" s="11"/>
      <c r="ABS103" s="11"/>
      <c r="ABT103" s="11"/>
      <c r="ABU103" s="11"/>
      <c r="ABV103" s="11"/>
      <c r="ABW103" s="11"/>
      <c r="ABX103" s="11"/>
      <c r="ABY103" s="11"/>
      <c r="ABZ103" s="11"/>
      <c r="ACA103" s="11"/>
      <c r="ACB103" s="11"/>
      <c r="ACC103" s="11"/>
      <c r="ACD103" s="11"/>
      <c r="ACE103" s="11"/>
      <c r="ACF103" s="11"/>
      <c r="ACG103" s="11"/>
      <c r="ACH103" s="11"/>
      <c r="ACI103" s="11"/>
      <c r="ACJ103" s="11"/>
      <c r="ACK103" s="11"/>
      <c r="ACL103" s="11"/>
      <c r="ACM103" s="11"/>
      <c r="ACN103" s="11"/>
      <c r="ACO103" s="11"/>
      <c r="ACP103" s="11"/>
      <c r="ACQ103" s="11"/>
      <c r="ACR103" s="11"/>
      <c r="ACS103" s="11"/>
      <c r="ACT103" s="11"/>
      <c r="ACU103" s="11"/>
      <c r="ACV103" s="11"/>
      <c r="ACW103" s="11"/>
      <c r="ACX103" s="11"/>
      <c r="ACY103" s="11"/>
      <c r="ACZ103" s="11"/>
      <c r="ADA103" s="11"/>
      <c r="ADB103" s="11"/>
      <c r="ADC103" s="11"/>
      <c r="ADD103" s="11"/>
      <c r="ADE103" s="11"/>
      <c r="ADF103" s="11"/>
      <c r="ADG103" s="11"/>
      <c r="ADH103" s="11"/>
      <c r="ADI103" s="11"/>
      <c r="ADJ103" s="11"/>
      <c r="ADK103" s="11"/>
      <c r="ADL103" s="11"/>
      <c r="ADM103" s="11"/>
      <c r="ADN103" s="11"/>
      <c r="ADO103" s="11"/>
      <c r="ADP103" s="11"/>
      <c r="ADQ103" s="11"/>
      <c r="ADR103" s="11"/>
      <c r="ADS103" s="11"/>
      <c r="ADT103" s="11"/>
      <c r="ADU103" s="11"/>
      <c r="ADV103" s="11"/>
      <c r="ADW103" s="11"/>
      <c r="ADX103" s="11"/>
      <c r="ADY103" s="11"/>
      <c r="ADZ103" s="11"/>
      <c r="AEA103" s="11"/>
      <c r="AEB103" s="11"/>
      <c r="AEC103" s="11"/>
      <c r="AED103" s="11"/>
      <c r="AEE103" s="11"/>
      <c r="AEF103" s="11"/>
      <c r="AEG103" s="11"/>
      <c r="AEH103" s="11"/>
      <c r="AEI103" s="11"/>
      <c r="AEJ103" s="11"/>
      <c r="AEK103" s="11"/>
      <c r="AEL103" s="11"/>
      <c r="AEM103" s="11"/>
      <c r="AEN103" s="11"/>
      <c r="AEO103" s="11"/>
      <c r="AEP103" s="11"/>
      <c r="AEQ103" s="11"/>
      <c r="AER103" s="11"/>
      <c r="AES103" s="11"/>
      <c r="AET103" s="11"/>
      <c r="AEU103" s="11"/>
      <c r="AEV103" s="11"/>
      <c r="AEW103" s="11"/>
      <c r="AEX103" s="11"/>
      <c r="AEY103" s="11"/>
      <c r="AEZ103" s="11"/>
      <c r="AFA103" s="11"/>
      <c r="AFB103" s="11"/>
      <c r="AFC103" s="11"/>
      <c r="AFD103" s="11"/>
      <c r="AFE103" s="11"/>
      <c r="AFF103" s="11"/>
      <c r="AFG103" s="11"/>
      <c r="AFH103" s="11"/>
      <c r="AFI103" s="11"/>
    </row>
    <row r="104" spans="2:841">
      <c r="B104" s="11"/>
      <c r="C104" s="657"/>
      <c r="D104" s="289" t="s">
        <v>628</v>
      </c>
      <c r="E104" s="311">
        <f>SUMIFS(M_Datos!$N$47:$N$49,M_Datos!$O$47:$O$49,M_Lista!G22,M_Datos!$M$47:$M$49,M_Lista!$J$3)</f>
        <v>0</v>
      </c>
      <c r="F104" s="312" t="e">
        <f>IF(AND(M_FactoresComplement!$G$439="No",M_FactoresComplement!$G$441="No"),M_Cálculos_ND!E104*VLOOKUP(M_Datos!$E$12&amp;M_Cálculos_ND!D104,M_Factores!$M$10:$P$108,2,FALSE),IF(AND(M_FactoresComplement!$G$439="Sí",M_FactoresComplement!$G$441="No"),E104*M_FactoresComplement!G464,E104*VLOOKUP(M_FactoresComplement!$C$467&amp;M_Datos!$E$12&amp;M_Lista!G21,M_FactoresComplement!$F$446:$I$781,2,FALSE)))</f>
        <v>#N/A</v>
      </c>
      <c r="G104" s="313" t="e">
        <f>IF(AND(M_FactoresComplement!$G$439="No",M_FactoresComplement!$G$441="No"),M_Cálculos_ND!E104*VLOOKUP(M_Datos!$E$12&amp;M_Cálculos_ND!D104,M_Factores!$M$10:$P$108,3,FALSE),IF(AND(M_FactoresComplement!$G$439="Sí",M_FactoresComplement!$G$441="No"),E104*M_FactoresComplement!H464,E104*VLOOKUP(M_FactoresComplement!$C$467&amp;M_Datos!$E$12&amp;M_Lista!G21,M_FactoresComplement!$F$446:$I$781,3,FALSE)))</f>
        <v>#N/A</v>
      </c>
      <c r="H104" s="311">
        <f>SUMIFS(M_Datos!$P$47:$P$49,M_Datos!$Q$47:$Q$49,M_Lista!G22,M_Datos!$M$47:$M$49,M_Lista!$J$3)</f>
        <v>0</v>
      </c>
      <c r="I104" s="312" t="e">
        <f>IF(AND(M_FactoresComplement!$G$439="No",M_FactoresComplement!$G$441="No"),M_Cálculos_ND!H104*VLOOKUP(M_Datos!$E$12&amp;M_Cálculos_ND!D104,M_Factores!$M$10:$P$108,2,FALSE),IF(AND(M_FactoresComplement!$G$439="Sí",M_FactoresComplement!$G$441="No"),H104*M_FactoresComplement!G464,H104*VLOOKUP(M_FactoresComplement!$C$467&amp;M_Datos!$E$12&amp;M_Lista!G21,M_FactoresComplement!$F$446:$I$781,2,FALSE)))</f>
        <v>#N/A</v>
      </c>
      <c r="J104" s="313" t="e">
        <f>IF(AND(M_FactoresComplement!$G$439="No",M_FactoresComplement!$G$441="No"),M_Cálculos_ND!H104*VLOOKUP(M_Datos!$E$12&amp;M_Cálculos_ND!D104,M_Factores!$M$10:$P$108,3,FALSE),IF(AND(M_FactoresComplement!$G$439="Sí",M_FactoresComplement!$G$441="No"),H104*M_FactoresComplement!H464,H104*VLOOKUP(M_FactoresComplement!$C$467&amp;M_Datos!$E$12&amp;M_Lista!G21,M_FactoresComplement!$F$446:$I$781,3,FALSE)))</f>
        <v>#N/A</v>
      </c>
      <c r="K104" s="311">
        <f>SUMIFS(M_Datos!$R$47:$R$49,M_Datos!$S$47:$S$49,M_Lista!G22,M_Datos!$M$47:$M$49,M_Lista!$J$3)</f>
        <v>0</v>
      </c>
      <c r="L104" s="312" t="e">
        <f>IF(AND(M_FactoresComplement!$G$439="No",M_FactoresComplement!$G$441="No"),M_Cálculos_ND!K104*VLOOKUP(M_Datos!$E$12&amp;M_Cálculos_ND!D104,M_Factores!$M$10:$P$108,2,FALSE),IF(AND(M_FactoresComplement!$G$439="Sí",M_FactoresComplement!$G$441="No"),K104*M_FactoresComplement!G464,K104*VLOOKUP(M_FactoresComplement!$C$467&amp;M_Datos!$E$12&amp;M_Lista!G21,M_FactoresComplement!$F$446:$I$781,2,FALSE)))</f>
        <v>#N/A</v>
      </c>
      <c r="M104" s="313" t="e">
        <f>IF(AND(M_FactoresComplement!$G$439="No",M_FactoresComplement!$G$441="No"),M_Cálculos_ND!K104*VLOOKUP(M_Datos!$E$12&amp;M_Cálculos_ND!D104,M_Factores!$M$10:$P$108,3,FALSE),IF(AND(M_FactoresComplement!$G$439="Sí",M_FactoresComplement!$G$441="No"),K104*M_FactoresComplement!H464,K104*VLOOKUP(M_FactoresComplement!$C$467&amp;M_Datos!$E$12&amp;M_Lista!G21,M_FactoresComplement!$F$446:$I$781,3,FALSE)))</f>
        <v>#N/A</v>
      </c>
      <c r="N104" s="311">
        <f>SUMIFS(M_Datos!$T$47:$T$49,M_Datos!$U$47:$U$49,M_Lista!G22,M_Datos!$M$47:$M$49,M_Lista!$J$3)</f>
        <v>0</v>
      </c>
      <c r="O104" s="312" t="e">
        <f>IF(AND(M_FactoresComplement!$G$439="No",M_FactoresComplement!$G$441="No"),M_Cálculos_ND!N104*VLOOKUP(M_Datos!$E$12&amp;M_Cálculos_ND!D104,M_Factores!$M$10:$P$108,2,FALSE),IF(AND(M_FactoresComplement!$G$439="Sí",M_FactoresComplement!$G$441="No"),N104*M_FactoresComplement!G464,N104*VLOOKUP(M_FactoresComplement!$C$467&amp;M_Datos!$E$12&amp;M_Lista!G21,M_FactoresComplement!$F$446:$I$781,2,FALSE)))</f>
        <v>#N/A</v>
      </c>
      <c r="P104" s="313" t="e">
        <f>IF(AND(M_FactoresComplement!$G$439="No",M_FactoresComplement!$G$441="No"),M_Cálculos_ND!N104*VLOOKUP(M_Datos!$E$12&amp;M_Cálculos_ND!D104,M_Factores!$M$10:$P$108,3,FALSE),IF(AND(M_FactoresComplement!$G$439="Sí",M_FactoresComplement!$G$441="No"),N104*M_FactoresComplement!H464,N104*VLOOKUP(M_FactoresComplement!$C$467&amp;M_Datos!$E$12&amp;M_Lista!G21,M_FactoresComplement!$F$446:$I$781,3,FALSE)))</f>
        <v>#N/A</v>
      </c>
      <c r="Q104" s="311">
        <f>SUMIFS(M_Datos!$V$47:$V$49,M_Datos!$W$47:$W$49,M_Lista!G22,M_Datos!$M$47:$M$49,M_Lista!$J$3)</f>
        <v>0</v>
      </c>
      <c r="R104" s="312" t="e">
        <f>IF(AND(M_FactoresComplement!$G$439="No",M_FactoresComplement!$G$441="No"),M_Cálculos_ND!Q104*VLOOKUP(M_Datos!$E$12&amp;M_Cálculos_ND!D104,M_Factores!$M$10:$P$108,2,FALSE),IF(AND(M_FactoresComplement!$G$439="Sí",M_FactoresComplement!$G$441="No"),Q104*M_FactoresComplement!G464,Q104*VLOOKUP(M_FactoresComplement!$C$467&amp;M_Datos!$E$12&amp;M_Lista!G21,M_FactoresComplement!$F$446:$I$781,2,FALSE)))</f>
        <v>#N/A</v>
      </c>
      <c r="S104" s="313" t="e">
        <f>IF(AND(M_FactoresComplement!$G$439="No",M_FactoresComplement!$G$441="No"),M_Cálculos_ND!Q104*VLOOKUP(M_Datos!$E$12&amp;M_Cálculos_ND!D104,M_Factores!$M$10:$P$108,3,FALSE),IF(AND(M_FactoresComplement!$G$439="Sí",M_FactoresComplement!$G$441="No"),Q104*M_FactoresComplement!H464,Q104*VLOOKUP(M_FactoresComplement!$C$467&amp;M_Datos!$E$12&amp;M_Lista!G21,M_FactoresComplement!$F$446:$I$781,3,FALSE)))</f>
        <v>#N/A</v>
      </c>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c r="JH104" s="11"/>
      <c r="JI104" s="11"/>
      <c r="JJ104" s="11"/>
      <c r="JK104" s="11"/>
      <c r="JL104" s="11"/>
      <c r="JM104" s="11"/>
      <c r="JN104" s="11"/>
      <c r="JO104" s="11"/>
      <c r="JP104" s="11"/>
      <c r="JQ104" s="11"/>
      <c r="JR104" s="11"/>
      <c r="JS104" s="11"/>
      <c r="JT104" s="11"/>
      <c r="JU104" s="11"/>
      <c r="JV104" s="11"/>
      <c r="JW104" s="11"/>
      <c r="JX104" s="11"/>
      <c r="JY104" s="11"/>
      <c r="JZ104" s="11"/>
      <c r="KA104" s="11"/>
      <c r="KB104" s="11"/>
      <c r="KC104" s="11"/>
      <c r="KD104" s="11"/>
      <c r="KE104" s="11"/>
      <c r="KF104" s="11"/>
      <c r="KG104" s="11"/>
      <c r="KH104" s="11"/>
      <c r="KI104" s="11"/>
      <c r="KJ104" s="11"/>
      <c r="KK104" s="11"/>
      <c r="KL104" s="11"/>
      <c r="KM104" s="11"/>
      <c r="KN104" s="11"/>
      <c r="KO104" s="11"/>
      <c r="KP104" s="11"/>
      <c r="KQ104" s="11"/>
      <c r="KR104" s="11"/>
      <c r="KS104" s="11"/>
      <c r="KT104" s="11"/>
      <c r="KU104" s="11"/>
      <c r="KV104" s="11"/>
      <c r="KW104" s="11"/>
      <c r="KX104" s="11"/>
      <c r="KY104" s="11"/>
      <c r="KZ104" s="11"/>
      <c r="LA104" s="11"/>
      <c r="LB104" s="11"/>
      <c r="LC104" s="11"/>
      <c r="LD104" s="11"/>
      <c r="LE104" s="11"/>
      <c r="LF104" s="11"/>
      <c r="LG104" s="11"/>
      <c r="LH104" s="11"/>
      <c r="LI104" s="11"/>
      <c r="LJ104" s="11"/>
      <c r="LK104" s="11"/>
      <c r="LL104" s="11"/>
      <c r="LM104" s="11"/>
      <c r="LN104" s="11"/>
      <c r="LO104" s="11"/>
      <c r="LP104" s="11"/>
      <c r="LQ104" s="11"/>
      <c r="LR104" s="11"/>
      <c r="LS104" s="11"/>
      <c r="LT104" s="11"/>
      <c r="LU104" s="11"/>
      <c r="LV104" s="11"/>
      <c r="LW104" s="11"/>
      <c r="LX104" s="11"/>
      <c r="LY104" s="11"/>
      <c r="LZ104" s="11"/>
      <c r="MA104" s="11"/>
      <c r="MB104" s="11"/>
      <c r="MC104" s="11"/>
      <c r="MD104" s="11"/>
      <c r="ME104" s="11"/>
      <c r="MF104" s="11"/>
      <c r="MG104" s="11"/>
      <c r="MH104" s="11"/>
      <c r="MI104" s="11"/>
      <c r="MJ104" s="11"/>
      <c r="MK104" s="11"/>
      <c r="ML104" s="11"/>
      <c r="MM104" s="11"/>
      <c r="MN104" s="11"/>
      <c r="MO104" s="11"/>
      <c r="MP104" s="11"/>
      <c r="MQ104" s="11"/>
      <c r="MR104" s="11"/>
      <c r="MS104" s="11"/>
      <c r="MT104" s="11"/>
      <c r="MU104" s="11"/>
      <c r="MV104" s="11"/>
      <c r="MW104" s="11"/>
      <c r="MX104" s="11"/>
      <c r="MY104" s="11"/>
      <c r="MZ104" s="11"/>
      <c r="NA104" s="11"/>
      <c r="NB104" s="11"/>
      <c r="NC104" s="11"/>
      <c r="ND104" s="11"/>
      <c r="NE104" s="11"/>
      <c r="NF104" s="11"/>
      <c r="NG104" s="11"/>
      <c r="NH104" s="11"/>
      <c r="NI104" s="11"/>
      <c r="NJ104" s="11"/>
      <c r="NK104" s="11"/>
      <c r="NL104" s="11"/>
      <c r="NM104" s="11"/>
      <c r="NN104" s="11"/>
      <c r="NO104" s="11"/>
      <c r="NP104" s="11"/>
      <c r="NQ104" s="11"/>
      <c r="NR104" s="11"/>
      <c r="NS104" s="11"/>
      <c r="NT104" s="11"/>
      <c r="NU104" s="11"/>
      <c r="NV104" s="11"/>
      <c r="NW104" s="11"/>
      <c r="NX104" s="11"/>
      <c r="NY104" s="11"/>
      <c r="NZ104" s="11"/>
      <c r="OA104" s="11"/>
      <c r="OB104" s="11"/>
      <c r="OC104" s="11"/>
      <c r="OD104" s="11"/>
      <c r="OE104" s="11"/>
      <c r="OF104" s="11"/>
      <c r="OG104" s="11"/>
      <c r="OH104" s="11"/>
      <c r="OI104" s="11"/>
      <c r="OJ104" s="11"/>
      <c r="OK104" s="11"/>
      <c r="OL104" s="11"/>
      <c r="OM104" s="11"/>
      <c r="ON104" s="11"/>
      <c r="OO104" s="11"/>
      <c r="OP104" s="11"/>
      <c r="OQ104" s="11"/>
      <c r="OR104" s="11"/>
      <c r="OS104" s="11"/>
      <c r="OT104" s="11"/>
      <c r="OU104" s="11"/>
      <c r="OV104" s="11"/>
      <c r="OW104" s="11"/>
      <c r="OX104" s="11"/>
      <c r="OY104" s="11"/>
      <c r="OZ104" s="11"/>
      <c r="PA104" s="11"/>
      <c r="PB104" s="11"/>
      <c r="PC104" s="11"/>
      <c r="PD104" s="11"/>
      <c r="PE104" s="11"/>
      <c r="PF104" s="11"/>
      <c r="PG104" s="11"/>
      <c r="PH104" s="11"/>
      <c r="PI104" s="11"/>
      <c r="PJ104" s="11"/>
      <c r="PK104" s="11"/>
      <c r="PL104" s="11"/>
      <c r="PM104" s="11"/>
      <c r="PN104" s="11"/>
      <c r="PO104" s="11"/>
      <c r="PP104" s="11"/>
      <c r="PQ104" s="11"/>
      <c r="PR104" s="11"/>
      <c r="PS104" s="11"/>
      <c r="PT104" s="11"/>
      <c r="PU104" s="11"/>
      <c r="PV104" s="11"/>
      <c r="PW104" s="11"/>
      <c r="PX104" s="11"/>
      <c r="PY104" s="11"/>
      <c r="PZ104" s="11"/>
      <c r="QA104" s="11"/>
      <c r="QB104" s="11"/>
      <c r="QC104" s="11"/>
      <c r="QD104" s="11"/>
      <c r="QE104" s="11"/>
      <c r="QF104" s="11"/>
      <c r="QG104" s="11"/>
      <c r="QH104" s="11"/>
      <c r="QI104" s="11"/>
      <c r="QJ104" s="11"/>
      <c r="QK104" s="11"/>
      <c r="QL104" s="11"/>
      <c r="QM104" s="11"/>
      <c r="QN104" s="11"/>
      <c r="QO104" s="11"/>
      <c r="QP104" s="11"/>
      <c r="QQ104" s="11"/>
      <c r="QR104" s="11"/>
      <c r="QS104" s="11"/>
      <c r="QT104" s="11"/>
      <c r="QU104" s="11"/>
      <c r="QV104" s="11"/>
      <c r="QW104" s="11"/>
      <c r="QX104" s="11"/>
      <c r="QY104" s="11"/>
      <c r="QZ104" s="11"/>
      <c r="RA104" s="11"/>
      <c r="RB104" s="11"/>
      <c r="RC104" s="11"/>
      <c r="RD104" s="11"/>
      <c r="RE104" s="11"/>
      <c r="RF104" s="11"/>
      <c r="RG104" s="11"/>
      <c r="RH104" s="11"/>
      <c r="RI104" s="11"/>
      <c r="RJ104" s="11"/>
      <c r="RK104" s="11"/>
      <c r="RL104" s="11"/>
      <c r="RM104" s="11"/>
      <c r="RN104" s="11"/>
      <c r="RO104" s="11"/>
      <c r="RP104" s="11"/>
      <c r="RQ104" s="11"/>
      <c r="RR104" s="11"/>
      <c r="RS104" s="11"/>
      <c r="RT104" s="11"/>
      <c r="RU104" s="11"/>
      <c r="RV104" s="11"/>
      <c r="RW104" s="11"/>
      <c r="RX104" s="11"/>
      <c r="RY104" s="11"/>
      <c r="RZ104" s="11"/>
      <c r="SA104" s="11"/>
      <c r="SB104" s="11"/>
      <c r="SC104" s="11"/>
      <c r="SD104" s="11"/>
      <c r="SE104" s="11"/>
      <c r="SF104" s="11"/>
      <c r="SG104" s="11"/>
      <c r="SH104" s="11"/>
      <c r="SI104" s="11"/>
      <c r="SJ104" s="11"/>
      <c r="SK104" s="11"/>
      <c r="SL104" s="11"/>
      <c r="SM104" s="11"/>
      <c r="SN104" s="11"/>
      <c r="SO104" s="11"/>
      <c r="SP104" s="11"/>
      <c r="SQ104" s="11"/>
      <c r="SR104" s="11"/>
      <c r="SS104" s="11"/>
      <c r="ST104" s="11"/>
      <c r="SU104" s="11"/>
      <c r="SV104" s="11"/>
      <c r="SW104" s="11"/>
      <c r="SX104" s="11"/>
      <c r="SY104" s="11"/>
      <c r="SZ104" s="11"/>
      <c r="TA104" s="11"/>
      <c r="TB104" s="11"/>
      <c r="TC104" s="11"/>
      <c r="TD104" s="11"/>
      <c r="TE104" s="11"/>
      <c r="TF104" s="11"/>
      <c r="TG104" s="11"/>
      <c r="TH104" s="11"/>
      <c r="TI104" s="11"/>
      <c r="TJ104" s="11"/>
      <c r="TK104" s="11"/>
      <c r="TL104" s="11"/>
      <c r="TM104" s="11"/>
      <c r="TN104" s="11"/>
      <c r="TO104" s="11"/>
      <c r="TP104" s="11"/>
      <c r="TQ104" s="11"/>
      <c r="TR104" s="11"/>
      <c r="TS104" s="11"/>
      <c r="TT104" s="11"/>
      <c r="TU104" s="11"/>
      <c r="TV104" s="11"/>
      <c r="TW104" s="11"/>
      <c r="TX104" s="11"/>
      <c r="TY104" s="11"/>
      <c r="TZ104" s="11"/>
      <c r="UA104" s="11"/>
      <c r="UB104" s="11"/>
      <c r="UC104" s="11"/>
      <c r="UD104" s="11"/>
      <c r="UE104" s="11"/>
      <c r="UF104" s="11"/>
      <c r="UG104" s="11"/>
      <c r="UH104" s="11"/>
      <c r="UI104" s="11"/>
      <c r="UJ104" s="11"/>
      <c r="UK104" s="11"/>
      <c r="UL104" s="11"/>
      <c r="UM104" s="11"/>
      <c r="UN104" s="11"/>
      <c r="UO104" s="11"/>
      <c r="UP104" s="11"/>
      <c r="UQ104" s="11"/>
      <c r="UR104" s="11"/>
      <c r="US104" s="11"/>
      <c r="UT104" s="11"/>
      <c r="UU104" s="11"/>
      <c r="UV104" s="11"/>
      <c r="UW104" s="11"/>
      <c r="UX104" s="11"/>
      <c r="UY104" s="11"/>
      <c r="UZ104" s="11"/>
      <c r="VA104" s="11"/>
      <c r="VB104" s="11"/>
      <c r="VC104" s="11"/>
      <c r="VD104" s="11"/>
      <c r="VE104" s="11"/>
      <c r="VF104" s="11"/>
      <c r="VG104" s="11"/>
      <c r="VH104" s="11"/>
      <c r="VI104" s="11"/>
      <c r="VJ104" s="11"/>
      <c r="VK104" s="11"/>
      <c r="VL104" s="11"/>
      <c r="VM104" s="11"/>
      <c r="VN104" s="11"/>
      <c r="VO104" s="11"/>
      <c r="VP104" s="11"/>
      <c r="VQ104" s="11"/>
      <c r="VR104" s="11"/>
      <c r="VS104" s="11"/>
      <c r="VT104" s="11"/>
      <c r="VU104" s="11"/>
      <c r="VV104" s="11"/>
      <c r="VW104" s="11"/>
      <c r="VX104" s="11"/>
      <c r="VY104" s="11"/>
      <c r="VZ104" s="11"/>
      <c r="WA104" s="11"/>
      <c r="WB104" s="11"/>
      <c r="WC104" s="11"/>
      <c r="WD104" s="11"/>
      <c r="WE104" s="11"/>
      <c r="WF104" s="11"/>
      <c r="WG104" s="11"/>
      <c r="WH104" s="11"/>
      <c r="WI104" s="11"/>
      <c r="WJ104" s="11"/>
      <c r="WK104" s="11"/>
      <c r="WL104" s="11"/>
      <c r="WM104" s="11"/>
      <c r="WN104" s="11"/>
      <c r="WO104" s="11"/>
      <c r="WP104" s="11"/>
      <c r="WQ104" s="11"/>
      <c r="WR104" s="11"/>
      <c r="WS104" s="11"/>
      <c r="WT104" s="11"/>
      <c r="WU104" s="11"/>
      <c r="WV104" s="11"/>
      <c r="WW104" s="11"/>
      <c r="WX104" s="11"/>
      <c r="WY104" s="11"/>
      <c r="WZ104" s="11"/>
      <c r="XA104" s="11"/>
      <c r="XB104" s="11"/>
      <c r="XC104" s="11"/>
      <c r="XD104" s="11"/>
      <c r="XE104" s="11"/>
      <c r="XF104" s="11"/>
      <c r="XG104" s="11"/>
      <c r="XH104" s="11"/>
      <c r="XI104" s="11"/>
      <c r="XJ104" s="11"/>
      <c r="XK104" s="11"/>
      <c r="XL104" s="11"/>
      <c r="XM104" s="11"/>
      <c r="XN104" s="11"/>
      <c r="XO104" s="11"/>
      <c r="XP104" s="11"/>
      <c r="XQ104" s="11"/>
      <c r="XR104" s="11"/>
      <c r="XS104" s="11"/>
      <c r="XT104" s="11"/>
      <c r="XU104" s="11"/>
      <c r="XV104" s="11"/>
      <c r="XW104" s="11"/>
      <c r="XX104" s="11"/>
      <c r="XY104" s="11"/>
      <c r="XZ104" s="11"/>
      <c r="YA104" s="11"/>
      <c r="YB104" s="11"/>
      <c r="YC104" s="11"/>
      <c r="YD104" s="11"/>
      <c r="YE104" s="11"/>
      <c r="YF104" s="11"/>
      <c r="YG104" s="11"/>
      <c r="YH104" s="11"/>
      <c r="YI104" s="11"/>
      <c r="YJ104" s="11"/>
      <c r="YK104" s="11"/>
      <c r="YL104" s="11"/>
      <c r="YM104" s="11"/>
      <c r="YN104" s="11"/>
      <c r="YO104" s="11"/>
      <c r="YP104" s="11"/>
      <c r="YQ104" s="11"/>
      <c r="YR104" s="11"/>
      <c r="YS104" s="11"/>
      <c r="YT104" s="11"/>
      <c r="YU104" s="11"/>
      <c r="YV104" s="11"/>
      <c r="YW104" s="11"/>
      <c r="YX104" s="11"/>
      <c r="YY104" s="11"/>
      <c r="YZ104" s="11"/>
      <c r="ZA104" s="11"/>
      <c r="ZB104" s="11"/>
      <c r="ZC104" s="11"/>
      <c r="ZD104" s="11"/>
      <c r="ZE104" s="11"/>
      <c r="ZF104" s="11"/>
      <c r="ZG104" s="11"/>
      <c r="ZH104" s="11"/>
      <c r="ZI104" s="11"/>
      <c r="ZJ104" s="11"/>
      <c r="ZK104" s="11"/>
      <c r="ZL104" s="11"/>
      <c r="ZM104" s="11"/>
      <c r="ZN104" s="11"/>
      <c r="ZO104" s="11"/>
      <c r="ZP104" s="11"/>
      <c r="ZQ104" s="11"/>
      <c r="ZR104" s="11"/>
      <c r="ZS104" s="11"/>
      <c r="ZT104" s="11"/>
      <c r="ZU104" s="11"/>
      <c r="ZV104" s="11"/>
      <c r="ZW104" s="11"/>
      <c r="ZX104" s="11"/>
      <c r="ZY104" s="11"/>
      <c r="ZZ104" s="11"/>
      <c r="AAA104" s="11"/>
      <c r="AAB104" s="11"/>
      <c r="AAC104" s="11"/>
      <c r="AAD104" s="11"/>
      <c r="AAE104" s="11"/>
      <c r="AAF104" s="11"/>
      <c r="AAG104" s="11"/>
      <c r="AAH104" s="11"/>
      <c r="AAI104" s="11"/>
      <c r="AAJ104" s="11"/>
      <c r="AAK104" s="11"/>
      <c r="AAL104" s="11"/>
      <c r="AAM104" s="11"/>
      <c r="AAN104" s="11"/>
      <c r="AAO104" s="11"/>
      <c r="AAP104" s="11"/>
      <c r="AAQ104" s="11"/>
      <c r="AAR104" s="11"/>
      <c r="AAS104" s="11"/>
      <c r="AAT104" s="11"/>
      <c r="AAU104" s="11"/>
      <c r="AAV104" s="11"/>
      <c r="AAW104" s="11"/>
      <c r="AAX104" s="11"/>
      <c r="AAY104" s="11"/>
      <c r="AAZ104" s="11"/>
      <c r="ABA104" s="11"/>
      <c r="ABB104" s="11"/>
      <c r="ABC104" s="11"/>
      <c r="ABD104" s="11"/>
      <c r="ABE104" s="11"/>
      <c r="ABF104" s="11"/>
      <c r="ABG104" s="11"/>
      <c r="ABH104" s="11"/>
      <c r="ABI104" s="11"/>
      <c r="ABJ104" s="11"/>
      <c r="ABK104" s="11"/>
      <c r="ABL104" s="11"/>
      <c r="ABM104" s="11"/>
      <c r="ABN104" s="11"/>
      <c r="ABO104" s="11"/>
      <c r="ABP104" s="11"/>
      <c r="ABQ104" s="11"/>
      <c r="ABR104" s="11"/>
      <c r="ABS104" s="11"/>
      <c r="ABT104" s="11"/>
      <c r="ABU104" s="11"/>
      <c r="ABV104" s="11"/>
      <c r="ABW104" s="11"/>
      <c r="ABX104" s="11"/>
      <c r="ABY104" s="11"/>
      <c r="ABZ104" s="11"/>
      <c r="ACA104" s="11"/>
      <c r="ACB104" s="11"/>
      <c r="ACC104" s="11"/>
      <c r="ACD104" s="11"/>
      <c r="ACE104" s="11"/>
      <c r="ACF104" s="11"/>
      <c r="ACG104" s="11"/>
      <c r="ACH104" s="11"/>
      <c r="ACI104" s="11"/>
      <c r="ACJ104" s="11"/>
      <c r="ACK104" s="11"/>
      <c r="ACL104" s="11"/>
      <c r="ACM104" s="11"/>
      <c r="ACN104" s="11"/>
      <c r="ACO104" s="11"/>
      <c r="ACP104" s="11"/>
      <c r="ACQ104" s="11"/>
      <c r="ACR104" s="11"/>
      <c r="ACS104" s="11"/>
      <c r="ACT104" s="11"/>
      <c r="ACU104" s="11"/>
      <c r="ACV104" s="11"/>
      <c r="ACW104" s="11"/>
      <c r="ACX104" s="11"/>
      <c r="ACY104" s="11"/>
      <c r="ACZ104" s="11"/>
      <c r="ADA104" s="11"/>
      <c r="ADB104" s="11"/>
      <c r="ADC104" s="11"/>
      <c r="ADD104" s="11"/>
      <c r="ADE104" s="11"/>
      <c r="ADF104" s="11"/>
      <c r="ADG104" s="11"/>
      <c r="ADH104" s="11"/>
      <c r="ADI104" s="11"/>
      <c r="ADJ104" s="11"/>
      <c r="ADK104" s="11"/>
      <c r="ADL104" s="11"/>
      <c r="ADM104" s="11"/>
      <c r="ADN104" s="11"/>
      <c r="ADO104" s="11"/>
      <c r="ADP104" s="11"/>
      <c r="ADQ104" s="11"/>
      <c r="ADR104" s="11"/>
      <c r="ADS104" s="11"/>
      <c r="ADT104" s="11"/>
      <c r="ADU104" s="11"/>
      <c r="ADV104" s="11"/>
      <c r="ADW104" s="11"/>
      <c r="ADX104" s="11"/>
      <c r="ADY104" s="11"/>
      <c r="ADZ104" s="11"/>
      <c r="AEA104" s="11"/>
      <c r="AEB104" s="11"/>
      <c r="AEC104" s="11"/>
      <c r="AED104" s="11"/>
      <c r="AEE104" s="11"/>
      <c r="AEF104" s="11"/>
      <c r="AEG104" s="11"/>
      <c r="AEH104" s="11"/>
      <c r="AEI104" s="11"/>
      <c r="AEJ104" s="11"/>
      <c r="AEK104" s="11"/>
      <c r="AEL104" s="11"/>
      <c r="AEM104" s="11"/>
      <c r="AEN104" s="11"/>
      <c r="AEO104" s="11"/>
      <c r="AEP104" s="11"/>
      <c r="AEQ104" s="11"/>
      <c r="AER104" s="11"/>
      <c r="AES104" s="11"/>
      <c r="AET104" s="11"/>
      <c r="AEU104" s="11"/>
      <c r="AEV104" s="11"/>
      <c r="AEW104" s="11"/>
      <c r="AEX104" s="11"/>
      <c r="AEY104" s="11"/>
      <c r="AEZ104" s="11"/>
      <c r="AFA104" s="11"/>
      <c r="AFB104" s="11"/>
      <c r="AFC104" s="11"/>
      <c r="AFD104" s="11"/>
      <c r="AFE104" s="11"/>
      <c r="AFF104" s="11"/>
      <c r="AFG104" s="11"/>
      <c r="AFH104" s="11"/>
      <c r="AFI104" s="11"/>
    </row>
    <row r="105" spans="2:841">
      <c r="B105" s="11"/>
      <c r="C105" s="657"/>
      <c r="D105" s="289" t="s">
        <v>629</v>
      </c>
      <c r="E105" s="311">
        <f>SUMIFS(M_Datos!$N$47:$N$49,M_Datos!$O$47:$O$49,M_Lista!G23,M_Datos!$M$47:$M$49,M_Lista!$J$3)</f>
        <v>0</v>
      </c>
      <c r="F105" s="312" t="e">
        <f>IF(AND(M_FactoresComplement!$G$439="No",M_FactoresComplement!$G$441="No"),M_Cálculos_ND!E105*VLOOKUP(M_Datos!$E$12&amp;M_Cálculos_ND!D105,M_Factores!$M$10:$P$108,2,FALSE),IF(AND(M_FactoresComplement!$G$439="Sí",M_FactoresComplement!$G$441="No"),E105*M_FactoresComplement!G465,E105*VLOOKUP(M_FactoresComplement!$C$467&amp;M_Datos!$E$12&amp;M_Lista!G22,M_FactoresComplement!$F$446:$I$781,2,FALSE)))</f>
        <v>#N/A</v>
      </c>
      <c r="G105" s="313" t="e">
        <f>IF(AND(M_FactoresComplement!$G$439="No",M_FactoresComplement!$G$441="No"),M_Cálculos_ND!E105*VLOOKUP(M_Datos!$E$12&amp;M_Cálculos_ND!D105,M_Factores!$M$10:$P$108,3,FALSE),IF(AND(M_FactoresComplement!$G$439="Sí",M_FactoresComplement!$G$441="No"),E105*M_FactoresComplement!H465,E105*VLOOKUP(M_FactoresComplement!$C$467&amp;M_Datos!$E$12&amp;M_Lista!G22,M_FactoresComplement!$F$446:$I$781,3,FALSE)))</f>
        <v>#N/A</v>
      </c>
      <c r="H105" s="311">
        <f>SUMIFS(M_Datos!$P$47:$P$49,M_Datos!$Q$47:$Q$49,M_Lista!G23,M_Datos!$M$47:$M$49,M_Lista!$J$3)</f>
        <v>0</v>
      </c>
      <c r="I105" s="312" t="e">
        <f>IF(AND(M_FactoresComplement!$G$439="No",M_FactoresComplement!$G$441="No"),M_Cálculos_ND!H105*VLOOKUP(M_Datos!$E$12&amp;M_Cálculos_ND!D105,M_Factores!$M$10:$P$108,2,FALSE),IF(AND(M_FactoresComplement!$G$439="Sí",M_FactoresComplement!$G$441="No"),H105*M_FactoresComplement!G465,H105*VLOOKUP(M_FactoresComplement!$C$467&amp;M_Datos!$E$12&amp;M_Lista!G22,M_FactoresComplement!$F$446:$I$781,2,FALSE)))</f>
        <v>#N/A</v>
      </c>
      <c r="J105" s="313" t="e">
        <f>IF(AND(M_FactoresComplement!$G$439="No",M_FactoresComplement!$G$441="No"),M_Cálculos_ND!H105*VLOOKUP(M_Datos!$E$12&amp;M_Cálculos_ND!D105,M_Factores!$M$10:$P$108,3,FALSE),IF(AND(M_FactoresComplement!$G$439="Sí",M_FactoresComplement!$G$441="No"),H105*M_FactoresComplement!H465,H105*VLOOKUP(M_FactoresComplement!$C$467&amp;M_Datos!$E$12&amp;M_Lista!G22,M_FactoresComplement!$F$446:$I$781,3,FALSE)))</f>
        <v>#N/A</v>
      </c>
      <c r="K105" s="311">
        <f>SUMIFS(M_Datos!$R$47:$R$49,M_Datos!$S$47:$S$49,M_Lista!G23,M_Datos!$M$47:$M$49,M_Lista!$J$3)</f>
        <v>0</v>
      </c>
      <c r="L105" s="312" t="e">
        <f>IF(AND(M_FactoresComplement!$G$439="No",M_FactoresComplement!$G$441="No"),M_Cálculos_ND!K105*VLOOKUP(M_Datos!$E$12&amp;M_Cálculos_ND!D105,M_Factores!$M$10:$P$108,2,FALSE),IF(AND(M_FactoresComplement!$G$439="Sí",M_FactoresComplement!$G$441="No"),K105*M_FactoresComplement!G465,K105*VLOOKUP(M_FactoresComplement!$C$467&amp;M_Datos!$E$12&amp;M_Lista!G22,M_FactoresComplement!$F$446:$I$781,2,FALSE)))</f>
        <v>#N/A</v>
      </c>
      <c r="M105" s="313" t="e">
        <f>IF(AND(M_FactoresComplement!$G$439="No",M_FactoresComplement!$G$441="No"),M_Cálculos_ND!K105*VLOOKUP(M_Datos!$E$12&amp;M_Cálculos_ND!D105,M_Factores!$M$10:$P$108,3,FALSE),IF(AND(M_FactoresComplement!$G$439="Sí",M_FactoresComplement!$G$441="No"),K105*M_FactoresComplement!H465,K105*VLOOKUP(M_FactoresComplement!$C$467&amp;M_Datos!$E$12&amp;M_Lista!G22,M_FactoresComplement!$F$446:$I$781,3,FALSE)))</f>
        <v>#N/A</v>
      </c>
      <c r="N105" s="311">
        <f>SUMIFS(M_Datos!$T$47:$T$49,M_Datos!$U$47:$U$49,M_Lista!G23,M_Datos!$M$47:$M$49,M_Lista!$J$3)</f>
        <v>0</v>
      </c>
      <c r="O105" s="312" t="e">
        <f>IF(AND(M_FactoresComplement!$G$439="No",M_FactoresComplement!$G$441="No"),M_Cálculos_ND!N105*VLOOKUP(M_Datos!$E$12&amp;M_Cálculos_ND!D105,M_Factores!$M$10:$P$108,2,FALSE),IF(AND(M_FactoresComplement!$G$439="Sí",M_FactoresComplement!$G$441="No"),N105*M_FactoresComplement!G465,N105*VLOOKUP(M_FactoresComplement!$C$467&amp;M_Datos!$E$12&amp;M_Lista!G22,M_FactoresComplement!$F$446:$I$781,2,FALSE)))</f>
        <v>#N/A</v>
      </c>
      <c r="P105" s="313" t="e">
        <f>IF(AND(M_FactoresComplement!$G$439="No",M_FactoresComplement!$G$441="No"),M_Cálculos_ND!N105*VLOOKUP(M_Datos!$E$12&amp;M_Cálculos_ND!D105,M_Factores!$M$10:$P$108,3,FALSE),IF(AND(M_FactoresComplement!$G$439="Sí",M_FactoresComplement!$G$441="No"),N105*M_FactoresComplement!H465,N105*VLOOKUP(M_FactoresComplement!$C$467&amp;M_Datos!$E$12&amp;M_Lista!G22,M_FactoresComplement!$F$446:$I$781,3,FALSE)))</f>
        <v>#N/A</v>
      </c>
      <c r="Q105" s="311">
        <f>SUMIFS(M_Datos!$V$47:$V$49,M_Datos!$W$47:$W$49,M_Lista!G23,M_Datos!$M$47:$M$49,M_Lista!$J$3)</f>
        <v>0</v>
      </c>
      <c r="R105" s="312" t="e">
        <f>IF(AND(M_FactoresComplement!$G$439="No",M_FactoresComplement!$G$441="No"),M_Cálculos_ND!Q105*VLOOKUP(M_Datos!$E$12&amp;M_Cálculos_ND!D105,M_Factores!$M$10:$P$108,2,FALSE),IF(AND(M_FactoresComplement!$G$439="Sí",M_FactoresComplement!$G$441="No"),Q105*M_FactoresComplement!G465,Q105*VLOOKUP(M_FactoresComplement!$C$467&amp;M_Datos!$E$12&amp;M_Lista!G22,M_FactoresComplement!$F$446:$I$781,2,FALSE)))</f>
        <v>#N/A</v>
      </c>
      <c r="S105" s="313" t="e">
        <f>IF(AND(M_FactoresComplement!$G$439="No",M_FactoresComplement!$G$441="No"),M_Cálculos_ND!Q105*VLOOKUP(M_Datos!$E$12&amp;M_Cálculos_ND!D105,M_Factores!$M$10:$P$108,3,FALSE),IF(AND(M_FactoresComplement!$G$439="Sí",M_FactoresComplement!$G$441="No"),Q105*M_FactoresComplement!H465,Q105*VLOOKUP(M_FactoresComplement!$C$467&amp;M_Datos!$E$12&amp;M_Lista!G22,M_FactoresComplement!$F$446:$I$781,3,FALSE)))</f>
        <v>#N/A</v>
      </c>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c r="JH105" s="11"/>
      <c r="JI105" s="11"/>
      <c r="JJ105" s="11"/>
      <c r="JK105" s="11"/>
      <c r="JL105" s="11"/>
      <c r="JM105" s="11"/>
      <c r="JN105" s="11"/>
      <c r="JO105" s="11"/>
      <c r="JP105" s="11"/>
      <c r="JQ105" s="11"/>
      <c r="JR105" s="11"/>
      <c r="JS105" s="11"/>
      <c r="JT105" s="11"/>
      <c r="JU105" s="11"/>
      <c r="JV105" s="11"/>
      <c r="JW105" s="11"/>
      <c r="JX105" s="11"/>
      <c r="JY105" s="11"/>
      <c r="JZ105" s="11"/>
      <c r="KA105" s="11"/>
      <c r="KB105" s="11"/>
      <c r="KC105" s="11"/>
      <c r="KD105" s="11"/>
      <c r="KE105" s="11"/>
      <c r="KF105" s="11"/>
      <c r="KG105" s="11"/>
      <c r="KH105" s="11"/>
      <c r="KI105" s="11"/>
      <c r="KJ105" s="11"/>
      <c r="KK105" s="11"/>
      <c r="KL105" s="11"/>
      <c r="KM105" s="11"/>
      <c r="KN105" s="11"/>
      <c r="KO105" s="11"/>
      <c r="KP105" s="11"/>
      <c r="KQ105" s="11"/>
      <c r="KR105" s="11"/>
      <c r="KS105" s="11"/>
      <c r="KT105" s="11"/>
      <c r="KU105" s="11"/>
      <c r="KV105" s="11"/>
      <c r="KW105" s="11"/>
      <c r="KX105" s="11"/>
      <c r="KY105" s="11"/>
      <c r="KZ105" s="11"/>
      <c r="LA105" s="11"/>
      <c r="LB105" s="11"/>
      <c r="LC105" s="11"/>
      <c r="LD105" s="11"/>
      <c r="LE105" s="11"/>
      <c r="LF105" s="11"/>
      <c r="LG105" s="11"/>
      <c r="LH105" s="11"/>
      <c r="LI105" s="11"/>
      <c r="LJ105" s="11"/>
      <c r="LK105" s="11"/>
      <c r="LL105" s="11"/>
      <c r="LM105" s="11"/>
      <c r="LN105" s="11"/>
      <c r="LO105" s="11"/>
      <c r="LP105" s="11"/>
      <c r="LQ105" s="11"/>
      <c r="LR105" s="11"/>
      <c r="LS105" s="11"/>
      <c r="LT105" s="11"/>
      <c r="LU105" s="11"/>
      <c r="LV105" s="11"/>
      <c r="LW105" s="11"/>
      <c r="LX105" s="11"/>
      <c r="LY105" s="11"/>
      <c r="LZ105" s="11"/>
      <c r="MA105" s="11"/>
      <c r="MB105" s="11"/>
      <c r="MC105" s="11"/>
      <c r="MD105" s="11"/>
      <c r="ME105" s="11"/>
      <c r="MF105" s="11"/>
      <c r="MG105" s="11"/>
      <c r="MH105" s="11"/>
      <c r="MI105" s="11"/>
      <c r="MJ105" s="11"/>
      <c r="MK105" s="11"/>
      <c r="ML105" s="11"/>
      <c r="MM105" s="11"/>
      <c r="MN105" s="11"/>
      <c r="MO105" s="11"/>
      <c r="MP105" s="11"/>
      <c r="MQ105" s="11"/>
      <c r="MR105" s="11"/>
      <c r="MS105" s="11"/>
      <c r="MT105" s="11"/>
      <c r="MU105" s="11"/>
      <c r="MV105" s="11"/>
      <c r="MW105" s="11"/>
      <c r="MX105" s="11"/>
      <c r="MY105" s="11"/>
      <c r="MZ105" s="11"/>
      <c r="NA105" s="11"/>
      <c r="NB105" s="11"/>
      <c r="NC105" s="11"/>
      <c r="ND105" s="11"/>
      <c r="NE105" s="11"/>
      <c r="NF105" s="11"/>
      <c r="NG105" s="11"/>
      <c r="NH105" s="11"/>
      <c r="NI105" s="11"/>
      <c r="NJ105" s="11"/>
      <c r="NK105" s="11"/>
      <c r="NL105" s="11"/>
      <c r="NM105" s="11"/>
      <c r="NN105" s="11"/>
      <c r="NO105" s="11"/>
      <c r="NP105" s="11"/>
      <c r="NQ105" s="11"/>
      <c r="NR105" s="11"/>
      <c r="NS105" s="11"/>
      <c r="NT105" s="11"/>
      <c r="NU105" s="11"/>
      <c r="NV105" s="11"/>
      <c r="NW105" s="11"/>
      <c r="NX105" s="11"/>
      <c r="NY105" s="11"/>
      <c r="NZ105" s="11"/>
      <c r="OA105" s="11"/>
      <c r="OB105" s="11"/>
      <c r="OC105" s="11"/>
      <c r="OD105" s="11"/>
      <c r="OE105" s="11"/>
      <c r="OF105" s="11"/>
      <c r="OG105" s="11"/>
      <c r="OH105" s="11"/>
      <c r="OI105" s="11"/>
      <c r="OJ105" s="11"/>
      <c r="OK105" s="11"/>
      <c r="OL105" s="11"/>
      <c r="OM105" s="11"/>
      <c r="ON105" s="11"/>
      <c r="OO105" s="11"/>
      <c r="OP105" s="11"/>
      <c r="OQ105" s="11"/>
      <c r="OR105" s="11"/>
      <c r="OS105" s="11"/>
      <c r="OT105" s="11"/>
      <c r="OU105" s="11"/>
      <c r="OV105" s="11"/>
      <c r="OW105" s="11"/>
      <c r="OX105" s="11"/>
      <c r="OY105" s="11"/>
      <c r="OZ105" s="11"/>
      <c r="PA105" s="11"/>
      <c r="PB105" s="11"/>
      <c r="PC105" s="11"/>
      <c r="PD105" s="11"/>
      <c r="PE105" s="11"/>
      <c r="PF105" s="11"/>
      <c r="PG105" s="11"/>
      <c r="PH105" s="11"/>
      <c r="PI105" s="11"/>
      <c r="PJ105" s="11"/>
      <c r="PK105" s="11"/>
      <c r="PL105" s="11"/>
      <c r="PM105" s="11"/>
      <c r="PN105" s="11"/>
      <c r="PO105" s="11"/>
      <c r="PP105" s="11"/>
      <c r="PQ105" s="11"/>
      <c r="PR105" s="11"/>
      <c r="PS105" s="11"/>
      <c r="PT105" s="11"/>
      <c r="PU105" s="11"/>
      <c r="PV105" s="11"/>
      <c r="PW105" s="11"/>
      <c r="PX105" s="11"/>
      <c r="PY105" s="11"/>
      <c r="PZ105" s="11"/>
      <c r="QA105" s="11"/>
      <c r="QB105" s="11"/>
      <c r="QC105" s="11"/>
      <c r="QD105" s="11"/>
      <c r="QE105" s="11"/>
      <c r="QF105" s="11"/>
      <c r="QG105" s="11"/>
      <c r="QH105" s="11"/>
      <c r="QI105" s="11"/>
      <c r="QJ105" s="11"/>
      <c r="QK105" s="11"/>
      <c r="QL105" s="11"/>
      <c r="QM105" s="11"/>
      <c r="QN105" s="11"/>
      <c r="QO105" s="11"/>
      <c r="QP105" s="11"/>
      <c r="QQ105" s="11"/>
      <c r="QR105" s="11"/>
      <c r="QS105" s="11"/>
      <c r="QT105" s="11"/>
      <c r="QU105" s="11"/>
      <c r="QV105" s="11"/>
      <c r="QW105" s="11"/>
      <c r="QX105" s="11"/>
      <c r="QY105" s="11"/>
      <c r="QZ105" s="11"/>
      <c r="RA105" s="11"/>
      <c r="RB105" s="11"/>
      <c r="RC105" s="11"/>
      <c r="RD105" s="11"/>
      <c r="RE105" s="11"/>
      <c r="RF105" s="11"/>
      <c r="RG105" s="11"/>
      <c r="RH105" s="11"/>
      <c r="RI105" s="11"/>
      <c r="RJ105" s="11"/>
      <c r="RK105" s="11"/>
      <c r="RL105" s="11"/>
      <c r="RM105" s="11"/>
      <c r="RN105" s="11"/>
      <c r="RO105" s="11"/>
      <c r="RP105" s="11"/>
      <c r="RQ105" s="11"/>
      <c r="RR105" s="11"/>
      <c r="RS105" s="11"/>
      <c r="RT105" s="11"/>
      <c r="RU105" s="11"/>
      <c r="RV105" s="11"/>
      <c r="RW105" s="11"/>
      <c r="RX105" s="11"/>
      <c r="RY105" s="11"/>
      <c r="RZ105" s="11"/>
      <c r="SA105" s="11"/>
      <c r="SB105" s="11"/>
      <c r="SC105" s="11"/>
      <c r="SD105" s="11"/>
      <c r="SE105" s="11"/>
      <c r="SF105" s="11"/>
      <c r="SG105" s="11"/>
      <c r="SH105" s="11"/>
      <c r="SI105" s="11"/>
      <c r="SJ105" s="11"/>
      <c r="SK105" s="11"/>
      <c r="SL105" s="11"/>
      <c r="SM105" s="11"/>
      <c r="SN105" s="11"/>
      <c r="SO105" s="11"/>
      <c r="SP105" s="11"/>
      <c r="SQ105" s="11"/>
      <c r="SR105" s="11"/>
      <c r="SS105" s="11"/>
      <c r="ST105" s="11"/>
      <c r="SU105" s="11"/>
      <c r="SV105" s="11"/>
      <c r="SW105" s="11"/>
      <c r="SX105" s="11"/>
      <c r="SY105" s="11"/>
      <c r="SZ105" s="11"/>
      <c r="TA105" s="11"/>
      <c r="TB105" s="11"/>
      <c r="TC105" s="11"/>
      <c r="TD105" s="11"/>
      <c r="TE105" s="11"/>
      <c r="TF105" s="11"/>
      <c r="TG105" s="11"/>
      <c r="TH105" s="11"/>
      <c r="TI105" s="11"/>
      <c r="TJ105" s="11"/>
      <c r="TK105" s="11"/>
      <c r="TL105" s="11"/>
      <c r="TM105" s="11"/>
      <c r="TN105" s="11"/>
      <c r="TO105" s="11"/>
      <c r="TP105" s="11"/>
      <c r="TQ105" s="11"/>
      <c r="TR105" s="11"/>
      <c r="TS105" s="11"/>
      <c r="TT105" s="11"/>
      <c r="TU105" s="11"/>
      <c r="TV105" s="11"/>
      <c r="TW105" s="11"/>
      <c r="TX105" s="11"/>
      <c r="TY105" s="11"/>
      <c r="TZ105" s="11"/>
      <c r="UA105" s="11"/>
      <c r="UB105" s="11"/>
      <c r="UC105" s="11"/>
      <c r="UD105" s="11"/>
      <c r="UE105" s="11"/>
      <c r="UF105" s="11"/>
      <c r="UG105" s="11"/>
      <c r="UH105" s="11"/>
      <c r="UI105" s="11"/>
      <c r="UJ105" s="11"/>
      <c r="UK105" s="11"/>
      <c r="UL105" s="11"/>
      <c r="UM105" s="11"/>
      <c r="UN105" s="11"/>
      <c r="UO105" s="11"/>
      <c r="UP105" s="11"/>
      <c r="UQ105" s="11"/>
      <c r="UR105" s="11"/>
      <c r="US105" s="11"/>
      <c r="UT105" s="11"/>
      <c r="UU105" s="11"/>
      <c r="UV105" s="11"/>
      <c r="UW105" s="11"/>
      <c r="UX105" s="11"/>
      <c r="UY105" s="11"/>
      <c r="UZ105" s="11"/>
      <c r="VA105" s="11"/>
      <c r="VB105" s="11"/>
      <c r="VC105" s="11"/>
      <c r="VD105" s="11"/>
      <c r="VE105" s="11"/>
      <c r="VF105" s="11"/>
      <c r="VG105" s="11"/>
      <c r="VH105" s="11"/>
      <c r="VI105" s="11"/>
      <c r="VJ105" s="11"/>
      <c r="VK105" s="11"/>
      <c r="VL105" s="11"/>
      <c r="VM105" s="11"/>
      <c r="VN105" s="11"/>
      <c r="VO105" s="11"/>
      <c r="VP105" s="11"/>
      <c r="VQ105" s="11"/>
      <c r="VR105" s="11"/>
      <c r="VS105" s="11"/>
      <c r="VT105" s="11"/>
      <c r="VU105" s="11"/>
      <c r="VV105" s="11"/>
      <c r="VW105" s="11"/>
      <c r="VX105" s="11"/>
      <c r="VY105" s="11"/>
      <c r="VZ105" s="11"/>
      <c r="WA105" s="11"/>
      <c r="WB105" s="11"/>
      <c r="WC105" s="11"/>
      <c r="WD105" s="11"/>
      <c r="WE105" s="11"/>
      <c r="WF105" s="11"/>
      <c r="WG105" s="11"/>
      <c r="WH105" s="11"/>
      <c r="WI105" s="11"/>
      <c r="WJ105" s="11"/>
      <c r="WK105" s="11"/>
      <c r="WL105" s="11"/>
      <c r="WM105" s="11"/>
      <c r="WN105" s="11"/>
      <c r="WO105" s="11"/>
      <c r="WP105" s="11"/>
      <c r="WQ105" s="11"/>
      <c r="WR105" s="11"/>
      <c r="WS105" s="11"/>
      <c r="WT105" s="11"/>
      <c r="WU105" s="11"/>
      <c r="WV105" s="11"/>
      <c r="WW105" s="11"/>
      <c r="WX105" s="11"/>
      <c r="WY105" s="11"/>
      <c r="WZ105" s="11"/>
      <c r="XA105" s="11"/>
      <c r="XB105" s="11"/>
      <c r="XC105" s="11"/>
      <c r="XD105" s="11"/>
      <c r="XE105" s="11"/>
      <c r="XF105" s="11"/>
      <c r="XG105" s="11"/>
      <c r="XH105" s="11"/>
      <c r="XI105" s="11"/>
      <c r="XJ105" s="11"/>
      <c r="XK105" s="11"/>
      <c r="XL105" s="11"/>
      <c r="XM105" s="11"/>
      <c r="XN105" s="11"/>
      <c r="XO105" s="11"/>
      <c r="XP105" s="11"/>
      <c r="XQ105" s="11"/>
      <c r="XR105" s="11"/>
      <c r="XS105" s="11"/>
      <c r="XT105" s="11"/>
      <c r="XU105" s="11"/>
      <c r="XV105" s="11"/>
      <c r="XW105" s="11"/>
      <c r="XX105" s="11"/>
      <c r="XY105" s="11"/>
      <c r="XZ105" s="11"/>
      <c r="YA105" s="11"/>
      <c r="YB105" s="11"/>
      <c r="YC105" s="11"/>
      <c r="YD105" s="11"/>
      <c r="YE105" s="11"/>
      <c r="YF105" s="11"/>
      <c r="YG105" s="11"/>
      <c r="YH105" s="11"/>
      <c r="YI105" s="11"/>
      <c r="YJ105" s="11"/>
      <c r="YK105" s="11"/>
      <c r="YL105" s="11"/>
      <c r="YM105" s="11"/>
      <c r="YN105" s="11"/>
      <c r="YO105" s="11"/>
      <c r="YP105" s="11"/>
      <c r="YQ105" s="11"/>
      <c r="YR105" s="11"/>
      <c r="YS105" s="11"/>
      <c r="YT105" s="11"/>
      <c r="YU105" s="11"/>
      <c r="YV105" s="11"/>
      <c r="YW105" s="11"/>
      <c r="YX105" s="11"/>
      <c r="YY105" s="11"/>
      <c r="YZ105" s="11"/>
      <c r="ZA105" s="11"/>
      <c r="ZB105" s="11"/>
      <c r="ZC105" s="11"/>
      <c r="ZD105" s="11"/>
      <c r="ZE105" s="11"/>
      <c r="ZF105" s="11"/>
      <c r="ZG105" s="11"/>
      <c r="ZH105" s="11"/>
      <c r="ZI105" s="11"/>
      <c r="ZJ105" s="11"/>
      <c r="ZK105" s="11"/>
      <c r="ZL105" s="11"/>
      <c r="ZM105" s="11"/>
      <c r="ZN105" s="11"/>
      <c r="ZO105" s="11"/>
      <c r="ZP105" s="11"/>
      <c r="ZQ105" s="11"/>
      <c r="ZR105" s="11"/>
      <c r="ZS105" s="11"/>
      <c r="ZT105" s="11"/>
      <c r="ZU105" s="11"/>
      <c r="ZV105" s="11"/>
      <c r="ZW105" s="11"/>
      <c r="ZX105" s="11"/>
      <c r="ZY105" s="11"/>
      <c r="ZZ105" s="11"/>
      <c r="AAA105" s="11"/>
      <c r="AAB105" s="11"/>
      <c r="AAC105" s="11"/>
      <c r="AAD105" s="11"/>
      <c r="AAE105" s="11"/>
      <c r="AAF105" s="11"/>
      <c r="AAG105" s="11"/>
      <c r="AAH105" s="11"/>
      <c r="AAI105" s="11"/>
      <c r="AAJ105" s="11"/>
      <c r="AAK105" s="11"/>
      <c r="AAL105" s="11"/>
      <c r="AAM105" s="11"/>
      <c r="AAN105" s="11"/>
      <c r="AAO105" s="11"/>
      <c r="AAP105" s="11"/>
      <c r="AAQ105" s="11"/>
      <c r="AAR105" s="11"/>
      <c r="AAS105" s="11"/>
      <c r="AAT105" s="11"/>
      <c r="AAU105" s="11"/>
      <c r="AAV105" s="11"/>
      <c r="AAW105" s="11"/>
      <c r="AAX105" s="11"/>
      <c r="AAY105" s="11"/>
      <c r="AAZ105" s="11"/>
      <c r="ABA105" s="11"/>
      <c r="ABB105" s="11"/>
      <c r="ABC105" s="11"/>
      <c r="ABD105" s="11"/>
      <c r="ABE105" s="11"/>
      <c r="ABF105" s="11"/>
      <c r="ABG105" s="11"/>
      <c r="ABH105" s="11"/>
      <c r="ABI105" s="11"/>
      <c r="ABJ105" s="11"/>
      <c r="ABK105" s="11"/>
      <c r="ABL105" s="11"/>
      <c r="ABM105" s="11"/>
      <c r="ABN105" s="11"/>
      <c r="ABO105" s="11"/>
      <c r="ABP105" s="11"/>
      <c r="ABQ105" s="11"/>
      <c r="ABR105" s="11"/>
      <c r="ABS105" s="11"/>
      <c r="ABT105" s="11"/>
      <c r="ABU105" s="11"/>
      <c r="ABV105" s="11"/>
      <c r="ABW105" s="11"/>
      <c r="ABX105" s="11"/>
      <c r="ABY105" s="11"/>
      <c r="ABZ105" s="11"/>
      <c r="ACA105" s="11"/>
      <c r="ACB105" s="11"/>
      <c r="ACC105" s="11"/>
      <c r="ACD105" s="11"/>
      <c r="ACE105" s="11"/>
      <c r="ACF105" s="11"/>
      <c r="ACG105" s="11"/>
      <c r="ACH105" s="11"/>
      <c r="ACI105" s="11"/>
      <c r="ACJ105" s="11"/>
      <c r="ACK105" s="11"/>
      <c r="ACL105" s="11"/>
      <c r="ACM105" s="11"/>
      <c r="ACN105" s="11"/>
      <c r="ACO105" s="11"/>
      <c r="ACP105" s="11"/>
      <c r="ACQ105" s="11"/>
      <c r="ACR105" s="11"/>
      <c r="ACS105" s="11"/>
      <c r="ACT105" s="11"/>
      <c r="ACU105" s="11"/>
      <c r="ACV105" s="11"/>
      <c r="ACW105" s="11"/>
      <c r="ACX105" s="11"/>
      <c r="ACY105" s="11"/>
      <c r="ACZ105" s="11"/>
      <c r="ADA105" s="11"/>
      <c r="ADB105" s="11"/>
      <c r="ADC105" s="11"/>
      <c r="ADD105" s="11"/>
      <c r="ADE105" s="11"/>
      <c r="ADF105" s="11"/>
      <c r="ADG105" s="11"/>
      <c r="ADH105" s="11"/>
      <c r="ADI105" s="11"/>
      <c r="ADJ105" s="11"/>
      <c r="ADK105" s="11"/>
      <c r="ADL105" s="11"/>
      <c r="ADM105" s="11"/>
      <c r="ADN105" s="11"/>
      <c r="ADO105" s="11"/>
      <c r="ADP105" s="11"/>
      <c r="ADQ105" s="11"/>
      <c r="ADR105" s="11"/>
      <c r="ADS105" s="11"/>
      <c r="ADT105" s="11"/>
      <c r="ADU105" s="11"/>
      <c r="ADV105" s="11"/>
      <c r="ADW105" s="11"/>
      <c r="ADX105" s="11"/>
      <c r="ADY105" s="11"/>
      <c r="ADZ105" s="11"/>
      <c r="AEA105" s="11"/>
      <c r="AEB105" s="11"/>
      <c r="AEC105" s="11"/>
      <c r="AED105" s="11"/>
      <c r="AEE105" s="11"/>
      <c r="AEF105" s="11"/>
      <c r="AEG105" s="11"/>
      <c r="AEH105" s="11"/>
      <c r="AEI105" s="11"/>
      <c r="AEJ105" s="11"/>
      <c r="AEK105" s="11"/>
      <c r="AEL105" s="11"/>
      <c r="AEM105" s="11"/>
      <c r="AEN105" s="11"/>
      <c r="AEO105" s="11"/>
      <c r="AEP105" s="11"/>
      <c r="AEQ105" s="11"/>
      <c r="AER105" s="11"/>
      <c r="AES105" s="11"/>
      <c r="AET105" s="11"/>
      <c r="AEU105" s="11"/>
      <c r="AEV105" s="11"/>
      <c r="AEW105" s="11"/>
      <c r="AEX105" s="11"/>
      <c r="AEY105" s="11"/>
      <c r="AEZ105" s="11"/>
      <c r="AFA105" s="11"/>
      <c r="AFB105" s="11"/>
      <c r="AFC105" s="11"/>
      <c r="AFD105" s="11"/>
      <c r="AFE105" s="11"/>
      <c r="AFF105" s="11"/>
      <c r="AFG105" s="11"/>
      <c r="AFH105" s="11"/>
      <c r="AFI105" s="11"/>
    </row>
    <row r="106" spans="2:841">
      <c r="B106" s="11"/>
      <c r="C106" s="657"/>
      <c r="D106" s="289" t="str">
        <f>IF(Idioma=Castellano,"Sin definir",IF(Idioma=Valencià,"Sense definir","Sin definir"))</f>
        <v>Sin definir</v>
      </c>
      <c r="E106" s="311">
        <f>SUMIFS(M_Datos!$N$47:$N$49,M_Datos!$O$47:$O$49,M_Lista!G24,M_Datos!$M$47:$M$49,M_Lista!$J$3)</f>
        <v>0</v>
      </c>
      <c r="F106" s="312" t="e">
        <f>IF(AND(M_FactoresComplement!$G$439="No",M_FactoresComplement!$G$441="No"),M_Cálculos_ND!E106*VLOOKUP(M_Datos!$E$12&amp;M_Cálculos_ND!D106,M_Factores!$M$10:$P$108,2,FALSE),IF(AND(M_FactoresComplement!$G$439="Sí",M_FactoresComplement!$G$441="No"),E106*M_FactoresComplement!G466,E106*VLOOKUP(M_FactoresComplement!$C$467&amp;M_Datos!$E$12&amp;M_Lista!G23,M_FactoresComplement!$F$446:$I$781,2,FALSE)))</f>
        <v>#N/A</v>
      </c>
      <c r="G106" s="313" t="e">
        <f>IF(AND(M_FactoresComplement!$G$439="No",M_FactoresComplement!$G$441="No"),M_Cálculos_ND!E106*VLOOKUP(M_Datos!$E$12&amp;M_Cálculos_ND!D106,M_Factores!$M$10:$P$108,3,FALSE),IF(AND(M_FactoresComplement!$G$439="Sí",M_FactoresComplement!$G$441="No"),E106*M_FactoresComplement!H466,E106*VLOOKUP(M_FactoresComplement!$C$467&amp;M_Datos!$E$12&amp;M_Lista!G23,M_FactoresComplement!$F$446:$I$781,3,FALSE)))</f>
        <v>#N/A</v>
      </c>
      <c r="H106" s="311">
        <f>SUMIFS(M_Datos!$P$47:$P$49,M_Datos!$Q$47:$Q$49,M_Lista!G24,M_Datos!$M$47:$M$49,M_Lista!$J$3)</f>
        <v>0</v>
      </c>
      <c r="I106" s="312" t="e">
        <f>IF(AND(M_FactoresComplement!$G$439="No",M_FactoresComplement!$G$441="No"),M_Cálculos_ND!H106*VLOOKUP(M_Datos!$E$12&amp;M_Cálculos_ND!D106,M_Factores!$M$10:$P$108,2,FALSE),IF(AND(M_FactoresComplement!$G$439="Sí",M_FactoresComplement!$G$441="No"),H106*M_FactoresComplement!G466,H106*VLOOKUP(M_FactoresComplement!$C$467&amp;M_Datos!$E$12&amp;M_Lista!G23,M_FactoresComplement!$F$446:$I$781,2,FALSE)))</f>
        <v>#N/A</v>
      </c>
      <c r="J106" s="313" t="e">
        <f>IF(AND(M_FactoresComplement!$G$439="No",M_FactoresComplement!$G$441="No"),M_Cálculos_ND!H106*VLOOKUP(M_Datos!$E$12&amp;M_Cálculos_ND!D106,M_Factores!$M$10:$P$108,3,FALSE),IF(AND(M_FactoresComplement!$G$439="Sí",M_FactoresComplement!$G$441="No"),H106*M_FactoresComplement!H466,H106*VLOOKUP(M_FactoresComplement!$C$467&amp;M_Datos!$E$12&amp;M_Lista!G23,M_FactoresComplement!$F$446:$I$781,3,FALSE)))</f>
        <v>#N/A</v>
      </c>
      <c r="K106" s="311">
        <f>SUMIFS(M_Datos!$R$47:$R$49,M_Datos!$S$47:$S$49,M_Lista!G24,M_Datos!$M$47:$M$49,M_Lista!$J$3)</f>
        <v>0</v>
      </c>
      <c r="L106" s="312" t="e">
        <f>IF(AND(M_FactoresComplement!$G$439="No",M_FactoresComplement!$G$441="No"),M_Cálculos_ND!K106*VLOOKUP(M_Datos!$E$12&amp;M_Cálculos_ND!D106,M_Factores!$M$10:$P$108,2,FALSE),IF(AND(M_FactoresComplement!$G$439="Sí",M_FactoresComplement!$G$441="No"),K106*M_FactoresComplement!G466,K106*VLOOKUP(M_FactoresComplement!$C$467&amp;M_Datos!$E$12&amp;M_Lista!G23,M_FactoresComplement!$F$446:$I$781,2,FALSE)))</f>
        <v>#N/A</v>
      </c>
      <c r="M106" s="313" t="e">
        <f>IF(AND(M_FactoresComplement!$G$439="No",M_FactoresComplement!$G$441="No"),M_Cálculos_ND!K106*VLOOKUP(M_Datos!$E$12&amp;M_Cálculos_ND!D106,M_Factores!$M$10:$P$108,3,FALSE),IF(AND(M_FactoresComplement!$G$439="Sí",M_FactoresComplement!$G$441="No"),K106*M_FactoresComplement!H466,K106*VLOOKUP(M_FactoresComplement!$C$467&amp;M_Datos!$E$12&amp;M_Lista!G23,M_FactoresComplement!$F$446:$I$781,3,FALSE)))</f>
        <v>#N/A</v>
      </c>
      <c r="N106" s="311">
        <f>SUMIFS(M_Datos!$T$47:$T$49,M_Datos!$U$47:$U$49,M_Lista!G24,M_Datos!$M$47:$M$49,M_Lista!$J$3)</f>
        <v>0</v>
      </c>
      <c r="O106" s="312" t="e">
        <f>IF(AND(M_FactoresComplement!$G$439="No",M_FactoresComplement!$G$441="No"),M_Cálculos_ND!N106*VLOOKUP(M_Datos!$E$12&amp;M_Cálculos_ND!D106,M_Factores!$M$10:$P$108,2,FALSE),IF(AND(M_FactoresComplement!$G$439="Sí",M_FactoresComplement!$G$441="No"),N106*M_FactoresComplement!G466,N106*VLOOKUP(M_FactoresComplement!$C$467&amp;M_Datos!$E$12&amp;M_Lista!G23,M_FactoresComplement!$F$446:$I$781,2,FALSE)))</f>
        <v>#N/A</v>
      </c>
      <c r="P106" s="313" t="e">
        <f>IF(AND(M_FactoresComplement!$G$439="No",M_FactoresComplement!$G$441="No"),M_Cálculos_ND!N106*VLOOKUP(M_Datos!$E$12&amp;M_Cálculos_ND!D106,M_Factores!$M$10:$P$108,3,FALSE),IF(AND(M_FactoresComplement!$G$439="Sí",M_FactoresComplement!$G$441="No"),N106*M_FactoresComplement!H466,N106*VLOOKUP(M_FactoresComplement!$C$467&amp;M_Datos!$E$12&amp;M_Lista!G23,M_FactoresComplement!$F$446:$I$781,3,FALSE)))</f>
        <v>#N/A</v>
      </c>
      <c r="Q106" s="311">
        <f>SUMIFS(M_Datos!$V$47:$V$49,M_Datos!$W$47:$W$49,M_Lista!G24,M_Datos!$M$47:$M$49,M_Lista!$J$3)</f>
        <v>0</v>
      </c>
      <c r="R106" s="312" t="e">
        <f>IF(AND(M_FactoresComplement!$G$439="No",M_FactoresComplement!$G$441="No"),M_Cálculos_ND!Q106*VLOOKUP(M_Datos!$E$12&amp;M_Cálculos_ND!D106,M_Factores!$M$10:$P$108,2,FALSE),IF(AND(M_FactoresComplement!$G$439="Sí",M_FactoresComplement!$G$441="No"),Q106*M_FactoresComplement!G466,Q106*VLOOKUP(M_FactoresComplement!$C$467&amp;M_Datos!$E$12&amp;M_Lista!G23,M_FactoresComplement!$F$446:$I$781,2,FALSE)))</f>
        <v>#N/A</v>
      </c>
      <c r="S106" s="313" t="e">
        <f>IF(AND(M_FactoresComplement!$G$439="No",M_FactoresComplement!$G$441="No"),M_Cálculos_ND!Q106*VLOOKUP(M_Datos!$E$12&amp;M_Cálculos_ND!D106,M_Factores!$M$10:$P$108,3,FALSE),IF(AND(M_FactoresComplement!$G$439="Sí",M_FactoresComplement!$G$441="No"),Q106*M_FactoresComplement!H466,Q106*VLOOKUP(M_FactoresComplement!$C$467&amp;M_Datos!$E$12&amp;M_Lista!G23,M_FactoresComplement!$F$446:$I$781,3,FALSE)))</f>
        <v>#N/A</v>
      </c>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c r="ON106" s="11"/>
      <c r="OO106" s="11"/>
      <c r="OP106" s="11"/>
      <c r="OQ106" s="11"/>
      <c r="OR106" s="11"/>
      <c r="OS106" s="11"/>
      <c r="OT106" s="11"/>
      <c r="OU106" s="11"/>
      <c r="OV106" s="11"/>
      <c r="OW106" s="11"/>
      <c r="OX106" s="11"/>
      <c r="OY106" s="11"/>
      <c r="OZ106" s="11"/>
      <c r="PA106" s="11"/>
      <c r="PB106" s="11"/>
      <c r="PC106" s="11"/>
      <c r="PD106" s="11"/>
      <c r="PE106" s="11"/>
      <c r="PF106" s="11"/>
      <c r="PG106" s="11"/>
      <c r="PH106" s="11"/>
      <c r="PI106" s="11"/>
      <c r="PJ106" s="11"/>
      <c r="PK106" s="11"/>
      <c r="PL106" s="11"/>
      <c r="PM106" s="11"/>
      <c r="PN106" s="11"/>
      <c r="PO106" s="11"/>
      <c r="PP106" s="11"/>
      <c r="PQ106" s="11"/>
      <c r="PR106" s="11"/>
      <c r="PS106" s="11"/>
      <c r="PT106" s="11"/>
      <c r="PU106" s="11"/>
      <c r="PV106" s="11"/>
      <c r="PW106" s="11"/>
      <c r="PX106" s="11"/>
      <c r="PY106" s="11"/>
      <c r="PZ106" s="11"/>
      <c r="QA106" s="11"/>
      <c r="QB106" s="11"/>
      <c r="QC106" s="11"/>
      <c r="QD106" s="11"/>
      <c r="QE106" s="11"/>
      <c r="QF106" s="11"/>
      <c r="QG106" s="11"/>
      <c r="QH106" s="11"/>
      <c r="QI106" s="11"/>
      <c r="QJ106" s="11"/>
      <c r="QK106" s="11"/>
      <c r="QL106" s="11"/>
      <c r="QM106" s="11"/>
      <c r="QN106" s="11"/>
      <c r="QO106" s="11"/>
      <c r="QP106" s="11"/>
      <c r="QQ106" s="11"/>
      <c r="QR106" s="11"/>
      <c r="QS106" s="11"/>
      <c r="QT106" s="11"/>
      <c r="QU106" s="11"/>
      <c r="QV106" s="11"/>
      <c r="QW106" s="11"/>
      <c r="QX106" s="11"/>
      <c r="QY106" s="11"/>
      <c r="QZ106" s="11"/>
      <c r="RA106" s="11"/>
      <c r="RB106" s="11"/>
      <c r="RC106" s="11"/>
      <c r="RD106" s="11"/>
      <c r="RE106" s="11"/>
      <c r="RF106" s="11"/>
      <c r="RG106" s="11"/>
      <c r="RH106" s="11"/>
      <c r="RI106" s="11"/>
      <c r="RJ106" s="11"/>
      <c r="RK106" s="11"/>
      <c r="RL106" s="11"/>
      <c r="RM106" s="11"/>
      <c r="RN106" s="11"/>
      <c r="RO106" s="11"/>
      <c r="RP106" s="11"/>
      <c r="RQ106" s="11"/>
      <c r="RR106" s="11"/>
      <c r="RS106" s="11"/>
      <c r="RT106" s="11"/>
      <c r="RU106" s="11"/>
      <c r="RV106" s="11"/>
      <c r="RW106" s="11"/>
      <c r="RX106" s="11"/>
      <c r="RY106" s="11"/>
      <c r="RZ106" s="11"/>
      <c r="SA106" s="11"/>
      <c r="SB106" s="11"/>
      <c r="SC106" s="11"/>
      <c r="SD106" s="11"/>
      <c r="SE106" s="11"/>
      <c r="SF106" s="11"/>
      <c r="SG106" s="11"/>
      <c r="SH106" s="11"/>
      <c r="SI106" s="11"/>
      <c r="SJ106" s="11"/>
      <c r="SK106" s="11"/>
      <c r="SL106" s="11"/>
      <c r="SM106" s="11"/>
      <c r="SN106" s="11"/>
      <c r="SO106" s="11"/>
      <c r="SP106" s="11"/>
      <c r="SQ106" s="11"/>
      <c r="SR106" s="11"/>
      <c r="SS106" s="11"/>
      <c r="ST106" s="11"/>
      <c r="SU106" s="11"/>
      <c r="SV106" s="11"/>
      <c r="SW106" s="11"/>
      <c r="SX106" s="11"/>
      <c r="SY106" s="11"/>
      <c r="SZ106" s="11"/>
      <c r="TA106" s="11"/>
      <c r="TB106" s="11"/>
      <c r="TC106" s="11"/>
      <c r="TD106" s="11"/>
      <c r="TE106" s="11"/>
      <c r="TF106" s="11"/>
      <c r="TG106" s="11"/>
      <c r="TH106" s="11"/>
      <c r="TI106" s="11"/>
      <c r="TJ106" s="11"/>
      <c r="TK106" s="11"/>
      <c r="TL106" s="11"/>
      <c r="TM106" s="11"/>
      <c r="TN106" s="11"/>
      <c r="TO106" s="11"/>
      <c r="TP106" s="11"/>
      <c r="TQ106" s="11"/>
      <c r="TR106" s="11"/>
      <c r="TS106" s="11"/>
      <c r="TT106" s="11"/>
      <c r="TU106" s="11"/>
      <c r="TV106" s="11"/>
      <c r="TW106" s="11"/>
      <c r="TX106" s="11"/>
      <c r="TY106" s="11"/>
      <c r="TZ106" s="11"/>
      <c r="UA106" s="11"/>
      <c r="UB106" s="11"/>
      <c r="UC106" s="11"/>
      <c r="UD106" s="11"/>
      <c r="UE106" s="11"/>
      <c r="UF106" s="11"/>
      <c r="UG106" s="11"/>
      <c r="UH106" s="11"/>
      <c r="UI106" s="11"/>
      <c r="UJ106" s="11"/>
      <c r="UK106" s="11"/>
      <c r="UL106" s="11"/>
      <c r="UM106" s="11"/>
      <c r="UN106" s="11"/>
      <c r="UO106" s="11"/>
      <c r="UP106" s="11"/>
      <c r="UQ106" s="11"/>
      <c r="UR106" s="11"/>
      <c r="US106" s="11"/>
      <c r="UT106" s="11"/>
      <c r="UU106" s="11"/>
      <c r="UV106" s="11"/>
      <c r="UW106" s="11"/>
      <c r="UX106" s="11"/>
      <c r="UY106" s="11"/>
      <c r="UZ106" s="11"/>
      <c r="VA106" s="11"/>
      <c r="VB106" s="11"/>
      <c r="VC106" s="11"/>
      <c r="VD106" s="11"/>
      <c r="VE106" s="11"/>
      <c r="VF106" s="11"/>
      <c r="VG106" s="11"/>
      <c r="VH106" s="11"/>
      <c r="VI106" s="11"/>
      <c r="VJ106" s="11"/>
      <c r="VK106" s="11"/>
      <c r="VL106" s="11"/>
      <c r="VM106" s="11"/>
      <c r="VN106" s="11"/>
      <c r="VO106" s="11"/>
      <c r="VP106" s="11"/>
      <c r="VQ106" s="11"/>
      <c r="VR106" s="11"/>
      <c r="VS106" s="11"/>
      <c r="VT106" s="11"/>
      <c r="VU106" s="11"/>
      <c r="VV106" s="11"/>
      <c r="VW106" s="11"/>
      <c r="VX106" s="11"/>
      <c r="VY106" s="11"/>
      <c r="VZ106" s="11"/>
      <c r="WA106" s="11"/>
      <c r="WB106" s="11"/>
      <c r="WC106" s="11"/>
      <c r="WD106" s="11"/>
      <c r="WE106" s="11"/>
      <c r="WF106" s="11"/>
      <c r="WG106" s="11"/>
      <c r="WH106" s="11"/>
      <c r="WI106" s="11"/>
      <c r="WJ106" s="11"/>
      <c r="WK106" s="11"/>
      <c r="WL106" s="11"/>
      <c r="WM106" s="11"/>
      <c r="WN106" s="11"/>
      <c r="WO106" s="11"/>
      <c r="WP106" s="11"/>
      <c r="WQ106" s="11"/>
      <c r="WR106" s="11"/>
      <c r="WS106" s="11"/>
      <c r="WT106" s="11"/>
      <c r="WU106" s="11"/>
      <c r="WV106" s="11"/>
      <c r="WW106" s="11"/>
      <c r="WX106" s="11"/>
      <c r="WY106" s="11"/>
      <c r="WZ106" s="11"/>
      <c r="XA106" s="11"/>
      <c r="XB106" s="11"/>
      <c r="XC106" s="11"/>
      <c r="XD106" s="11"/>
      <c r="XE106" s="11"/>
      <c r="XF106" s="11"/>
      <c r="XG106" s="11"/>
      <c r="XH106" s="11"/>
      <c r="XI106" s="11"/>
      <c r="XJ106" s="11"/>
      <c r="XK106" s="11"/>
      <c r="XL106" s="11"/>
      <c r="XM106" s="11"/>
      <c r="XN106" s="11"/>
      <c r="XO106" s="11"/>
      <c r="XP106" s="11"/>
      <c r="XQ106" s="11"/>
      <c r="XR106" s="11"/>
      <c r="XS106" s="11"/>
      <c r="XT106" s="11"/>
      <c r="XU106" s="11"/>
      <c r="XV106" s="11"/>
      <c r="XW106" s="11"/>
      <c r="XX106" s="11"/>
      <c r="XY106" s="11"/>
      <c r="XZ106" s="11"/>
      <c r="YA106" s="11"/>
      <c r="YB106" s="11"/>
      <c r="YC106" s="11"/>
      <c r="YD106" s="11"/>
      <c r="YE106" s="11"/>
      <c r="YF106" s="11"/>
      <c r="YG106" s="11"/>
      <c r="YH106" s="11"/>
      <c r="YI106" s="11"/>
      <c r="YJ106" s="11"/>
      <c r="YK106" s="11"/>
      <c r="YL106" s="11"/>
      <c r="YM106" s="11"/>
      <c r="YN106" s="11"/>
      <c r="YO106" s="11"/>
      <c r="YP106" s="11"/>
      <c r="YQ106" s="11"/>
      <c r="YR106" s="11"/>
      <c r="YS106" s="11"/>
      <c r="YT106" s="11"/>
      <c r="YU106" s="11"/>
      <c r="YV106" s="11"/>
      <c r="YW106" s="11"/>
      <c r="YX106" s="11"/>
      <c r="YY106" s="11"/>
      <c r="YZ106" s="11"/>
      <c r="ZA106" s="11"/>
      <c r="ZB106" s="11"/>
      <c r="ZC106" s="11"/>
      <c r="ZD106" s="11"/>
      <c r="ZE106" s="11"/>
      <c r="ZF106" s="11"/>
      <c r="ZG106" s="11"/>
      <c r="ZH106" s="11"/>
      <c r="ZI106" s="11"/>
      <c r="ZJ106" s="11"/>
      <c r="ZK106" s="11"/>
      <c r="ZL106" s="11"/>
      <c r="ZM106" s="11"/>
      <c r="ZN106" s="11"/>
      <c r="ZO106" s="11"/>
      <c r="ZP106" s="11"/>
      <c r="ZQ106" s="11"/>
      <c r="ZR106" s="11"/>
      <c r="ZS106" s="11"/>
      <c r="ZT106" s="11"/>
      <c r="ZU106" s="11"/>
      <c r="ZV106" s="11"/>
      <c r="ZW106" s="11"/>
      <c r="ZX106" s="11"/>
      <c r="ZY106" s="11"/>
      <c r="ZZ106" s="11"/>
      <c r="AAA106" s="11"/>
      <c r="AAB106" s="11"/>
      <c r="AAC106" s="11"/>
      <c r="AAD106" s="11"/>
      <c r="AAE106" s="11"/>
      <c r="AAF106" s="11"/>
      <c r="AAG106" s="11"/>
      <c r="AAH106" s="11"/>
      <c r="AAI106" s="11"/>
      <c r="AAJ106" s="11"/>
      <c r="AAK106" s="11"/>
      <c r="AAL106" s="11"/>
      <c r="AAM106" s="11"/>
      <c r="AAN106" s="11"/>
      <c r="AAO106" s="11"/>
      <c r="AAP106" s="11"/>
      <c r="AAQ106" s="11"/>
      <c r="AAR106" s="11"/>
      <c r="AAS106" s="11"/>
      <c r="AAT106" s="11"/>
      <c r="AAU106" s="11"/>
      <c r="AAV106" s="11"/>
      <c r="AAW106" s="11"/>
      <c r="AAX106" s="11"/>
      <c r="AAY106" s="11"/>
      <c r="AAZ106" s="11"/>
      <c r="ABA106" s="11"/>
      <c r="ABB106" s="11"/>
      <c r="ABC106" s="11"/>
      <c r="ABD106" s="11"/>
      <c r="ABE106" s="11"/>
      <c r="ABF106" s="11"/>
      <c r="ABG106" s="11"/>
      <c r="ABH106" s="11"/>
      <c r="ABI106" s="11"/>
      <c r="ABJ106" s="11"/>
      <c r="ABK106" s="11"/>
      <c r="ABL106" s="11"/>
      <c r="ABM106" s="11"/>
      <c r="ABN106" s="11"/>
      <c r="ABO106" s="11"/>
      <c r="ABP106" s="11"/>
      <c r="ABQ106" s="11"/>
      <c r="ABR106" s="11"/>
      <c r="ABS106" s="11"/>
      <c r="ABT106" s="11"/>
      <c r="ABU106" s="11"/>
      <c r="ABV106" s="11"/>
      <c r="ABW106" s="11"/>
      <c r="ABX106" s="11"/>
      <c r="ABY106" s="11"/>
      <c r="ABZ106" s="11"/>
      <c r="ACA106" s="11"/>
      <c r="ACB106" s="11"/>
      <c r="ACC106" s="11"/>
      <c r="ACD106" s="11"/>
      <c r="ACE106" s="11"/>
      <c r="ACF106" s="11"/>
      <c r="ACG106" s="11"/>
      <c r="ACH106" s="11"/>
      <c r="ACI106" s="11"/>
      <c r="ACJ106" s="11"/>
      <c r="ACK106" s="11"/>
      <c r="ACL106" s="11"/>
      <c r="ACM106" s="11"/>
      <c r="ACN106" s="11"/>
      <c r="ACO106" s="11"/>
      <c r="ACP106" s="11"/>
      <c r="ACQ106" s="11"/>
      <c r="ACR106" s="11"/>
      <c r="ACS106" s="11"/>
      <c r="ACT106" s="11"/>
      <c r="ACU106" s="11"/>
      <c r="ACV106" s="11"/>
      <c r="ACW106" s="11"/>
      <c r="ACX106" s="11"/>
      <c r="ACY106" s="11"/>
      <c r="ACZ106" s="11"/>
      <c r="ADA106" s="11"/>
      <c r="ADB106" s="11"/>
      <c r="ADC106" s="11"/>
      <c r="ADD106" s="11"/>
      <c r="ADE106" s="11"/>
      <c r="ADF106" s="11"/>
      <c r="ADG106" s="11"/>
      <c r="ADH106" s="11"/>
      <c r="ADI106" s="11"/>
      <c r="ADJ106" s="11"/>
      <c r="ADK106" s="11"/>
      <c r="ADL106" s="11"/>
      <c r="ADM106" s="11"/>
      <c r="ADN106" s="11"/>
      <c r="ADO106" s="11"/>
      <c r="ADP106" s="11"/>
      <c r="ADQ106" s="11"/>
      <c r="ADR106" s="11"/>
      <c r="ADS106" s="11"/>
      <c r="ADT106" s="11"/>
      <c r="ADU106" s="11"/>
      <c r="ADV106" s="11"/>
      <c r="ADW106" s="11"/>
      <c r="ADX106" s="11"/>
      <c r="ADY106" s="11"/>
      <c r="ADZ106" s="11"/>
      <c r="AEA106" s="11"/>
      <c r="AEB106" s="11"/>
      <c r="AEC106" s="11"/>
      <c r="AED106" s="11"/>
      <c r="AEE106" s="11"/>
      <c r="AEF106" s="11"/>
      <c r="AEG106" s="11"/>
      <c r="AEH106" s="11"/>
      <c r="AEI106" s="11"/>
      <c r="AEJ106" s="11"/>
      <c r="AEK106" s="11"/>
      <c r="AEL106" s="11"/>
      <c r="AEM106" s="11"/>
      <c r="AEN106" s="11"/>
      <c r="AEO106" s="11"/>
      <c r="AEP106" s="11"/>
      <c r="AEQ106" s="11"/>
      <c r="AER106" s="11"/>
      <c r="AES106" s="11"/>
      <c r="AET106" s="11"/>
      <c r="AEU106" s="11"/>
      <c r="AEV106" s="11"/>
      <c r="AEW106" s="11"/>
      <c r="AEX106" s="11"/>
      <c r="AEY106" s="11"/>
      <c r="AEZ106" s="11"/>
      <c r="AFA106" s="11"/>
      <c r="AFB106" s="11"/>
      <c r="AFC106" s="11"/>
      <c r="AFD106" s="11"/>
      <c r="AFE106" s="11"/>
      <c r="AFF106" s="11"/>
      <c r="AFG106" s="11"/>
      <c r="AFH106" s="11"/>
      <c r="AFI106" s="11"/>
    </row>
    <row r="107" spans="2:841">
      <c r="B107" s="11"/>
      <c r="C107" s="657"/>
      <c r="D107" s="289" t="str">
        <f>IF(Idioma=Castellano,"Consumo nulo",IF(Idioma=Valencià,"Consum nul","Consumo nulo"))</f>
        <v>Consumo nulo</v>
      </c>
      <c r="E107" s="311">
        <f>SUMIFS(M_Datos!$N$47:$N$49,M_Datos!$O$47:$O$49,M_Lista!G25,M_Datos!$M$47:$M$49,M_Lista!$J$3)</f>
        <v>0</v>
      </c>
      <c r="F107" s="312">
        <v>0</v>
      </c>
      <c r="G107" s="313">
        <v>0</v>
      </c>
      <c r="H107" s="311">
        <f>SUMIFS(M_Datos!$P$47:$P$49,M_Datos!$Q$47:$Q$49,M_Lista!G25,M_Datos!$M$47:$M$49,M_Lista!$J$3)</f>
        <v>0</v>
      </c>
      <c r="I107" s="312">
        <v>0</v>
      </c>
      <c r="J107" s="313">
        <v>0</v>
      </c>
      <c r="K107" s="311">
        <f>SUMIFS(M_Datos!$R$47:$R$49,M_Datos!$S$47:$S$49,M_Lista!G25,M_Datos!$M$47:$M$49,M_Lista!$J$3)</f>
        <v>0</v>
      </c>
      <c r="L107" s="312">
        <v>0</v>
      </c>
      <c r="M107" s="313">
        <v>0</v>
      </c>
      <c r="N107" s="311">
        <f>SUMIFS(M_Datos!$T$47:$T$49,M_Datos!$U$47:$U$49,M_Lista!G25,M_Datos!$M$47:$M$49,M_Lista!$J$3)</f>
        <v>0</v>
      </c>
      <c r="O107" s="312">
        <v>0</v>
      </c>
      <c r="P107" s="313">
        <v>0</v>
      </c>
      <c r="Q107" s="311">
        <f>SUMIFS(M_Datos!$V$47:$V$49,M_Datos!$W$47:$W$49,M_Lista!G25,M_Datos!$M$47:$M$49,M_Lista!$J$3)</f>
        <v>0</v>
      </c>
      <c r="R107" s="312">
        <v>0</v>
      </c>
      <c r="S107" s="313">
        <v>0</v>
      </c>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c r="ON107" s="11"/>
      <c r="OO107" s="11"/>
      <c r="OP107" s="11"/>
      <c r="OQ107" s="11"/>
      <c r="OR107" s="11"/>
      <c r="OS107" s="11"/>
      <c r="OT107" s="11"/>
      <c r="OU107" s="11"/>
      <c r="OV107" s="11"/>
      <c r="OW107" s="11"/>
      <c r="OX107" s="11"/>
      <c r="OY107" s="11"/>
      <c r="OZ107" s="11"/>
      <c r="PA107" s="11"/>
      <c r="PB107" s="11"/>
      <c r="PC107" s="11"/>
      <c r="PD107" s="11"/>
      <c r="PE107" s="11"/>
      <c r="PF107" s="11"/>
      <c r="PG107" s="11"/>
      <c r="PH107" s="11"/>
      <c r="PI107" s="11"/>
      <c r="PJ107" s="11"/>
      <c r="PK107" s="11"/>
      <c r="PL107" s="11"/>
      <c r="PM107" s="11"/>
      <c r="PN107" s="11"/>
      <c r="PO107" s="11"/>
      <c r="PP107" s="11"/>
      <c r="PQ107" s="11"/>
      <c r="PR107" s="11"/>
      <c r="PS107" s="11"/>
      <c r="PT107" s="11"/>
      <c r="PU107" s="11"/>
      <c r="PV107" s="11"/>
      <c r="PW107" s="11"/>
      <c r="PX107" s="11"/>
      <c r="PY107" s="11"/>
      <c r="PZ107" s="11"/>
      <c r="QA107" s="11"/>
      <c r="QB107" s="11"/>
      <c r="QC107" s="11"/>
      <c r="QD107" s="11"/>
      <c r="QE107" s="11"/>
      <c r="QF107" s="11"/>
      <c r="QG107" s="11"/>
      <c r="QH107" s="11"/>
      <c r="QI107" s="11"/>
      <c r="QJ107" s="11"/>
      <c r="QK107" s="11"/>
      <c r="QL107" s="11"/>
      <c r="QM107" s="11"/>
      <c r="QN107" s="11"/>
      <c r="QO107" s="11"/>
      <c r="QP107" s="11"/>
      <c r="QQ107" s="11"/>
      <c r="QR107" s="11"/>
      <c r="QS107" s="11"/>
      <c r="QT107" s="11"/>
      <c r="QU107" s="11"/>
      <c r="QV107" s="11"/>
      <c r="QW107" s="11"/>
      <c r="QX107" s="11"/>
      <c r="QY107" s="11"/>
      <c r="QZ107" s="11"/>
      <c r="RA107" s="11"/>
      <c r="RB107" s="11"/>
      <c r="RC107" s="11"/>
      <c r="RD107" s="11"/>
      <c r="RE107" s="11"/>
      <c r="RF107" s="11"/>
      <c r="RG107" s="11"/>
      <c r="RH107" s="11"/>
      <c r="RI107" s="11"/>
      <c r="RJ107" s="11"/>
      <c r="RK107" s="11"/>
      <c r="RL107" s="11"/>
      <c r="RM107" s="11"/>
      <c r="RN107" s="11"/>
      <c r="RO107" s="11"/>
      <c r="RP107" s="11"/>
      <c r="RQ107" s="11"/>
      <c r="RR107" s="11"/>
      <c r="RS107" s="11"/>
      <c r="RT107" s="11"/>
      <c r="RU107" s="11"/>
      <c r="RV107" s="11"/>
      <c r="RW107" s="11"/>
      <c r="RX107" s="11"/>
      <c r="RY107" s="11"/>
      <c r="RZ107" s="11"/>
      <c r="SA107" s="11"/>
      <c r="SB107" s="11"/>
      <c r="SC107" s="11"/>
      <c r="SD107" s="11"/>
      <c r="SE107" s="11"/>
      <c r="SF107" s="11"/>
      <c r="SG107" s="11"/>
      <c r="SH107" s="11"/>
      <c r="SI107" s="11"/>
      <c r="SJ107" s="11"/>
      <c r="SK107" s="11"/>
      <c r="SL107" s="11"/>
      <c r="SM107" s="11"/>
      <c r="SN107" s="11"/>
      <c r="SO107" s="11"/>
      <c r="SP107" s="11"/>
      <c r="SQ107" s="11"/>
      <c r="SR107" s="11"/>
      <c r="SS107" s="11"/>
      <c r="ST107" s="11"/>
      <c r="SU107" s="11"/>
      <c r="SV107" s="11"/>
      <c r="SW107" s="11"/>
      <c r="SX107" s="11"/>
      <c r="SY107" s="11"/>
      <c r="SZ107" s="11"/>
      <c r="TA107" s="11"/>
      <c r="TB107" s="11"/>
      <c r="TC107" s="11"/>
      <c r="TD107" s="11"/>
      <c r="TE107" s="11"/>
      <c r="TF107" s="11"/>
      <c r="TG107" s="11"/>
      <c r="TH107" s="11"/>
      <c r="TI107" s="11"/>
      <c r="TJ107" s="11"/>
      <c r="TK107" s="11"/>
      <c r="TL107" s="11"/>
      <c r="TM107" s="11"/>
      <c r="TN107" s="11"/>
      <c r="TO107" s="11"/>
      <c r="TP107" s="11"/>
      <c r="TQ107" s="11"/>
      <c r="TR107" s="11"/>
      <c r="TS107" s="11"/>
      <c r="TT107" s="11"/>
      <c r="TU107" s="11"/>
      <c r="TV107" s="11"/>
      <c r="TW107" s="11"/>
      <c r="TX107" s="11"/>
      <c r="TY107" s="11"/>
      <c r="TZ107" s="11"/>
      <c r="UA107" s="11"/>
      <c r="UB107" s="11"/>
      <c r="UC107" s="11"/>
      <c r="UD107" s="11"/>
      <c r="UE107" s="11"/>
      <c r="UF107" s="11"/>
      <c r="UG107" s="11"/>
      <c r="UH107" s="11"/>
      <c r="UI107" s="11"/>
      <c r="UJ107" s="11"/>
      <c r="UK107" s="11"/>
      <c r="UL107" s="11"/>
      <c r="UM107" s="11"/>
      <c r="UN107" s="11"/>
      <c r="UO107" s="11"/>
      <c r="UP107" s="11"/>
      <c r="UQ107" s="11"/>
      <c r="UR107" s="11"/>
      <c r="US107" s="11"/>
      <c r="UT107" s="11"/>
      <c r="UU107" s="11"/>
      <c r="UV107" s="11"/>
      <c r="UW107" s="11"/>
      <c r="UX107" s="11"/>
      <c r="UY107" s="11"/>
      <c r="UZ107" s="11"/>
      <c r="VA107" s="11"/>
      <c r="VB107" s="11"/>
      <c r="VC107" s="11"/>
      <c r="VD107" s="11"/>
      <c r="VE107" s="11"/>
      <c r="VF107" s="11"/>
      <c r="VG107" s="11"/>
      <c r="VH107" s="11"/>
      <c r="VI107" s="11"/>
      <c r="VJ107" s="11"/>
      <c r="VK107" s="11"/>
      <c r="VL107" s="11"/>
      <c r="VM107" s="11"/>
      <c r="VN107" s="11"/>
      <c r="VO107" s="11"/>
      <c r="VP107" s="11"/>
      <c r="VQ107" s="11"/>
      <c r="VR107" s="11"/>
      <c r="VS107" s="11"/>
      <c r="VT107" s="11"/>
      <c r="VU107" s="11"/>
      <c r="VV107" s="11"/>
      <c r="VW107" s="11"/>
      <c r="VX107" s="11"/>
      <c r="VY107" s="11"/>
      <c r="VZ107" s="11"/>
      <c r="WA107" s="11"/>
      <c r="WB107" s="11"/>
      <c r="WC107" s="11"/>
      <c r="WD107" s="11"/>
      <c r="WE107" s="11"/>
      <c r="WF107" s="11"/>
      <c r="WG107" s="11"/>
      <c r="WH107" s="11"/>
      <c r="WI107" s="11"/>
      <c r="WJ107" s="11"/>
      <c r="WK107" s="11"/>
      <c r="WL107" s="11"/>
      <c r="WM107" s="11"/>
      <c r="WN107" s="11"/>
      <c r="WO107" s="11"/>
      <c r="WP107" s="11"/>
      <c r="WQ107" s="11"/>
      <c r="WR107" s="11"/>
      <c r="WS107" s="11"/>
      <c r="WT107" s="11"/>
      <c r="WU107" s="11"/>
      <c r="WV107" s="11"/>
      <c r="WW107" s="11"/>
      <c r="WX107" s="11"/>
      <c r="WY107" s="11"/>
      <c r="WZ107" s="11"/>
      <c r="XA107" s="11"/>
      <c r="XB107" s="11"/>
      <c r="XC107" s="11"/>
      <c r="XD107" s="11"/>
      <c r="XE107" s="11"/>
      <c r="XF107" s="11"/>
      <c r="XG107" s="11"/>
      <c r="XH107" s="11"/>
      <c r="XI107" s="11"/>
      <c r="XJ107" s="11"/>
      <c r="XK107" s="11"/>
      <c r="XL107" s="11"/>
      <c r="XM107" s="11"/>
      <c r="XN107" s="11"/>
      <c r="XO107" s="11"/>
      <c r="XP107" s="11"/>
      <c r="XQ107" s="11"/>
      <c r="XR107" s="11"/>
      <c r="XS107" s="11"/>
      <c r="XT107" s="11"/>
      <c r="XU107" s="11"/>
      <c r="XV107" s="11"/>
      <c r="XW107" s="11"/>
      <c r="XX107" s="11"/>
      <c r="XY107" s="11"/>
      <c r="XZ107" s="11"/>
      <c r="YA107" s="11"/>
      <c r="YB107" s="11"/>
      <c r="YC107" s="11"/>
      <c r="YD107" s="11"/>
      <c r="YE107" s="11"/>
      <c r="YF107" s="11"/>
      <c r="YG107" s="11"/>
      <c r="YH107" s="11"/>
      <c r="YI107" s="11"/>
      <c r="YJ107" s="11"/>
      <c r="YK107" s="11"/>
      <c r="YL107" s="11"/>
      <c r="YM107" s="11"/>
      <c r="YN107" s="11"/>
      <c r="YO107" s="11"/>
      <c r="YP107" s="11"/>
      <c r="YQ107" s="11"/>
      <c r="YR107" s="11"/>
      <c r="YS107" s="11"/>
      <c r="YT107" s="11"/>
      <c r="YU107" s="11"/>
      <c r="YV107" s="11"/>
      <c r="YW107" s="11"/>
      <c r="YX107" s="11"/>
      <c r="YY107" s="11"/>
      <c r="YZ107" s="11"/>
      <c r="ZA107" s="11"/>
      <c r="ZB107" s="11"/>
      <c r="ZC107" s="11"/>
      <c r="ZD107" s="11"/>
      <c r="ZE107" s="11"/>
      <c r="ZF107" s="11"/>
      <c r="ZG107" s="11"/>
      <c r="ZH107" s="11"/>
      <c r="ZI107" s="11"/>
      <c r="ZJ107" s="11"/>
      <c r="ZK107" s="11"/>
      <c r="ZL107" s="11"/>
      <c r="ZM107" s="11"/>
      <c r="ZN107" s="11"/>
      <c r="ZO107" s="11"/>
      <c r="ZP107" s="11"/>
      <c r="ZQ107" s="11"/>
      <c r="ZR107" s="11"/>
      <c r="ZS107" s="11"/>
      <c r="ZT107" s="11"/>
      <c r="ZU107" s="11"/>
      <c r="ZV107" s="11"/>
      <c r="ZW107" s="11"/>
      <c r="ZX107" s="11"/>
      <c r="ZY107" s="11"/>
      <c r="ZZ107" s="11"/>
      <c r="AAA107" s="11"/>
      <c r="AAB107" s="11"/>
      <c r="AAC107" s="11"/>
      <c r="AAD107" s="11"/>
      <c r="AAE107" s="11"/>
      <c r="AAF107" s="11"/>
      <c r="AAG107" s="11"/>
      <c r="AAH107" s="11"/>
      <c r="AAI107" s="11"/>
      <c r="AAJ107" s="11"/>
      <c r="AAK107" s="11"/>
      <c r="AAL107" s="11"/>
      <c r="AAM107" s="11"/>
      <c r="AAN107" s="11"/>
      <c r="AAO107" s="11"/>
      <c r="AAP107" s="11"/>
      <c r="AAQ107" s="11"/>
      <c r="AAR107" s="11"/>
      <c r="AAS107" s="11"/>
      <c r="AAT107" s="11"/>
      <c r="AAU107" s="11"/>
      <c r="AAV107" s="11"/>
      <c r="AAW107" s="11"/>
      <c r="AAX107" s="11"/>
      <c r="AAY107" s="11"/>
      <c r="AAZ107" s="11"/>
      <c r="ABA107" s="11"/>
      <c r="ABB107" s="11"/>
      <c r="ABC107" s="11"/>
      <c r="ABD107" s="11"/>
      <c r="ABE107" s="11"/>
      <c r="ABF107" s="11"/>
      <c r="ABG107" s="11"/>
      <c r="ABH107" s="11"/>
      <c r="ABI107" s="11"/>
      <c r="ABJ107" s="11"/>
      <c r="ABK107" s="11"/>
      <c r="ABL107" s="11"/>
      <c r="ABM107" s="11"/>
      <c r="ABN107" s="11"/>
      <c r="ABO107" s="11"/>
      <c r="ABP107" s="11"/>
      <c r="ABQ107" s="11"/>
      <c r="ABR107" s="11"/>
      <c r="ABS107" s="11"/>
      <c r="ABT107" s="11"/>
      <c r="ABU107" s="11"/>
      <c r="ABV107" s="11"/>
      <c r="ABW107" s="11"/>
      <c r="ABX107" s="11"/>
      <c r="ABY107" s="11"/>
      <c r="ABZ107" s="11"/>
      <c r="ACA107" s="11"/>
      <c r="ACB107" s="11"/>
      <c r="ACC107" s="11"/>
      <c r="ACD107" s="11"/>
      <c r="ACE107" s="11"/>
      <c r="ACF107" s="11"/>
      <c r="ACG107" s="11"/>
      <c r="ACH107" s="11"/>
      <c r="ACI107" s="11"/>
      <c r="ACJ107" s="11"/>
      <c r="ACK107" s="11"/>
      <c r="ACL107" s="11"/>
      <c r="ACM107" s="11"/>
      <c r="ACN107" s="11"/>
      <c r="ACO107" s="11"/>
      <c r="ACP107" s="11"/>
      <c r="ACQ107" s="11"/>
      <c r="ACR107" s="11"/>
      <c r="ACS107" s="11"/>
      <c r="ACT107" s="11"/>
      <c r="ACU107" s="11"/>
      <c r="ACV107" s="11"/>
      <c r="ACW107" s="11"/>
      <c r="ACX107" s="11"/>
      <c r="ACY107" s="11"/>
      <c r="ACZ107" s="11"/>
      <c r="ADA107" s="11"/>
      <c r="ADB107" s="11"/>
      <c r="ADC107" s="11"/>
      <c r="ADD107" s="11"/>
      <c r="ADE107" s="11"/>
      <c r="ADF107" s="11"/>
      <c r="ADG107" s="11"/>
      <c r="ADH107" s="11"/>
      <c r="ADI107" s="11"/>
      <c r="ADJ107" s="11"/>
      <c r="ADK107" s="11"/>
      <c r="ADL107" s="11"/>
      <c r="ADM107" s="11"/>
      <c r="ADN107" s="11"/>
      <c r="ADO107" s="11"/>
      <c r="ADP107" s="11"/>
      <c r="ADQ107" s="11"/>
      <c r="ADR107" s="11"/>
      <c r="ADS107" s="11"/>
      <c r="ADT107" s="11"/>
      <c r="ADU107" s="11"/>
      <c r="ADV107" s="11"/>
      <c r="ADW107" s="11"/>
      <c r="ADX107" s="11"/>
      <c r="ADY107" s="11"/>
      <c r="ADZ107" s="11"/>
      <c r="AEA107" s="11"/>
      <c r="AEB107" s="11"/>
      <c r="AEC107" s="11"/>
      <c r="AED107" s="11"/>
      <c r="AEE107" s="11"/>
      <c r="AEF107" s="11"/>
      <c r="AEG107" s="11"/>
      <c r="AEH107" s="11"/>
      <c r="AEI107" s="11"/>
      <c r="AEJ107" s="11"/>
      <c r="AEK107" s="11"/>
      <c r="AEL107" s="11"/>
      <c r="AEM107" s="11"/>
      <c r="AEN107" s="11"/>
      <c r="AEO107" s="11"/>
      <c r="AEP107" s="11"/>
      <c r="AEQ107" s="11"/>
      <c r="AER107" s="11"/>
      <c r="AES107" s="11"/>
      <c r="AET107" s="11"/>
      <c r="AEU107" s="11"/>
      <c r="AEV107" s="11"/>
      <c r="AEW107" s="11"/>
      <c r="AEX107" s="11"/>
      <c r="AEY107" s="11"/>
      <c r="AEZ107" s="11"/>
      <c r="AFA107" s="11"/>
      <c r="AFB107" s="11"/>
      <c r="AFC107" s="11"/>
      <c r="AFD107" s="11"/>
      <c r="AFE107" s="11"/>
      <c r="AFF107" s="11"/>
      <c r="AFG107" s="11"/>
      <c r="AFH107" s="11"/>
      <c r="AFI107" s="11"/>
    </row>
    <row r="108" spans="2:841">
      <c r="B108" s="11"/>
      <c r="C108" s="657"/>
      <c r="D108" s="315" t="s">
        <v>925</v>
      </c>
      <c r="E108" s="316">
        <f t="shared" ref="E108:S108" si="9">SUM(E100:E107)</f>
        <v>0</v>
      </c>
      <c r="F108" s="314" t="e">
        <f t="shared" si="9"/>
        <v>#N/A</v>
      </c>
      <c r="G108" s="317" t="e">
        <f t="shared" si="9"/>
        <v>#N/A</v>
      </c>
      <c r="H108" s="316">
        <f t="shared" si="9"/>
        <v>0</v>
      </c>
      <c r="I108" s="314" t="e">
        <f t="shared" si="9"/>
        <v>#N/A</v>
      </c>
      <c r="J108" s="317" t="e">
        <f t="shared" si="9"/>
        <v>#N/A</v>
      </c>
      <c r="K108" s="316">
        <f t="shared" si="9"/>
        <v>0</v>
      </c>
      <c r="L108" s="314" t="e">
        <f t="shared" si="9"/>
        <v>#N/A</v>
      </c>
      <c r="M108" s="317" t="e">
        <f t="shared" si="9"/>
        <v>#N/A</v>
      </c>
      <c r="N108" s="316">
        <f t="shared" si="9"/>
        <v>0</v>
      </c>
      <c r="O108" s="314" t="e">
        <f t="shared" si="9"/>
        <v>#N/A</v>
      </c>
      <c r="P108" s="317" t="e">
        <f t="shared" si="9"/>
        <v>#N/A</v>
      </c>
      <c r="Q108" s="316">
        <f t="shared" si="9"/>
        <v>0</v>
      </c>
      <c r="R108" s="314" t="e">
        <f t="shared" si="9"/>
        <v>#N/A</v>
      </c>
      <c r="S108" s="317" t="e">
        <f t="shared" si="9"/>
        <v>#N/A</v>
      </c>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c r="KD108" s="11"/>
      <c r="KE108" s="11"/>
      <c r="KF108" s="11"/>
      <c r="KG108" s="11"/>
      <c r="KH108" s="11"/>
      <c r="KI108" s="11"/>
      <c r="KJ108" s="11"/>
      <c r="KK108" s="11"/>
      <c r="KL108" s="11"/>
      <c r="KM108" s="11"/>
      <c r="KN108" s="11"/>
      <c r="KO108" s="11"/>
      <c r="KP108" s="11"/>
      <c r="KQ108" s="11"/>
      <c r="KR108" s="11"/>
      <c r="KS108" s="11"/>
      <c r="KT108" s="11"/>
      <c r="KU108" s="11"/>
      <c r="KV108" s="11"/>
      <c r="KW108" s="11"/>
      <c r="KX108" s="11"/>
      <c r="KY108" s="11"/>
      <c r="KZ108" s="11"/>
      <c r="LA108" s="11"/>
      <c r="LB108" s="11"/>
      <c r="LC108" s="11"/>
      <c r="LD108" s="11"/>
      <c r="LE108" s="11"/>
      <c r="LF108" s="11"/>
      <c r="LG108" s="11"/>
      <c r="LH108" s="11"/>
      <c r="LI108" s="11"/>
      <c r="LJ108" s="11"/>
      <c r="LK108" s="11"/>
      <c r="LL108" s="11"/>
      <c r="LM108" s="11"/>
      <c r="LN108" s="11"/>
      <c r="LO108" s="11"/>
      <c r="LP108" s="11"/>
      <c r="LQ108" s="11"/>
      <c r="LR108" s="11"/>
      <c r="LS108" s="11"/>
      <c r="LT108" s="11"/>
      <c r="LU108" s="11"/>
      <c r="LV108" s="11"/>
      <c r="LW108" s="11"/>
      <c r="LX108" s="11"/>
      <c r="LY108" s="11"/>
      <c r="LZ108" s="11"/>
      <c r="MA108" s="11"/>
      <c r="MB108" s="11"/>
      <c r="MC108" s="11"/>
      <c r="MD108" s="11"/>
      <c r="ME108" s="11"/>
      <c r="MF108" s="11"/>
      <c r="MG108" s="11"/>
      <c r="MH108" s="11"/>
      <c r="MI108" s="11"/>
      <c r="MJ108" s="11"/>
      <c r="MK108" s="11"/>
      <c r="ML108" s="11"/>
      <c r="MM108" s="11"/>
      <c r="MN108" s="11"/>
      <c r="MO108" s="11"/>
      <c r="MP108" s="11"/>
      <c r="MQ108" s="11"/>
      <c r="MR108" s="11"/>
      <c r="MS108" s="11"/>
      <c r="MT108" s="11"/>
      <c r="MU108" s="11"/>
      <c r="MV108" s="11"/>
      <c r="MW108" s="11"/>
      <c r="MX108" s="11"/>
      <c r="MY108" s="11"/>
      <c r="MZ108" s="11"/>
      <c r="NA108" s="11"/>
      <c r="NB108" s="11"/>
      <c r="NC108" s="11"/>
      <c r="ND108" s="11"/>
      <c r="NE108" s="11"/>
      <c r="NF108" s="11"/>
      <c r="NG108" s="11"/>
      <c r="NH108" s="11"/>
      <c r="NI108" s="11"/>
      <c r="NJ108" s="11"/>
      <c r="NK108" s="11"/>
      <c r="NL108" s="11"/>
      <c r="NM108" s="11"/>
      <c r="NN108" s="11"/>
      <c r="NO108" s="11"/>
      <c r="NP108" s="11"/>
      <c r="NQ108" s="11"/>
      <c r="NR108" s="11"/>
      <c r="NS108" s="11"/>
      <c r="NT108" s="11"/>
      <c r="NU108" s="11"/>
      <c r="NV108" s="11"/>
      <c r="NW108" s="11"/>
      <c r="NX108" s="11"/>
      <c r="NY108" s="11"/>
      <c r="NZ108" s="11"/>
      <c r="OA108" s="11"/>
      <c r="OB108" s="11"/>
      <c r="OC108" s="11"/>
      <c r="OD108" s="11"/>
      <c r="OE108" s="11"/>
      <c r="OF108" s="11"/>
      <c r="OG108" s="11"/>
      <c r="OH108" s="11"/>
      <c r="OI108" s="11"/>
      <c r="OJ108" s="11"/>
      <c r="OK108" s="11"/>
      <c r="OL108" s="11"/>
      <c r="OM108" s="11"/>
      <c r="ON108" s="11"/>
      <c r="OO108" s="11"/>
      <c r="OP108" s="11"/>
      <c r="OQ108" s="11"/>
      <c r="OR108" s="11"/>
      <c r="OS108" s="11"/>
      <c r="OT108" s="11"/>
      <c r="OU108" s="11"/>
      <c r="OV108" s="11"/>
      <c r="OW108" s="11"/>
      <c r="OX108" s="11"/>
      <c r="OY108" s="11"/>
      <c r="OZ108" s="11"/>
      <c r="PA108" s="11"/>
      <c r="PB108" s="11"/>
      <c r="PC108" s="11"/>
      <c r="PD108" s="11"/>
      <c r="PE108" s="11"/>
      <c r="PF108" s="11"/>
      <c r="PG108" s="11"/>
      <c r="PH108" s="11"/>
      <c r="PI108" s="11"/>
      <c r="PJ108" s="11"/>
      <c r="PK108" s="11"/>
      <c r="PL108" s="11"/>
      <c r="PM108" s="11"/>
      <c r="PN108" s="11"/>
      <c r="PO108" s="11"/>
      <c r="PP108" s="11"/>
      <c r="PQ108" s="11"/>
      <c r="PR108" s="11"/>
      <c r="PS108" s="11"/>
      <c r="PT108" s="11"/>
      <c r="PU108" s="11"/>
      <c r="PV108" s="11"/>
      <c r="PW108" s="11"/>
      <c r="PX108" s="11"/>
      <c r="PY108" s="11"/>
      <c r="PZ108" s="11"/>
      <c r="QA108" s="11"/>
      <c r="QB108" s="11"/>
      <c r="QC108" s="11"/>
      <c r="QD108" s="11"/>
      <c r="QE108" s="11"/>
      <c r="QF108" s="11"/>
      <c r="QG108" s="11"/>
      <c r="QH108" s="11"/>
      <c r="QI108" s="11"/>
      <c r="QJ108" s="11"/>
      <c r="QK108" s="11"/>
      <c r="QL108" s="11"/>
      <c r="QM108" s="11"/>
      <c r="QN108" s="11"/>
      <c r="QO108" s="11"/>
      <c r="QP108" s="11"/>
      <c r="QQ108" s="11"/>
      <c r="QR108" s="11"/>
      <c r="QS108" s="11"/>
      <c r="QT108" s="11"/>
      <c r="QU108" s="11"/>
      <c r="QV108" s="11"/>
      <c r="QW108" s="11"/>
      <c r="QX108" s="11"/>
      <c r="QY108" s="11"/>
      <c r="QZ108" s="11"/>
      <c r="RA108" s="11"/>
      <c r="RB108" s="11"/>
      <c r="RC108" s="11"/>
      <c r="RD108" s="11"/>
      <c r="RE108" s="11"/>
      <c r="RF108" s="11"/>
      <c r="RG108" s="11"/>
      <c r="RH108" s="11"/>
      <c r="RI108" s="11"/>
      <c r="RJ108" s="11"/>
      <c r="RK108" s="11"/>
      <c r="RL108" s="11"/>
      <c r="RM108" s="11"/>
      <c r="RN108" s="11"/>
      <c r="RO108" s="11"/>
      <c r="RP108" s="11"/>
      <c r="RQ108" s="11"/>
      <c r="RR108" s="11"/>
      <c r="RS108" s="11"/>
      <c r="RT108" s="11"/>
      <c r="RU108" s="11"/>
      <c r="RV108" s="11"/>
      <c r="RW108" s="11"/>
      <c r="RX108" s="11"/>
      <c r="RY108" s="11"/>
      <c r="RZ108" s="11"/>
      <c r="SA108" s="11"/>
      <c r="SB108" s="11"/>
      <c r="SC108" s="11"/>
      <c r="SD108" s="11"/>
      <c r="SE108" s="11"/>
      <c r="SF108" s="11"/>
      <c r="SG108" s="11"/>
      <c r="SH108" s="11"/>
      <c r="SI108" s="11"/>
      <c r="SJ108" s="11"/>
      <c r="SK108" s="11"/>
      <c r="SL108" s="11"/>
      <c r="SM108" s="11"/>
      <c r="SN108" s="11"/>
      <c r="SO108" s="11"/>
      <c r="SP108" s="11"/>
      <c r="SQ108" s="11"/>
      <c r="SR108" s="11"/>
      <c r="SS108" s="11"/>
      <c r="ST108" s="11"/>
      <c r="SU108" s="11"/>
      <c r="SV108" s="11"/>
      <c r="SW108" s="11"/>
      <c r="SX108" s="11"/>
      <c r="SY108" s="11"/>
      <c r="SZ108" s="11"/>
      <c r="TA108" s="11"/>
      <c r="TB108" s="11"/>
      <c r="TC108" s="11"/>
      <c r="TD108" s="11"/>
      <c r="TE108" s="11"/>
      <c r="TF108" s="11"/>
      <c r="TG108" s="11"/>
      <c r="TH108" s="11"/>
      <c r="TI108" s="11"/>
      <c r="TJ108" s="11"/>
      <c r="TK108" s="11"/>
      <c r="TL108" s="11"/>
      <c r="TM108" s="11"/>
      <c r="TN108" s="11"/>
      <c r="TO108" s="11"/>
      <c r="TP108" s="11"/>
      <c r="TQ108" s="11"/>
      <c r="TR108" s="11"/>
      <c r="TS108" s="11"/>
      <c r="TT108" s="11"/>
      <c r="TU108" s="11"/>
      <c r="TV108" s="11"/>
      <c r="TW108" s="11"/>
      <c r="TX108" s="11"/>
      <c r="TY108" s="11"/>
      <c r="TZ108" s="11"/>
      <c r="UA108" s="11"/>
      <c r="UB108" s="11"/>
      <c r="UC108" s="11"/>
      <c r="UD108" s="11"/>
      <c r="UE108" s="11"/>
      <c r="UF108" s="11"/>
      <c r="UG108" s="11"/>
      <c r="UH108" s="11"/>
      <c r="UI108" s="11"/>
      <c r="UJ108" s="11"/>
      <c r="UK108" s="11"/>
      <c r="UL108" s="11"/>
      <c r="UM108" s="11"/>
      <c r="UN108" s="11"/>
      <c r="UO108" s="11"/>
      <c r="UP108" s="11"/>
      <c r="UQ108" s="11"/>
      <c r="UR108" s="11"/>
      <c r="US108" s="11"/>
      <c r="UT108" s="11"/>
      <c r="UU108" s="11"/>
      <c r="UV108" s="11"/>
      <c r="UW108" s="11"/>
      <c r="UX108" s="11"/>
      <c r="UY108" s="11"/>
      <c r="UZ108" s="11"/>
      <c r="VA108" s="11"/>
      <c r="VB108" s="11"/>
      <c r="VC108" s="11"/>
      <c r="VD108" s="11"/>
      <c r="VE108" s="11"/>
      <c r="VF108" s="11"/>
      <c r="VG108" s="11"/>
      <c r="VH108" s="11"/>
      <c r="VI108" s="11"/>
      <c r="VJ108" s="11"/>
      <c r="VK108" s="11"/>
      <c r="VL108" s="11"/>
      <c r="VM108" s="11"/>
      <c r="VN108" s="11"/>
      <c r="VO108" s="11"/>
      <c r="VP108" s="11"/>
      <c r="VQ108" s="11"/>
      <c r="VR108" s="11"/>
      <c r="VS108" s="11"/>
      <c r="VT108" s="11"/>
      <c r="VU108" s="11"/>
      <c r="VV108" s="11"/>
      <c r="VW108" s="11"/>
      <c r="VX108" s="11"/>
      <c r="VY108" s="11"/>
      <c r="VZ108" s="11"/>
      <c r="WA108" s="11"/>
      <c r="WB108" s="11"/>
      <c r="WC108" s="11"/>
      <c r="WD108" s="11"/>
      <c r="WE108" s="11"/>
      <c r="WF108" s="11"/>
      <c r="WG108" s="11"/>
      <c r="WH108" s="11"/>
      <c r="WI108" s="11"/>
      <c r="WJ108" s="11"/>
      <c r="WK108" s="11"/>
      <c r="WL108" s="11"/>
      <c r="WM108" s="11"/>
      <c r="WN108" s="11"/>
      <c r="WO108" s="11"/>
      <c r="WP108" s="11"/>
      <c r="WQ108" s="11"/>
      <c r="WR108" s="11"/>
      <c r="WS108" s="11"/>
      <c r="WT108" s="11"/>
      <c r="WU108" s="11"/>
      <c r="WV108" s="11"/>
      <c r="WW108" s="11"/>
      <c r="WX108" s="11"/>
      <c r="WY108" s="11"/>
      <c r="WZ108" s="11"/>
      <c r="XA108" s="11"/>
      <c r="XB108" s="11"/>
      <c r="XC108" s="11"/>
      <c r="XD108" s="11"/>
      <c r="XE108" s="11"/>
      <c r="XF108" s="11"/>
      <c r="XG108" s="11"/>
      <c r="XH108" s="11"/>
      <c r="XI108" s="11"/>
      <c r="XJ108" s="11"/>
      <c r="XK108" s="11"/>
      <c r="XL108" s="11"/>
      <c r="XM108" s="11"/>
      <c r="XN108" s="11"/>
      <c r="XO108" s="11"/>
      <c r="XP108" s="11"/>
      <c r="XQ108" s="11"/>
      <c r="XR108" s="11"/>
      <c r="XS108" s="11"/>
      <c r="XT108" s="11"/>
      <c r="XU108" s="11"/>
      <c r="XV108" s="11"/>
      <c r="XW108" s="11"/>
      <c r="XX108" s="11"/>
      <c r="XY108" s="11"/>
      <c r="XZ108" s="11"/>
      <c r="YA108" s="11"/>
      <c r="YB108" s="11"/>
      <c r="YC108" s="11"/>
      <c r="YD108" s="11"/>
      <c r="YE108" s="11"/>
      <c r="YF108" s="11"/>
      <c r="YG108" s="11"/>
      <c r="YH108" s="11"/>
      <c r="YI108" s="11"/>
      <c r="YJ108" s="11"/>
      <c r="YK108" s="11"/>
      <c r="YL108" s="11"/>
      <c r="YM108" s="11"/>
      <c r="YN108" s="11"/>
      <c r="YO108" s="11"/>
      <c r="YP108" s="11"/>
      <c r="YQ108" s="11"/>
      <c r="YR108" s="11"/>
      <c r="YS108" s="11"/>
      <c r="YT108" s="11"/>
      <c r="YU108" s="11"/>
      <c r="YV108" s="11"/>
      <c r="YW108" s="11"/>
      <c r="YX108" s="11"/>
      <c r="YY108" s="11"/>
      <c r="YZ108" s="11"/>
      <c r="ZA108" s="11"/>
      <c r="ZB108" s="11"/>
      <c r="ZC108" s="11"/>
      <c r="ZD108" s="11"/>
      <c r="ZE108" s="11"/>
      <c r="ZF108" s="11"/>
      <c r="ZG108" s="11"/>
      <c r="ZH108" s="11"/>
      <c r="ZI108" s="11"/>
      <c r="ZJ108" s="11"/>
      <c r="ZK108" s="11"/>
      <c r="ZL108" s="11"/>
      <c r="ZM108" s="11"/>
      <c r="ZN108" s="11"/>
      <c r="ZO108" s="11"/>
      <c r="ZP108" s="11"/>
      <c r="ZQ108" s="11"/>
      <c r="ZR108" s="11"/>
      <c r="ZS108" s="11"/>
      <c r="ZT108" s="11"/>
      <c r="ZU108" s="11"/>
      <c r="ZV108" s="11"/>
      <c r="ZW108" s="11"/>
      <c r="ZX108" s="11"/>
      <c r="ZY108" s="11"/>
      <c r="ZZ108" s="11"/>
      <c r="AAA108" s="11"/>
      <c r="AAB108" s="11"/>
      <c r="AAC108" s="11"/>
      <c r="AAD108" s="11"/>
      <c r="AAE108" s="11"/>
      <c r="AAF108" s="11"/>
      <c r="AAG108" s="11"/>
      <c r="AAH108" s="11"/>
      <c r="AAI108" s="11"/>
      <c r="AAJ108" s="11"/>
      <c r="AAK108" s="11"/>
      <c r="AAL108" s="11"/>
      <c r="AAM108" s="11"/>
      <c r="AAN108" s="11"/>
      <c r="AAO108" s="11"/>
      <c r="AAP108" s="11"/>
      <c r="AAQ108" s="11"/>
      <c r="AAR108" s="11"/>
      <c r="AAS108" s="11"/>
      <c r="AAT108" s="11"/>
      <c r="AAU108" s="11"/>
      <c r="AAV108" s="11"/>
      <c r="AAW108" s="11"/>
      <c r="AAX108" s="11"/>
      <c r="AAY108" s="11"/>
      <c r="AAZ108" s="11"/>
      <c r="ABA108" s="11"/>
      <c r="ABB108" s="11"/>
      <c r="ABC108" s="11"/>
      <c r="ABD108" s="11"/>
      <c r="ABE108" s="11"/>
      <c r="ABF108" s="11"/>
      <c r="ABG108" s="11"/>
      <c r="ABH108" s="11"/>
      <c r="ABI108" s="11"/>
      <c r="ABJ108" s="11"/>
      <c r="ABK108" s="11"/>
      <c r="ABL108" s="11"/>
      <c r="ABM108" s="11"/>
      <c r="ABN108" s="11"/>
      <c r="ABO108" s="11"/>
      <c r="ABP108" s="11"/>
      <c r="ABQ108" s="11"/>
      <c r="ABR108" s="11"/>
      <c r="ABS108" s="11"/>
      <c r="ABT108" s="11"/>
      <c r="ABU108" s="11"/>
      <c r="ABV108" s="11"/>
      <c r="ABW108" s="11"/>
      <c r="ABX108" s="11"/>
      <c r="ABY108" s="11"/>
      <c r="ABZ108" s="11"/>
      <c r="ACA108" s="11"/>
      <c r="ACB108" s="11"/>
      <c r="ACC108" s="11"/>
      <c r="ACD108" s="11"/>
      <c r="ACE108" s="11"/>
      <c r="ACF108" s="11"/>
      <c r="ACG108" s="11"/>
      <c r="ACH108" s="11"/>
      <c r="ACI108" s="11"/>
      <c r="ACJ108" s="11"/>
      <c r="ACK108" s="11"/>
      <c r="ACL108" s="11"/>
      <c r="ACM108" s="11"/>
      <c r="ACN108" s="11"/>
      <c r="ACO108" s="11"/>
      <c r="ACP108" s="11"/>
      <c r="ACQ108" s="11"/>
      <c r="ACR108" s="11"/>
      <c r="ACS108" s="11"/>
      <c r="ACT108" s="11"/>
      <c r="ACU108" s="11"/>
      <c r="ACV108" s="11"/>
      <c r="ACW108" s="11"/>
      <c r="ACX108" s="11"/>
      <c r="ACY108" s="11"/>
      <c r="ACZ108" s="11"/>
      <c r="ADA108" s="11"/>
      <c r="ADB108" s="11"/>
      <c r="ADC108" s="11"/>
      <c r="ADD108" s="11"/>
      <c r="ADE108" s="11"/>
      <c r="ADF108" s="11"/>
      <c r="ADG108" s="11"/>
      <c r="ADH108" s="11"/>
      <c r="ADI108" s="11"/>
      <c r="ADJ108" s="11"/>
      <c r="ADK108" s="11"/>
      <c r="ADL108" s="11"/>
      <c r="ADM108" s="11"/>
      <c r="ADN108" s="11"/>
      <c r="ADO108" s="11"/>
      <c r="ADP108" s="11"/>
      <c r="ADQ108" s="11"/>
      <c r="ADR108" s="11"/>
      <c r="ADS108" s="11"/>
      <c r="ADT108" s="11"/>
      <c r="ADU108" s="11"/>
      <c r="ADV108" s="11"/>
      <c r="ADW108" s="11"/>
      <c r="ADX108" s="11"/>
      <c r="ADY108" s="11"/>
      <c r="ADZ108" s="11"/>
      <c r="AEA108" s="11"/>
      <c r="AEB108" s="11"/>
      <c r="AEC108" s="11"/>
      <c r="AED108" s="11"/>
      <c r="AEE108" s="11"/>
      <c r="AEF108" s="11"/>
      <c r="AEG108" s="11"/>
      <c r="AEH108" s="11"/>
      <c r="AEI108" s="11"/>
      <c r="AEJ108" s="11"/>
      <c r="AEK108" s="11"/>
      <c r="AEL108" s="11"/>
      <c r="AEM108" s="11"/>
      <c r="AEN108" s="11"/>
      <c r="AEO108" s="11"/>
      <c r="AEP108" s="11"/>
      <c r="AEQ108" s="11"/>
      <c r="AER108" s="11"/>
      <c r="AES108" s="11"/>
      <c r="AET108" s="11"/>
      <c r="AEU108" s="11"/>
      <c r="AEV108" s="11"/>
      <c r="AEW108" s="11"/>
      <c r="AEX108" s="11"/>
      <c r="AEY108" s="11"/>
      <c r="AEZ108" s="11"/>
      <c r="AFA108" s="11"/>
      <c r="AFB108" s="11"/>
      <c r="AFC108" s="11"/>
      <c r="AFD108" s="11"/>
      <c r="AFE108" s="11"/>
      <c r="AFF108" s="11"/>
      <c r="AFG108" s="11"/>
      <c r="AFH108" s="11"/>
      <c r="AFI108" s="11"/>
    </row>
    <row r="109" spans="2:841" ht="15" customHeight="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c r="JH109" s="11"/>
      <c r="JI109" s="11"/>
      <c r="JJ109" s="11"/>
      <c r="JK109" s="11"/>
      <c r="JL109" s="11"/>
      <c r="JM109" s="11"/>
      <c r="JN109" s="11"/>
      <c r="JO109" s="11"/>
      <c r="JP109" s="11"/>
      <c r="JQ109" s="11"/>
      <c r="JR109" s="11"/>
      <c r="JS109" s="11"/>
      <c r="JT109" s="11"/>
      <c r="JU109" s="11"/>
      <c r="JV109" s="11"/>
      <c r="JW109" s="11"/>
      <c r="JX109" s="11"/>
      <c r="JY109" s="11"/>
      <c r="JZ109" s="11"/>
      <c r="KA109" s="11"/>
      <c r="KB109" s="11"/>
      <c r="KC109" s="11"/>
      <c r="KD109" s="11"/>
      <c r="KE109" s="11"/>
      <c r="KF109" s="11"/>
      <c r="KG109" s="11"/>
      <c r="KH109" s="11"/>
      <c r="KI109" s="11"/>
      <c r="KJ109" s="11"/>
      <c r="KK109" s="11"/>
      <c r="KL109" s="11"/>
      <c r="KM109" s="11"/>
      <c r="KN109" s="11"/>
      <c r="KO109" s="11"/>
      <c r="KP109" s="11"/>
      <c r="KQ109" s="11"/>
      <c r="KR109" s="11"/>
      <c r="KS109" s="11"/>
      <c r="KT109" s="11"/>
      <c r="KU109" s="11"/>
      <c r="KV109" s="11"/>
      <c r="KW109" s="11"/>
      <c r="KX109" s="11"/>
      <c r="KY109" s="11"/>
      <c r="KZ109" s="11"/>
      <c r="LA109" s="11"/>
      <c r="LB109" s="11"/>
      <c r="LC109" s="11"/>
      <c r="LD109" s="11"/>
      <c r="LE109" s="11"/>
      <c r="LF109" s="11"/>
      <c r="LG109" s="11"/>
      <c r="LH109" s="11"/>
      <c r="LI109" s="11"/>
      <c r="LJ109" s="11"/>
      <c r="LK109" s="11"/>
      <c r="LL109" s="11"/>
      <c r="LM109" s="11"/>
      <c r="LN109" s="11"/>
      <c r="LO109" s="11"/>
      <c r="LP109" s="11"/>
      <c r="LQ109" s="11"/>
      <c r="LR109" s="11"/>
      <c r="LS109" s="11"/>
      <c r="LT109" s="11"/>
      <c r="LU109" s="11"/>
      <c r="LV109" s="11"/>
      <c r="LW109" s="11"/>
      <c r="LX109" s="11"/>
      <c r="LY109" s="11"/>
      <c r="LZ109" s="11"/>
      <c r="MA109" s="11"/>
      <c r="MB109" s="11"/>
      <c r="MC109" s="11"/>
      <c r="MD109" s="11"/>
      <c r="ME109" s="11"/>
      <c r="MF109" s="11"/>
      <c r="MG109" s="11"/>
      <c r="MH109" s="11"/>
      <c r="MI109" s="11"/>
      <c r="MJ109" s="11"/>
      <c r="MK109" s="11"/>
      <c r="ML109" s="11"/>
      <c r="MM109" s="11"/>
      <c r="MN109" s="11"/>
      <c r="MO109" s="11"/>
      <c r="MP109" s="11"/>
      <c r="MQ109" s="11"/>
      <c r="MR109" s="11"/>
      <c r="MS109" s="11"/>
      <c r="MT109" s="11"/>
      <c r="MU109" s="11"/>
      <c r="MV109" s="11"/>
      <c r="MW109" s="11"/>
      <c r="MX109" s="11"/>
      <c r="MY109" s="11"/>
      <c r="MZ109" s="11"/>
      <c r="NA109" s="11"/>
      <c r="NB109" s="11"/>
      <c r="NC109" s="11"/>
      <c r="ND109" s="11"/>
      <c r="NE109" s="11"/>
      <c r="NF109" s="11"/>
      <c r="NG109" s="11"/>
      <c r="NH109" s="11"/>
      <c r="NI109" s="11"/>
      <c r="NJ109" s="11"/>
      <c r="NK109" s="11"/>
      <c r="NL109" s="11"/>
      <c r="NM109" s="11"/>
      <c r="NN109" s="11"/>
      <c r="NO109" s="11"/>
      <c r="NP109" s="11"/>
      <c r="NQ109" s="11"/>
      <c r="NR109" s="11"/>
      <c r="NS109" s="11"/>
      <c r="NT109" s="11"/>
      <c r="NU109" s="11"/>
      <c r="NV109" s="11"/>
      <c r="NW109" s="11"/>
      <c r="NX109" s="11"/>
      <c r="NY109" s="11"/>
      <c r="NZ109" s="11"/>
      <c r="OA109" s="11"/>
      <c r="OB109" s="11"/>
      <c r="OC109" s="11"/>
      <c r="OD109" s="11"/>
      <c r="OE109" s="11"/>
      <c r="OF109" s="11"/>
      <c r="OG109" s="11"/>
      <c r="OH109" s="11"/>
      <c r="OI109" s="11"/>
      <c r="OJ109" s="11"/>
      <c r="OK109" s="11"/>
      <c r="OL109" s="11"/>
      <c r="OM109" s="11"/>
      <c r="ON109" s="11"/>
      <c r="OO109" s="11"/>
      <c r="OP109" s="11"/>
      <c r="OQ109" s="11"/>
      <c r="OR109" s="11"/>
      <c r="OS109" s="11"/>
      <c r="OT109" s="11"/>
      <c r="OU109" s="11"/>
      <c r="OV109" s="11"/>
      <c r="OW109" s="11"/>
      <c r="OX109" s="11"/>
      <c r="OY109" s="11"/>
      <c r="OZ109" s="11"/>
      <c r="PA109" s="11"/>
      <c r="PB109" s="11"/>
      <c r="PC109" s="11"/>
      <c r="PD109" s="11"/>
      <c r="PE109" s="11"/>
      <c r="PF109" s="11"/>
      <c r="PG109" s="11"/>
      <c r="PH109" s="11"/>
      <c r="PI109" s="11"/>
      <c r="PJ109" s="11"/>
      <c r="PK109" s="11"/>
      <c r="PL109" s="11"/>
      <c r="PM109" s="11"/>
      <c r="PN109" s="11"/>
      <c r="PO109" s="11"/>
      <c r="PP109" s="11"/>
      <c r="PQ109" s="11"/>
      <c r="PR109" s="11"/>
      <c r="PS109" s="11"/>
      <c r="PT109" s="11"/>
      <c r="PU109" s="11"/>
      <c r="PV109" s="11"/>
      <c r="PW109" s="11"/>
      <c r="PX109" s="11"/>
      <c r="PY109" s="11"/>
      <c r="PZ109" s="11"/>
      <c r="QA109" s="11"/>
      <c r="QB109" s="11"/>
      <c r="QC109" s="11"/>
      <c r="QD109" s="11"/>
      <c r="QE109" s="11"/>
      <c r="QF109" s="11"/>
      <c r="QG109" s="11"/>
      <c r="QH109" s="11"/>
      <c r="QI109" s="11"/>
      <c r="QJ109" s="11"/>
      <c r="QK109" s="11"/>
      <c r="QL109" s="11"/>
      <c r="QM109" s="11"/>
      <c r="QN109" s="11"/>
      <c r="QO109" s="11"/>
      <c r="QP109" s="11"/>
      <c r="QQ109" s="11"/>
      <c r="QR109" s="11"/>
      <c r="QS109" s="11"/>
      <c r="QT109" s="11"/>
      <c r="QU109" s="11"/>
      <c r="QV109" s="11"/>
      <c r="QW109" s="11"/>
      <c r="QX109" s="11"/>
      <c r="QY109" s="11"/>
      <c r="QZ109" s="11"/>
      <c r="RA109" s="11"/>
      <c r="RB109" s="11"/>
      <c r="RC109" s="11"/>
      <c r="RD109" s="11"/>
      <c r="RE109" s="11"/>
      <c r="RF109" s="11"/>
      <c r="RG109" s="11"/>
      <c r="RH109" s="11"/>
      <c r="RI109" s="11"/>
      <c r="RJ109" s="11"/>
      <c r="RK109" s="11"/>
      <c r="RL109" s="11"/>
      <c r="RM109" s="11"/>
      <c r="RN109" s="11"/>
      <c r="RO109" s="11"/>
      <c r="RP109" s="11"/>
      <c r="RQ109" s="11"/>
      <c r="RR109" s="11"/>
      <c r="RS109" s="11"/>
      <c r="RT109" s="11"/>
      <c r="RU109" s="11"/>
      <c r="RV109" s="11"/>
      <c r="RW109" s="11"/>
      <c r="RX109" s="11"/>
      <c r="RY109" s="11"/>
      <c r="RZ109" s="11"/>
      <c r="SA109" s="11"/>
      <c r="SB109" s="11"/>
      <c r="SC109" s="11"/>
      <c r="SD109" s="11"/>
      <c r="SE109" s="11"/>
      <c r="SF109" s="11"/>
      <c r="SG109" s="11"/>
      <c r="SH109" s="11"/>
      <c r="SI109" s="11"/>
      <c r="SJ109" s="11"/>
      <c r="SK109" s="11"/>
      <c r="SL109" s="11"/>
      <c r="SM109" s="11"/>
      <c r="SN109" s="11"/>
      <c r="SO109" s="11"/>
      <c r="SP109" s="11"/>
      <c r="SQ109" s="11"/>
      <c r="SR109" s="11"/>
      <c r="SS109" s="11"/>
      <c r="ST109" s="11"/>
      <c r="SU109" s="11"/>
      <c r="SV109" s="11"/>
      <c r="SW109" s="11"/>
      <c r="SX109" s="11"/>
      <c r="SY109" s="11"/>
      <c r="SZ109" s="11"/>
      <c r="TA109" s="11"/>
      <c r="TB109" s="11"/>
      <c r="TC109" s="11"/>
      <c r="TD109" s="11"/>
      <c r="TE109" s="11"/>
      <c r="TF109" s="11"/>
      <c r="TG109" s="11"/>
      <c r="TH109" s="11"/>
      <c r="TI109" s="11"/>
      <c r="TJ109" s="11"/>
      <c r="TK109" s="11"/>
      <c r="TL109" s="11"/>
      <c r="TM109" s="11"/>
      <c r="TN109" s="11"/>
      <c r="TO109" s="11"/>
      <c r="TP109" s="11"/>
      <c r="TQ109" s="11"/>
      <c r="TR109" s="11"/>
      <c r="TS109" s="11"/>
      <c r="TT109" s="11"/>
      <c r="TU109" s="11"/>
      <c r="TV109" s="11"/>
      <c r="TW109" s="11"/>
      <c r="TX109" s="11"/>
      <c r="TY109" s="11"/>
      <c r="TZ109" s="11"/>
      <c r="UA109" s="11"/>
      <c r="UB109" s="11"/>
      <c r="UC109" s="11"/>
      <c r="UD109" s="11"/>
      <c r="UE109" s="11"/>
      <c r="UF109" s="11"/>
      <c r="UG109" s="11"/>
      <c r="UH109" s="11"/>
      <c r="UI109" s="11"/>
      <c r="UJ109" s="11"/>
      <c r="UK109" s="11"/>
      <c r="UL109" s="11"/>
      <c r="UM109" s="11"/>
      <c r="UN109" s="11"/>
      <c r="UO109" s="11"/>
      <c r="UP109" s="11"/>
      <c r="UQ109" s="11"/>
      <c r="UR109" s="11"/>
      <c r="US109" s="11"/>
      <c r="UT109" s="11"/>
      <c r="UU109" s="11"/>
      <c r="UV109" s="11"/>
      <c r="UW109" s="11"/>
      <c r="UX109" s="11"/>
      <c r="UY109" s="11"/>
      <c r="UZ109" s="11"/>
      <c r="VA109" s="11"/>
      <c r="VB109" s="11"/>
      <c r="VC109" s="11"/>
      <c r="VD109" s="11"/>
      <c r="VE109" s="11"/>
      <c r="VF109" s="11"/>
      <c r="VG109" s="11"/>
      <c r="VH109" s="11"/>
      <c r="VI109" s="11"/>
      <c r="VJ109" s="11"/>
      <c r="VK109" s="11"/>
      <c r="VL109" s="11"/>
      <c r="VM109" s="11"/>
      <c r="VN109" s="11"/>
      <c r="VO109" s="11"/>
      <c r="VP109" s="11"/>
      <c r="VQ109" s="11"/>
      <c r="VR109" s="11"/>
      <c r="VS109" s="11"/>
      <c r="VT109" s="11"/>
      <c r="VU109" s="11"/>
      <c r="VV109" s="11"/>
      <c r="VW109" s="11"/>
      <c r="VX109" s="11"/>
      <c r="VY109" s="11"/>
      <c r="VZ109" s="11"/>
      <c r="WA109" s="11"/>
      <c r="WB109" s="11"/>
      <c r="WC109" s="11"/>
      <c r="WD109" s="11"/>
      <c r="WE109" s="11"/>
      <c r="WF109" s="11"/>
      <c r="WG109" s="11"/>
      <c r="WH109" s="11"/>
      <c r="WI109" s="11"/>
      <c r="WJ109" s="11"/>
      <c r="WK109" s="11"/>
      <c r="WL109" s="11"/>
      <c r="WM109" s="11"/>
      <c r="WN109" s="11"/>
      <c r="WO109" s="11"/>
      <c r="WP109" s="11"/>
      <c r="WQ109" s="11"/>
      <c r="WR109" s="11"/>
      <c r="WS109" s="11"/>
      <c r="WT109" s="11"/>
      <c r="WU109" s="11"/>
      <c r="WV109" s="11"/>
      <c r="WW109" s="11"/>
      <c r="WX109" s="11"/>
      <c r="WY109" s="11"/>
      <c r="WZ109" s="11"/>
      <c r="XA109" s="11"/>
      <c r="XB109" s="11"/>
      <c r="XC109" s="11"/>
      <c r="XD109" s="11"/>
      <c r="XE109" s="11"/>
      <c r="XF109" s="11"/>
      <c r="XG109" s="11"/>
      <c r="XH109" s="11"/>
      <c r="XI109" s="11"/>
      <c r="XJ109" s="11"/>
      <c r="XK109" s="11"/>
      <c r="XL109" s="11"/>
      <c r="XM109" s="11"/>
      <c r="XN109" s="11"/>
      <c r="XO109" s="11"/>
      <c r="XP109" s="11"/>
      <c r="XQ109" s="11"/>
      <c r="XR109" s="11"/>
      <c r="XS109" s="11"/>
      <c r="XT109" s="11"/>
      <c r="XU109" s="11"/>
      <c r="XV109" s="11"/>
      <c r="XW109" s="11"/>
      <c r="XX109" s="11"/>
      <c r="XY109" s="11"/>
      <c r="XZ109" s="11"/>
      <c r="YA109" s="11"/>
      <c r="YB109" s="11"/>
      <c r="YC109" s="11"/>
      <c r="YD109" s="11"/>
      <c r="YE109" s="11"/>
      <c r="YF109" s="11"/>
      <c r="YG109" s="11"/>
      <c r="YH109" s="11"/>
      <c r="YI109" s="11"/>
      <c r="YJ109" s="11"/>
      <c r="YK109" s="11"/>
      <c r="YL109" s="11"/>
      <c r="YM109" s="11"/>
      <c r="YN109" s="11"/>
      <c r="YO109" s="11"/>
      <c r="YP109" s="11"/>
      <c r="YQ109" s="11"/>
      <c r="YR109" s="11"/>
      <c r="YS109" s="11"/>
      <c r="YT109" s="11"/>
      <c r="YU109" s="11"/>
      <c r="YV109" s="11"/>
      <c r="YW109" s="11"/>
      <c r="YX109" s="11"/>
      <c r="YY109" s="11"/>
      <c r="YZ109" s="11"/>
      <c r="ZA109" s="11"/>
      <c r="ZB109" s="11"/>
      <c r="ZC109" s="11"/>
      <c r="ZD109" s="11"/>
      <c r="ZE109" s="11"/>
      <c r="ZF109" s="11"/>
      <c r="ZG109" s="11"/>
      <c r="ZH109" s="11"/>
      <c r="ZI109" s="11"/>
      <c r="ZJ109" s="11"/>
      <c r="ZK109" s="11"/>
      <c r="ZL109" s="11"/>
      <c r="ZM109" s="11"/>
      <c r="ZN109" s="11"/>
      <c r="ZO109" s="11"/>
      <c r="ZP109" s="11"/>
      <c r="ZQ109" s="11"/>
      <c r="ZR109" s="11"/>
      <c r="ZS109" s="11"/>
      <c r="ZT109" s="11"/>
      <c r="ZU109" s="11"/>
      <c r="ZV109" s="11"/>
      <c r="ZW109" s="11"/>
      <c r="ZX109" s="11"/>
      <c r="ZY109" s="11"/>
      <c r="ZZ109" s="11"/>
      <c r="AAA109" s="11"/>
      <c r="AAB109" s="11"/>
      <c r="AAC109" s="11"/>
      <c r="AAD109" s="11"/>
      <c r="AAE109" s="11"/>
      <c r="AAF109" s="11"/>
      <c r="AAG109" s="11"/>
      <c r="AAH109" s="11"/>
      <c r="AAI109" s="11"/>
      <c r="AAJ109" s="11"/>
      <c r="AAK109" s="11"/>
      <c r="AAL109" s="11"/>
      <c r="AAM109" s="11"/>
      <c r="AAN109" s="11"/>
      <c r="AAO109" s="11"/>
      <c r="AAP109" s="11"/>
      <c r="AAQ109" s="11"/>
      <c r="AAR109" s="11"/>
      <c r="AAS109" s="11"/>
      <c r="AAT109" s="11"/>
      <c r="AAU109" s="11"/>
      <c r="AAV109" s="11"/>
      <c r="AAW109" s="11"/>
      <c r="AAX109" s="11"/>
      <c r="AAY109" s="11"/>
      <c r="AAZ109" s="11"/>
      <c r="ABA109" s="11"/>
      <c r="ABB109" s="11"/>
      <c r="ABC109" s="11"/>
      <c r="ABD109" s="11"/>
      <c r="ABE109" s="11"/>
      <c r="ABF109" s="11"/>
      <c r="ABG109" s="11"/>
      <c r="ABH109" s="11"/>
      <c r="ABI109" s="11"/>
      <c r="ABJ109" s="11"/>
      <c r="ABK109" s="11"/>
      <c r="ABL109" s="11"/>
      <c r="ABM109" s="11"/>
      <c r="ABN109" s="11"/>
      <c r="ABO109" s="11"/>
      <c r="ABP109" s="11"/>
      <c r="ABQ109" s="11"/>
      <c r="ABR109" s="11"/>
      <c r="ABS109" s="11"/>
      <c r="ABT109" s="11"/>
      <c r="ABU109" s="11"/>
      <c r="ABV109" s="11"/>
      <c r="ABW109" s="11"/>
      <c r="ABX109" s="11"/>
      <c r="ABY109" s="11"/>
      <c r="ABZ109" s="11"/>
      <c r="ACA109" s="11"/>
      <c r="ACB109" s="11"/>
      <c r="ACC109" s="11"/>
      <c r="ACD109" s="11"/>
      <c r="ACE109" s="11"/>
      <c r="ACF109" s="11"/>
      <c r="ACG109" s="11"/>
      <c r="ACH109" s="11"/>
      <c r="ACI109" s="11"/>
      <c r="ACJ109" s="11"/>
      <c r="ACK109" s="11"/>
      <c r="ACL109" s="11"/>
      <c r="ACM109" s="11"/>
      <c r="ACN109" s="11"/>
      <c r="ACO109" s="11"/>
      <c r="ACP109" s="11"/>
      <c r="ACQ109" s="11"/>
      <c r="ACR109" s="11"/>
      <c r="ACS109" s="11"/>
      <c r="ACT109" s="11"/>
      <c r="ACU109" s="11"/>
      <c r="ACV109" s="11"/>
      <c r="ACW109" s="11"/>
      <c r="ACX109" s="11"/>
      <c r="ACY109" s="11"/>
      <c r="ACZ109" s="11"/>
      <c r="ADA109" s="11"/>
      <c r="ADB109" s="11"/>
      <c r="ADC109" s="11"/>
      <c r="ADD109" s="11"/>
      <c r="ADE109" s="11"/>
      <c r="ADF109" s="11"/>
      <c r="ADG109" s="11"/>
      <c r="ADH109" s="11"/>
      <c r="ADI109" s="11"/>
      <c r="ADJ109" s="11"/>
      <c r="ADK109" s="11"/>
      <c r="ADL109" s="11"/>
      <c r="ADM109" s="11"/>
      <c r="ADN109" s="11"/>
      <c r="ADO109" s="11"/>
      <c r="ADP109" s="11"/>
      <c r="ADQ109" s="11"/>
      <c r="ADR109" s="11"/>
      <c r="ADS109" s="11"/>
      <c r="ADT109" s="11"/>
      <c r="ADU109" s="11"/>
      <c r="ADV109" s="11"/>
      <c r="ADW109" s="11"/>
      <c r="ADX109" s="11"/>
      <c r="ADY109" s="11"/>
      <c r="ADZ109" s="11"/>
      <c r="AEA109" s="11"/>
      <c r="AEB109" s="11"/>
      <c r="AEC109" s="11"/>
      <c r="AED109" s="11"/>
      <c r="AEE109" s="11"/>
      <c r="AEF109" s="11"/>
      <c r="AEG109" s="11"/>
      <c r="AEH109" s="11"/>
      <c r="AEI109" s="11"/>
      <c r="AEJ109" s="11"/>
      <c r="AEK109" s="11"/>
      <c r="AEL109" s="11"/>
      <c r="AEM109" s="11"/>
      <c r="AEN109" s="11"/>
      <c r="AEO109" s="11"/>
      <c r="AEP109" s="11"/>
      <c r="AEQ109" s="11"/>
      <c r="AER109" s="11"/>
      <c r="AES109" s="11"/>
      <c r="AET109" s="11"/>
      <c r="AEU109" s="11"/>
      <c r="AEV109" s="11"/>
      <c r="AEW109" s="11"/>
      <c r="AEX109" s="11"/>
      <c r="AEY109" s="11"/>
      <c r="AEZ109" s="11"/>
      <c r="AFA109" s="11"/>
      <c r="AFB109" s="11"/>
      <c r="AFC109" s="11"/>
      <c r="AFD109" s="11"/>
      <c r="AFE109" s="11"/>
      <c r="AFF109" s="11"/>
      <c r="AFG109" s="11"/>
      <c r="AFH109" s="11"/>
      <c r="AFI109" s="11"/>
    </row>
    <row r="110" spans="2:841" ht="15" customHeight="1">
      <c r="B110" s="11"/>
      <c r="C110" s="14" t="s">
        <v>602</v>
      </c>
      <c r="D110" s="11"/>
      <c r="E110" s="499">
        <f t="shared" ref="E110:S110" si="10">E78+E88+E98+E108</f>
        <v>0</v>
      </c>
      <c r="F110" s="499" t="e">
        <f t="shared" si="10"/>
        <v>#N/A</v>
      </c>
      <c r="G110" s="499" t="e">
        <f t="shared" si="10"/>
        <v>#N/A</v>
      </c>
      <c r="H110" s="499">
        <f t="shared" si="10"/>
        <v>0</v>
      </c>
      <c r="I110" s="499" t="e">
        <f t="shared" si="10"/>
        <v>#N/A</v>
      </c>
      <c r="J110" s="499" t="e">
        <f t="shared" si="10"/>
        <v>#N/A</v>
      </c>
      <c r="K110" s="499">
        <f t="shared" si="10"/>
        <v>0</v>
      </c>
      <c r="L110" s="499" t="e">
        <f t="shared" si="10"/>
        <v>#N/A</v>
      </c>
      <c r="M110" s="499" t="e">
        <f t="shared" si="10"/>
        <v>#N/A</v>
      </c>
      <c r="N110" s="499">
        <f t="shared" si="10"/>
        <v>0</v>
      </c>
      <c r="O110" s="499" t="e">
        <f t="shared" si="10"/>
        <v>#N/A</v>
      </c>
      <c r="P110" s="499" t="e">
        <f t="shared" si="10"/>
        <v>#N/A</v>
      </c>
      <c r="Q110" s="499">
        <f t="shared" si="10"/>
        <v>0</v>
      </c>
      <c r="R110" s="499" t="e">
        <f t="shared" si="10"/>
        <v>#N/A</v>
      </c>
      <c r="S110" s="499" t="e">
        <f t="shared" si="10"/>
        <v>#N/A</v>
      </c>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c r="IW110" s="11"/>
      <c r="IX110" s="11"/>
      <c r="IY110" s="11"/>
      <c r="IZ110" s="11"/>
      <c r="JA110" s="11"/>
      <c r="JB110" s="11"/>
      <c r="JC110" s="11"/>
      <c r="JD110" s="11"/>
      <c r="JE110" s="11"/>
      <c r="JF110" s="11"/>
      <c r="JG110" s="11"/>
      <c r="JH110" s="11"/>
      <c r="JI110" s="11"/>
      <c r="JJ110" s="11"/>
      <c r="JK110" s="11"/>
      <c r="JL110" s="11"/>
      <c r="JM110" s="11"/>
      <c r="JN110" s="11"/>
      <c r="JO110" s="11"/>
      <c r="JP110" s="11"/>
      <c r="JQ110" s="11"/>
      <c r="JR110" s="11"/>
      <c r="JS110" s="11"/>
      <c r="JT110" s="11"/>
      <c r="JU110" s="11"/>
      <c r="JV110" s="11"/>
      <c r="JW110" s="11"/>
      <c r="JX110" s="11"/>
      <c r="JY110" s="11"/>
      <c r="JZ110" s="11"/>
      <c r="KA110" s="11"/>
      <c r="KB110" s="11"/>
      <c r="KC110" s="11"/>
      <c r="KD110" s="11"/>
      <c r="KE110" s="11"/>
      <c r="KF110" s="11"/>
      <c r="KG110" s="11"/>
      <c r="KH110" s="11"/>
      <c r="KI110" s="11"/>
      <c r="KJ110" s="11"/>
      <c r="KK110" s="11"/>
      <c r="KL110" s="11"/>
      <c r="KM110" s="11"/>
      <c r="KN110" s="11"/>
      <c r="KO110" s="11"/>
      <c r="KP110" s="11"/>
      <c r="KQ110" s="11"/>
      <c r="KR110" s="11"/>
      <c r="KS110" s="11"/>
      <c r="KT110" s="11"/>
      <c r="KU110" s="11"/>
      <c r="KV110" s="11"/>
      <c r="KW110" s="11"/>
      <c r="KX110" s="11"/>
      <c r="KY110" s="11"/>
      <c r="KZ110" s="11"/>
      <c r="LA110" s="11"/>
      <c r="LB110" s="11"/>
      <c r="LC110" s="11"/>
      <c r="LD110" s="11"/>
      <c r="LE110" s="11"/>
      <c r="LF110" s="11"/>
      <c r="LG110" s="11"/>
      <c r="LH110" s="11"/>
      <c r="LI110" s="11"/>
      <c r="LJ110" s="11"/>
      <c r="LK110" s="11"/>
      <c r="LL110" s="11"/>
      <c r="LM110" s="11"/>
      <c r="LN110" s="11"/>
      <c r="LO110" s="11"/>
      <c r="LP110" s="11"/>
      <c r="LQ110" s="11"/>
      <c r="LR110" s="11"/>
      <c r="LS110" s="11"/>
      <c r="LT110" s="11"/>
      <c r="LU110" s="11"/>
      <c r="LV110" s="11"/>
      <c r="LW110" s="11"/>
      <c r="LX110" s="11"/>
      <c r="LY110" s="11"/>
      <c r="LZ110" s="11"/>
      <c r="MA110" s="11"/>
      <c r="MB110" s="11"/>
      <c r="MC110" s="11"/>
      <c r="MD110" s="11"/>
      <c r="ME110" s="11"/>
      <c r="MF110" s="11"/>
      <c r="MG110" s="11"/>
      <c r="MH110" s="11"/>
      <c r="MI110" s="11"/>
      <c r="MJ110" s="11"/>
      <c r="MK110" s="11"/>
      <c r="ML110" s="11"/>
      <c r="MM110" s="11"/>
      <c r="MN110" s="11"/>
      <c r="MO110" s="11"/>
      <c r="MP110" s="11"/>
      <c r="MQ110" s="11"/>
      <c r="MR110" s="11"/>
      <c r="MS110" s="11"/>
      <c r="MT110" s="11"/>
      <c r="MU110" s="11"/>
      <c r="MV110" s="11"/>
      <c r="MW110" s="11"/>
      <c r="MX110" s="11"/>
      <c r="MY110" s="11"/>
      <c r="MZ110" s="11"/>
      <c r="NA110" s="11"/>
      <c r="NB110" s="11"/>
      <c r="NC110" s="11"/>
      <c r="ND110" s="11"/>
      <c r="NE110" s="11"/>
      <c r="NF110" s="11"/>
      <c r="NG110" s="11"/>
      <c r="NH110" s="11"/>
      <c r="NI110" s="11"/>
      <c r="NJ110" s="11"/>
      <c r="NK110" s="11"/>
      <c r="NL110" s="11"/>
      <c r="NM110" s="11"/>
      <c r="NN110" s="11"/>
      <c r="NO110" s="11"/>
      <c r="NP110" s="11"/>
      <c r="NQ110" s="11"/>
      <c r="NR110" s="11"/>
      <c r="NS110" s="11"/>
      <c r="NT110" s="11"/>
      <c r="NU110" s="11"/>
      <c r="NV110" s="11"/>
      <c r="NW110" s="11"/>
      <c r="NX110" s="11"/>
      <c r="NY110" s="11"/>
      <c r="NZ110" s="11"/>
      <c r="OA110" s="11"/>
      <c r="OB110" s="11"/>
      <c r="OC110" s="11"/>
      <c r="OD110" s="11"/>
      <c r="OE110" s="11"/>
      <c r="OF110" s="11"/>
      <c r="OG110" s="11"/>
      <c r="OH110" s="11"/>
      <c r="OI110" s="11"/>
      <c r="OJ110" s="11"/>
      <c r="OK110" s="11"/>
      <c r="OL110" s="11"/>
      <c r="OM110" s="11"/>
      <c r="ON110" s="11"/>
      <c r="OO110" s="11"/>
      <c r="OP110" s="11"/>
      <c r="OQ110" s="11"/>
      <c r="OR110" s="11"/>
      <c r="OS110" s="11"/>
      <c r="OT110" s="11"/>
      <c r="OU110" s="11"/>
      <c r="OV110" s="11"/>
      <c r="OW110" s="11"/>
      <c r="OX110" s="11"/>
      <c r="OY110" s="11"/>
      <c r="OZ110" s="11"/>
      <c r="PA110" s="11"/>
      <c r="PB110" s="11"/>
      <c r="PC110" s="11"/>
      <c r="PD110" s="11"/>
      <c r="PE110" s="11"/>
      <c r="PF110" s="11"/>
      <c r="PG110" s="11"/>
      <c r="PH110" s="11"/>
      <c r="PI110" s="11"/>
      <c r="PJ110" s="11"/>
      <c r="PK110" s="11"/>
      <c r="PL110" s="11"/>
      <c r="PM110" s="11"/>
      <c r="PN110" s="11"/>
      <c r="PO110" s="11"/>
      <c r="PP110" s="11"/>
      <c r="PQ110" s="11"/>
      <c r="PR110" s="11"/>
      <c r="PS110" s="11"/>
      <c r="PT110" s="11"/>
      <c r="PU110" s="11"/>
      <c r="PV110" s="11"/>
      <c r="PW110" s="11"/>
      <c r="PX110" s="11"/>
      <c r="PY110" s="11"/>
      <c r="PZ110" s="11"/>
      <c r="QA110" s="11"/>
      <c r="QB110" s="11"/>
      <c r="QC110" s="11"/>
      <c r="QD110" s="11"/>
      <c r="QE110" s="11"/>
      <c r="QF110" s="11"/>
      <c r="QG110" s="11"/>
      <c r="QH110" s="11"/>
      <c r="QI110" s="11"/>
      <c r="QJ110" s="11"/>
      <c r="QK110" s="11"/>
      <c r="QL110" s="11"/>
      <c r="QM110" s="11"/>
      <c r="QN110" s="11"/>
      <c r="QO110" s="11"/>
      <c r="QP110" s="11"/>
      <c r="QQ110" s="11"/>
      <c r="QR110" s="11"/>
      <c r="QS110" s="11"/>
      <c r="QT110" s="11"/>
      <c r="QU110" s="11"/>
      <c r="QV110" s="11"/>
      <c r="QW110" s="11"/>
      <c r="QX110" s="11"/>
      <c r="QY110" s="11"/>
      <c r="QZ110" s="11"/>
      <c r="RA110" s="11"/>
      <c r="RB110" s="11"/>
      <c r="RC110" s="11"/>
      <c r="RD110" s="11"/>
      <c r="RE110" s="11"/>
      <c r="RF110" s="11"/>
      <c r="RG110" s="11"/>
      <c r="RH110" s="11"/>
      <c r="RI110" s="11"/>
      <c r="RJ110" s="11"/>
      <c r="RK110" s="11"/>
      <c r="RL110" s="11"/>
      <c r="RM110" s="11"/>
      <c r="RN110" s="11"/>
      <c r="RO110" s="11"/>
      <c r="RP110" s="11"/>
      <c r="RQ110" s="11"/>
      <c r="RR110" s="11"/>
      <c r="RS110" s="11"/>
      <c r="RT110" s="11"/>
      <c r="RU110" s="11"/>
      <c r="RV110" s="11"/>
      <c r="RW110" s="11"/>
      <c r="RX110" s="11"/>
      <c r="RY110" s="11"/>
      <c r="RZ110" s="11"/>
      <c r="SA110" s="11"/>
      <c r="SB110" s="11"/>
      <c r="SC110" s="11"/>
      <c r="SD110" s="11"/>
      <c r="SE110" s="11"/>
      <c r="SF110" s="11"/>
      <c r="SG110" s="11"/>
      <c r="SH110" s="11"/>
      <c r="SI110" s="11"/>
      <c r="SJ110" s="11"/>
      <c r="SK110" s="11"/>
      <c r="SL110" s="11"/>
      <c r="SM110" s="11"/>
      <c r="SN110" s="11"/>
      <c r="SO110" s="11"/>
      <c r="SP110" s="11"/>
      <c r="SQ110" s="11"/>
      <c r="SR110" s="11"/>
      <c r="SS110" s="11"/>
      <c r="ST110" s="11"/>
      <c r="SU110" s="11"/>
      <c r="SV110" s="11"/>
      <c r="SW110" s="11"/>
      <c r="SX110" s="11"/>
      <c r="SY110" s="11"/>
      <c r="SZ110" s="11"/>
      <c r="TA110" s="11"/>
      <c r="TB110" s="11"/>
      <c r="TC110" s="11"/>
      <c r="TD110" s="11"/>
      <c r="TE110" s="11"/>
      <c r="TF110" s="11"/>
      <c r="TG110" s="11"/>
      <c r="TH110" s="11"/>
      <c r="TI110" s="11"/>
      <c r="TJ110" s="11"/>
      <c r="TK110" s="11"/>
      <c r="TL110" s="11"/>
      <c r="TM110" s="11"/>
      <c r="TN110" s="11"/>
      <c r="TO110" s="11"/>
      <c r="TP110" s="11"/>
      <c r="TQ110" s="11"/>
      <c r="TR110" s="11"/>
      <c r="TS110" s="11"/>
      <c r="TT110" s="11"/>
      <c r="TU110" s="11"/>
      <c r="TV110" s="11"/>
      <c r="TW110" s="11"/>
      <c r="TX110" s="11"/>
      <c r="TY110" s="11"/>
      <c r="TZ110" s="11"/>
      <c r="UA110" s="11"/>
      <c r="UB110" s="11"/>
      <c r="UC110" s="11"/>
      <c r="UD110" s="11"/>
      <c r="UE110" s="11"/>
      <c r="UF110" s="11"/>
      <c r="UG110" s="11"/>
      <c r="UH110" s="11"/>
      <c r="UI110" s="11"/>
      <c r="UJ110" s="11"/>
      <c r="UK110" s="11"/>
      <c r="UL110" s="11"/>
      <c r="UM110" s="11"/>
      <c r="UN110" s="11"/>
      <c r="UO110" s="11"/>
      <c r="UP110" s="11"/>
      <c r="UQ110" s="11"/>
      <c r="UR110" s="11"/>
      <c r="US110" s="11"/>
      <c r="UT110" s="11"/>
      <c r="UU110" s="11"/>
      <c r="UV110" s="11"/>
      <c r="UW110" s="11"/>
      <c r="UX110" s="11"/>
      <c r="UY110" s="11"/>
      <c r="UZ110" s="11"/>
      <c r="VA110" s="11"/>
      <c r="VB110" s="11"/>
      <c r="VC110" s="11"/>
      <c r="VD110" s="11"/>
      <c r="VE110" s="11"/>
      <c r="VF110" s="11"/>
      <c r="VG110" s="11"/>
      <c r="VH110" s="11"/>
      <c r="VI110" s="11"/>
      <c r="VJ110" s="11"/>
      <c r="VK110" s="11"/>
      <c r="VL110" s="11"/>
      <c r="VM110" s="11"/>
      <c r="VN110" s="11"/>
      <c r="VO110" s="11"/>
      <c r="VP110" s="11"/>
      <c r="VQ110" s="11"/>
      <c r="VR110" s="11"/>
      <c r="VS110" s="11"/>
      <c r="VT110" s="11"/>
      <c r="VU110" s="11"/>
      <c r="VV110" s="11"/>
      <c r="VW110" s="11"/>
      <c r="VX110" s="11"/>
      <c r="VY110" s="11"/>
      <c r="VZ110" s="11"/>
      <c r="WA110" s="11"/>
      <c r="WB110" s="11"/>
      <c r="WC110" s="11"/>
      <c r="WD110" s="11"/>
      <c r="WE110" s="11"/>
      <c r="WF110" s="11"/>
      <c r="WG110" s="11"/>
      <c r="WH110" s="11"/>
      <c r="WI110" s="11"/>
      <c r="WJ110" s="11"/>
      <c r="WK110" s="11"/>
      <c r="WL110" s="11"/>
      <c r="WM110" s="11"/>
      <c r="WN110" s="11"/>
      <c r="WO110" s="11"/>
      <c r="WP110" s="11"/>
      <c r="WQ110" s="11"/>
      <c r="WR110" s="11"/>
      <c r="WS110" s="11"/>
      <c r="WT110" s="11"/>
      <c r="WU110" s="11"/>
      <c r="WV110" s="11"/>
      <c r="WW110" s="11"/>
      <c r="WX110" s="11"/>
      <c r="WY110" s="11"/>
      <c r="WZ110" s="11"/>
      <c r="XA110" s="11"/>
      <c r="XB110" s="11"/>
      <c r="XC110" s="11"/>
      <c r="XD110" s="11"/>
      <c r="XE110" s="11"/>
      <c r="XF110" s="11"/>
      <c r="XG110" s="11"/>
      <c r="XH110" s="11"/>
      <c r="XI110" s="11"/>
      <c r="XJ110" s="11"/>
      <c r="XK110" s="11"/>
      <c r="XL110" s="11"/>
      <c r="XM110" s="11"/>
      <c r="XN110" s="11"/>
      <c r="XO110" s="11"/>
      <c r="XP110" s="11"/>
      <c r="XQ110" s="11"/>
      <c r="XR110" s="11"/>
      <c r="XS110" s="11"/>
      <c r="XT110" s="11"/>
      <c r="XU110" s="11"/>
      <c r="XV110" s="11"/>
      <c r="XW110" s="11"/>
      <c r="XX110" s="11"/>
      <c r="XY110" s="11"/>
      <c r="XZ110" s="11"/>
      <c r="YA110" s="11"/>
      <c r="YB110" s="11"/>
      <c r="YC110" s="11"/>
      <c r="YD110" s="11"/>
      <c r="YE110" s="11"/>
      <c r="YF110" s="11"/>
      <c r="YG110" s="11"/>
      <c r="YH110" s="11"/>
      <c r="YI110" s="11"/>
      <c r="YJ110" s="11"/>
      <c r="YK110" s="11"/>
      <c r="YL110" s="11"/>
      <c r="YM110" s="11"/>
      <c r="YN110" s="11"/>
      <c r="YO110" s="11"/>
      <c r="YP110" s="11"/>
      <c r="YQ110" s="11"/>
      <c r="YR110" s="11"/>
      <c r="YS110" s="11"/>
      <c r="YT110" s="11"/>
      <c r="YU110" s="11"/>
      <c r="YV110" s="11"/>
      <c r="YW110" s="11"/>
      <c r="YX110" s="11"/>
      <c r="YY110" s="11"/>
      <c r="YZ110" s="11"/>
      <c r="ZA110" s="11"/>
      <c r="ZB110" s="11"/>
      <c r="ZC110" s="11"/>
      <c r="ZD110" s="11"/>
      <c r="ZE110" s="11"/>
      <c r="ZF110" s="11"/>
      <c r="ZG110" s="11"/>
      <c r="ZH110" s="11"/>
      <c r="ZI110" s="11"/>
      <c r="ZJ110" s="11"/>
      <c r="ZK110" s="11"/>
      <c r="ZL110" s="11"/>
      <c r="ZM110" s="11"/>
      <c r="ZN110" s="11"/>
      <c r="ZO110" s="11"/>
      <c r="ZP110" s="11"/>
      <c r="ZQ110" s="11"/>
      <c r="ZR110" s="11"/>
      <c r="ZS110" s="11"/>
      <c r="ZT110" s="11"/>
      <c r="ZU110" s="11"/>
      <c r="ZV110" s="11"/>
      <c r="ZW110" s="11"/>
      <c r="ZX110" s="11"/>
      <c r="ZY110" s="11"/>
      <c r="ZZ110" s="11"/>
      <c r="AAA110" s="11"/>
      <c r="AAB110" s="11"/>
      <c r="AAC110" s="11"/>
      <c r="AAD110" s="11"/>
      <c r="AAE110" s="11"/>
      <c r="AAF110" s="11"/>
      <c r="AAG110" s="11"/>
      <c r="AAH110" s="11"/>
      <c r="AAI110" s="11"/>
      <c r="AAJ110" s="11"/>
      <c r="AAK110" s="11"/>
      <c r="AAL110" s="11"/>
      <c r="AAM110" s="11"/>
      <c r="AAN110" s="11"/>
      <c r="AAO110" s="11"/>
      <c r="AAP110" s="11"/>
      <c r="AAQ110" s="11"/>
      <c r="AAR110" s="11"/>
      <c r="AAS110" s="11"/>
      <c r="AAT110" s="11"/>
      <c r="AAU110" s="11"/>
      <c r="AAV110" s="11"/>
      <c r="AAW110" s="11"/>
      <c r="AAX110" s="11"/>
      <c r="AAY110" s="11"/>
      <c r="AAZ110" s="11"/>
      <c r="ABA110" s="11"/>
      <c r="ABB110" s="11"/>
      <c r="ABC110" s="11"/>
      <c r="ABD110" s="11"/>
      <c r="ABE110" s="11"/>
      <c r="ABF110" s="11"/>
      <c r="ABG110" s="11"/>
      <c r="ABH110" s="11"/>
      <c r="ABI110" s="11"/>
      <c r="ABJ110" s="11"/>
      <c r="ABK110" s="11"/>
      <c r="ABL110" s="11"/>
      <c r="ABM110" s="11"/>
      <c r="ABN110" s="11"/>
      <c r="ABO110" s="11"/>
      <c r="ABP110" s="11"/>
      <c r="ABQ110" s="11"/>
      <c r="ABR110" s="11"/>
      <c r="ABS110" s="11"/>
      <c r="ABT110" s="11"/>
      <c r="ABU110" s="11"/>
      <c r="ABV110" s="11"/>
      <c r="ABW110" s="11"/>
      <c r="ABX110" s="11"/>
      <c r="ABY110" s="11"/>
      <c r="ABZ110" s="11"/>
      <c r="ACA110" s="11"/>
      <c r="ACB110" s="11"/>
      <c r="ACC110" s="11"/>
      <c r="ACD110" s="11"/>
      <c r="ACE110" s="11"/>
      <c r="ACF110" s="11"/>
      <c r="ACG110" s="11"/>
      <c r="ACH110" s="11"/>
      <c r="ACI110" s="11"/>
      <c r="ACJ110" s="11"/>
      <c r="ACK110" s="11"/>
      <c r="ACL110" s="11"/>
      <c r="ACM110" s="11"/>
      <c r="ACN110" s="11"/>
      <c r="ACO110" s="11"/>
      <c r="ACP110" s="11"/>
      <c r="ACQ110" s="11"/>
      <c r="ACR110" s="11"/>
      <c r="ACS110" s="11"/>
      <c r="ACT110" s="11"/>
      <c r="ACU110" s="11"/>
      <c r="ACV110" s="11"/>
      <c r="ACW110" s="11"/>
      <c r="ACX110" s="11"/>
      <c r="ACY110" s="11"/>
      <c r="ACZ110" s="11"/>
      <c r="ADA110" s="11"/>
      <c r="ADB110" s="11"/>
      <c r="ADC110" s="11"/>
      <c r="ADD110" s="11"/>
      <c r="ADE110" s="11"/>
      <c r="ADF110" s="11"/>
      <c r="ADG110" s="11"/>
      <c r="ADH110" s="11"/>
      <c r="ADI110" s="11"/>
      <c r="ADJ110" s="11"/>
      <c r="ADK110" s="11"/>
      <c r="ADL110" s="11"/>
      <c r="ADM110" s="11"/>
      <c r="ADN110" s="11"/>
      <c r="ADO110" s="11"/>
      <c r="ADP110" s="11"/>
      <c r="ADQ110" s="11"/>
      <c r="ADR110" s="11"/>
      <c r="ADS110" s="11"/>
      <c r="ADT110" s="11"/>
      <c r="ADU110" s="11"/>
      <c r="ADV110" s="11"/>
      <c r="ADW110" s="11"/>
      <c r="ADX110" s="11"/>
      <c r="ADY110" s="11"/>
      <c r="ADZ110" s="11"/>
      <c r="AEA110" s="11"/>
      <c r="AEB110" s="11"/>
      <c r="AEC110" s="11"/>
      <c r="AED110" s="11"/>
      <c r="AEE110" s="11"/>
      <c r="AEF110" s="11"/>
      <c r="AEG110" s="11"/>
      <c r="AEH110" s="11"/>
      <c r="AEI110" s="11"/>
      <c r="AEJ110" s="11"/>
      <c r="AEK110" s="11"/>
      <c r="AEL110" s="11"/>
      <c r="AEM110" s="11"/>
      <c r="AEN110" s="11"/>
      <c r="AEO110" s="11"/>
      <c r="AEP110" s="11"/>
      <c r="AEQ110" s="11"/>
      <c r="AER110" s="11"/>
      <c r="AES110" s="11"/>
      <c r="AET110" s="11"/>
      <c r="AEU110" s="11"/>
      <c r="AEV110" s="11"/>
      <c r="AEW110" s="11"/>
      <c r="AEX110" s="11"/>
      <c r="AEY110" s="11"/>
      <c r="AEZ110" s="11"/>
      <c r="AFA110" s="11"/>
      <c r="AFB110" s="11"/>
      <c r="AFC110" s="11"/>
      <c r="AFD110" s="11"/>
      <c r="AFE110" s="11"/>
      <c r="AFF110" s="11"/>
      <c r="AFG110" s="11"/>
      <c r="AFH110" s="11"/>
      <c r="AFI110" s="11"/>
    </row>
    <row r="111" spans="2:841" ht="15" customHeight="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c r="JG111" s="11"/>
      <c r="JH111" s="11"/>
      <c r="JI111" s="11"/>
      <c r="JJ111" s="11"/>
      <c r="JK111" s="11"/>
      <c r="JL111" s="11"/>
      <c r="JM111" s="11"/>
      <c r="JN111" s="11"/>
      <c r="JO111" s="11"/>
      <c r="JP111" s="11"/>
      <c r="JQ111" s="11"/>
      <c r="JR111" s="11"/>
      <c r="JS111" s="11"/>
      <c r="JT111" s="11"/>
      <c r="JU111" s="11"/>
      <c r="JV111" s="11"/>
      <c r="JW111" s="11"/>
      <c r="JX111" s="11"/>
      <c r="JY111" s="11"/>
      <c r="JZ111" s="11"/>
      <c r="KA111" s="11"/>
      <c r="KB111" s="11"/>
      <c r="KC111" s="11"/>
      <c r="KD111" s="11"/>
      <c r="KE111" s="11"/>
      <c r="KF111" s="11"/>
      <c r="KG111" s="11"/>
      <c r="KH111" s="11"/>
      <c r="KI111" s="11"/>
      <c r="KJ111" s="11"/>
      <c r="KK111" s="11"/>
      <c r="KL111" s="11"/>
      <c r="KM111" s="11"/>
      <c r="KN111" s="11"/>
      <c r="KO111" s="11"/>
      <c r="KP111" s="11"/>
      <c r="KQ111" s="11"/>
      <c r="KR111" s="11"/>
      <c r="KS111" s="11"/>
      <c r="KT111" s="11"/>
      <c r="KU111" s="11"/>
      <c r="KV111" s="11"/>
      <c r="KW111" s="11"/>
      <c r="KX111" s="11"/>
      <c r="KY111" s="11"/>
      <c r="KZ111" s="11"/>
      <c r="LA111" s="11"/>
      <c r="LB111" s="11"/>
      <c r="LC111" s="11"/>
      <c r="LD111" s="11"/>
      <c r="LE111" s="11"/>
      <c r="LF111" s="11"/>
      <c r="LG111" s="11"/>
      <c r="LH111" s="11"/>
      <c r="LI111" s="11"/>
      <c r="LJ111" s="11"/>
      <c r="LK111" s="11"/>
      <c r="LL111" s="11"/>
      <c r="LM111" s="11"/>
      <c r="LN111" s="11"/>
      <c r="LO111" s="11"/>
      <c r="LP111" s="11"/>
      <c r="LQ111" s="11"/>
      <c r="LR111" s="11"/>
      <c r="LS111" s="11"/>
      <c r="LT111" s="11"/>
      <c r="LU111" s="11"/>
      <c r="LV111" s="11"/>
      <c r="LW111" s="11"/>
      <c r="LX111" s="11"/>
      <c r="LY111" s="11"/>
      <c r="LZ111" s="11"/>
      <c r="MA111" s="11"/>
      <c r="MB111" s="11"/>
      <c r="MC111" s="11"/>
      <c r="MD111" s="11"/>
      <c r="ME111" s="11"/>
      <c r="MF111" s="11"/>
      <c r="MG111" s="11"/>
      <c r="MH111" s="11"/>
      <c r="MI111" s="11"/>
      <c r="MJ111" s="11"/>
      <c r="MK111" s="11"/>
      <c r="ML111" s="11"/>
      <c r="MM111" s="11"/>
      <c r="MN111" s="11"/>
      <c r="MO111" s="11"/>
      <c r="MP111" s="11"/>
      <c r="MQ111" s="11"/>
      <c r="MR111" s="11"/>
      <c r="MS111" s="11"/>
      <c r="MT111" s="11"/>
      <c r="MU111" s="11"/>
      <c r="MV111" s="11"/>
      <c r="MW111" s="11"/>
      <c r="MX111" s="11"/>
      <c r="MY111" s="11"/>
      <c r="MZ111" s="11"/>
      <c r="NA111" s="11"/>
      <c r="NB111" s="11"/>
      <c r="NC111" s="11"/>
      <c r="ND111" s="11"/>
      <c r="NE111" s="11"/>
      <c r="NF111" s="11"/>
      <c r="NG111" s="11"/>
      <c r="NH111" s="11"/>
      <c r="NI111" s="11"/>
      <c r="NJ111" s="11"/>
      <c r="NK111" s="11"/>
      <c r="NL111" s="11"/>
      <c r="NM111" s="11"/>
      <c r="NN111" s="11"/>
      <c r="NO111" s="11"/>
      <c r="NP111" s="11"/>
      <c r="NQ111" s="11"/>
      <c r="NR111" s="11"/>
      <c r="NS111" s="11"/>
      <c r="NT111" s="11"/>
      <c r="NU111" s="11"/>
      <c r="NV111" s="11"/>
      <c r="NW111" s="11"/>
      <c r="NX111" s="11"/>
      <c r="NY111" s="11"/>
      <c r="NZ111" s="11"/>
      <c r="OA111" s="11"/>
      <c r="OB111" s="11"/>
      <c r="OC111" s="11"/>
      <c r="OD111" s="11"/>
      <c r="OE111" s="11"/>
      <c r="OF111" s="11"/>
      <c r="OG111" s="11"/>
      <c r="OH111" s="11"/>
      <c r="OI111" s="11"/>
      <c r="OJ111" s="11"/>
      <c r="OK111" s="11"/>
      <c r="OL111" s="11"/>
      <c r="OM111" s="11"/>
      <c r="ON111" s="11"/>
      <c r="OO111" s="11"/>
      <c r="OP111" s="11"/>
      <c r="OQ111" s="11"/>
      <c r="OR111" s="11"/>
      <c r="OS111" s="11"/>
      <c r="OT111" s="11"/>
      <c r="OU111" s="11"/>
      <c r="OV111" s="11"/>
      <c r="OW111" s="11"/>
      <c r="OX111" s="11"/>
      <c r="OY111" s="11"/>
      <c r="OZ111" s="11"/>
      <c r="PA111" s="11"/>
      <c r="PB111" s="11"/>
      <c r="PC111" s="11"/>
      <c r="PD111" s="11"/>
      <c r="PE111" s="11"/>
      <c r="PF111" s="11"/>
      <c r="PG111" s="11"/>
      <c r="PH111" s="11"/>
      <c r="PI111" s="11"/>
      <c r="PJ111" s="11"/>
      <c r="PK111" s="11"/>
      <c r="PL111" s="11"/>
      <c r="PM111" s="11"/>
      <c r="PN111" s="11"/>
      <c r="PO111" s="11"/>
      <c r="PP111" s="11"/>
      <c r="PQ111" s="11"/>
      <c r="PR111" s="11"/>
      <c r="PS111" s="11"/>
      <c r="PT111" s="11"/>
      <c r="PU111" s="11"/>
      <c r="PV111" s="11"/>
      <c r="PW111" s="11"/>
      <c r="PX111" s="11"/>
      <c r="PY111" s="11"/>
      <c r="PZ111" s="11"/>
      <c r="QA111" s="11"/>
      <c r="QB111" s="11"/>
      <c r="QC111" s="11"/>
      <c r="QD111" s="11"/>
      <c r="QE111" s="11"/>
      <c r="QF111" s="11"/>
      <c r="QG111" s="11"/>
      <c r="QH111" s="11"/>
      <c r="QI111" s="11"/>
      <c r="QJ111" s="11"/>
      <c r="QK111" s="11"/>
      <c r="QL111" s="11"/>
      <c r="QM111" s="11"/>
      <c r="QN111" s="11"/>
      <c r="QO111" s="11"/>
      <c r="QP111" s="11"/>
      <c r="QQ111" s="11"/>
      <c r="QR111" s="11"/>
      <c r="QS111" s="11"/>
      <c r="QT111" s="11"/>
      <c r="QU111" s="11"/>
      <c r="QV111" s="11"/>
      <c r="QW111" s="11"/>
      <c r="QX111" s="11"/>
      <c r="QY111" s="11"/>
      <c r="QZ111" s="11"/>
      <c r="RA111" s="11"/>
      <c r="RB111" s="11"/>
      <c r="RC111" s="11"/>
      <c r="RD111" s="11"/>
      <c r="RE111" s="11"/>
      <c r="RF111" s="11"/>
      <c r="RG111" s="11"/>
      <c r="RH111" s="11"/>
      <c r="RI111" s="11"/>
      <c r="RJ111" s="11"/>
      <c r="RK111" s="11"/>
      <c r="RL111" s="11"/>
      <c r="RM111" s="11"/>
      <c r="RN111" s="11"/>
      <c r="RO111" s="11"/>
      <c r="RP111" s="11"/>
      <c r="RQ111" s="11"/>
      <c r="RR111" s="11"/>
      <c r="RS111" s="11"/>
      <c r="RT111" s="11"/>
      <c r="RU111" s="11"/>
      <c r="RV111" s="11"/>
      <c r="RW111" s="11"/>
      <c r="RX111" s="11"/>
      <c r="RY111" s="11"/>
      <c r="RZ111" s="11"/>
      <c r="SA111" s="11"/>
      <c r="SB111" s="11"/>
      <c r="SC111" s="11"/>
      <c r="SD111" s="11"/>
      <c r="SE111" s="11"/>
      <c r="SF111" s="11"/>
      <c r="SG111" s="11"/>
      <c r="SH111" s="11"/>
      <c r="SI111" s="11"/>
      <c r="SJ111" s="11"/>
      <c r="SK111" s="11"/>
      <c r="SL111" s="11"/>
      <c r="SM111" s="11"/>
      <c r="SN111" s="11"/>
      <c r="SO111" s="11"/>
      <c r="SP111" s="11"/>
      <c r="SQ111" s="11"/>
      <c r="SR111" s="11"/>
      <c r="SS111" s="11"/>
      <c r="ST111" s="11"/>
      <c r="SU111" s="11"/>
      <c r="SV111" s="11"/>
      <c r="SW111" s="11"/>
      <c r="SX111" s="11"/>
      <c r="SY111" s="11"/>
      <c r="SZ111" s="11"/>
      <c r="TA111" s="11"/>
      <c r="TB111" s="11"/>
      <c r="TC111" s="11"/>
      <c r="TD111" s="11"/>
      <c r="TE111" s="11"/>
      <c r="TF111" s="11"/>
      <c r="TG111" s="11"/>
      <c r="TH111" s="11"/>
      <c r="TI111" s="11"/>
      <c r="TJ111" s="11"/>
      <c r="TK111" s="11"/>
      <c r="TL111" s="11"/>
      <c r="TM111" s="11"/>
      <c r="TN111" s="11"/>
      <c r="TO111" s="11"/>
      <c r="TP111" s="11"/>
      <c r="TQ111" s="11"/>
      <c r="TR111" s="11"/>
      <c r="TS111" s="11"/>
      <c r="TT111" s="11"/>
      <c r="TU111" s="11"/>
      <c r="TV111" s="11"/>
      <c r="TW111" s="11"/>
      <c r="TX111" s="11"/>
      <c r="TY111" s="11"/>
      <c r="TZ111" s="11"/>
      <c r="UA111" s="11"/>
      <c r="UB111" s="11"/>
      <c r="UC111" s="11"/>
      <c r="UD111" s="11"/>
      <c r="UE111" s="11"/>
      <c r="UF111" s="11"/>
      <c r="UG111" s="11"/>
      <c r="UH111" s="11"/>
      <c r="UI111" s="11"/>
      <c r="UJ111" s="11"/>
      <c r="UK111" s="11"/>
      <c r="UL111" s="11"/>
      <c r="UM111" s="11"/>
      <c r="UN111" s="11"/>
      <c r="UO111" s="11"/>
      <c r="UP111" s="11"/>
      <c r="UQ111" s="11"/>
      <c r="UR111" s="11"/>
      <c r="US111" s="11"/>
      <c r="UT111" s="11"/>
      <c r="UU111" s="11"/>
      <c r="UV111" s="11"/>
      <c r="UW111" s="11"/>
      <c r="UX111" s="11"/>
      <c r="UY111" s="11"/>
      <c r="UZ111" s="11"/>
      <c r="VA111" s="11"/>
      <c r="VB111" s="11"/>
      <c r="VC111" s="11"/>
      <c r="VD111" s="11"/>
      <c r="VE111" s="11"/>
      <c r="VF111" s="11"/>
      <c r="VG111" s="11"/>
      <c r="VH111" s="11"/>
      <c r="VI111" s="11"/>
      <c r="VJ111" s="11"/>
      <c r="VK111" s="11"/>
      <c r="VL111" s="11"/>
      <c r="VM111" s="11"/>
      <c r="VN111" s="11"/>
      <c r="VO111" s="11"/>
      <c r="VP111" s="11"/>
      <c r="VQ111" s="11"/>
      <c r="VR111" s="11"/>
      <c r="VS111" s="11"/>
      <c r="VT111" s="11"/>
      <c r="VU111" s="11"/>
      <c r="VV111" s="11"/>
      <c r="VW111" s="11"/>
      <c r="VX111" s="11"/>
      <c r="VY111" s="11"/>
      <c r="VZ111" s="11"/>
      <c r="WA111" s="11"/>
      <c r="WB111" s="11"/>
      <c r="WC111" s="11"/>
      <c r="WD111" s="11"/>
      <c r="WE111" s="11"/>
      <c r="WF111" s="11"/>
      <c r="WG111" s="11"/>
      <c r="WH111" s="11"/>
      <c r="WI111" s="11"/>
      <c r="WJ111" s="11"/>
      <c r="WK111" s="11"/>
      <c r="WL111" s="11"/>
      <c r="WM111" s="11"/>
      <c r="WN111" s="11"/>
      <c r="WO111" s="11"/>
      <c r="WP111" s="11"/>
      <c r="WQ111" s="11"/>
      <c r="WR111" s="11"/>
      <c r="WS111" s="11"/>
      <c r="WT111" s="11"/>
      <c r="WU111" s="11"/>
      <c r="WV111" s="11"/>
      <c r="WW111" s="11"/>
      <c r="WX111" s="11"/>
      <c r="WY111" s="11"/>
      <c r="WZ111" s="11"/>
      <c r="XA111" s="11"/>
      <c r="XB111" s="11"/>
      <c r="XC111" s="11"/>
      <c r="XD111" s="11"/>
      <c r="XE111" s="11"/>
      <c r="XF111" s="11"/>
      <c r="XG111" s="11"/>
      <c r="XH111" s="11"/>
      <c r="XI111" s="11"/>
      <c r="XJ111" s="11"/>
      <c r="XK111" s="11"/>
      <c r="XL111" s="11"/>
      <c r="XM111" s="11"/>
      <c r="XN111" s="11"/>
      <c r="XO111" s="11"/>
      <c r="XP111" s="11"/>
      <c r="XQ111" s="11"/>
      <c r="XR111" s="11"/>
      <c r="XS111" s="11"/>
      <c r="XT111" s="11"/>
      <c r="XU111" s="11"/>
      <c r="XV111" s="11"/>
      <c r="XW111" s="11"/>
      <c r="XX111" s="11"/>
      <c r="XY111" s="11"/>
      <c r="XZ111" s="11"/>
      <c r="YA111" s="11"/>
      <c r="YB111" s="11"/>
      <c r="YC111" s="11"/>
      <c r="YD111" s="11"/>
      <c r="YE111" s="11"/>
      <c r="YF111" s="11"/>
      <c r="YG111" s="11"/>
      <c r="YH111" s="11"/>
      <c r="YI111" s="11"/>
      <c r="YJ111" s="11"/>
      <c r="YK111" s="11"/>
      <c r="YL111" s="11"/>
      <c r="YM111" s="11"/>
      <c r="YN111" s="11"/>
      <c r="YO111" s="11"/>
      <c r="YP111" s="11"/>
      <c r="YQ111" s="11"/>
      <c r="YR111" s="11"/>
      <c r="YS111" s="11"/>
      <c r="YT111" s="11"/>
      <c r="YU111" s="11"/>
      <c r="YV111" s="11"/>
      <c r="YW111" s="11"/>
      <c r="YX111" s="11"/>
      <c r="YY111" s="11"/>
      <c r="YZ111" s="11"/>
      <c r="ZA111" s="11"/>
      <c r="ZB111" s="11"/>
      <c r="ZC111" s="11"/>
      <c r="ZD111" s="11"/>
      <c r="ZE111" s="11"/>
      <c r="ZF111" s="11"/>
      <c r="ZG111" s="11"/>
      <c r="ZH111" s="11"/>
      <c r="ZI111" s="11"/>
      <c r="ZJ111" s="11"/>
      <c r="ZK111" s="11"/>
      <c r="ZL111" s="11"/>
      <c r="ZM111" s="11"/>
      <c r="ZN111" s="11"/>
      <c r="ZO111" s="11"/>
      <c r="ZP111" s="11"/>
      <c r="ZQ111" s="11"/>
      <c r="ZR111" s="11"/>
      <c r="ZS111" s="11"/>
      <c r="ZT111" s="11"/>
      <c r="ZU111" s="11"/>
      <c r="ZV111" s="11"/>
      <c r="ZW111" s="11"/>
      <c r="ZX111" s="11"/>
      <c r="ZY111" s="11"/>
      <c r="ZZ111" s="11"/>
      <c r="AAA111" s="11"/>
      <c r="AAB111" s="11"/>
      <c r="AAC111" s="11"/>
      <c r="AAD111" s="11"/>
      <c r="AAE111" s="11"/>
      <c r="AAF111" s="11"/>
      <c r="AAG111" s="11"/>
      <c r="AAH111" s="11"/>
      <c r="AAI111" s="11"/>
      <c r="AAJ111" s="11"/>
      <c r="AAK111" s="11"/>
      <c r="AAL111" s="11"/>
      <c r="AAM111" s="11"/>
      <c r="AAN111" s="11"/>
      <c r="AAO111" s="11"/>
      <c r="AAP111" s="11"/>
      <c r="AAQ111" s="11"/>
      <c r="AAR111" s="11"/>
      <c r="AAS111" s="11"/>
      <c r="AAT111" s="11"/>
      <c r="AAU111" s="11"/>
      <c r="AAV111" s="11"/>
      <c r="AAW111" s="11"/>
      <c r="AAX111" s="11"/>
      <c r="AAY111" s="11"/>
      <c r="AAZ111" s="11"/>
      <c r="ABA111" s="11"/>
      <c r="ABB111" s="11"/>
      <c r="ABC111" s="11"/>
      <c r="ABD111" s="11"/>
      <c r="ABE111" s="11"/>
      <c r="ABF111" s="11"/>
      <c r="ABG111" s="11"/>
      <c r="ABH111" s="11"/>
      <c r="ABI111" s="11"/>
      <c r="ABJ111" s="11"/>
      <c r="ABK111" s="11"/>
      <c r="ABL111" s="11"/>
      <c r="ABM111" s="11"/>
      <c r="ABN111" s="11"/>
      <c r="ABO111" s="11"/>
      <c r="ABP111" s="11"/>
      <c r="ABQ111" s="11"/>
      <c r="ABR111" s="11"/>
      <c r="ABS111" s="11"/>
      <c r="ABT111" s="11"/>
      <c r="ABU111" s="11"/>
      <c r="ABV111" s="11"/>
      <c r="ABW111" s="11"/>
      <c r="ABX111" s="11"/>
      <c r="ABY111" s="11"/>
      <c r="ABZ111" s="11"/>
      <c r="ACA111" s="11"/>
      <c r="ACB111" s="11"/>
      <c r="ACC111" s="11"/>
      <c r="ACD111" s="11"/>
      <c r="ACE111" s="11"/>
      <c r="ACF111" s="11"/>
      <c r="ACG111" s="11"/>
      <c r="ACH111" s="11"/>
      <c r="ACI111" s="11"/>
      <c r="ACJ111" s="11"/>
      <c r="ACK111" s="11"/>
      <c r="ACL111" s="11"/>
      <c r="ACM111" s="11"/>
      <c r="ACN111" s="11"/>
      <c r="ACO111" s="11"/>
      <c r="ACP111" s="11"/>
      <c r="ACQ111" s="11"/>
      <c r="ACR111" s="11"/>
      <c r="ACS111" s="11"/>
      <c r="ACT111" s="11"/>
      <c r="ACU111" s="11"/>
      <c r="ACV111" s="11"/>
      <c r="ACW111" s="11"/>
      <c r="ACX111" s="11"/>
      <c r="ACY111" s="11"/>
      <c r="ACZ111" s="11"/>
      <c r="ADA111" s="11"/>
      <c r="ADB111" s="11"/>
      <c r="ADC111" s="11"/>
      <c r="ADD111" s="11"/>
      <c r="ADE111" s="11"/>
      <c r="ADF111" s="11"/>
      <c r="ADG111" s="11"/>
      <c r="ADH111" s="11"/>
      <c r="ADI111" s="11"/>
      <c r="ADJ111" s="11"/>
      <c r="ADK111" s="11"/>
      <c r="ADL111" s="11"/>
      <c r="ADM111" s="11"/>
      <c r="ADN111" s="11"/>
      <c r="ADO111" s="11"/>
      <c r="ADP111" s="11"/>
      <c r="ADQ111" s="11"/>
      <c r="ADR111" s="11"/>
      <c r="ADS111" s="11"/>
      <c r="ADT111" s="11"/>
      <c r="ADU111" s="11"/>
      <c r="ADV111" s="11"/>
      <c r="ADW111" s="11"/>
      <c r="ADX111" s="11"/>
      <c r="ADY111" s="11"/>
      <c r="ADZ111" s="11"/>
      <c r="AEA111" s="11"/>
      <c r="AEB111" s="11"/>
      <c r="AEC111" s="11"/>
      <c r="AED111" s="11"/>
      <c r="AEE111" s="11"/>
      <c r="AEF111" s="11"/>
      <c r="AEG111" s="11"/>
      <c r="AEH111" s="11"/>
      <c r="AEI111" s="11"/>
      <c r="AEJ111" s="11"/>
      <c r="AEK111" s="11"/>
      <c r="AEL111" s="11"/>
      <c r="AEM111" s="11"/>
      <c r="AEN111" s="11"/>
      <c r="AEO111" s="11"/>
      <c r="AEP111" s="11"/>
      <c r="AEQ111" s="11"/>
      <c r="AER111" s="11"/>
      <c r="AES111" s="11"/>
      <c r="AET111" s="11"/>
      <c r="AEU111" s="11"/>
      <c r="AEV111" s="11"/>
      <c r="AEW111" s="11"/>
      <c r="AEX111" s="11"/>
      <c r="AEY111" s="11"/>
      <c r="AEZ111" s="11"/>
      <c r="AFA111" s="11"/>
      <c r="AFB111" s="11"/>
      <c r="AFC111" s="11"/>
      <c r="AFD111" s="11"/>
      <c r="AFE111" s="11"/>
      <c r="AFF111" s="11"/>
      <c r="AFG111" s="11"/>
      <c r="AFH111" s="11"/>
      <c r="AFI111" s="11"/>
    </row>
    <row r="112" spans="2:841" ht="15" customHeight="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c r="IW112" s="11"/>
      <c r="IX112" s="11"/>
      <c r="IY112" s="11"/>
      <c r="IZ112" s="11"/>
      <c r="JA112" s="11"/>
      <c r="JB112" s="11"/>
      <c r="JC112" s="11"/>
      <c r="JD112" s="11"/>
      <c r="JE112" s="11"/>
      <c r="JF112" s="11"/>
      <c r="JG112" s="11"/>
      <c r="JH112" s="11"/>
      <c r="JI112" s="11"/>
      <c r="JJ112" s="11"/>
      <c r="JK112" s="11"/>
      <c r="JL112" s="11"/>
      <c r="JM112" s="11"/>
      <c r="JN112" s="11"/>
      <c r="JO112" s="11"/>
      <c r="JP112" s="11"/>
      <c r="JQ112" s="11"/>
      <c r="JR112" s="11"/>
      <c r="JS112" s="11"/>
      <c r="JT112" s="11"/>
      <c r="JU112" s="11"/>
      <c r="JV112" s="11"/>
      <c r="JW112" s="11"/>
      <c r="JX112" s="11"/>
      <c r="JY112" s="11"/>
      <c r="JZ112" s="11"/>
      <c r="KA112" s="11"/>
      <c r="KB112" s="11"/>
      <c r="KC112" s="11"/>
      <c r="KD112" s="11"/>
      <c r="KE112" s="11"/>
      <c r="KF112" s="11"/>
      <c r="KG112" s="11"/>
      <c r="KH112" s="11"/>
      <c r="KI112" s="11"/>
      <c r="KJ112" s="11"/>
      <c r="KK112" s="11"/>
      <c r="KL112" s="11"/>
      <c r="KM112" s="11"/>
      <c r="KN112" s="11"/>
      <c r="KO112" s="11"/>
      <c r="KP112" s="11"/>
      <c r="KQ112" s="11"/>
      <c r="KR112" s="11"/>
      <c r="KS112" s="11"/>
      <c r="KT112" s="11"/>
      <c r="KU112" s="11"/>
      <c r="KV112" s="11"/>
      <c r="KW112" s="11"/>
      <c r="KX112" s="11"/>
      <c r="KY112" s="11"/>
      <c r="KZ112" s="11"/>
      <c r="LA112" s="11"/>
      <c r="LB112" s="11"/>
      <c r="LC112" s="11"/>
      <c r="LD112" s="11"/>
      <c r="LE112" s="11"/>
      <c r="LF112" s="11"/>
      <c r="LG112" s="11"/>
      <c r="LH112" s="11"/>
      <c r="LI112" s="11"/>
      <c r="LJ112" s="11"/>
      <c r="LK112" s="11"/>
      <c r="LL112" s="11"/>
      <c r="LM112" s="11"/>
      <c r="LN112" s="11"/>
      <c r="LO112" s="11"/>
      <c r="LP112" s="11"/>
      <c r="LQ112" s="11"/>
      <c r="LR112" s="11"/>
      <c r="LS112" s="11"/>
      <c r="LT112" s="11"/>
      <c r="LU112" s="11"/>
      <c r="LV112" s="11"/>
      <c r="LW112" s="11"/>
      <c r="LX112" s="11"/>
      <c r="LY112" s="11"/>
      <c r="LZ112" s="11"/>
      <c r="MA112" s="11"/>
      <c r="MB112" s="11"/>
      <c r="MC112" s="11"/>
      <c r="MD112" s="11"/>
      <c r="ME112" s="11"/>
      <c r="MF112" s="11"/>
      <c r="MG112" s="11"/>
      <c r="MH112" s="11"/>
      <c r="MI112" s="11"/>
      <c r="MJ112" s="11"/>
      <c r="MK112" s="11"/>
      <c r="ML112" s="11"/>
      <c r="MM112" s="11"/>
      <c r="MN112" s="11"/>
      <c r="MO112" s="11"/>
      <c r="MP112" s="11"/>
      <c r="MQ112" s="11"/>
      <c r="MR112" s="11"/>
      <c r="MS112" s="11"/>
      <c r="MT112" s="11"/>
      <c r="MU112" s="11"/>
      <c r="MV112" s="11"/>
      <c r="MW112" s="11"/>
      <c r="MX112" s="11"/>
      <c r="MY112" s="11"/>
      <c r="MZ112" s="11"/>
      <c r="NA112" s="11"/>
      <c r="NB112" s="11"/>
      <c r="NC112" s="11"/>
      <c r="ND112" s="11"/>
      <c r="NE112" s="11"/>
      <c r="NF112" s="11"/>
      <c r="NG112" s="11"/>
      <c r="NH112" s="11"/>
      <c r="NI112" s="11"/>
      <c r="NJ112" s="11"/>
      <c r="NK112" s="11"/>
      <c r="NL112" s="11"/>
      <c r="NM112" s="11"/>
      <c r="NN112" s="11"/>
      <c r="NO112" s="11"/>
      <c r="NP112" s="11"/>
      <c r="NQ112" s="11"/>
      <c r="NR112" s="11"/>
      <c r="NS112" s="11"/>
      <c r="NT112" s="11"/>
      <c r="NU112" s="11"/>
      <c r="NV112" s="11"/>
      <c r="NW112" s="11"/>
      <c r="NX112" s="11"/>
      <c r="NY112" s="11"/>
      <c r="NZ112" s="11"/>
      <c r="OA112" s="11"/>
      <c r="OB112" s="11"/>
      <c r="OC112" s="11"/>
      <c r="OD112" s="11"/>
      <c r="OE112" s="11"/>
      <c r="OF112" s="11"/>
      <c r="OG112" s="11"/>
      <c r="OH112" s="11"/>
      <c r="OI112" s="11"/>
      <c r="OJ112" s="11"/>
      <c r="OK112" s="11"/>
      <c r="OL112" s="11"/>
      <c r="OM112" s="11"/>
      <c r="ON112" s="11"/>
      <c r="OO112" s="11"/>
      <c r="OP112" s="11"/>
      <c r="OQ112" s="11"/>
      <c r="OR112" s="11"/>
      <c r="OS112" s="11"/>
      <c r="OT112" s="11"/>
      <c r="OU112" s="11"/>
      <c r="OV112" s="11"/>
      <c r="OW112" s="11"/>
      <c r="OX112" s="11"/>
      <c r="OY112" s="11"/>
      <c r="OZ112" s="11"/>
      <c r="PA112" s="11"/>
      <c r="PB112" s="11"/>
      <c r="PC112" s="11"/>
      <c r="PD112" s="11"/>
      <c r="PE112" s="11"/>
      <c r="PF112" s="11"/>
      <c r="PG112" s="11"/>
      <c r="PH112" s="11"/>
      <c r="PI112" s="11"/>
      <c r="PJ112" s="11"/>
      <c r="PK112" s="11"/>
      <c r="PL112" s="11"/>
      <c r="PM112" s="11"/>
      <c r="PN112" s="11"/>
      <c r="PO112" s="11"/>
      <c r="PP112" s="11"/>
      <c r="PQ112" s="11"/>
      <c r="PR112" s="11"/>
      <c r="PS112" s="11"/>
      <c r="PT112" s="11"/>
      <c r="PU112" s="11"/>
      <c r="PV112" s="11"/>
      <c r="PW112" s="11"/>
      <c r="PX112" s="11"/>
      <c r="PY112" s="11"/>
      <c r="PZ112" s="11"/>
      <c r="QA112" s="11"/>
      <c r="QB112" s="11"/>
      <c r="QC112" s="11"/>
      <c r="QD112" s="11"/>
      <c r="QE112" s="11"/>
      <c r="QF112" s="11"/>
      <c r="QG112" s="11"/>
      <c r="QH112" s="11"/>
      <c r="QI112" s="11"/>
      <c r="QJ112" s="11"/>
      <c r="QK112" s="11"/>
      <c r="QL112" s="11"/>
      <c r="QM112" s="11"/>
      <c r="QN112" s="11"/>
      <c r="QO112" s="11"/>
      <c r="QP112" s="11"/>
      <c r="QQ112" s="11"/>
      <c r="QR112" s="11"/>
      <c r="QS112" s="11"/>
      <c r="QT112" s="11"/>
      <c r="QU112" s="11"/>
      <c r="QV112" s="11"/>
      <c r="QW112" s="11"/>
      <c r="QX112" s="11"/>
      <c r="QY112" s="11"/>
      <c r="QZ112" s="11"/>
      <c r="RA112" s="11"/>
      <c r="RB112" s="11"/>
      <c r="RC112" s="11"/>
      <c r="RD112" s="11"/>
      <c r="RE112" s="11"/>
      <c r="RF112" s="11"/>
      <c r="RG112" s="11"/>
      <c r="RH112" s="11"/>
      <c r="RI112" s="11"/>
      <c r="RJ112" s="11"/>
      <c r="RK112" s="11"/>
      <c r="RL112" s="11"/>
      <c r="RM112" s="11"/>
      <c r="RN112" s="11"/>
      <c r="RO112" s="11"/>
      <c r="RP112" s="11"/>
      <c r="RQ112" s="11"/>
      <c r="RR112" s="11"/>
      <c r="RS112" s="11"/>
      <c r="RT112" s="11"/>
      <c r="RU112" s="11"/>
      <c r="RV112" s="11"/>
      <c r="RW112" s="11"/>
      <c r="RX112" s="11"/>
      <c r="RY112" s="11"/>
      <c r="RZ112" s="11"/>
      <c r="SA112" s="11"/>
      <c r="SB112" s="11"/>
      <c r="SC112" s="11"/>
      <c r="SD112" s="11"/>
      <c r="SE112" s="11"/>
      <c r="SF112" s="11"/>
      <c r="SG112" s="11"/>
      <c r="SH112" s="11"/>
      <c r="SI112" s="11"/>
      <c r="SJ112" s="11"/>
      <c r="SK112" s="11"/>
      <c r="SL112" s="11"/>
      <c r="SM112" s="11"/>
      <c r="SN112" s="11"/>
      <c r="SO112" s="11"/>
      <c r="SP112" s="11"/>
      <c r="SQ112" s="11"/>
      <c r="SR112" s="11"/>
      <c r="SS112" s="11"/>
      <c r="ST112" s="11"/>
      <c r="SU112" s="11"/>
      <c r="SV112" s="11"/>
      <c r="SW112" s="11"/>
      <c r="SX112" s="11"/>
      <c r="SY112" s="11"/>
      <c r="SZ112" s="11"/>
      <c r="TA112" s="11"/>
      <c r="TB112" s="11"/>
      <c r="TC112" s="11"/>
      <c r="TD112" s="11"/>
      <c r="TE112" s="11"/>
      <c r="TF112" s="11"/>
      <c r="TG112" s="11"/>
      <c r="TH112" s="11"/>
      <c r="TI112" s="11"/>
      <c r="TJ112" s="11"/>
      <c r="TK112" s="11"/>
      <c r="TL112" s="11"/>
      <c r="TM112" s="11"/>
      <c r="TN112" s="11"/>
      <c r="TO112" s="11"/>
      <c r="TP112" s="11"/>
      <c r="TQ112" s="11"/>
      <c r="TR112" s="11"/>
      <c r="TS112" s="11"/>
      <c r="TT112" s="11"/>
      <c r="TU112" s="11"/>
      <c r="TV112" s="11"/>
      <c r="TW112" s="11"/>
      <c r="TX112" s="11"/>
      <c r="TY112" s="11"/>
      <c r="TZ112" s="11"/>
      <c r="UA112" s="11"/>
      <c r="UB112" s="11"/>
      <c r="UC112" s="11"/>
      <c r="UD112" s="11"/>
      <c r="UE112" s="11"/>
      <c r="UF112" s="11"/>
      <c r="UG112" s="11"/>
      <c r="UH112" s="11"/>
      <c r="UI112" s="11"/>
      <c r="UJ112" s="11"/>
      <c r="UK112" s="11"/>
      <c r="UL112" s="11"/>
      <c r="UM112" s="11"/>
      <c r="UN112" s="11"/>
      <c r="UO112" s="11"/>
      <c r="UP112" s="11"/>
      <c r="UQ112" s="11"/>
      <c r="UR112" s="11"/>
      <c r="US112" s="11"/>
      <c r="UT112" s="11"/>
      <c r="UU112" s="11"/>
      <c r="UV112" s="11"/>
      <c r="UW112" s="11"/>
      <c r="UX112" s="11"/>
      <c r="UY112" s="11"/>
      <c r="UZ112" s="11"/>
      <c r="VA112" s="11"/>
      <c r="VB112" s="11"/>
      <c r="VC112" s="11"/>
      <c r="VD112" s="11"/>
      <c r="VE112" s="11"/>
      <c r="VF112" s="11"/>
      <c r="VG112" s="11"/>
      <c r="VH112" s="11"/>
      <c r="VI112" s="11"/>
      <c r="VJ112" s="11"/>
      <c r="VK112" s="11"/>
      <c r="VL112" s="11"/>
      <c r="VM112" s="11"/>
      <c r="VN112" s="11"/>
      <c r="VO112" s="11"/>
      <c r="VP112" s="11"/>
      <c r="VQ112" s="11"/>
      <c r="VR112" s="11"/>
      <c r="VS112" s="11"/>
      <c r="VT112" s="11"/>
      <c r="VU112" s="11"/>
      <c r="VV112" s="11"/>
      <c r="VW112" s="11"/>
      <c r="VX112" s="11"/>
      <c r="VY112" s="11"/>
      <c r="VZ112" s="11"/>
      <c r="WA112" s="11"/>
      <c r="WB112" s="11"/>
      <c r="WC112" s="11"/>
      <c r="WD112" s="11"/>
      <c r="WE112" s="11"/>
      <c r="WF112" s="11"/>
      <c r="WG112" s="11"/>
      <c r="WH112" s="11"/>
      <c r="WI112" s="11"/>
      <c r="WJ112" s="11"/>
      <c r="WK112" s="11"/>
      <c r="WL112" s="11"/>
      <c r="WM112" s="11"/>
      <c r="WN112" s="11"/>
      <c r="WO112" s="11"/>
      <c r="WP112" s="11"/>
      <c r="WQ112" s="11"/>
      <c r="WR112" s="11"/>
      <c r="WS112" s="11"/>
      <c r="WT112" s="11"/>
      <c r="WU112" s="11"/>
      <c r="WV112" s="11"/>
      <c r="WW112" s="11"/>
      <c r="WX112" s="11"/>
      <c r="WY112" s="11"/>
      <c r="WZ112" s="11"/>
      <c r="XA112" s="11"/>
      <c r="XB112" s="11"/>
      <c r="XC112" s="11"/>
      <c r="XD112" s="11"/>
      <c r="XE112" s="11"/>
      <c r="XF112" s="11"/>
      <c r="XG112" s="11"/>
      <c r="XH112" s="11"/>
      <c r="XI112" s="11"/>
      <c r="XJ112" s="11"/>
      <c r="XK112" s="11"/>
      <c r="XL112" s="11"/>
      <c r="XM112" s="11"/>
      <c r="XN112" s="11"/>
      <c r="XO112" s="11"/>
      <c r="XP112" s="11"/>
      <c r="XQ112" s="11"/>
      <c r="XR112" s="11"/>
      <c r="XS112" s="11"/>
      <c r="XT112" s="11"/>
      <c r="XU112" s="11"/>
      <c r="XV112" s="11"/>
      <c r="XW112" s="11"/>
      <c r="XX112" s="11"/>
      <c r="XY112" s="11"/>
      <c r="XZ112" s="11"/>
      <c r="YA112" s="11"/>
      <c r="YB112" s="11"/>
      <c r="YC112" s="11"/>
      <c r="YD112" s="11"/>
      <c r="YE112" s="11"/>
      <c r="YF112" s="11"/>
      <c r="YG112" s="11"/>
      <c r="YH112" s="11"/>
      <c r="YI112" s="11"/>
      <c r="YJ112" s="11"/>
      <c r="YK112" s="11"/>
      <c r="YL112" s="11"/>
      <c r="YM112" s="11"/>
      <c r="YN112" s="11"/>
      <c r="YO112" s="11"/>
      <c r="YP112" s="11"/>
      <c r="YQ112" s="11"/>
      <c r="YR112" s="11"/>
      <c r="YS112" s="11"/>
      <c r="YT112" s="11"/>
      <c r="YU112" s="11"/>
      <c r="YV112" s="11"/>
      <c r="YW112" s="11"/>
      <c r="YX112" s="11"/>
      <c r="YY112" s="11"/>
      <c r="YZ112" s="11"/>
      <c r="ZA112" s="11"/>
      <c r="ZB112" s="11"/>
      <c r="ZC112" s="11"/>
      <c r="ZD112" s="11"/>
      <c r="ZE112" s="11"/>
      <c r="ZF112" s="11"/>
      <c r="ZG112" s="11"/>
      <c r="ZH112" s="11"/>
      <c r="ZI112" s="11"/>
      <c r="ZJ112" s="11"/>
      <c r="ZK112" s="11"/>
      <c r="ZL112" s="11"/>
      <c r="ZM112" s="11"/>
      <c r="ZN112" s="11"/>
      <c r="ZO112" s="11"/>
      <c r="ZP112" s="11"/>
      <c r="ZQ112" s="11"/>
      <c r="ZR112" s="11"/>
      <c r="ZS112" s="11"/>
      <c r="ZT112" s="11"/>
      <c r="ZU112" s="11"/>
      <c r="ZV112" s="11"/>
      <c r="ZW112" s="11"/>
      <c r="ZX112" s="11"/>
      <c r="ZY112" s="11"/>
      <c r="ZZ112" s="11"/>
      <c r="AAA112" s="11"/>
      <c r="AAB112" s="11"/>
      <c r="AAC112" s="11"/>
      <c r="AAD112" s="11"/>
      <c r="AAE112" s="11"/>
      <c r="AAF112" s="11"/>
      <c r="AAG112" s="11"/>
      <c r="AAH112" s="11"/>
      <c r="AAI112" s="11"/>
      <c r="AAJ112" s="11"/>
      <c r="AAK112" s="11"/>
      <c r="AAL112" s="11"/>
      <c r="AAM112" s="11"/>
      <c r="AAN112" s="11"/>
      <c r="AAO112" s="11"/>
      <c r="AAP112" s="11"/>
      <c r="AAQ112" s="11"/>
      <c r="AAR112" s="11"/>
      <c r="AAS112" s="11"/>
      <c r="AAT112" s="11"/>
      <c r="AAU112" s="11"/>
      <c r="AAV112" s="11"/>
      <c r="AAW112" s="11"/>
      <c r="AAX112" s="11"/>
      <c r="AAY112" s="11"/>
      <c r="AAZ112" s="11"/>
      <c r="ABA112" s="11"/>
      <c r="ABB112" s="11"/>
      <c r="ABC112" s="11"/>
      <c r="ABD112" s="11"/>
      <c r="ABE112" s="11"/>
      <c r="ABF112" s="11"/>
      <c r="ABG112" s="11"/>
      <c r="ABH112" s="11"/>
      <c r="ABI112" s="11"/>
      <c r="ABJ112" s="11"/>
      <c r="ABK112" s="11"/>
      <c r="ABL112" s="11"/>
      <c r="ABM112" s="11"/>
      <c r="ABN112" s="11"/>
      <c r="ABO112" s="11"/>
      <c r="ABP112" s="11"/>
      <c r="ABQ112" s="11"/>
      <c r="ABR112" s="11"/>
      <c r="ABS112" s="11"/>
      <c r="ABT112" s="11"/>
      <c r="ABU112" s="11"/>
      <c r="ABV112" s="11"/>
      <c r="ABW112" s="11"/>
      <c r="ABX112" s="11"/>
      <c r="ABY112" s="11"/>
      <c r="ABZ112" s="11"/>
      <c r="ACA112" s="11"/>
      <c r="ACB112" s="11"/>
      <c r="ACC112" s="11"/>
      <c r="ACD112" s="11"/>
      <c r="ACE112" s="11"/>
      <c r="ACF112" s="11"/>
      <c r="ACG112" s="11"/>
      <c r="ACH112" s="11"/>
      <c r="ACI112" s="11"/>
      <c r="ACJ112" s="11"/>
      <c r="ACK112" s="11"/>
      <c r="ACL112" s="11"/>
      <c r="ACM112" s="11"/>
      <c r="ACN112" s="11"/>
      <c r="ACO112" s="11"/>
      <c r="ACP112" s="11"/>
      <c r="ACQ112" s="11"/>
      <c r="ACR112" s="11"/>
      <c r="ACS112" s="11"/>
      <c r="ACT112" s="11"/>
      <c r="ACU112" s="11"/>
      <c r="ACV112" s="11"/>
      <c r="ACW112" s="11"/>
      <c r="ACX112" s="11"/>
      <c r="ACY112" s="11"/>
      <c r="ACZ112" s="11"/>
      <c r="ADA112" s="11"/>
      <c r="ADB112" s="11"/>
      <c r="ADC112" s="11"/>
      <c r="ADD112" s="11"/>
      <c r="ADE112" s="11"/>
      <c r="ADF112" s="11"/>
      <c r="ADG112" s="11"/>
      <c r="ADH112" s="11"/>
      <c r="ADI112" s="11"/>
      <c r="ADJ112" s="11"/>
      <c r="ADK112" s="11"/>
      <c r="ADL112" s="11"/>
      <c r="ADM112" s="11"/>
      <c r="ADN112" s="11"/>
      <c r="ADO112" s="11"/>
      <c r="ADP112" s="11"/>
      <c r="ADQ112" s="11"/>
      <c r="ADR112" s="11"/>
      <c r="ADS112" s="11"/>
      <c r="ADT112" s="11"/>
      <c r="ADU112" s="11"/>
      <c r="ADV112" s="11"/>
      <c r="ADW112" s="11"/>
      <c r="ADX112" s="11"/>
      <c r="ADY112" s="11"/>
      <c r="ADZ112" s="11"/>
      <c r="AEA112" s="11"/>
      <c r="AEB112" s="11"/>
      <c r="AEC112" s="11"/>
      <c r="AED112" s="11"/>
      <c r="AEE112" s="11"/>
      <c r="AEF112" s="11"/>
      <c r="AEG112" s="11"/>
      <c r="AEH112" s="11"/>
      <c r="AEI112" s="11"/>
      <c r="AEJ112" s="11"/>
      <c r="AEK112" s="11"/>
      <c r="AEL112" s="11"/>
      <c r="AEM112" s="11"/>
      <c r="AEN112" s="11"/>
      <c r="AEO112" s="11"/>
      <c r="AEP112" s="11"/>
      <c r="AEQ112" s="11"/>
      <c r="AER112" s="11"/>
      <c r="AES112" s="11"/>
      <c r="AET112" s="11"/>
      <c r="AEU112" s="11"/>
      <c r="AEV112" s="11"/>
      <c r="AEW112" s="11"/>
      <c r="AEX112" s="11"/>
      <c r="AEY112" s="11"/>
      <c r="AEZ112" s="11"/>
      <c r="AFA112" s="11"/>
      <c r="AFB112" s="11"/>
      <c r="AFC112" s="11"/>
      <c r="AFD112" s="11"/>
      <c r="AFE112" s="11"/>
      <c r="AFF112" s="11"/>
      <c r="AFG112" s="11"/>
      <c r="AFH112" s="11"/>
      <c r="AFI112" s="11"/>
    </row>
    <row r="113" spans="2:841" ht="15" customHeight="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c r="IW113" s="11"/>
      <c r="IX113" s="11"/>
      <c r="IY113" s="11"/>
      <c r="IZ113" s="11"/>
      <c r="JA113" s="11"/>
      <c r="JB113" s="11"/>
      <c r="JC113" s="11"/>
      <c r="JD113" s="11"/>
      <c r="JE113" s="11"/>
      <c r="JF113" s="11"/>
      <c r="JG113" s="11"/>
      <c r="JH113" s="11"/>
      <c r="JI113" s="11"/>
      <c r="JJ113" s="11"/>
      <c r="JK113" s="11"/>
      <c r="JL113" s="11"/>
      <c r="JM113" s="11"/>
      <c r="JN113" s="11"/>
      <c r="JO113" s="11"/>
      <c r="JP113" s="11"/>
      <c r="JQ113" s="11"/>
      <c r="JR113" s="11"/>
      <c r="JS113" s="11"/>
      <c r="JT113" s="11"/>
      <c r="JU113" s="11"/>
      <c r="JV113" s="11"/>
      <c r="JW113" s="11"/>
      <c r="JX113" s="11"/>
      <c r="JY113" s="11"/>
      <c r="JZ113" s="11"/>
      <c r="KA113" s="11"/>
      <c r="KB113" s="11"/>
      <c r="KC113" s="11"/>
      <c r="KD113" s="11"/>
      <c r="KE113" s="11"/>
      <c r="KF113" s="11"/>
      <c r="KG113" s="11"/>
      <c r="KH113" s="11"/>
      <c r="KI113" s="11"/>
      <c r="KJ113" s="11"/>
      <c r="KK113" s="11"/>
      <c r="KL113" s="11"/>
      <c r="KM113" s="11"/>
      <c r="KN113" s="11"/>
      <c r="KO113" s="11"/>
      <c r="KP113" s="11"/>
      <c r="KQ113" s="11"/>
      <c r="KR113" s="11"/>
      <c r="KS113" s="11"/>
      <c r="KT113" s="11"/>
      <c r="KU113" s="11"/>
      <c r="KV113" s="11"/>
      <c r="KW113" s="11"/>
      <c r="KX113" s="11"/>
      <c r="KY113" s="11"/>
      <c r="KZ113" s="11"/>
      <c r="LA113" s="11"/>
      <c r="LB113" s="11"/>
      <c r="LC113" s="11"/>
      <c r="LD113" s="11"/>
      <c r="LE113" s="11"/>
      <c r="LF113" s="11"/>
      <c r="LG113" s="11"/>
      <c r="LH113" s="11"/>
      <c r="LI113" s="11"/>
      <c r="LJ113" s="11"/>
      <c r="LK113" s="11"/>
      <c r="LL113" s="11"/>
      <c r="LM113" s="11"/>
      <c r="LN113" s="11"/>
      <c r="LO113" s="11"/>
      <c r="LP113" s="11"/>
      <c r="LQ113" s="11"/>
      <c r="LR113" s="11"/>
      <c r="LS113" s="11"/>
      <c r="LT113" s="11"/>
      <c r="LU113" s="11"/>
      <c r="LV113" s="11"/>
      <c r="LW113" s="11"/>
      <c r="LX113" s="11"/>
      <c r="LY113" s="11"/>
      <c r="LZ113" s="11"/>
      <c r="MA113" s="11"/>
      <c r="MB113" s="11"/>
      <c r="MC113" s="11"/>
      <c r="MD113" s="11"/>
      <c r="ME113" s="11"/>
      <c r="MF113" s="11"/>
      <c r="MG113" s="11"/>
      <c r="MH113" s="11"/>
      <c r="MI113" s="11"/>
      <c r="MJ113" s="11"/>
      <c r="MK113" s="11"/>
      <c r="ML113" s="11"/>
      <c r="MM113" s="11"/>
      <c r="MN113" s="11"/>
      <c r="MO113" s="11"/>
      <c r="MP113" s="11"/>
      <c r="MQ113" s="11"/>
      <c r="MR113" s="11"/>
      <c r="MS113" s="11"/>
      <c r="MT113" s="11"/>
      <c r="MU113" s="11"/>
      <c r="MV113" s="11"/>
      <c r="MW113" s="11"/>
      <c r="MX113" s="11"/>
      <c r="MY113" s="11"/>
      <c r="MZ113" s="11"/>
      <c r="NA113" s="11"/>
      <c r="NB113" s="11"/>
      <c r="NC113" s="11"/>
      <c r="ND113" s="11"/>
      <c r="NE113" s="11"/>
      <c r="NF113" s="11"/>
      <c r="NG113" s="11"/>
      <c r="NH113" s="11"/>
      <c r="NI113" s="11"/>
      <c r="NJ113" s="11"/>
      <c r="NK113" s="11"/>
      <c r="NL113" s="11"/>
      <c r="NM113" s="11"/>
      <c r="NN113" s="11"/>
      <c r="NO113" s="11"/>
      <c r="NP113" s="11"/>
      <c r="NQ113" s="11"/>
      <c r="NR113" s="11"/>
      <c r="NS113" s="11"/>
      <c r="NT113" s="11"/>
      <c r="NU113" s="11"/>
      <c r="NV113" s="11"/>
      <c r="NW113" s="11"/>
      <c r="NX113" s="11"/>
      <c r="NY113" s="11"/>
      <c r="NZ113" s="11"/>
      <c r="OA113" s="11"/>
      <c r="OB113" s="11"/>
      <c r="OC113" s="11"/>
      <c r="OD113" s="11"/>
      <c r="OE113" s="11"/>
      <c r="OF113" s="11"/>
      <c r="OG113" s="11"/>
      <c r="OH113" s="11"/>
      <c r="OI113" s="11"/>
      <c r="OJ113" s="11"/>
      <c r="OK113" s="11"/>
      <c r="OL113" s="11"/>
      <c r="OM113" s="11"/>
      <c r="ON113" s="11"/>
      <c r="OO113" s="11"/>
      <c r="OP113" s="11"/>
      <c r="OQ113" s="11"/>
      <c r="OR113" s="11"/>
      <c r="OS113" s="11"/>
      <c r="OT113" s="11"/>
      <c r="OU113" s="11"/>
      <c r="OV113" s="11"/>
      <c r="OW113" s="11"/>
      <c r="OX113" s="11"/>
      <c r="OY113" s="11"/>
      <c r="OZ113" s="11"/>
      <c r="PA113" s="11"/>
      <c r="PB113" s="11"/>
      <c r="PC113" s="11"/>
      <c r="PD113" s="11"/>
      <c r="PE113" s="11"/>
      <c r="PF113" s="11"/>
      <c r="PG113" s="11"/>
      <c r="PH113" s="11"/>
      <c r="PI113" s="11"/>
      <c r="PJ113" s="11"/>
      <c r="PK113" s="11"/>
      <c r="PL113" s="11"/>
      <c r="PM113" s="11"/>
      <c r="PN113" s="11"/>
      <c r="PO113" s="11"/>
      <c r="PP113" s="11"/>
      <c r="PQ113" s="11"/>
      <c r="PR113" s="11"/>
      <c r="PS113" s="11"/>
      <c r="PT113" s="11"/>
      <c r="PU113" s="11"/>
      <c r="PV113" s="11"/>
      <c r="PW113" s="11"/>
      <c r="PX113" s="11"/>
      <c r="PY113" s="11"/>
      <c r="PZ113" s="11"/>
      <c r="QA113" s="11"/>
      <c r="QB113" s="11"/>
      <c r="QC113" s="11"/>
      <c r="QD113" s="11"/>
      <c r="QE113" s="11"/>
      <c r="QF113" s="11"/>
      <c r="QG113" s="11"/>
      <c r="QH113" s="11"/>
      <c r="QI113" s="11"/>
      <c r="QJ113" s="11"/>
      <c r="QK113" s="11"/>
      <c r="QL113" s="11"/>
      <c r="QM113" s="11"/>
      <c r="QN113" s="11"/>
      <c r="QO113" s="11"/>
      <c r="QP113" s="11"/>
      <c r="QQ113" s="11"/>
      <c r="QR113" s="11"/>
      <c r="QS113" s="11"/>
      <c r="QT113" s="11"/>
      <c r="QU113" s="11"/>
      <c r="QV113" s="11"/>
      <c r="QW113" s="11"/>
      <c r="QX113" s="11"/>
      <c r="QY113" s="11"/>
      <c r="QZ113" s="11"/>
      <c r="RA113" s="11"/>
      <c r="RB113" s="11"/>
      <c r="RC113" s="11"/>
      <c r="RD113" s="11"/>
      <c r="RE113" s="11"/>
      <c r="RF113" s="11"/>
      <c r="RG113" s="11"/>
      <c r="RH113" s="11"/>
      <c r="RI113" s="11"/>
      <c r="RJ113" s="11"/>
      <c r="RK113" s="11"/>
      <c r="RL113" s="11"/>
      <c r="RM113" s="11"/>
      <c r="RN113" s="11"/>
      <c r="RO113" s="11"/>
      <c r="RP113" s="11"/>
      <c r="RQ113" s="11"/>
      <c r="RR113" s="11"/>
      <c r="RS113" s="11"/>
      <c r="RT113" s="11"/>
      <c r="RU113" s="11"/>
      <c r="RV113" s="11"/>
      <c r="RW113" s="11"/>
      <c r="RX113" s="11"/>
      <c r="RY113" s="11"/>
      <c r="RZ113" s="11"/>
      <c r="SA113" s="11"/>
      <c r="SB113" s="11"/>
      <c r="SC113" s="11"/>
      <c r="SD113" s="11"/>
      <c r="SE113" s="11"/>
      <c r="SF113" s="11"/>
      <c r="SG113" s="11"/>
      <c r="SH113" s="11"/>
      <c r="SI113" s="11"/>
      <c r="SJ113" s="11"/>
      <c r="SK113" s="11"/>
      <c r="SL113" s="11"/>
      <c r="SM113" s="11"/>
      <c r="SN113" s="11"/>
      <c r="SO113" s="11"/>
      <c r="SP113" s="11"/>
      <c r="SQ113" s="11"/>
      <c r="SR113" s="11"/>
      <c r="SS113" s="11"/>
      <c r="ST113" s="11"/>
      <c r="SU113" s="11"/>
      <c r="SV113" s="11"/>
      <c r="SW113" s="11"/>
      <c r="SX113" s="11"/>
      <c r="SY113" s="11"/>
      <c r="SZ113" s="11"/>
      <c r="TA113" s="11"/>
      <c r="TB113" s="11"/>
      <c r="TC113" s="11"/>
      <c r="TD113" s="11"/>
      <c r="TE113" s="11"/>
      <c r="TF113" s="11"/>
      <c r="TG113" s="11"/>
      <c r="TH113" s="11"/>
      <c r="TI113" s="11"/>
      <c r="TJ113" s="11"/>
      <c r="TK113" s="11"/>
      <c r="TL113" s="11"/>
      <c r="TM113" s="11"/>
      <c r="TN113" s="11"/>
      <c r="TO113" s="11"/>
      <c r="TP113" s="11"/>
      <c r="TQ113" s="11"/>
      <c r="TR113" s="11"/>
      <c r="TS113" s="11"/>
      <c r="TT113" s="11"/>
      <c r="TU113" s="11"/>
      <c r="TV113" s="11"/>
      <c r="TW113" s="11"/>
      <c r="TX113" s="11"/>
      <c r="TY113" s="11"/>
      <c r="TZ113" s="11"/>
      <c r="UA113" s="11"/>
      <c r="UB113" s="11"/>
      <c r="UC113" s="11"/>
      <c r="UD113" s="11"/>
      <c r="UE113" s="11"/>
      <c r="UF113" s="11"/>
      <c r="UG113" s="11"/>
      <c r="UH113" s="11"/>
      <c r="UI113" s="11"/>
      <c r="UJ113" s="11"/>
      <c r="UK113" s="11"/>
      <c r="UL113" s="11"/>
      <c r="UM113" s="11"/>
      <c r="UN113" s="11"/>
      <c r="UO113" s="11"/>
      <c r="UP113" s="11"/>
      <c r="UQ113" s="11"/>
      <c r="UR113" s="11"/>
      <c r="US113" s="11"/>
      <c r="UT113" s="11"/>
      <c r="UU113" s="11"/>
      <c r="UV113" s="11"/>
      <c r="UW113" s="11"/>
      <c r="UX113" s="11"/>
      <c r="UY113" s="11"/>
      <c r="UZ113" s="11"/>
      <c r="VA113" s="11"/>
      <c r="VB113" s="11"/>
      <c r="VC113" s="11"/>
      <c r="VD113" s="11"/>
      <c r="VE113" s="11"/>
      <c r="VF113" s="11"/>
      <c r="VG113" s="11"/>
      <c r="VH113" s="11"/>
      <c r="VI113" s="11"/>
      <c r="VJ113" s="11"/>
      <c r="VK113" s="11"/>
      <c r="VL113" s="11"/>
      <c r="VM113" s="11"/>
      <c r="VN113" s="11"/>
      <c r="VO113" s="11"/>
      <c r="VP113" s="11"/>
      <c r="VQ113" s="11"/>
      <c r="VR113" s="11"/>
      <c r="VS113" s="11"/>
      <c r="VT113" s="11"/>
      <c r="VU113" s="11"/>
      <c r="VV113" s="11"/>
      <c r="VW113" s="11"/>
      <c r="VX113" s="11"/>
      <c r="VY113" s="11"/>
      <c r="VZ113" s="11"/>
      <c r="WA113" s="11"/>
      <c r="WB113" s="11"/>
      <c r="WC113" s="11"/>
      <c r="WD113" s="11"/>
      <c r="WE113" s="11"/>
      <c r="WF113" s="11"/>
      <c r="WG113" s="11"/>
      <c r="WH113" s="11"/>
      <c r="WI113" s="11"/>
      <c r="WJ113" s="11"/>
      <c r="WK113" s="11"/>
      <c r="WL113" s="11"/>
      <c r="WM113" s="11"/>
      <c r="WN113" s="11"/>
      <c r="WO113" s="11"/>
      <c r="WP113" s="11"/>
      <c r="WQ113" s="11"/>
      <c r="WR113" s="11"/>
      <c r="WS113" s="11"/>
      <c r="WT113" s="11"/>
      <c r="WU113" s="11"/>
      <c r="WV113" s="11"/>
      <c r="WW113" s="11"/>
      <c r="WX113" s="11"/>
      <c r="WY113" s="11"/>
      <c r="WZ113" s="11"/>
      <c r="XA113" s="11"/>
      <c r="XB113" s="11"/>
      <c r="XC113" s="11"/>
      <c r="XD113" s="11"/>
      <c r="XE113" s="11"/>
      <c r="XF113" s="11"/>
      <c r="XG113" s="11"/>
      <c r="XH113" s="11"/>
      <c r="XI113" s="11"/>
      <c r="XJ113" s="11"/>
      <c r="XK113" s="11"/>
      <c r="XL113" s="11"/>
      <c r="XM113" s="11"/>
      <c r="XN113" s="11"/>
      <c r="XO113" s="11"/>
      <c r="XP113" s="11"/>
      <c r="XQ113" s="11"/>
      <c r="XR113" s="11"/>
      <c r="XS113" s="11"/>
      <c r="XT113" s="11"/>
      <c r="XU113" s="11"/>
      <c r="XV113" s="11"/>
      <c r="XW113" s="11"/>
      <c r="XX113" s="11"/>
      <c r="XY113" s="11"/>
      <c r="XZ113" s="11"/>
      <c r="YA113" s="11"/>
      <c r="YB113" s="11"/>
      <c r="YC113" s="11"/>
      <c r="YD113" s="11"/>
      <c r="YE113" s="11"/>
      <c r="YF113" s="11"/>
      <c r="YG113" s="11"/>
      <c r="YH113" s="11"/>
      <c r="YI113" s="11"/>
      <c r="YJ113" s="11"/>
      <c r="YK113" s="11"/>
      <c r="YL113" s="11"/>
      <c r="YM113" s="11"/>
      <c r="YN113" s="11"/>
      <c r="YO113" s="11"/>
      <c r="YP113" s="11"/>
      <c r="YQ113" s="11"/>
      <c r="YR113" s="11"/>
      <c r="YS113" s="11"/>
      <c r="YT113" s="11"/>
      <c r="YU113" s="11"/>
      <c r="YV113" s="11"/>
      <c r="YW113" s="11"/>
      <c r="YX113" s="11"/>
      <c r="YY113" s="11"/>
      <c r="YZ113" s="11"/>
      <c r="ZA113" s="11"/>
      <c r="ZB113" s="11"/>
      <c r="ZC113" s="11"/>
      <c r="ZD113" s="11"/>
      <c r="ZE113" s="11"/>
      <c r="ZF113" s="11"/>
      <c r="ZG113" s="11"/>
      <c r="ZH113" s="11"/>
      <c r="ZI113" s="11"/>
      <c r="ZJ113" s="11"/>
      <c r="ZK113" s="11"/>
      <c r="ZL113" s="11"/>
      <c r="ZM113" s="11"/>
      <c r="ZN113" s="11"/>
      <c r="ZO113" s="11"/>
      <c r="ZP113" s="11"/>
      <c r="ZQ113" s="11"/>
      <c r="ZR113" s="11"/>
      <c r="ZS113" s="11"/>
      <c r="ZT113" s="11"/>
      <c r="ZU113" s="11"/>
      <c r="ZV113" s="11"/>
      <c r="ZW113" s="11"/>
      <c r="ZX113" s="11"/>
      <c r="ZY113" s="11"/>
      <c r="ZZ113" s="11"/>
      <c r="AAA113" s="11"/>
      <c r="AAB113" s="11"/>
      <c r="AAC113" s="11"/>
      <c r="AAD113" s="11"/>
      <c r="AAE113" s="11"/>
      <c r="AAF113" s="11"/>
      <c r="AAG113" s="11"/>
      <c r="AAH113" s="11"/>
      <c r="AAI113" s="11"/>
      <c r="AAJ113" s="11"/>
      <c r="AAK113" s="11"/>
      <c r="AAL113" s="11"/>
      <c r="AAM113" s="11"/>
      <c r="AAN113" s="11"/>
      <c r="AAO113" s="11"/>
      <c r="AAP113" s="11"/>
      <c r="AAQ113" s="11"/>
      <c r="AAR113" s="11"/>
      <c r="AAS113" s="11"/>
      <c r="AAT113" s="11"/>
      <c r="AAU113" s="11"/>
      <c r="AAV113" s="11"/>
      <c r="AAW113" s="11"/>
      <c r="AAX113" s="11"/>
      <c r="AAY113" s="11"/>
      <c r="AAZ113" s="11"/>
      <c r="ABA113" s="11"/>
      <c r="ABB113" s="11"/>
      <c r="ABC113" s="11"/>
      <c r="ABD113" s="11"/>
      <c r="ABE113" s="11"/>
      <c r="ABF113" s="11"/>
      <c r="ABG113" s="11"/>
      <c r="ABH113" s="11"/>
      <c r="ABI113" s="11"/>
      <c r="ABJ113" s="11"/>
      <c r="ABK113" s="11"/>
      <c r="ABL113" s="11"/>
      <c r="ABM113" s="11"/>
      <c r="ABN113" s="11"/>
      <c r="ABO113" s="11"/>
      <c r="ABP113" s="11"/>
      <c r="ABQ113" s="11"/>
      <c r="ABR113" s="11"/>
      <c r="ABS113" s="11"/>
      <c r="ABT113" s="11"/>
      <c r="ABU113" s="11"/>
      <c r="ABV113" s="11"/>
      <c r="ABW113" s="11"/>
      <c r="ABX113" s="11"/>
      <c r="ABY113" s="11"/>
      <c r="ABZ113" s="11"/>
      <c r="ACA113" s="11"/>
      <c r="ACB113" s="11"/>
      <c r="ACC113" s="11"/>
      <c r="ACD113" s="11"/>
      <c r="ACE113" s="11"/>
      <c r="ACF113" s="11"/>
      <c r="ACG113" s="11"/>
      <c r="ACH113" s="11"/>
      <c r="ACI113" s="11"/>
      <c r="ACJ113" s="11"/>
      <c r="ACK113" s="11"/>
      <c r="ACL113" s="11"/>
      <c r="ACM113" s="11"/>
      <c r="ACN113" s="11"/>
      <c r="ACO113" s="11"/>
      <c r="ACP113" s="11"/>
      <c r="ACQ113" s="11"/>
      <c r="ACR113" s="11"/>
      <c r="ACS113" s="11"/>
      <c r="ACT113" s="11"/>
      <c r="ACU113" s="11"/>
      <c r="ACV113" s="11"/>
      <c r="ACW113" s="11"/>
      <c r="ACX113" s="11"/>
      <c r="ACY113" s="11"/>
      <c r="ACZ113" s="11"/>
      <c r="ADA113" s="11"/>
      <c r="ADB113" s="11"/>
      <c r="ADC113" s="11"/>
      <c r="ADD113" s="11"/>
      <c r="ADE113" s="11"/>
      <c r="ADF113" s="11"/>
      <c r="ADG113" s="11"/>
      <c r="ADH113" s="11"/>
      <c r="ADI113" s="11"/>
      <c r="ADJ113" s="11"/>
      <c r="ADK113" s="11"/>
      <c r="ADL113" s="11"/>
      <c r="ADM113" s="11"/>
      <c r="ADN113" s="11"/>
      <c r="ADO113" s="11"/>
      <c r="ADP113" s="11"/>
      <c r="ADQ113" s="11"/>
      <c r="ADR113" s="11"/>
      <c r="ADS113" s="11"/>
      <c r="ADT113" s="11"/>
      <c r="ADU113" s="11"/>
      <c r="ADV113" s="11"/>
      <c r="ADW113" s="11"/>
      <c r="ADX113" s="11"/>
      <c r="ADY113" s="11"/>
      <c r="ADZ113" s="11"/>
      <c r="AEA113" s="11"/>
      <c r="AEB113" s="11"/>
      <c r="AEC113" s="11"/>
      <c r="AED113" s="11"/>
      <c r="AEE113" s="11"/>
      <c r="AEF113" s="11"/>
      <c r="AEG113" s="11"/>
      <c r="AEH113" s="11"/>
      <c r="AEI113" s="11"/>
      <c r="AEJ113" s="11"/>
      <c r="AEK113" s="11"/>
      <c r="AEL113" s="11"/>
      <c r="AEM113" s="11"/>
      <c r="AEN113" s="11"/>
      <c r="AEO113" s="11"/>
      <c r="AEP113" s="11"/>
      <c r="AEQ113" s="11"/>
      <c r="AER113" s="11"/>
      <c r="AES113" s="11"/>
      <c r="AET113" s="11"/>
      <c r="AEU113" s="11"/>
      <c r="AEV113" s="11"/>
      <c r="AEW113" s="11"/>
      <c r="AEX113" s="11"/>
      <c r="AEY113" s="11"/>
      <c r="AEZ113" s="11"/>
      <c r="AFA113" s="11"/>
      <c r="AFB113" s="11"/>
      <c r="AFC113" s="11"/>
      <c r="AFD113" s="11"/>
      <c r="AFE113" s="11"/>
      <c r="AFF113" s="11"/>
      <c r="AFG113" s="11"/>
      <c r="AFH113" s="11"/>
      <c r="AFI113" s="11"/>
    </row>
    <row r="114" spans="2:841" ht="15" customHeight="1">
      <c r="B114" s="11"/>
      <c r="C114" s="246" t="s">
        <v>889</v>
      </c>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c r="IW114" s="11"/>
      <c r="IX114" s="11"/>
      <c r="IY114" s="11"/>
      <c r="IZ114" s="11"/>
      <c r="JA114" s="11"/>
      <c r="JB114" s="11"/>
      <c r="JC114" s="11"/>
      <c r="JD114" s="11"/>
      <c r="JE114" s="11"/>
      <c r="JF114" s="11"/>
      <c r="JG114" s="11"/>
      <c r="JH114" s="11"/>
      <c r="JI114" s="11"/>
      <c r="JJ114" s="11"/>
      <c r="JK114" s="11"/>
      <c r="JL114" s="11"/>
      <c r="JM114" s="11"/>
      <c r="JN114" s="11"/>
      <c r="JO114" s="11"/>
      <c r="JP114" s="11"/>
      <c r="JQ114" s="11"/>
      <c r="JR114" s="11"/>
      <c r="JS114" s="11"/>
      <c r="JT114" s="11"/>
      <c r="JU114" s="11"/>
      <c r="JV114" s="11"/>
      <c r="JW114" s="11"/>
      <c r="JX114" s="11"/>
      <c r="JY114" s="11"/>
      <c r="JZ114" s="11"/>
      <c r="KA114" s="11"/>
      <c r="KB114" s="11"/>
      <c r="KC114" s="11"/>
      <c r="KD114" s="11"/>
      <c r="KE114" s="11"/>
      <c r="KF114" s="11"/>
      <c r="KG114" s="11"/>
      <c r="KH114" s="11"/>
      <c r="KI114" s="11"/>
      <c r="KJ114" s="11"/>
      <c r="KK114" s="11"/>
      <c r="KL114" s="11"/>
      <c r="KM114" s="11"/>
      <c r="KN114" s="11"/>
      <c r="KO114" s="11"/>
      <c r="KP114" s="11"/>
      <c r="KQ114" s="11"/>
      <c r="KR114" s="11"/>
      <c r="KS114" s="11"/>
      <c r="KT114" s="11"/>
      <c r="KU114" s="11"/>
      <c r="KV114" s="11"/>
      <c r="KW114" s="11"/>
      <c r="KX114" s="11"/>
      <c r="KY114" s="11"/>
      <c r="KZ114" s="11"/>
      <c r="LA114" s="11"/>
      <c r="LB114" s="11"/>
      <c r="LC114" s="11"/>
      <c r="LD114" s="11"/>
      <c r="LE114" s="11"/>
      <c r="LF114" s="11"/>
      <c r="LG114" s="11"/>
      <c r="LH114" s="11"/>
      <c r="LI114" s="11"/>
      <c r="LJ114" s="11"/>
      <c r="LK114" s="11"/>
      <c r="LL114" s="11"/>
      <c r="LM114" s="11"/>
      <c r="LN114" s="11"/>
      <c r="LO114" s="11"/>
      <c r="LP114" s="11"/>
      <c r="LQ114" s="11"/>
      <c r="LR114" s="11"/>
      <c r="LS114" s="11"/>
      <c r="LT114" s="11"/>
      <c r="LU114" s="11"/>
      <c r="LV114" s="11"/>
      <c r="LW114" s="11"/>
      <c r="LX114" s="11"/>
      <c r="LY114" s="11"/>
      <c r="LZ114" s="11"/>
      <c r="MA114" s="11"/>
      <c r="MB114" s="11"/>
      <c r="MC114" s="11"/>
      <c r="MD114" s="11"/>
      <c r="ME114" s="11"/>
      <c r="MF114" s="11"/>
      <c r="MG114" s="11"/>
      <c r="MH114" s="11"/>
      <c r="MI114" s="11"/>
      <c r="MJ114" s="11"/>
      <c r="MK114" s="11"/>
      <c r="ML114" s="11"/>
      <c r="MM114" s="11"/>
      <c r="MN114" s="11"/>
      <c r="MO114" s="11"/>
      <c r="MP114" s="11"/>
      <c r="MQ114" s="11"/>
      <c r="MR114" s="11"/>
      <c r="MS114" s="11"/>
      <c r="MT114" s="11"/>
      <c r="MU114" s="11"/>
      <c r="MV114" s="11"/>
      <c r="MW114" s="11"/>
      <c r="MX114" s="11"/>
      <c r="MY114" s="11"/>
      <c r="MZ114" s="11"/>
      <c r="NA114" s="11"/>
      <c r="NB114" s="11"/>
      <c r="NC114" s="11"/>
      <c r="ND114" s="11"/>
      <c r="NE114" s="11"/>
      <c r="NF114" s="11"/>
      <c r="NG114" s="11"/>
      <c r="NH114" s="11"/>
      <c r="NI114" s="11"/>
      <c r="NJ114" s="11"/>
      <c r="NK114" s="11"/>
      <c r="NL114" s="11"/>
      <c r="NM114" s="11"/>
      <c r="NN114" s="11"/>
      <c r="NO114" s="11"/>
      <c r="NP114" s="11"/>
      <c r="NQ114" s="11"/>
      <c r="NR114" s="11"/>
      <c r="NS114" s="11"/>
      <c r="NT114" s="11"/>
      <c r="NU114" s="11"/>
      <c r="NV114" s="11"/>
      <c r="NW114" s="11"/>
      <c r="NX114" s="11"/>
      <c r="NY114" s="11"/>
      <c r="NZ114" s="11"/>
      <c r="OA114" s="11"/>
      <c r="OB114" s="11"/>
      <c r="OC114" s="11"/>
      <c r="OD114" s="11"/>
      <c r="OE114" s="11"/>
      <c r="OF114" s="11"/>
      <c r="OG114" s="11"/>
      <c r="OH114" s="11"/>
      <c r="OI114" s="11"/>
      <c r="OJ114" s="11"/>
      <c r="OK114" s="11"/>
      <c r="OL114" s="11"/>
      <c r="OM114" s="11"/>
      <c r="ON114" s="11"/>
      <c r="OO114" s="11"/>
      <c r="OP114" s="11"/>
      <c r="OQ114" s="11"/>
      <c r="OR114" s="11"/>
      <c r="OS114" s="11"/>
      <c r="OT114" s="11"/>
      <c r="OU114" s="11"/>
      <c r="OV114" s="11"/>
      <c r="OW114" s="11"/>
      <c r="OX114" s="11"/>
      <c r="OY114" s="11"/>
      <c r="OZ114" s="11"/>
      <c r="PA114" s="11"/>
      <c r="PB114" s="11"/>
      <c r="PC114" s="11"/>
      <c r="PD114" s="11"/>
      <c r="PE114" s="11"/>
      <c r="PF114" s="11"/>
      <c r="PG114" s="11"/>
      <c r="PH114" s="11"/>
      <c r="PI114" s="11"/>
      <c r="PJ114" s="11"/>
      <c r="PK114" s="11"/>
      <c r="PL114" s="11"/>
      <c r="PM114" s="11"/>
      <c r="PN114" s="11"/>
      <c r="PO114" s="11"/>
      <c r="PP114" s="11"/>
      <c r="PQ114" s="11"/>
      <c r="PR114" s="11"/>
      <c r="PS114" s="11"/>
      <c r="PT114" s="11"/>
      <c r="PU114" s="11"/>
      <c r="PV114" s="11"/>
      <c r="PW114" s="11"/>
      <c r="PX114" s="11"/>
      <c r="PY114" s="11"/>
      <c r="PZ114" s="11"/>
      <c r="QA114" s="11"/>
      <c r="QB114" s="11"/>
      <c r="QC114" s="11"/>
      <c r="QD114" s="11"/>
      <c r="QE114" s="11"/>
      <c r="QF114" s="11"/>
      <c r="QG114" s="11"/>
      <c r="QH114" s="11"/>
      <c r="QI114" s="11"/>
      <c r="QJ114" s="11"/>
      <c r="QK114" s="11"/>
      <c r="QL114" s="11"/>
      <c r="QM114" s="11"/>
      <c r="QN114" s="11"/>
      <c r="QO114" s="11"/>
      <c r="QP114" s="11"/>
      <c r="QQ114" s="11"/>
      <c r="QR114" s="11"/>
      <c r="QS114" s="11"/>
      <c r="QT114" s="11"/>
      <c r="QU114" s="11"/>
      <c r="QV114" s="11"/>
      <c r="QW114" s="11"/>
      <c r="QX114" s="11"/>
      <c r="QY114" s="11"/>
      <c r="QZ114" s="11"/>
      <c r="RA114" s="11"/>
      <c r="RB114" s="11"/>
      <c r="RC114" s="11"/>
      <c r="RD114" s="11"/>
      <c r="RE114" s="11"/>
      <c r="RF114" s="11"/>
      <c r="RG114" s="11"/>
      <c r="RH114" s="11"/>
      <c r="RI114" s="11"/>
      <c r="RJ114" s="11"/>
      <c r="RK114" s="11"/>
      <c r="RL114" s="11"/>
      <c r="RM114" s="11"/>
      <c r="RN114" s="11"/>
      <c r="RO114" s="11"/>
      <c r="RP114" s="11"/>
      <c r="RQ114" s="11"/>
      <c r="RR114" s="11"/>
      <c r="RS114" s="11"/>
      <c r="RT114" s="11"/>
      <c r="RU114" s="11"/>
      <c r="RV114" s="11"/>
      <c r="RW114" s="11"/>
      <c r="RX114" s="11"/>
      <c r="RY114" s="11"/>
      <c r="RZ114" s="11"/>
      <c r="SA114" s="11"/>
      <c r="SB114" s="11"/>
      <c r="SC114" s="11"/>
      <c r="SD114" s="11"/>
      <c r="SE114" s="11"/>
      <c r="SF114" s="11"/>
      <c r="SG114" s="11"/>
      <c r="SH114" s="11"/>
      <c r="SI114" s="11"/>
      <c r="SJ114" s="11"/>
      <c r="SK114" s="11"/>
      <c r="SL114" s="11"/>
      <c r="SM114" s="11"/>
      <c r="SN114" s="11"/>
      <c r="SO114" s="11"/>
      <c r="SP114" s="11"/>
      <c r="SQ114" s="11"/>
      <c r="SR114" s="11"/>
      <c r="SS114" s="11"/>
      <c r="ST114" s="11"/>
      <c r="SU114" s="11"/>
      <c r="SV114" s="11"/>
      <c r="SW114" s="11"/>
      <c r="SX114" s="11"/>
      <c r="SY114" s="11"/>
      <c r="SZ114" s="11"/>
      <c r="TA114" s="11"/>
      <c r="TB114" s="11"/>
      <c r="TC114" s="11"/>
      <c r="TD114" s="11"/>
      <c r="TE114" s="11"/>
      <c r="TF114" s="11"/>
      <c r="TG114" s="11"/>
      <c r="TH114" s="11"/>
      <c r="TI114" s="11"/>
      <c r="TJ114" s="11"/>
      <c r="TK114" s="11"/>
      <c r="TL114" s="11"/>
      <c r="TM114" s="11"/>
      <c r="TN114" s="11"/>
      <c r="TO114" s="11"/>
      <c r="TP114" s="11"/>
      <c r="TQ114" s="11"/>
      <c r="TR114" s="11"/>
      <c r="TS114" s="11"/>
      <c r="TT114" s="11"/>
      <c r="TU114" s="11"/>
      <c r="TV114" s="11"/>
      <c r="TW114" s="11"/>
      <c r="TX114" s="11"/>
      <c r="TY114" s="11"/>
      <c r="TZ114" s="11"/>
      <c r="UA114" s="11"/>
      <c r="UB114" s="11"/>
      <c r="UC114" s="11"/>
      <c r="UD114" s="11"/>
      <c r="UE114" s="11"/>
      <c r="UF114" s="11"/>
      <c r="UG114" s="11"/>
      <c r="UH114" s="11"/>
      <c r="UI114" s="11"/>
      <c r="UJ114" s="11"/>
      <c r="UK114" s="11"/>
      <c r="UL114" s="11"/>
      <c r="UM114" s="11"/>
      <c r="UN114" s="11"/>
      <c r="UO114" s="11"/>
      <c r="UP114" s="11"/>
      <c r="UQ114" s="11"/>
      <c r="UR114" s="11"/>
      <c r="US114" s="11"/>
      <c r="UT114" s="11"/>
      <c r="UU114" s="11"/>
      <c r="UV114" s="11"/>
      <c r="UW114" s="11"/>
      <c r="UX114" s="11"/>
      <c r="UY114" s="11"/>
      <c r="UZ114" s="11"/>
      <c r="VA114" s="11"/>
      <c r="VB114" s="11"/>
      <c r="VC114" s="11"/>
      <c r="VD114" s="11"/>
      <c r="VE114" s="11"/>
      <c r="VF114" s="11"/>
      <c r="VG114" s="11"/>
      <c r="VH114" s="11"/>
      <c r="VI114" s="11"/>
      <c r="VJ114" s="11"/>
      <c r="VK114" s="11"/>
      <c r="VL114" s="11"/>
      <c r="VM114" s="11"/>
      <c r="VN114" s="11"/>
      <c r="VO114" s="11"/>
      <c r="VP114" s="11"/>
      <c r="VQ114" s="11"/>
      <c r="VR114" s="11"/>
      <c r="VS114" s="11"/>
      <c r="VT114" s="11"/>
      <c r="VU114" s="11"/>
      <c r="VV114" s="11"/>
      <c r="VW114" s="11"/>
      <c r="VX114" s="11"/>
      <c r="VY114" s="11"/>
      <c r="VZ114" s="11"/>
      <c r="WA114" s="11"/>
      <c r="WB114" s="11"/>
      <c r="WC114" s="11"/>
      <c r="WD114" s="11"/>
      <c r="WE114" s="11"/>
      <c r="WF114" s="11"/>
      <c r="WG114" s="11"/>
      <c r="WH114" s="11"/>
      <c r="WI114" s="11"/>
      <c r="WJ114" s="11"/>
      <c r="WK114" s="11"/>
      <c r="WL114" s="11"/>
      <c r="WM114" s="11"/>
      <c r="WN114" s="11"/>
      <c r="WO114" s="11"/>
      <c r="WP114" s="11"/>
      <c r="WQ114" s="11"/>
      <c r="WR114" s="11"/>
      <c r="WS114" s="11"/>
      <c r="WT114" s="11"/>
      <c r="WU114" s="11"/>
      <c r="WV114" s="11"/>
      <c r="WW114" s="11"/>
      <c r="WX114" s="11"/>
      <c r="WY114" s="11"/>
      <c r="WZ114" s="11"/>
      <c r="XA114" s="11"/>
      <c r="XB114" s="11"/>
      <c r="XC114" s="11"/>
      <c r="XD114" s="11"/>
      <c r="XE114" s="11"/>
      <c r="XF114" s="11"/>
      <c r="XG114" s="11"/>
      <c r="XH114" s="11"/>
      <c r="XI114" s="11"/>
      <c r="XJ114" s="11"/>
      <c r="XK114" s="11"/>
      <c r="XL114" s="11"/>
      <c r="XM114" s="11"/>
      <c r="XN114" s="11"/>
      <c r="XO114" s="11"/>
      <c r="XP114" s="11"/>
      <c r="XQ114" s="11"/>
      <c r="XR114" s="11"/>
      <c r="XS114" s="11"/>
      <c r="XT114" s="11"/>
      <c r="XU114" s="11"/>
      <c r="XV114" s="11"/>
      <c r="XW114" s="11"/>
      <c r="XX114" s="11"/>
      <c r="XY114" s="11"/>
      <c r="XZ114" s="11"/>
      <c r="YA114" s="11"/>
      <c r="YB114" s="11"/>
      <c r="YC114" s="11"/>
      <c r="YD114" s="11"/>
      <c r="YE114" s="11"/>
      <c r="YF114" s="11"/>
      <c r="YG114" s="11"/>
      <c r="YH114" s="11"/>
      <c r="YI114" s="11"/>
      <c r="YJ114" s="11"/>
      <c r="YK114" s="11"/>
      <c r="YL114" s="11"/>
      <c r="YM114" s="11"/>
      <c r="YN114" s="11"/>
      <c r="YO114" s="11"/>
      <c r="YP114" s="11"/>
      <c r="YQ114" s="11"/>
      <c r="YR114" s="11"/>
      <c r="YS114" s="11"/>
      <c r="YT114" s="11"/>
      <c r="YU114" s="11"/>
      <c r="YV114" s="11"/>
      <c r="YW114" s="11"/>
      <c r="YX114" s="11"/>
      <c r="YY114" s="11"/>
      <c r="YZ114" s="11"/>
      <c r="ZA114" s="11"/>
      <c r="ZB114" s="11"/>
      <c r="ZC114" s="11"/>
      <c r="ZD114" s="11"/>
      <c r="ZE114" s="11"/>
      <c r="ZF114" s="11"/>
      <c r="ZG114" s="11"/>
      <c r="ZH114" s="11"/>
      <c r="ZI114" s="11"/>
      <c r="ZJ114" s="11"/>
      <c r="ZK114" s="11"/>
      <c r="ZL114" s="11"/>
      <c r="ZM114" s="11"/>
      <c r="ZN114" s="11"/>
      <c r="ZO114" s="11"/>
      <c r="ZP114" s="11"/>
      <c r="ZQ114" s="11"/>
      <c r="ZR114" s="11"/>
      <c r="ZS114" s="11"/>
      <c r="ZT114" s="11"/>
      <c r="ZU114" s="11"/>
      <c r="ZV114" s="11"/>
      <c r="ZW114" s="11"/>
      <c r="ZX114" s="11"/>
      <c r="ZY114" s="11"/>
      <c r="ZZ114" s="11"/>
      <c r="AAA114" s="11"/>
      <c r="AAB114" s="11"/>
      <c r="AAC114" s="11"/>
      <c r="AAD114" s="11"/>
      <c r="AAE114" s="11"/>
      <c r="AAF114" s="11"/>
      <c r="AAG114" s="11"/>
      <c r="AAH114" s="11"/>
      <c r="AAI114" s="11"/>
      <c r="AAJ114" s="11"/>
      <c r="AAK114" s="11"/>
      <c r="AAL114" s="11"/>
      <c r="AAM114" s="11"/>
      <c r="AAN114" s="11"/>
      <c r="AAO114" s="11"/>
      <c r="AAP114" s="11"/>
      <c r="AAQ114" s="11"/>
      <c r="AAR114" s="11"/>
      <c r="AAS114" s="11"/>
      <c r="AAT114" s="11"/>
      <c r="AAU114" s="11"/>
      <c r="AAV114" s="11"/>
      <c r="AAW114" s="11"/>
      <c r="AAX114" s="11"/>
      <c r="AAY114" s="11"/>
      <c r="AAZ114" s="11"/>
      <c r="ABA114" s="11"/>
      <c r="ABB114" s="11"/>
      <c r="ABC114" s="11"/>
      <c r="ABD114" s="11"/>
      <c r="ABE114" s="11"/>
      <c r="ABF114" s="11"/>
      <c r="ABG114" s="11"/>
      <c r="ABH114" s="11"/>
      <c r="ABI114" s="11"/>
      <c r="ABJ114" s="11"/>
      <c r="ABK114" s="11"/>
      <c r="ABL114" s="11"/>
      <c r="ABM114" s="11"/>
      <c r="ABN114" s="11"/>
      <c r="ABO114" s="11"/>
      <c r="ABP114" s="11"/>
      <c r="ABQ114" s="11"/>
      <c r="ABR114" s="11"/>
      <c r="ABS114" s="11"/>
      <c r="ABT114" s="11"/>
      <c r="ABU114" s="11"/>
      <c r="ABV114" s="11"/>
      <c r="ABW114" s="11"/>
      <c r="ABX114" s="11"/>
      <c r="ABY114" s="11"/>
      <c r="ABZ114" s="11"/>
      <c r="ACA114" s="11"/>
      <c r="ACB114" s="11"/>
      <c r="ACC114" s="11"/>
      <c r="ACD114" s="11"/>
      <c r="ACE114" s="11"/>
      <c r="ACF114" s="11"/>
      <c r="ACG114" s="11"/>
      <c r="ACH114" s="11"/>
      <c r="ACI114" s="11"/>
      <c r="ACJ114" s="11"/>
      <c r="ACK114" s="11"/>
      <c r="ACL114" s="11"/>
      <c r="ACM114" s="11"/>
      <c r="ACN114" s="11"/>
      <c r="ACO114" s="11"/>
      <c r="ACP114" s="11"/>
      <c r="ACQ114" s="11"/>
      <c r="ACR114" s="11"/>
      <c r="ACS114" s="11"/>
      <c r="ACT114" s="11"/>
      <c r="ACU114" s="11"/>
      <c r="ACV114" s="11"/>
      <c r="ACW114" s="11"/>
      <c r="ACX114" s="11"/>
      <c r="ACY114" s="11"/>
      <c r="ACZ114" s="11"/>
      <c r="ADA114" s="11"/>
      <c r="ADB114" s="11"/>
      <c r="ADC114" s="11"/>
      <c r="ADD114" s="11"/>
      <c r="ADE114" s="11"/>
      <c r="ADF114" s="11"/>
      <c r="ADG114" s="11"/>
      <c r="ADH114" s="11"/>
      <c r="ADI114" s="11"/>
      <c r="ADJ114" s="11"/>
      <c r="ADK114" s="11"/>
      <c r="ADL114" s="11"/>
      <c r="ADM114" s="11"/>
      <c r="ADN114" s="11"/>
      <c r="ADO114" s="11"/>
      <c r="ADP114" s="11"/>
      <c r="ADQ114" s="11"/>
      <c r="ADR114" s="11"/>
      <c r="ADS114" s="11"/>
      <c r="ADT114" s="11"/>
      <c r="ADU114" s="11"/>
      <c r="ADV114" s="11"/>
      <c r="ADW114" s="11"/>
      <c r="ADX114" s="11"/>
      <c r="ADY114" s="11"/>
      <c r="ADZ114" s="11"/>
      <c r="AEA114" s="11"/>
      <c r="AEB114" s="11"/>
      <c r="AEC114" s="11"/>
      <c r="AED114" s="11"/>
      <c r="AEE114" s="11"/>
      <c r="AEF114" s="11"/>
      <c r="AEG114" s="11"/>
      <c r="AEH114" s="11"/>
      <c r="AEI114" s="11"/>
      <c r="AEJ114" s="11"/>
      <c r="AEK114" s="11"/>
      <c r="AEL114" s="11"/>
      <c r="AEM114" s="11"/>
      <c r="AEN114" s="11"/>
      <c r="AEO114" s="11"/>
      <c r="AEP114" s="11"/>
      <c r="AEQ114" s="11"/>
      <c r="AER114" s="11"/>
      <c r="AES114" s="11"/>
      <c r="AET114" s="11"/>
      <c r="AEU114" s="11"/>
      <c r="AEV114" s="11"/>
      <c r="AEW114" s="11"/>
      <c r="AEX114" s="11"/>
      <c r="AEY114" s="11"/>
      <c r="AEZ114" s="11"/>
      <c r="AFA114" s="11"/>
      <c r="AFB114" s="11"/>
      <c r="AFC114" s="11"/>
      <c r="AFD114" s="11"/>
      <c r="AFE114" s="11"/>
      <c r="AFF114" s="11"/>
      <c r="AFG114" s="11"/>
      <c r="AFH114" s="11"/>
      <c r="AFI114" s="11"/>
    </row>
    <row r="115" spans="2:841" ht="15" customHeight="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c r="IV115" s="11"/>
      <c r="IW115" s="11"/>
      <c r="IX115" s="11"/>
      <c r="IY115" s="11"/>
      <c r="IZ115" s="11"/>
      <c r="JA115" s="11"/>
      <c r="JB115" s="11"/>
      <c r="JC115" s="11"/>
      <c r="JD115" s="11"/>
      <c r="JE115" s="11"/>
      <c r="JF115" s="11"/>
      <c r="JG115" s="11"/>
      <c r="JH115" s="11"/>
      <c r="JI115" s="11"/>
      <c r="JJ115" s="11"/>
      <c r="JK115" s="11"/>
      <c r="JL115" s="11"/>
      <c r="JM115" s="11"/>
      <c r="JN115" s="11"/>
      <c r="JO115" s="11"/>
      <c r="JP115" s="11"/>
      <c r="JQ115" s="11"/>
      <c r="JR115" s="11"/>
      <c r="JS115" s="11"/>
      <c r="JT115" s="11"/>
      <c r="JU115" s="11"/>
      <c r="JV115" s="11"/>
      <c r="JW115" s="11"/>
      <c r="JX115" s="11"/>
      <c r="JY115" s="11"/>
      <c r="JZ115" s="11"/>
      <c r="KA115" s="11"/>
      <c r="KB115" s="11"/>
      <c r="KC115" s="11"/>
      <c r="KD115" s="11"/>
      <c r="KE115" s="11"/>
      <c r="KF115" s="11"/>
      <c r="KG115" s="11"/>
      <c r="KH115" s="11"/>
      <c r="KI115" s="11"/>
      <c r="KJ115" s="11"/>
      <c r="KK115" s="11"/>
      <c r="KL115" s="11"/>
      <c r="KM115" s="11"/>
      <c r="KN115" s="11"/>
      <c r="KO115" s="11"/>
      <c r="KP115" s="11"/>
      <c r="KQ115" s="11"/>
      <c r="KR115" s="11"/>
      <c r="KS115" s="11"/>
      <c r="KT115" s="11"/>
      <c r="KU115" s="11"/>
      <c r="KV115" s="11"/>
      <c r="KW115" s="11"/>
      <c r="KX115" s="11"/>
      <c r="KY115" s="11"/>
      <c r="KZ115" s="11"/>
      <c r="LA115" s="11"/>
      <c r="LB115" s="11"/>
      <c r="LC115" s="11"/>
      <c r="LD115" s="11"/>
      <c r="LE115" s="11"/>
      <c r="LF115" s="11"/>
      <c r="LG115" s="11"/>
      <c r="LH115" s="11"/>
      <c r="LI115" s="11"/>
      <c r="LJ115" s="11"/>
      <c r="LK115" s="11"/>
      <c r="LL115" s="11"/>
      <c r="LM115" s="11"/>
      <c r="LN115" s="11"/>
      <c r="LO115" s="11"/>
      <c r="LP115" s="11"/>
      <c r="LQ115" s="11"/>
      <c r="LR115" s="11"/>
      <c r="LS115" s="11"/>
      <c r="LT115" s="11"/>
      <c r="LU115" s="11"/>
      <c r="LV115" s="11"/>
      <c r="LW115" s="11"/>
      <c r="LX115" s="11"/>
      <c r="LY115" s="11"/>
      <c r="LZ115" s="11"/>
      <c r="MA115" s="11"/>
      <c r="MB115" s="11"/>
      <c r="MC115" s="11"/>
      <c r="MD115" s="11"/>
      <c r="ME115" s="11"/>
      <c r="MF115" s="11"/>
      <c r="MG115" s="11"/>
      <c r="MH115" s="11"/>
      <c r="MI115" s="11"/>
      <c r="MJ115" s="11"/>
      <c r="MK115" s="11"/>
      <c r="ML115" s="11"/>
      <c r="MM115" s="11"/>
      <c r="MN115" s="11"/>
      <c r="MO115" s="11"/>
      <c r="MP115" s="11"/>
      <c r="MQ115" s="11"/>
      <c r="MR115" s="11"/>
      <c r="MS115" s="11"/>
      <c r="MT115" s="11"/>
      <c r="MU115" s="11"/>
      <c r="MV115" s="11"/>
      <c r="MW115" s="11"/>
      <c r="MX115" s="11"/>
      <c r="MY115" s="11"/>
      <c r="MZ115" s="11"/>
      <c r="NA115" s="11"/>
      <c r="NB115" s="11"/>
      <c r="NC115" s="11"/>
      <c r="ND115" s="11"/>
      <c r="NE115" s="11"/>
      <c r="NF115" s="11"/>
      <c r="NG115" s="11"/>
      <c r="NH115" s="11"/>
      <c r="NI115" s="11"/>
      <c r="NJ115" s="11"/>
      <c r="NK115" s="11"/>
      <c r="NL115" s="11"/>
      <c r="NM115" s="11"/>
      <c r="NN115" s="11"/>
      <c r="NO115" s="11"/>
      <c r="NP115" s="11"/>
      <c r="NQ115" s="11"/>
      <c r="NR115" s="11"/>
      <c r="NS115" s="11"/>
      <c r="NT115" s="11"/>
      <c r="NU115" s="11"/>
      <c r="NV115" s="11"/>
      <c r="NW115" s="11"/>
      <c r="NX115" s="11"/>
      <c r="NY115" s="11"/>
      <c r="NZ115" s="11"/>
      <c r="OA115" s="11"/>
      <c r="OB115" s="11"/>
      <c r="OC115" s="11"/>
      <c r="OD115" s="11"/>
      <c r="OE115" s="11"/>
      <c r="OF115" s="11"/>
      <c r="OG115" s="11"/>
      <c r="OH115" s="11"/>
      <c r="OI115" s="11"/>
      <c r="OJ115" s="11"/>
      <c r="OK115" s="11"/>
      <c r="OL115" s="11"/>
      <c r="OM115" s="11"/>
      <c r="ON115" s="11"/>
      <c r="OO115" s="11"/>
      <c r="OP115" s="11"/>
      <c r="OQ115" s="11"/>
      <c r="OR115" s="11"/>
      <c r="OS115" s="11"/>
      <c r="OT115" s="11"/>
      <c r="OU115" s="11"/>
      <c r="OV115" s="11"/>
      <c r="OW115" s="11"/>
      <c r="OX115" s="11"/>
      <c r="OY115" s="11"/>
      <c r="OZ115" s="11"/>
      <c r="PA115" s="11"/>
      <c r="PB115" s="11"/>
      <c r="PC115" s="11"/>
      <c r="PD115" s="11"/>
      <c r="PE115" s="11"/>
      <c r="PF115" s="11"/>
      <c r="PG115" s="11"/>
      <c r="PH115" s="11"/>
      <c r="PI115" s="11"/>
      <c r="PJ115" s="11"/>
      <c r="PK115" s="11"/>
      <c r="PL115" s="11"/>
      <c r="PM115" s="11"/>
      <c r="PN115" s="11"/>
      <c r="PO115" s="11"/>
      <c r="PP115" s="11"/>
      <c r="PQ115" s="11"/>
      <c r="PR115" s="11"/>
      <c r="PS115" s="11"/>
      <c r="PT115" s="11"/>
      <c r="PU115" s="11"/>
      <c r="PV115" s="11"/>
      <c r="PW115" s="11"/>
      <c r="PX115" s="11"/>
      <c r="PY115" s="11"/>
      <c r="PZ115" s="11"/>
      <c r="QA115" s="11"/>
      <c r="QB115" s="11"/>
      <c r="QC115" s="11"/>
      <c r="QD115" s="11"/>
      <c r="QE115" s="11"/>
      <c r="QF115" s="11"/>
      <c r="QG115" s="11"/>
      <c r="QH115" s="11"/>
      <c r="QI115" s="11"/>
      <c r="QJ115" s="11"/>
      <c r="QK115" s="11"/>
      <c r="QL115" s="11"/>
      <c r="QM115" s="11"/>
      <c r="QN115" s="11"/>
      <c r="QO115" s="11"/>
      <c r="QP115" s="11"/>
      <c r="QQ115" s="11"/>
      <c r="QR115" s="11"/>
      <c r="QS115" s="11"/>
      <c r="QT115" s="11"/>
      <c r="QU115" s="11"/>
      <c r="QV115" s="11"/>
      <c r="QW115" s="11"/>
      <c r="QX115" s="11"/>
      <c r="QY115" s="11"/>
      <c r="QZ115" s="11"/>
      <c r="RA115" s="11"/>
      <c r="RB115" s="11"/>
      <c r="RC115" s="11"/>
      <c r="RD115" s="11"/>
      <c r="RE115" s="11"/>
      <c r="RF115" s="11"/>
      <c r="RG115" s="11"/>
      <c r="RH115" s="11"/>
      <c r="RI115" s="11"/>
      <c r="RJ115" s="11"/>
      <c r="RK115" s="11"/>
      <c r="RL115" s="11"/>
      <c r="RM115" s="11"/>
      <c r="RN115" s="11"/>
      <c r="RO115" s="11"/>
      <c r="RP115" s="11"/>
      <c r="RQ115" s="11"/>
      <c r="RR115" s="11"/>
      <c r="RS115" s="11"/>
      <c r="RT115" s="11"/>
      <c r="RU115" s="11"/>
      <c r="RV115" s="11"/>
      <c r="RW115" s="11"/>
      <c r="RX115" s="11"/>
      <c r="RY115" s="11"/>
      <c r="RZ115" s="11"/>
      <c r="SA115" s="11"/>
      <c r="SB115" s="11"/>
      <c r="SC115" s="11"/>
      <c r="SD115" s="11"/>
      <c r="SE115" s="11"/>
      <c r="SF115" s="11"/>
      <c r="SG115" s="11"/>
      <c r="SH115" s="11"/>
      <c r="SI115" s="11"/>
      <c r="SJ115" s="11"/>
      <c r="SK115" s="11"/>
      <c r="SL115" s="11"/>
      <c r="SM115" s="11"/>
      <c r="SN115" s="11"/>
      <c r="SO115" s="11"/>
      <c r="SP115" s="11"/>
      <c r="SQ115" s="11"/>
      <c r="SR115" s="11"/>
      <c r="SS115" s="11"/>
      <c r="ST115" s="11"/>
      <c r="SU115" s="11"/>
      <c r="SV115" s="11"/>
      <c r="SW115" s="11"/>
      <c r="SX115" s="11"/>
      <c r="SY115" s="11"/>
      <c r="SZ115" s="11"/>
      <c r="TA115" s="11"/>
      <c r="TB115" s="11"/>
      <c r="TC115" s="11"/>
      <c r="TD115" s="11"/>
      <c r="TE115" s="11"/>
      <c r="TF115" s="11"/>
      <c r="TG115" s="11"/>
      <c r="TH115" s="11"/>
      <c r="TI115" s="11"/>
      <c r="TJ115" s="11"/>
      <c r="TK115" s="11"/>
      <c r="TL115" s="11"/>
      <c r="TM115" s="11"/>
      <c r="TN115" s="11"/>
      <c r="TO115" s="11"/>
      <c r="TP115" s="11"/>
      <c r="TQ115" s="11"/>
      <c r="TR115" s="11"/>
      <c r="TS115" s="11"/>
      <c r="TT115" s="11"/>
      <c r="TU115" s="11"/>
      <c r="TV115" s="11"/>
      <c r="TW115" s="11"/>
      <c r="TX115" s="11"/>
      <c r="TY115" s="11"/>
      <c r="TZ115" s="11"/>
      <c r="UA115" s="11"/>
      <c r="UB115" s="11"/>
      <c r="UC115" s="11"/>
      <c r="UD115" s="11"/>
      <c r="UE115" s="11"/>
      <c r="UF115" s="11"/>
      <c r="UG115" s="11"/>
      <c r="UH115" s="11"/>
      <c r="UI115" s="11"/>
      <c r="UJ115" s="11"/>
      <c r="UK115" s="11"/>
      <c r="UL115" s="11"/>
      <c r="UM115" s="11"/>
      <c r="UN115" s="11"/>
      <c r="UO115" s="11"/>
      <c r="UP115" s="11"/>
      <c r="UQ115" s="11"/>
      <c r="UR115" s="11"/>
      <c r="US115" s="11"/>
      <c r="UT115" s="11"/>
      <c r="UU115" s="11"/>
      <c r="UV115" s="11"/>
      <c r="UW115" s="11"/>
      <c r="UX115" s="11"/>
      <c r="UY115" s="11"/>
      <c r="UZ115" s="11"/>
      <c r="VA115" s="11"/>
      <c r="VB115" s="11"/>
      <c r="VC115" s="11"/>
      <c r="VD115" s="11"/>
      <c r="VE115" s="11"/>
      <c r="VF115" s="11"/>
      <c r="VG115" s="11"/>
      <c r="VH115" s="11"/>
      <c r="VI115" s="11"/>
      <c r="VJ115" s="11"/>
      <c r="VK115" s="11"/>
      <c r="VL115" s="11"/>
      <c r="VM115" s="11"/>
      <c r="VN115" s="11"/>
      <c r="VO115" s="11"/>
      <c r="VP115" s="11"/>
      <c r="VQ115" s="11"/>
      <c r="VR115" s="11"/>
      <c r="VS115" s="11"/>
      <c r="VT115" s="11"/>
      <c r="VU115" s="11"/>
      <c r="VV115" s="11"/>
      <c r="VW115" s="11"/>
      <c r="VX115" s="11"/>
      <c r="VY115" s="11"/>
      <c r="VZ115" s="11"/>
      <c r="WA115" s="11"/>
      <c r="WB115" s="11"/>
      <c r="WC115" s="11"/>
      <c r="WD115" s="11"/>
      <c r="WE115" s="11"/>
      <c r="WF115" s="11"/>
      <c r="WG115" s="11"/>
      <c r="WH115" s="11"/>
      <c r="WI115" s="11"/>
      <c r="WJ115" s="11"/>
      <c r="WK115" s="11"/>
      <c r="WL115" s="11"/>
      <c r="WM115" s="11"/>
      <c r="WN115" s="11"/>
      <c r="WO115" s="11"/>
      <c r="WP115" s="11"/>
      <c r="WQ115" s="11"/>
      <c r="WR115" s="11"/>
      <c r="WS115" s="11"/>
      <c r="WT115" s="11"/>
      <c r="WU115" s="11"/>
      <c r="WV115" s="11"/>
      <c r="WW115" s="11"/>
      <c r="WX115" s="11"/>
      <c r="WY115" s="11"/>
      <c r="WZ115" s="11"/>
      <c r="XA115" s="11"/>
      <c r="XB115" s="11"/>
      <c r="XC115" s="11"/>
      <c r="XD115" s="11"/>
      <c r="XE115" s="11"/>
      <c r="XF115" s="11"/>
      <c r="XG115" s="11"/>
      <c r="XH115" s="11"/>
      <c r="XI115" s="11"/>
      <c r="XJ115" s="11"/>
      <c r="XK115" s="11"/>
      <c r="XL115" s="11"/>
      <c r="XM115" s="11"/>
      <c r="XN115" s="11"/>
      <c r="XO115" s="11"/>
      <c r="XP115" s="11"/>
      <c r="XQ115" s="11"/>
      <c r="XR115" s="11"/>
      <c r="XS115" s="11"/>
      <c r="XT115" s="11"/>
      <c r="XU115" s="11"/>
      <c r="XV115" s="11"/>
      <c r="XW115" s="11"/>
      <c r="XX115" s="11"/>
      <c r="XY115" s="11"/>
      <c r="XZ115" s="11"/>
      <c r="YA115" s="11"/>
      <c r="YB115" s="11"/>
      <c r="YC115" s="11"/>
      <c r="YD115" s="11"/>
      <c r="YE115" s="11"/>
      <c r="YF115" s="11"/>
      <c r="YG115" s="11"/>
      <c r="YH115" s="11"/>
      <c r="YI115" s="11"/>
      <c r="YJ115" s="11"/>
      <c r="YK115" s="11"/>
      <c r="YL115" s="11"/>
      <c r="YM115" s="11"/>
      <c r="YN115" s="11"/>
      <c r="YO115" s="11"/>
      <c r="YP115" s="11"/>
      <c r="YQ115" s="11"/>
      <c r="YR115" s="11"/>
      <c r="YS115" s="11"/>
      <c r="YT115" s="11"/>
      <c r="YU115" s="11"/>
      <c r="YV115" s="11"/>
      <c r="YW115" s="11"/>
      <c r="YX115" s="11"/>
      <c r="YY115" s="11"/>
      <c r="YZ115" s="11"/>
      <c r="ZA115" s="11"/>
      <c r="ZB115" s="11"/>
      <c r="ZC115" s="11"/>
      <c r="ZD115" s="11"/>
      <c r="ZE115" s="11"/>
      <c r="ZF115" s="11"/>
      <c r="ZG115" s="11"/>
      <c r="ZH115" s="11"/>
      <c r="ZI115" s="11"/>
      <c r="ZJ115" s="11"/>
      <c r="ZK115" s="11"/>
      <c r="ZL115" s="11"/>
      <c r="ZM115" s="11"/>
      <c r="ZN115" s="11"/>
      <c r="ZO115" s="11"/>
      <c r="ZP115" s="11"/>
      <c r="ZQ115" s="11"/>
      <c r="ZR115" s="11"/>
      <c r="ZS115" s="11"/>
      <c r="ZT115" s="11"/>
      <c r="ZU115" s="11"/>
      <c r="ZV115" s="11"/>
      <c r="ZW115" s="11"/>
      <c r="ZX115" s="11"/>
      <c r="ZY115" s="11"/>
      <c r="ZZ115" s="11"/>
      <c r="AAA115" s="11"/>
      <c r="AAB115" s="11"/>
      <c r="AAC115" s="11"/>
      <c r="AAD115" s="11"/>
      <c r="AAE115" s="11"/>
      <c r="AAF115" s="11"/>
      <c r="AAG115" s="11"/>
      <c r="AAH115" s="11"/>
      <c r="AAI115" s="11"/>
      <c r="AAJ115" s="11"/>
      <c r="AAK115" s="11"/>
      <c r="AAL115" s="11"/>
      <c r="AAM115" s="11"/>
      <c r="AAN115" s="11"/>
      <c r="AAO115" s="11"/>
      <c r="AAP115" s="11"/>
      <c r="AAQ115" s="11"/>
      <c r="AAR115" s="11"/>
      <c r="AAS115" s="11"/>
      <c r="AAT115" s="11"/>
      <c r="AAU115" s="11"/>
      <c r="AAV115" s="11"/>
      <c r="AAW115" s="11"/>
      <c r="AAX115" s="11"/>
      <c r="AAY115" s="11"/>
      <c r="AAZ115" s="11"/>
      <c r="ABA115" s="11"/>
      <c r="ABB115" s="11"/>
      <c r="ABC115" s="11"/>
      <c r="ABD115" s="11"/>
      <c r="ABE115" s="11"/>
      <c r="ABF115" s="11"/>
      <c r="ABG115" s="11"/>
      <c r="ABH115" s="11"/>
      <c r="ABI115" s="11"/>
      <c r="ABJ115" s="11"/>
      <c r="ABK115" s="11"/>
      <c r="ABL115" s="11"/>
      <c r="ABM115" s="11"/>
      <c r="ABN115" s="11"/>
      <c r="ABO115" s="11"/>
      <c r="ABP115" s="11"/>
      <c r="ABQ115" s="11"/>
      <c r="ABR115" s="11"/>
      <c r="ABS115" s="11"/>
      <c r="ABT115" s="11"/>
      <c r="ABU115" s="11"/>
      <c r="ABV115" s="11"/>
      <c r="ABW115" s="11"/>
      <c r="ABX115" s="11"/>
      <c r="ABY115" s="11"/>
      <c r="ABZ115" s="11"/>
      <c r="ACA115" s="11"/>
      <c r="ACB115" s="11"/>
      <c r="ACC115" s="11"/>
      <c r="ACD115" s="11"/>
      <c r="ACE115" s="11"/>
      <c r="ACF115" s="11"/>
      <c r="ACG115" s="11"/>
      <c r="ACH115" s="11"/>
      <c r="ACI115" s="11"/>
      <c r="ACJ115" s="11"/>
      <c r="ACK115" s="11"/>
      <c r="ACL115" s="11"/>
      <c r="ACM115" s="11"/>
      <c r="ACN115" s="11"/>
      <c r="ACO115" s="11"/>
      <c r="ACP115" s="11"/>
      <c r="ACQ115" s="11"/>
      <c r="ACR115" s="11"/>
      <c r="ACS115" s="11"/>
      <c r="ACT115" s="11"/>
      <c r="ACU115" s="11"/>
      <c r="ACV115" s="11"/>
      <c r="ACW115" s="11"/>
      <c r="ACX115" s="11"/>
      <c r="ACY115" s="11"/>
      <c r="ACZ115" s="11"/>
      <c r="ADA115" s="11"/>
      <c r="ADB115" s="11"/>
      <c r="ADC115" s="11"/>
      <c r="ADD115" s="11"/>
      <c r="ADE115" s="11"/>
      <c r="ADF115" s="11"/>
      <c r="ADG115" s="11"/>
      <c r="ADH115" s="11"/>
      <c r="ADI115" s="11"/>
      <c r="ADJ115" s="11"/>
      <c r="ADK115" s="11"/>
      <c r="ADL115" s="11"/>
      <c r="ADM115" s="11"/>
      <c r="ADN115" s="11"/>
      <c r="ADO115" s="11"/>
      <c r="ADP115" s="11"/>
      <c r="ADQ115" s="11"/>
      <c r="ADR115" s="11"/>
      <c r="ADS115" s="11"/>
      <c r="ADT115" s="11"/>
      <c r="ADU115" s="11"/>
      <c r="ADV115" s="11"/>
      <c r="ADW115" s="11"/>
      <c r="ADX115" s="11"/>
      <c r="ADY115" s="11"/>
      <c r="ADZ115" s="11"/>
      <c r="AEA115" s="11"/>
      <c r="AEB115" s="11"/>
      <c r="AEC115" s="11"/>
      <c r="AED115" s="11"/>
      <c r="AEE115" s="11"/>
      <c r="AEF115" s="11"/>
      <c r="AEG115" s="11"/>
      <c r="AEH115" s="11"/>
      <c r="AEI115" s="11"/>
      <c r="AEJ115" s="11"/>
      <c r="AEK115" s="11"/>
      <c r="AEL115" s="11"/>
      <c r="AEM115" s="11"/>
      <c r="AEN115" s="11"/>
      <c r="AEO115" s="11"/>
      <c r="AEP115" s="11"/>
      <c r="AEQ115" s="11"/>
      <c r="AER115" s="11"/>
      <c r="AES115" s="11"/>
      <c r="AET115" s="11"/>
      <c r="AEU115" s="11"/>
      <c r="AEV115" s="11"/>
      <c r="AEW115" s="11"/>
      <c r="AEX115" s="11"/>
      <c r="AEY115" s="11"/>
      <c r="AEZ115" s="11"/>
      <c r="AFA115" s="11"/>
      <c r="AFB115" s="11"/>
      <c r="AFC115" s="11"/>
      <c r="AFD115" s="11"/>
      <c r="AFE115" s="11"/>
      <c r="AFF115" s="11"/>
      <c r="AFG115" s="11"/>
      <c r="AFH115" s="11"/>
      <c r="AFI115" s="11"/>
    </row>
    <row r="116" spans="2:841" ht="15" customHeight="1">
      <c r="B116" s="11"/>
      <c r="C116" s="11"/>
      <c r="D116" s="11"/>
      <c r="E116" s="500" t="s">
        <v>23</v>
      </c>
      <c r="F116" s="501"/>
      <c r="G116" s="502"/>
      <c r="H116" s="496" t="s">
        <v>31</v>
      </c>
      <c r="I116" s="497"/>
      <c r="J116" s="498"/>
      <c r="K116" s="496" t="s">
        <v>36</v>
      </c>
      <c r="L116" s="497"/>
      <c r="M116" s="498"/>
      <c r="N116" s="496" t="s">
        <v>39</v>
      </c>
      <c r="O116" s="497"/>
      <c r="P116" s="498"/>
      <c r="Q116" s="496" t="s">
        <v>42</v>
      </c>
      <c r="R116" s="497"/>
      <c r="S116" s="498"/>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c r="IW116" s="11"/>
      <c r="IX116" s="11"/>
      <c r="IY116" s="11"/>
      <c r="IZ116" s="11"/>
      <c r="JA116" s="11"/>
      <c r="JB116" s="11"/>
      <c r="JC116" s="11"/>
      <c r="JD116" s="11"/>
      <c r="JE116" s="11"/>
      <c r="JF116" s="11"/>
      <c r="JG116" s="11"/>
      <c r="JH116" s="11"/>
      <c r="JI116" s="11"/>
      <c r="JJ116" s="11"/>
      <c r="JK116" s="11"/>
      <c r="JL116" s="11"/>
      <c r="JM116" s="11"/>
      <c r="JN116" s="11"/>
      <c r="JO116" s="11"/>
      <c r="JP116" s="11"/>
      <c r="JQ116" s="11"/>
      <c r="JR116" s="11"/>
      <c r="JS116" s="11"/>
      <c r="JT116" s="11"/>
      <c r="JU116" s="11"/>
      <c r="JV116" s="11"/>
      <c r="JW116" s="11"/>
      <c r="JX116" s="11"/>
      <c r="JY116" s="11"/>
      <c r="JZ116" s="11"/>
      <c r="KA116" s="11"/>
      <c r="KB116" s="11"/>
      <c r="KC116" s="11"/>
      <c r="KD116" s="11"/>
      <c r="KE116" s="11"/>
      <c r="KF116" s="11"/>
      <c r="KG116" s="11"/>
      <c r="KH116" s="11"/>
      <c r="KI116" s="11"/>
      <c r="KJ116" s="11"/>
      <c r="KK116" s="11"/>
      <c r="KL116" s="11"/>
      <c r="KM116" s="11"/>
      <c r="KN116" s="11"/>
      <c r="KO116" s="11"/>
      <c r="KP116" s="11"/>
      <c r="KQ116" s="11"/>
      <c r="KR116" s="11"/>
      <c r="KS116" s="11"/>
      <c r="KT116" s="11"/>
      <c r="KU116" s="11"/>
      <c r="KV116" s="11"/>
      <c r="KW116" s="11"/>
      <c r="KX116" s="11"/>
      <c r="KY116" s="11"/>
      <c r="KZ116" s="11"/>
      <c r="LA116" s="11"/>
      <c r="LB116" s="11"/>
      <c r="LC116" s="11"/>
      <c r="LD116" s="11"/>
      <c r="LE116" s="11"/>
      <c r="LF116" s="11"/>
      <c r="LG116" s="11"/>
      <c r="LH116" s="11"/>
      <c r="LI116" s="11"/>
      <c r="LJ116" s="11"/>
      <c r="LK116" s="11"/>
      <c r="LL116" s="11"/>
      <c r="LM116" s="11"/>
      <c r="LN116" s="11"/>
      <c r="LO116" s="11"/>
      <c r="LP116" s="11"/>
      <c r="LQ116" s="11"/>
      <c r="LR116" s="11"/>
      <c r="LS116" s="11"/>
      <c r="LT116" s="11"/>
      <c r="LU116" s="11"/>
      <c r="LV116" s="11"/>
      <c r="LW116" s="11"/>
      <c r="LX116" s="11"/>
      <c r="LY116" s="11"/>
      <c r="LZ116" s="11"/>
      <c r="MA116" s="11"/>
      <c r="MB116" s="11"/>
      <c r="MC116" s="11"/>
      <c r="MD116" s="11"/>
      <c r="ME116" s="11"/>
      <c r="MF116" s="11"/>
      <c r="MG116" s="11"/>
      <c r="MH116" s="11"/>
      <c r="MI116" s="11"/>
      <c r="MJ116" s="11"/>
      <c r="MK116" s="11"/>
      <c r="ML116" s="11"/>
      <c r="MM116" s="11"/>
      <c r="MN116" s="11"/>
      <c r="MO116" s="11"/>
      <c r="MP116" s="11"/>
      <c r="MQ116" s="11"/>
      <c r="MR116" s="11"/>
      <c r="MS116" s="11"/>
      <c r="MT116" s="11"/>
      <c r="MU116" s="11"/>
      <c r="MV116" s="11"/>
      <c r="MW116" s="11"/>
      <c r="MX116" s="11"/>
      <c r="MY116" s="11"/>
      <c r="MZ116" s="11"/>
      <c r="NA116" s="11"/>
      <c r="NB116" s="11"/>
      <c r="NC116" s="11"/>
      <c r="ND116" s="11"/>
      <c r="NE116" s="11"/>
      <c r="NF116" s="11"/>
      <c r="NG116" s="11"/>
      <c r="NH116" s="11"/>
      <c r="NI116" s="11"/>
      <c r="NJ116" s="11"/>
      <c r="NK116" s="11"/>
      <c r="NL116" s="11"/>
      <c r="NM116" s="11"/>
      <c r="NN116" s="11"/>
      <c r="NO116" s="11"/>
      <c r="NP116" s="11"/>
      <c r="NQ116" s="11"/>
      <c r="NR116" s="11"/>
      <c r="NS116" s="11"/>
      <c r="NT116" s="11"/>
      <c r="NU116" s="11"/>
      <c r="NV116" s="11"/>
      <c r="NW116" s="11"/>
      <c r="NX116" s="11"/>
      <c r="NY116" s="11"/>
      <c r="NZ116" s="11"/>
      <c r="OA116" s="11"/>
      <c r="OB116" s="11"/>
      <c r="OC116" s="11"/>
      <c r="OD116" s="11"/>
      <c r="OE116" s="11"/>
      <c r="OF116" s="11"/>
      <c r="OG116" s="11"/>
      <c r="OH116" s="11"/>
      <c r="OI116" s="11"/>
      <c r="OJ116" s="11"/>
      <c r="OK116" s="11"/>
      <c r="OL116" s="11"/>
      <c r="OM116" s="11"/>
      <c r="ON116" s="11"/>
      <c r="OO116" s="11"/>
      <c r="OP116" s="11"/>
      <c r="OQ116" s="11"/>
      <c r="OR116" s="11"/>
      <c r="OS116" s="11"/>
      <c r="OT116" s="11"/>
      <c r="OU116" s="11"/>
      <c r="OV116" s="11"/>
      <c r="OW116" s="11"/>
      <c r="OX116" s="11"/>
      <c r="OY116" s="11"/>
      <c r="OZ116" s="11"/>
      <c r="PA116" s="11"/>
      <c r="PB116" s="11"/>
      <c r="PC116" s="11"/>
      <c r="PD116" s="11"/>
      <c r="PE116" s="11"/>
      <c r="PF116" s="11"/>
      <c r="PG116" s="11"/>
      <c r="PH116" s="11"/>
      <c r="PI116" s="11"/>
      <c r="PJ116" s="11"/>
      <c r="PK116" s="11"/>
      <c r="PL116" s="11"/>
      <c r="PM116" s="11"/>
      <c r="PN116" s="11"/>
      <c r="PO116" s="11"/>
      <c r="PP116" s="11"/>
      <c r="PQ116" s="11"/>
      <c r="PR116" s="11"/>
      <c r="PS116" s="11"/>
      <c r="PT116" s="11"/>
      <c r="PU116" s="11"/>
      <c r="PV116" s="11"/>
      <c r="PW116" s="11"/>
      <c r="PX116" s="11"/>
      <c r="PY116" s="11"/>
      <c r="PZ116" s="11"/>
      <c r="QA116" s="11"/>
      <c r="QB116" s="11"/>
      <c r="QC116" s="11"/>
      <c r="QD116" s="11"/>
      <c r="QE116" s="11"/>
      <c r="QF116" s="11"/>
      <c r="QG116" s="11"/>
      <c r="QH116" s="11"/>
      <c r="QI116" s="11"/>
      <c r="QJ116" s="11"/>
      <c r="QK116" s="11"/>
      <c r="QL116" s="11"/>
      <c r="QM116" s="11"/>
      <c r="QN116" s="11"/>
      <c r="QO116" s="11"/>
      <c r="QP116" s="11"/>
      <c r="QQ116" s="11"/>
      <c r="QR116" s="11"/>
      <c r="QS116" s="11"/>
      <c r="QT116" s="11"/>
      <c r="QU116" s="11"/>
      <c r="QV116" s="11"/>
      <c r="QW116" s="11"/>
      <c r="QX116" s="11"/>
      <c r="QY116" s="11"/>
      <c r="QZ116" s="11"/>
      <c r="RA116" s="11"/>
      <c r="RB116" s="11"/>
      <c r="RC116" s="11"/>
      <c r="RD116" s="11"/>
      <c r="RE116" s="11"/>
      <c r="RF116" s="11"/>
      <c r="RG116" s="11"/>
      <c r="RH116" s="11"/>
      <c r="RI116" s="11"/>
      <c r="RJ116" s="11"/>
      <c r="RK116" s="11"/>
      <c r="RL116" s="11"/>
      <c r="RM116" s="11"/>
      <c r="RN116" s="11"/>
      <c r="RO116" s="11"/>
      <c r="RP116" s="11"/>
      <c r="RQ116" s="11"/>
      <c r="RR116" s="11"/>
      <c r="RS116" s="11"/>
      <c r="RT116" s="11"/>
      <c r="RU116" s="11"/>
      <c r="RV116" s="11"/>
      <c r="RW116" s="11"/>
      <c r="RX116" s="11"/>
      <c r="RY116" s="11"/>
      <c r="RZ116" s="11"/>
      <c r="SA116" s="11"/>
      <c r="SB116" s="11"/>
      <c r="SC116" s="11"/>
      <c r="SD116" s="11"/>
      <c r="SE116" s="11"/>
      <c r="SF116" s="11"/>
      <c r="SG116" s="11"/>
      <c r="SH116" s="11"/>
      <c r="SI116" s="11"/>
      <c r="SJ116" s="11"/>
      <c r="SK116" s="11"/>
      <c r="SL116" s="11"/>
      <c r="SM116" s="11"/>
      <c r="SN116" s="11"/>
      <c r="SO116" s="11"/>
      <c r="SP116" s="11"/>
      <c r="SQ116" s="11"/>
      <c r="SR116" s="11"/>
      <c r="SS116" s="11"/>
      <c r="ST116" s="11"/>
      <c r="SU116" s="11"/>
      <c r="SV116" s="11"/>
      <c r="SW116" s="11"/>
      <c r="SX116" s="11"/>
      <c r="SY116" s="11"/>
      <c r="SZ116" s="11"/>
      <c r="TA116" s="11"/>
      <c r="TB116" s="11"/>
      <c r="TC116" s="11"/>
      <c r="TD116" s="11"/>
      <c r="TE116" s="11"/>
      <c r="TF116" s="11"/>
      <c r="TG116" s="11"/>
      <c r="TH116" s="11"/>
      <c r="TI116" s="11"/>
      <c r="TJ116" s="11"/>
      <c r="TK116" s="11"/>
      <c r="TL116" s="11"/>
      <c r="TM116" s="11"/>
      <c r="TN116" s="11"/>
      <c r="TO116" s="11"/>
      <c r="TP116" s="11"/>
      <c r="TQ116" s="11"/>
      <c r="TR116" s="11"/>
      <c r="TS116" s="11"/>
      <c r="TT116" s="11"/>
      <c r="TU116" s="11"/>
      <c r="TV116" s="11"/>
      <c r="TW116" s="11"/>
      <c r="TX116" s="11"/>
      <c r="TY116" s="11"/>
      <c r="TZ116" s="11"/>
      <c r="UA116" s="11"/>
      <c r="UB116" s="11"/>
      <c r="UC116" s="11"/>
      <c r="UD116" s="11"/>
      <c r="UE116" s="11"/>
      <c r="UF116" s="11"/>
      <c r="UG116" s="11"/>
      <c r="UH116" s="11"/>
      <c r="UI116" s="11"/>
      <c r="UJ116" s="11"/>
      <c r="UK116" s="11"/>
      <c r="UL116" s="11"/>
      <c r="UM116" s="11"/>
      <c r="UN116" s="11"/>
      <c r="UO116" s="11"/>
      <c r="UP116" s="11"/>
      <c r="UQ116" s="11"/>
      <c r="UR116" s="11"/>
      <c r="US116" s="11"/>
      <c r="UT116" s="11"/>
      <c r="UU116" s="11"/>
      <c r="UV116" s="11"/>
      <c r="UW116" s="11"/>
      <c r="UX116" s="11"/>
      <c r="UY116" s="11"/>
      <c r="UZ116" s="11"/>
      <c r="VA116" s="11"/>
      <c r="VB116" s="11"/>
      <c r="VC116" s="11"/>
      <c r="VD116" s="11"/>
      <c r="VE116" s="11"/>
      <c r="VF116" s="11"/>
      <c r="VG116" s="11"/>
      <c r="VH116" s="11"/>
      <c r="VI116" s="11"/>
      <c r="VJ116" s="11"/>
      <c r="VK116" s="11"/>
      <c r="VL116" s="11"/>
      <c r="VM116" s="11"/>
      <c r="VN116" s="11"/>
      <c r="VO116" s="11"/>
      <c r="VP116" s="11"/>
      <c r="VQ116" s="11"/>
      <c r="VR116" s="11"/>
      <c r="VS116" s="11"/>
      <c r="VT116" s="11"/>
      <c r="VU116" s="11"/>
      <c r="VV116" s="11"/>
      <c r="VW116" s="11"/>
      <c r="VX116" s="11"/>
      <c r="VY116" s="11"/>
      <c r="VZ116" s="11"/>
      <c r="WA116" s="11"/>
      <c r="WB116" s="11"/>
      <c r="WC116" s="11"/>
      <c r="WD116" s="11"/>
      <c r="WE116" s="11"/>
      <c r="WF116" s="11"/>
      <c r="WG116" s="11"/>
      <c r="WH116" s="11"/>
      <c r="WI116" s="11"/>
      <c r="WJ116" s="11"/>
      <c r="WK116" s="11"/>
      <c r="WL116" s="11"/>
      <c r="WM116" s="11"/>
      <c r="WN116" s="11"/>
      <c r="WO116" s="11"/>
      <c r="WP116" s="11"/>
      <c r="WQ116" s="11"/>
      <c r="WR116" s="11"/>
      <c r="WS116" s="11"/>
      <c r="WT116" s="11"/>
      <c r="WU116" s="11"/>
      <c r="WV116" s="11"/>
      <c r="WW116" s="11"/>
      <c r="WX116" s="11"/>
      <c r="WY116" s="11"/>
      <c r="WZ116" s="11"/>
      <c r="XA116" s="11"/>
      <c r="XB116" s="11"/>
      <c r="XC116" s="11"/>
      <c r="XD116" s="11"/>
      <c r="XE116" s="11"/>
      <c r="XF116" s="11"/>
      <c r="XG116" s="11"/>
      <c r="XH116" s="11"/>
      <c r="XI116" s="11"/>
      <c r="XJ116" s="11"/>
      <c r="XK116" s="11"/>
      <c r="XL116" s="11"/>
      <c r="XM116" s="11"/>
      <c r="XN116" s="11"/>
      <c r="XO116" s="11"/>
      <c r="XP116" s="11"/>
      <c r="XQ116" s="11"/>
      <c r="XR116" s="11"/>
      <c r="XS116" s="11"/>
      <c r="XT116" s="11"/>
      <c r="XU116" s="11"/>
      <c r="XV116" s="11"/>
      <c r="XW116" s="11"/>
      <c r="XX116" s="11"/>
      <c r="XY116" s="11"/>
      <c r="XZ116" s="11"/>
      <c r="YA116" s="11"/>
      <c r="YB116" s="11"/>
      <c r="YC116" s="11"/>
      <c r="YD116" s="11"/>
      <c r="YE116" s="11"/>
      <c r="YF116" s="11"/>
      <c r="YG116" s="11"/>
      <c r="YH116" s="11"/>
      <c r="YI116" s="11"/>
      <c r="YJ116" s="11"/>
      <c r="YK116" s="11"/>
      <c r="YL116" s="11"/>
      <c r="YM116" s="11"/>
      <c r="YN116" s="11"/>
      <c r="YO116" s="11"/>
      <c r="YP116" s="11"/>
      <c r="YQ116" s="11"/>
      <c r="YR116" s="11"/>
      <c r="YS116" s="11"/>
      <c r="YT116" s="11"/>
      <c r="YU116" s="11"/>
      <c r="YV116" s="11"/>
      <c r="YW116" s="11"/>
      <c r="YX116" s="11"/>
      <c r="YY116" s="11"/>
      <c r="YZ116" s="11"/>
      <c r="ZA116" s="11"/>
      <c r="ZB116" s="11"/>
      <c r="ZC116" s="11"/>
      <c r="ZD116" s="11"/>
      <c r="ZE116" s="11"/>
      <c r="ZF116" s="11"/>
      <c r="ZG116" s="11"/>
      <c r="ZH116" s="11"/>
      <c r="ZI116" s="11"/>
      <c r="ZJ116" s="11"/>
      <c r="ZK116" s="11"/>
      <c r="ZL116" s="11"/>
      <c r="ZM116" s="11"/>
      <c r="ZN116" s="11"/>
      <c r="ZO116" s="11"/>
      <c r="ZP116" s="11"/>
      <c r="ZQ116" s="11"/>
      <c r="ZR116" s="11"/>
      <c r="ZS116" s="11"/>
      <c r="ZT116" s="11"/>
      <c r="ZU116" s="11"/>
      <c r="ZV116" s="11"/>
      <c r="ZW116" s="11"/>
      <c r="ZX116" s="11"/>
      <c r="ZY116" s="11"/>
      <c r="ZZ116" s="11"/>
      <c r="AAA116" s="11"/>
      <c r="AAB116" s="11"/>
      <c r="AAC116" s="11"/>
      <c r="AAD116" s="11"/>
      <c r="AAE116" s="11"/>
      <c r="AAF116" s="11"/>
      <c r="AAG116" s="11"/>
      <c r="AAH116" s="11"/>
      <c r="AAI116" s="11"/>
      <c r="AAJ116" s="11"/>
      <c r="AAK116" s="11"/>
      <c r="AAL116" s="11"/>
      <c r="AAM116" s="11"/>
      <c r="AAN116" s="11"/>
      <c r="AAO116" s="11"/>
      <c r="AAP116" s="11"/>
      <c r="AAQ116" s="11"/>
      <c r="AAR116" s="11"/>
      <c r="AAS116" s="11"/>
      <c r="AAT116" s="11"/>
      <c r="AAU116" s="11"/>
      <c r="AAV116" s="11"/>
      <c r="AAW116" s="11"/>
      <c r="AAX116" s="11"/>
      <c r="AAY116" s="11"/>
      <c r="AAZ116" s="11"/>
      <c r="ABA116" s="11"/>
      <c r="ABB116" s="11"/>
      <c r="ABC116" s="11"/>
      <c r="ABD116" s="11"/>
      <c r="ABE116" s="11"/>
      <c r="ABF116" s="11"/>
      <c r="ABG116" s="11"/>
      <c r="ABH116" s="11"/>
      <c r="ABI116" s="11"/>
      <c r="ABJ116" s="11"/>
      <c r="ABK116" s="11"/>
      <c r="ABL116" s="11"/>
      <c r="ABM116" s="11"/>
      <c r="ABN116" s="11"/>
      <c r="ABO116" s="11"/>
      <c r="ABP116" s="11"/>
      <c r="ABQ116" s="11"/>
      <c r="ABR116" s="11"/>
      <c r="ABS116" s="11"/>
      <c r="ABT116" s="11"/>
      <c r="ABU116" s="11"/>
      <c r="ABV116" s="11"/>
      <c r="ABW116" s="11"/>
      <c r="ABX116" s="11"/>
      <c r="ABY116" s="11"/>
      <c r="ABZ116" s="11"/>
      <c r="ACA116" s="11"/>
      <c r="ACB116" s="11"/>
      <c r="ACC116" s="11"/>
      <c r="ACD116" s="11"/>
      <c r="ACE116" s="11"/>
      <c r="ACF116" s="11"/>
      <c r="ACG116" s="11"/>
      <c r="ACH116" s="11"/>
      <c r="ACI116" s="11"/>
      <c r="ACJ116" s="11"/>
      <c r="ACK116" s="11"/>
      <c r="ACL116" s="11"/>
      <c r="ACM116" s="11"/>
      <c r="ACN116" s="11"/>
      <c r="ACO116" s="11"/>
      <c r="ACP116" s="11"/>
      <c r="ACQ116" s="11"/>
      <c r="ACR116" s="11"/>
      <c r="ACS116" s="11"/>
      <c r="ACT116" s="11"/>
      <c r="ACU116" s="11"/>
      <c r="ACV116" s="11"/>
      <c r="ACW116" s="11"/>
      <c r="ACX116" s="11"/>
      <c r="ACY116" s="11"/>
      <c r="ACZ116" s="11"/>
      <c r="ADA116" s="11"/>
      <c r="ADB116" s="11"/>
      <c r="ADC116" s="11"/>
      <c r="ADD116" s="11"/>
      <c r="ADE116" s="11"/>
      <c r="ADF116" s="11"/>
      <c r="ADG116" s="11"/>
      <c r="ADH116" s="11"/>
      <c r="ADI116" s="11"/>
      <c r="ADJ116" s="11"/>
      <c r="ADK116" s="11"/>
      <c r="ADL116" s="11"/>
      <c r="ADM116" s="11"/>
      <c r="ADN116" s="11"/>
      <c r="ADO116" s="11"/>
      <c r="ADP116" s="11"/>
      <c r="ADQ116" s="11"/>
      <c r="ADR116" s="11"/>
      <c r="ADS116" s="11"/>
      <c r="ADT116" s="11"/>
      <c r="ADU116" s="11"/>
      <c r="ADV116" s="11"/>
      <c r="ADW116" s="11"/>
      <c r="ADX116" s="11"/>
      <c r="ADY116" s="11"/>
      <c r="ADZ116" s="11"/>
      <c r="AEA116" s="11"/>
      <c r="AEB116" s="11"/>
      <c r="AEC116" s="11"/>
      <c r="AED116" s="11"/>
      <c r="AEE116" s="11"/>
      <c r="AEF116" s="11"/>
      <c r="AEG116" s="11"/>
      <c r="AEH116" s="11"/>
      <c r="AEI116" s="11"/>
      <c r="AEJ116" s="11"/>
      <c r="AEK116" s="11"/>
      <c r="AEL116" s="11"/>
      <c r="AEM116" s="11"/>
      <c r="AEN116" s="11"/>
      <c r="AEO116" s="11"/>
      <c r="AEP116" s="11"/>
      <c r="AEQ116" s="11"/>
      <c r="AER116" s="11"/>
      <c r="AES116" s="11"/>
      <c r="AET116" s="11"/>
      <c r="AEU116" s="11"/>
      <c r="AEV116" s="11"/>
      <c r="AEW116" s="11"/>
      <c r="AEX116" s="11"/>
      <c r="AEY116" s="11"/>
      <c r="AEZ116" s="11"/>
      <c r="AFA116" s="11"/>
      <c r="AFB116" s="11"/>
      <c r="AFC116" s="11"/>
      <c r="AFD116" s="11"/>
      <c r="AFE116" s="11"/>
      <c r="AFF116" s="11"/>
      <c r="AFG116" s="11"/>
      <c r="AFH116" s="11"/>
      <c r="AFI116" s="11"/>
    </row>
    <row r="117" spans="2:841" ht="15" customHeight="1">
      <c r="B117" s="11"/>
      <c r="C117" s="11"/>
      <c r="D117" s="11"/>
      <c r="E117" s="503" t="s">
        <v>623</v>
      </c>
      <c r="F117" s="503" t="s">
        <v>919</v>
      </c>
      <c r="G117" s="503" t="s">
        <v>624</v>
      </c>
      <c r="H117" s="503" t="s">
        <v>623</v>
      </c>
      <c r="I117" s="503" t="s">
        <v>919</v>
      </c>
      <c r="J117" s="503" t="s">
        <v>624</v>
      </c>
      <c r="K117" s="503" t="s">
        <v>623</v>
      </c>
      <c r="L117" s="503" t="s">
        <v>919</v>
      </c>
      <c r="M117" s="503" t="s">
        <v>624</v>
      </c>
      <c r="N117" s="503" t="s">
        <v>623</v>
      </c>
      <c r="O117" s="503" t="s">
        <v>919</v>
      </c>
      <c r="P117" s="503" t="s">
        <v>624</v>
      </c>
      <c r="Q117" s="503" t="s">
        <v>623</v>
      </c>
      <c r="R117" s="503" t="s">
        <v>919</v>
      </c>
      <c r="S117" s="503" t="s">
        <v>624</v>
      </c>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c r="IW117" s="11"/>
      <c r="IX117" s="11"/>
      <c r="IY117" s="11"/>
      <c r="IZ117" s="11"/>
      <c r="JA117" s="11"/>
      <c r="JB117" s="11"/>
      <c r="JC117" s="11"/>
      <c r="JD117" s="11"/>
      <c r="JE117" s="11"/>
      <c r="JF117" s="11"/>
      <c r="JG117" s="11"/>
      <c r="JH117" s="11"/>
      <c r="JI117" s="11"/>
      <c r="JJ117" s="11"/>
      <c r="JK117" s="11"/>
      <c r="JL117" s="11"/>
      <c r="JM117" s="11"/>
      <c r="JN117" s="11"/>
      <c r="JO117" s="11"/>
      <c r="JP117" s="11"/>
      <c r="JQ117" s="11"/>
      <c r="JR117" s="11"/>
      <c r="JS117" s="11"/>
      <c r="JT117" s="11"/>
      <c r="JU117" s="11"/>
      <c r="JV117" s="11"/>
      <c r="JW117" s="11"/>
      <c r="JX117" s="11"/>
      <c r="JY117" s="11"/>
      <c r="JZ117" s="11"/>
      <c r="KA117" s="11"/>
      <c r="KB117" s="11"/>
      <c r="KC117" s="11"/>
      <c r="KD117" s="11"/>
      <c r="KE117" s="11"/>
      <c r="KF117" s="11"/>
      <c r="KG117" s="11"/>
      <c r="KH117" s="11"/>
      <c r="KI117" s="11"/>
      <c r="KJ117" s="11"/>
      <c r="KK117" s="11"/>
      <c r="KL117" s="11"/>
      <c r="KM117" s="11"/>
      <c r="KN117" s="11"/>
      <c r="KO117" s="11"/>
      <c r="KP117" s="11"/>
      <c r="KQ117" s="11"/>
      <c r="KR117" s="11"/>
      <c r="KS117" s="11"/>
      <c r="KT117" s="11"/>
      <c r="KU117" s="11"/>
      <c r="KV117" s="11"/>
      <c r="KW117" s="11"/>
      <c r="KX117" s="11"/>
      <c r="KY117" s="11"/>
      <c r="KZ117" s="11"/>
      <c r="LA117" s="11"/>
      <c r="LB117" s="11"/>
      <c r="LC117" s="11"/>
      <c r="LD117" s="11"/>
      <c r="LE117" s="11"/>
      <c r="LF117" s="11"/>
      <c r="LG117" s="11"/>
      <c r="LH117" s="11"/>
      <c r="LI117" s="11"/>
      <c r="LJ117" s="11"/>
      <c r="LK117" s="11"/>
      <c r="LL117" s="11"/>
      <c r="LM117" s="11"/>
      <c r="LN117" s="11"/>
      <c r="LO117" s="11"/>
      <c r="LP117" s="11"/>
      <c r="LQ117" s="11"/>
      <c r="LR117" s="11"/>
      <c r="LS117" s="11"/>
      <c r="LT117" s="11"/>
      <c r="LU117" s="11"/>
      <c r="LV117" s="11"/>
      <c r="LW117" s="11"/>
      <c r="LX117" s="11"/>
      <c r="LY117" s="11"/>
      <c r="LZ117" s="11"/>
      <c r="MA117" s="11"/>
      <c r="MB117" s="11"/>
      <c r="MC117" s="11"/>
      <c r="MD117" s="11"/>
      <c r="ME117" s="11"/>
      <c r="MF117" s="11"/>
      <c r="MG117" s="11"/>
      <c r="MH117" s="11"/>
      <c r="MI117" s="11"/>
      <c r="MJ117" s="11"/>
      <c r="MK117" s="11"/>
      <c r="ML117" s="11"/>
      <c r="MM117" s="11"/>
      <c r="MN117" s="11"/>
      <c r="MO117" s="11"/>
      <c r="MP117" s="11"/>
      <c r="MQ117" s="11"/>
      <c r="MR117" s="11"/>
      <c r="MS117" s="11"/>
      <c r="MT117" s="11"/>
      <c r="MU117" s="11"/>
      <c r="MV117" s="11"/>
      <c r="MW117" s="11"/>
      <c r="MX117" s="11"/>
      <c r="MY117" s="11"/>
      <c r="MZ117" s="11"/>
      <c r="NA117" s="11"/>
      <c r="NB117" s="11"/>
      <c r="NC117" s="11"/>
      <c r="ND117" s="11"/>
      <c r="NE117" s="11"/>
      <c r="NF117" s="11"/>
      <c r="NG117" s="11"/>
      <c r="NH117" s="11"/>
      <c r="NI117" s="11"/>
      <c r="NJ117" s="11"/>
      <c r="NK117" s="11"/>
      <c r="NL117" s="11"/>
      <c r="NM117" s="11"/>
      <c r="NN117" s="11"/>
      <c r="NO117" s="11"/>
      <c r="NP117" s="11"/>
      <c r="NQ117" s="11"/>
      <c r="NR117" s="11"/>
      <c r="NS117" s="11"/>
      <c r="NT117" s="11"/>
      <c r="NU117" s="11"/>
      <c r="NV117" s="11"/>
      <c r="NW117" s="11"/>
      <c r="NX117" s="11"/>
      <c r="NY117" s="11"/>
      <c r="NZ117" s="11"/>
      <c r="OA117" s="11"/>
      <c r="OB117" s="11"/>
      <c r="OC117" s="11"/>
      <c r="OD117" s="11"/>
      <c r="OE117" s="11"/>
      <c r="OF117" s="11"/>
      <c r="OG117" s="11"/>
      <c r="OH117" s="11"/>
      <c r="OI117" s="11"/>
      <c r="OJ117" s="11"/>
      <c r="OK117" s="11"/>
      <c r="OL117" s="11"/>
      <c r="OM117" s="11"/>
      <c r="ON117" s="11"/>
      <c r="OO117" s="11"/>
      <c r="OP117" s="11"/>
      <c r="OQ117" s="11"/>
      <c r="OR117" s="11"/>
      <c r="OS117" s="11"/>
      <c r="OT117" s="11"/>
      <c r="OU117" s="11"/>
      <c r="OV117" s="11"/>
      <c r="OW117" s="11"/>
      <c r="OX117" s="11"/>
      <c r="OY117" s="11"/>
      <c r="OZ117" s="11"/>
      <c r="PA117" s="11"/>
      <c r="PB117" s="11"/>
      <c r="PC117" s="11"/>
      <c r="PD117" s="11"/>
      <c r="PE117" s="11"/>
      <c r="PF117" s="11"/>
      <c r="PG117" s="11"/>
      <c r="PH117" s="11"/>
      <c r="PI117" s="11"/>
      <c r="PJ117" s="11"/>
      <c r="PK117" s="11"/>
      <c r="PL117" s="11"/>
      <c r="PM117" s="11"/>
      <c r="PN117" s="11"/>
      <c r="PO117" s="11"/>
      <c r="PP117" s="11"/>
      <c r="PQ117" s="11"/>
      <c r="PR117" s="11"/>
      <c r="PS117" s="11"/>
      <c r="PT117" s="11"/>
      <c r="PU117" s="11"/>
      <c r="PV117" s="11"/>
      <c r="PW117" s="11"/>
      <c r="PX117" s="11"/>
      <c r="PY117" s="11"/>
      <c r="PZ117" s="11"/>
      <c r="QA117" s="11"/>
      <c r="QB117" s="11"/>
      <c r="QC117" s="11"/>
      <c r="QD117" s="11"/>
      <c r="QE117" s="11"/>
      <c r="QF117" s="11"/>
      <c r="QG117" s="11"/>
      <c r="QH117" s="11"/>
      <c r="QI117" s="11"/>
      <c r="QJ117" s="11"/>
      <c r="QK117" s="11"/>
      <c r="QL117" s="11"/>
      <c r="QM117" s="11"/>
      <c r="QN117" s="11"/>
      <c r="QO117" s="11"/>
      <c r="QP117" s="11"/>
      <c r="QQ117" s="11"/>
      <c r="QR117" s="11"/>
      <c r="QS117" s="11"/>
      <c r="QT117" s="11"/>
      <c r="QU117" s="11"/>
      <c r="QV117" s="11"/>
      <c r="QW117" s="11"/>
      <c r="QX117" s="11"/>
      <c r="QY117" s="11"/>
      <c r="QZ117" s="11"/>
      <c r="RA117" s="11"/>
      <c r="RB117" s="11"/>
      <c r="RC117" s="11"/>
      <c r="RD117" s="11"/>
      <c r="RE117" s="11"/>
      <c r="RF117" s="11"/>
      <c r="RG117" s="11"/>
      <c r="RH117" s="11"/>
      <c r="RI117" s="11"/>
      <c r="RJ117" s="11"/>
      <c r="RK117" s="11"/>
      <c r="RL117" s="11"/>
      <c r="RM117" s="11"/>
      <c r="RN117" s="11"/>
      <c r="RO117" s="11"/>
      <c r="RP117" s="11"/>
      <c r="RQ117" s="11"/>
      <c r="RR117" s="11"/>
      <c r="RS117" s="11"/>
      <c r="RT117" s="11"/>
      <c r="RU117" s="11"/>
      <c r="RV117" s="11"/>
      <c r="RW117" s="11"/>
      <c r="RX117" s="11"/>
      <c r="RY117" s="11"/>
      <c r="RZ117" s="11"/>
      <c r="SA117" s="11"/>
      <c r="SB117" s="11"/>
      <c r="SC117" s="11"/>
      <c r="SD117" s="11"/>
      <c r="SE117" s="11"/>
      <c r="SF117" s="11"/>
      <c r="SG117" s="11"/>
      <c r="SH117" s="11"/>
      <c r="SI117" s="11"/>
      <c r="SJ117" s="11"/>
      <c r="SK117" s="11"/>
      <c r="SL117" s="11"/>
      <c r="SM117" s="11"/>
      <c r="SN117" s="11"/>
      <c r="SO117" s="11"/>
      <c r="SP117" s="11"/>
      <c r="SQ117" s="11"/>
      <c r="SR117" s="11"/>
      <c r="SS117" s="11"/>
      <c r="ST117" s="11"/>
      <c r="SU117" s="11"/>
      <c r="SV117" s="11"/>
      <c r="SW117" s="11"/>
      <c r="SX117" s="11"/>
      <c r="SY117" s="11"/>
      <c r="SZ117" s="11"/>
      <c r="TA117" s="11"/>
      <c r="TB117" s="11"/>
      <c r="TC117" s="11"/>
      <c r="TD117" s="11"/>
      <c r="TE117" s="11"/>
      <c r="TF117" s="11"/>
      <c r="TG117" s="11"/>
      <c r="TH117" s="11"/>
      <c r="TI117" s="11"/>
      <c r="TJ117" s="11"/>
      <c r="TK117" s="11"/>
      <c r="TL117" s="11"/>
      <c r="TM117" s="11"/>
      <c r="TN117" s="11"/>
      <c r="TO117" s="11"/>
      <c r="TP117" s="11"/>
      <c r="TQ117" s="11"/>
      <c r="TR117" s="11"/>
      <c r="TS117" s="11"/>
      <c r="TT117" s="11"/>
      <c r="TU117" s="11"/>
      <c r="TV117" s="11"/>
      <c r="TW117" s="11"/>
      <c r="TX117" s="11"/>
      <c r="TY117" s="11"/>
      <c r="TZ117" s="11"/>
      <c r="UA117" s="11"/>
      <c r="UB117" s="11"/>
      <c r="UC117" s="11"/>
      <c r="UD117" s="11"/>
      <c r="UE117" s="11"/>
      <c r="UF117" s="11"/>
      <c r="UG117" s="11"/>
      <c r="UH117" s="11"/>
      <c r="UI117" s="11"/>
      <c r="UJ117" s="11"/>
      <c r="UK117" s="11"/>
      <c r="UL117" s="11"/>
      <c r="UM117" s="11"/>
      <c r="UN117" s="11"/>
      <c r="UO117" s="11"/>
      <c r="UP117" s="11"/>
      <c r="UQ117" s="11"/>
      <c r="UR117" s="11"/>
      <c r="US117" s="11"/>
      <c r="UT117" s="11"/>
      <c r="UU117" s="11"/>
      <c r="UV117" s="11"/>
      <c r="UW117" s="11"/>
      <c r="UX117" s="11"/>
      <c r="UY117" s="11"/>
      <c r="UZ117" s="11"/>
      <c r="VA117" s="11"/>
      <c r="VB117" s="11"/>
      <c r="VC117" s="11"/>
      <c r="VD117" s="11"/>
      <c r="VE117" s="11"/>
      <c r="VF117" s="11"/>
      <c r="VG117" s="11"/>
      <c r="VH117" s="11"/>
      <c r="VI117" s="11"/>
      <c r="VJ117" s="11"/>
      <c r="VK117" s="11"/>
      <c r="VL117" s="11"/>
      <c r="VM117" s="11"/>
      <c r="VN117" s="11"/>
      <c r="VO117" s="11"/>
      <c r="VP117" s="11"/>
      <c r="VQ117" s="11"/>
      <c r="VR117" s="11"/>
      <c r="VS117" s="11"/>
      <c r="VT117" s="11"/>
      <c r="VU117" s="11"/>
      <c r="VV117" s="11"/>
      <c r="VW117" s="11"/>
      <c r="VX117" s="11"/>
      <c r="VY117" s="11"/>
      <c r="VZ117" s="11"/>
      <c r="WA117" s="11"/>
      <c r="WB117" s="11"/>
      <c r="WC117" s="11"/>
      <c r="WD117" s="11"/>
      <c r="WE117" s="11"/>
      <c r="WF117" s="11"/>
      <c r="WG117" s="11"/>
      <c r="WH117" s="11"/>
      <c r="WI117" s="11"/>
      <c r="WJ117" s="11"/>
      <c r="WK117" s="11"/>
      <c r="WL117" s="11"/>
      <c r="WM117" s="11"/>
      <c r="WN117" s="11"/>
      <c r="WO117" s="11"/>
      <c r="WP117" s="11"/>
      <c r="WQ117" s="11"/>
      <c r="WR117" s="11"/>
      <c r="WS117" s="11"/>
      <c r="WT117" s="11"/>
      <c r="WU117" s="11"/>
      <c r="WV117" s="11"/>
      <c r="WW117" s="11"/>
      <c r="WX117" s="11"/>
      <c r="WY117" s="11"/>
      <c r="WZ117" s="11"/>
      <c r="XA117" s="11"/>
      <c r="XB117" s="11"/>
      <c r="XC117" s="11"/>
      <c r="XD117" s="11"/>
      <c r="XE117" s="11"/>
      <c r="XF117" s="11"/>
      <c r="XG117" s="11"/>
      <c r="XH117" s="11"/>
      <c r="XI117" s="11"/>
      <c r="XJ117" s="11"/>
      <c r="XK117" s="11"/>
      <c r="XL117" s="11"/>
      <c r="XM117" s="11"/>
      <c r="XN117" s="11"/>
      <c r="XO117" s="11"/>
      <c r="XP117" s="11"/>
      <c r="XQ117" s="11"/>
      <c r="XR117" s="11"/>
      <c r="XS117" s="11"/>
      <c r="XT117" s="11"/>
      <c r="XU117" s="11"/>
      <c r="XV117" s="11"/>
      <c r="XW117" s="11"/>
      <c r="XX117" s="11"/>
      <c r="XY117" s="11"/>
      <c r="XZ117" s="11"/>
      <c r="YA117" s="11"/>
      <c r="YB117" s="11"/>
      <c r="YC117" s="11"/>
      <c r="YD117" s="11"/>
      <c r="YE117" s="11"/>
      <c r="YF117" s="11"/>
      <c r="YG117" s="11"/>
      <c r="YH117" s="11"/>
      <c r="YI117" s="11"/>
      <c r="YJ117" s="11"/>
      <c r="YK117" s="11"/>
      <c r="YL117" s="11"/>
      <c r="YM117" s="11"/>
      <c r="YN117" s="11"/>
      <c r="YO117" s="11"/>
      <c r="YP117" s="11"/>
      <c r="YQ117" s="11"/>
      <c r="YR117" s="11"/>
      <c r="YS117" s="11"/>
      <c r="YT117" s="11"/>
      <c r="YU117" s="11"/>
      <c r="YV117" s="11"/>
      <c r="YW117" s="11"/>
      <c r="YX117" s="11"/>
      <c r="YY117" s="11"/>
      <c r="YZ117" s="11"/>
      <c r="ZA117" s="11"/>
      <c r="ZB117" s="11"/>
      <c r="ZC117" s="11"/>
      <c r="ZD117" s="11"/>
      <c r="ZE117" s="11"/>
      <c r="ZF117" s="11"/>
      <c r="ZG117" s="11"/>
      <c r="ZH117" s="11"/>
      <c r="ZI117" s="11"/>
      <c r="ZJ117" s="11"/>
      <c r="ZK117" s="11"/>
      <c r="ZL117" s="11"/>
      <c r="ZM117" s="11"/>
      <c r="ZN117" s="11"/>
      <c r="ZO117" s="11"/>
      <c r="ZP117" s="11"/>
      <c r="ZQ117" s="11"/>
      <c r="ZR117" s="11"/>
      <c r="ZS117" s="11"/>
      <c r="ZT117" s="11"/>
      <c r="ZU117" s="11"/>
      <c r="ZV117" s="11"/>
      <c r="ZW117" s="11"/>
      <c r="ZX117" s="11"/>
      <c r="ZY117" s="11"/>
      <c r="ZZ117" s="11"/>
      <c r="AAA117" s="11"/>
      <c r="AAB117" s="11"/>
      <c r="AAC117" s="11"/>
      <c r="AAD117" s="11"/>
      <c r="AAE117" s="11"/>
      <c r="AAF117" s="11"/>
      <c r="AAG117" s="11"/>
      <c r="AAH117" s="11"/>
      <c r="AAI117" s="11"/>
      <c r="AAJ117" s="11"/>
      <c r="AAK117" s="11"/>
      <c r="AAL117" s="11"/>
      <c r="AAM117" s="11"/>
      <c r="AAN117" s="11"/>
      <c r="AAO117" s="11"/>
      <c r="AAP117" s="11"/>
      <c r="AAQ117" s="11"/>
      <c r="AAR117" s="11"/>
      <c r="AAS117" s="11"/>
      <c r="AAT117" s="11"/>
      <c r="AAU117" s="11"/>
      <c r="AAV117" s="11"/>
      <c r="AAW117" s="11"/>
      <c r="AAX117" s="11"/>
      <c r="AAY117" s="11"/>
      <c r="AAZ117" s="11"/>
      <c r="ABA117" s="11"/>
      <c r="ABB117" s="11"/>
      <c r="ABC117" s="11"/>
      <c r="ABD117" s="11"/>
      <c r="ABE117" s="11"/>
      <c r="ABF117" s="11"/>
      <c r="ABG117" s="11"/>
      <c r="ABH117" s="11"/>
      <c r="ABI117" s="11"/>
      <c r="ABJ117" s="11"/>
      <c r="ABK117" s="11"/>
      <c r="ABL117" s="11"/>
      <c r="ABM117" s="11"/>
      <c r="ABN117" s="11"/>
      <c r="ABO117" s="11"/>
      <c r="ABP117" s="11"/>
      <c r="ABQ117" s="11"/>
      <c r="ABR117" s="11"/>
      <c r="ABS117" s="11"/>
      <c r="ABT117" s="11"/>
      <c r="ABU117" s="11"/>
      <c r="ABV117" s="11"/>
      <c r="ABW117" s="11"/>
      <c r="ABX117" s="11"/>
      <c r="ABY117" s="11"/>
      <c r="ABZ117" s="11"/>
      <c r="ACA117" s="11"/>
      <c r="ACB117" s="11"/>
      <c r="ACC117" s="11"/>
      <c r="ACD117" s="11"/>
      <c r="ACE117" s="11"/>
      <c r="ACF117" s="11"/>
      <c r="ACG117" s="11"/>
      <c r="ACH117" s="11"/>
      <c r="ACI117" s="11"/>
      <c r="ACJ117" s="11"/>
      <c r="ACK117" s="11"/>
      <c r="ACL117" s="11"/>
      <c r="ACM117" s="11"/>
      <c r="ACN117" s="11"/>
      <c r="ACO117" s="11"/>
      <c r="ACP117" s="11"/>
      <c r="ACQ117" s="11"/>
      <c r="ACR117" s="11"/>
      <c r="ACS117" s="11"/>
      <c r="ACT117" s="11"/>
      <c r="ACU117" s="11"/>
      <c r="ACV117" s="11"/>
      <c r="ACW117" s="11"/>
      <c r="ACX117" s="11"/>
      <c r="ACY117" s="11"/>
      <c r="ACZ117" s="11"/>
      <c r="ADA117" s="11"/>
      <c r="ADB117" s="11"/>
      <c r="ADC117" s="11"/>
      <c r="ADD117" s="11"/>
      <c r="ADE117" s="11"/>
      <c r="ADF117" s="11"/>
      <c r="ADG117" s="11"/>
      <c r="ADH117" s="11"/>
      <c r="ADI117" s="11"/>
      <c r="ADJ117" s="11"/>
      <c r="ADK117" s="11"/>
      <c r="ADL117" s="11"/>
      <c r="ADM117" s="11"/>
      <c r="ADN117" s="11"/>
      <c r="ADO117" s="11"/>
      <c r="ADP117" s="11"/>
      <c r="ADQ117" s="11"/>
      <c r="ADR117" s="11"/>
      <c r="ADS117" s="11"/>
      <c r="ADT117" s="11"/>
      <c r="ADU117" s="11"/>
      <c r="ADV117" s="11"/>
      <c r="ADW117" s="11"/>
      <c r="ADX117" s="11"/>
      <c r="ADY117" s="11"/>
      <c r="ADZ117" s="11"/>
      <c r="AEA117" s="11"/>
      <c r="AEB117" s="11"/>
      <c r="AEC117" s="11"/>
      <c r="AED117" s="11"/>
      <c r="AEE117" s="11"/>
      <c r="AEF117" s="11"/>
      <c r="AEG117" s="11"/>
      <c r="AEH117" s="11"/>
      <c r="AEI117" s="11"/>
      <c r="AEJ117" s="11"/>
      <c r="AEK117" s="11"/>
      <c r="AEL117" s="11"/>
      <c r="AEM117" s="11"/>
      <c r="AEN117" s="11"/>
      <c r="AEO117" s="11"/>
      <c r="AEP117" s="11"/>
      <c r="AEQ117" s="11"/>
      <c r="AER117" s="11"/>
      <c r="AES117" s="11"/>
      <c r="AET117" s="11"/>
      <c r="AEU117" s="11"/>
      <c r="AEV117" s="11"/>
      <c r="AEW117" s="11"/>
      <c r="AEX117" s="11"/>
      <c r="AEY117" s="11"/>
      <c r="AEZ117" s="11"/>
      <c r="AFA117" s="11"/>
      <c r="AFB117" s="11"/>
      <c r="AFC117" s="11"/>
      <c r="AFD117" s="11"/>
      <c r="AFE117" s="11"/>
      <c r="AFF117" s="11"/>
      <c r="AFG117" s="11"/>
      <c r="AFH117" s="11"/>
      <c r="AFI117" s="11"/>
    </row>
    <row r="118" spans="2:841">
      <c r="B118" s="11"/>
      <c r="C118" s="658" t="str">
        <f>M_A0!C29</f>
        <v>Sin especificar</v>
      </c>
      <c r="D118" s="658"/>
      <c r="E118" s="509">
        <f>SUM(M_Datos!N78:N80)</f>
        <v>0</v>
      </c>
      <c r="F118" s="312">
        <f>IF(M_FactoresComplement!G785= "Sí", E118*M_FactoresComplement!D789, M_Cálculos_ND!E118*M_Factores!D212)</f>
        <v>0</v>
      </c>
      <c r="G118" s="313">
        <f>IF(M_FactoresComplement!G785="Sí", M_Cálculos_ND!E118*M_FactoresComplement!E789,M_Cálculos_ND!E118*M_Factores!E212)</f>
        <v>0</v>
      </c>
      <c r="H118" s="311">
        <f>'M_Nuevos Desarrollos'!D73</f>
        <v>0</v>
      </c>
      <c r="I118" s="312">
        <f>IF(M_FactoresComplement!G785= "Sí", H118*M_FactoresComplement!D789, M_Cálculos_ND!H118*M_Factores!D212)</f>
        <v>0</v>
      </c>
      <c r="J118" s="313">
        <f>IF(M_FactoresComplement!G785="Sí", M_Cálculos_ND!H118*M_FactoresComplement!E789,M_Cálculos_ND!H118*M_Factores!E212)</f>
        <v>0</v>
      </c>
      <c r="K118" s="311">
        <f>'M_Nuevos Desarrollos'!F73</f>
        <v>0</v>
      </c>
      <c r="L118" s="312">
        <f>IF(M_FactoresComplement!G785= "Sí", K118*M_FactoresComplement!D789, M_Cálculos_ND!K118*M_Factores!D212)</f>
        <v>0</v>
      </c>
      <c r="M118" s="313">
        <f>IF(M_FactoresComplement!G785= "Sí", K118*M_FactoresComplement!D789, M_Cálculos_ND!K118*M_Factores!D212)</f>
        <v>0</v>
      </c>
      <c r="N118" s="311">
        <f>'M_Nuevos Desarrollos'!H73</f>
        <v>0</v>
      </c>
      <c r="O118" s="312">
        <f>IF(M_FactoresComplement!G785= "Sí", N118*M_FactoresComplement!D789, M_Cálculos_ND!N118*M_Factores!D212)</f>
        <v>0</v>
      </c>
      <c r="P118" s="313">
        <f>IF(M_FactoresComplement!G785= "Sí", N118*M_FactoresComplement!D789, M_Cálculos_ND!N118*M_Factores!D212)</f>
        <v>0</v>
      </c>
      <c r="Q118" s="311">
        <f>'M_Nuevos Desarrollos'!J73</f>
        <v>0</v>
      </c>
      <c r="R118" s="312">
        <f>IF(M_FactoresComplement!G785= "Sí", Q118*M_FactoresComplement!D789, M_Cálculos_ND!Q118*M_Factores!D212)</f>
        <v>0</v>
      </c>
      <c r="S118" s="313">
        <f>IF(M_FactoresComplement!G785= "Sí", Q118*M_FactoresComplement!D789, M_Cálculos_ND!Q118*M_Factores!D212)</f>
        <v>0</v>
      </c>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1"/>
      <c r="JA118" s="11"/>
      <c r="JB118" s="11"/>
      <c r="JC118" s="11"/>
      <c r="JD118" s="11"/>
      <c r="JE118" s="11"/>
      <c r="JF118" s="11"/>
      <c r="JG118" s="11"/>
      <c r="JH118" s="11"/>
      <c r="JI118" s="11"/>
      <c r="JJ118" s="11"/>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c r="KH118" s="11"/>
      <c r="KI118" s="11"/>
      <c r="KJ118" s="11"/>
      <c r="KK118" s="11"/>
      <c r="KL118" s="11"/>
      <c r="KM118" s="11"/>
      <c r="KN118" s="11"/>
      <c r="KO118" s="11"/>
      <c r="KP118" s="11"/>
      <c r="KQ118" s="11"/>
      <c r="KR118" s="11"/>
      <c r="KS118" s="11"/>
      <c r="KT118" s="11"/>
      <c r="KU118" s="11"/>
      <c r="KV118" s="11"/>
      <c r="KW118" s="11"/>
      <c r="KX118" s="11"/>
      <c r="KY118" s="11"/>
      <c r="KZ118" s="11"/>
      <c r="LA118" s="11"/>
      <c r="LB118" s="11"/>
      <c r="LC118" s="11"/>
      <c r="LD118" s="11"/>
      <c r="LE118" s="11"/>
      <c r="LF118" s="11"/>
      <c r="LG118" s="11"/>
      <c r="LH118" s="11"/>
      <c r="LI118" s="11"/>
      <c r="LJ118" s="11"/>
      <c r="LK118" s="11"/>
      <c r="LL118" s="11"/>
      <c r="LM118" s="11"/>
      <c r="LN118" s="11"/>
      <c r="LO118" s="11"/>
      <c r="LP118" s="11"/>
      <c r="LQ118" s="11"/>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c r="PE118" s="11"/>
      <c r="PF118" s="11"/>
      <c r="PG118" s="11"/>
      <c r="PH118" s="11"/>
      <c r="PI118" s="11"/>
      <c r="PJ118" s="11"/>
      <c r="PK118" s="11"/>
      <c r="PL118" s="11"/>
      <c r="PM118" s="11"/>
      <c r="PN118" s="11"/>
      <c r="PO118" s="11"/>
      <c r="PP118" s="11"/>
      <c r="PQ118" s="11"/>
      <c r="PR118" s="11"/>
      <c r="PS118" s="11"/>
      <c r="PT118" s="11"/>
      <c r="PU118" s="11"/>
      <c r="PV118" s="11"/>
      <c r="PW118" s="11"/>
      <c r="PX118" s="11"/>
      <c r="PY118" s="11"/>
      <c r="PZ118" s="11"/>
      <c r="QA118" s="11"/>
      <c r="QB118" s="11"/>
      <c r="QC118" s="11"/>
      <c r="QD118" s="11"/>
      <c r="QE118" s="11"/>
      <c r="QF118" s="11"/>
      <c r="QG118" s="11"/>
      <c r="QH118" s="11"/>
      <c r="QI118" s="11"/>
      <c r="QJ118" s="11"/>
      <c r="QK118" s="11"/>
      <c r="QL118" s="11"/>
      <c r="QM118" s="11"/>
      <c r="QN118" s="11"/>
      <c r="QO118" s="11"/>
      <c r="QP118" s="11"/>
      <c r="QQ118" s="11"/>
      <c r="QR118" s="11"/>
      <c r="QS118" s="11"/>
      <c r="QT118" s="11"/>
      <c r="QU118" s="11"/>
      <c r="QV118" s="11"/>
      <c r="QW118" s="11"/>
      <c r="QX118" s="11"/>
      <c r="QY118" s="11"/>
      <c r="QZ118" s="11"/>
      <c r="RA118" s="11"/>
      <c r="RB118" s="11"/>
      <c r="RC118" s="11"/>
      <c r="RD118" s="11"/>
      <c r="RE118" s="11"/>
      <c r="RF118" s="11"/>
      <c r="RG118" s="11"/>
      <c r="RH118" s="11"/>
      <c r="RI118" s="11"/>
      <c r="RJ118" s="11"/>
      <c r="RK118" s="11"/>
      <c r="RL118" s="11"/>
      <c r="RM118" s="11"/>
      <c r="RN118" s="11"/>
      <c r="RO118" s="11"/>
      <c r="RP118" s="11"/>
      <c r="RQ118" s="11"/>
      <c r="RR118" s="11"/>
      <c r="RS118" s="11"/>
      <c r="RT118" s="11"/>
      <c r="RU118" s="11"/>
      <c r="RV118" s="11"/>
      <c r="RW118" s="11"/>
      <c r="RX118" s="11"/>
      <c r="RY118" s="11"/>
      <c r="RZ118" s="11"/>
      <c r="SA118" s="11"/>
      <c r="SB118" s="11"/>
      <c r="SC118" s="11"/>
      <c r="SD118" s="11"/>
      <c r="SE118" s="11"/>
      <c r="SF118" s="11"/>
      <c r="SG118" s="11"/>
      <c r="SH118" s="11"/>
      <c r="SI118" s="11"/>
      <c r="SJ118" s="11"/>
      <c r="SK118" s="11"/>
      <c r="SL118" s="11"/>
      <c r="SM118" s="11"/>
      <c r="SN118" s="11"/>
      <c r="SO118" s="11"/>
      <c r="SP118" s="11"/>
      <c r="SQ118" s="11"/>
      <c r="SR118" s="11"/>
      <c r="SS118" s="11"/>
      <c r="ST118" s="11"/>
      <c r="SU118" s="11"/>
      <c r="SV118" s="11"/>
      <c r="SW118" s="11"/>
      <c r="SX118" s="11"/>
      <c r="SY118" s="11"/>
      <c r="SZ118" s="11"/>
      <c r="TA118" s="11"/>
      <c r="TB118" s="11"/>
      <c r="TC118" s="11"/>
      <c r="TD118" s="11"/>
      <c r="TE118" s="11"/>
      <c r="TF118" s="11"/>
      <c r="TG118" s="11"/>
      <c r="TH118" s="11"/>
      <c r="TI118" s="11"/>
      <c r="TJ118" s="11"/>
      <c r="TK118" s="11"/>
      <c r="TL118" s="11"/>
      <c r="TM118" s="11"/>
      <c r="TN118" s="11"/>
      <c r="TO118" s="11"/>
      <c r="TP118" s="11"/>
      <c r="TQ118" s="11"/>
      <c r="TR118" s="11"/>
      <c r="TS118" s="11"/>
      <c r="TT118" s="11"/>
      <c r="TU118" s="11"/>
      <c r="TV118" s="11"/>
      <c r="TW118" s="11"/>
      <c r="TX118" s="11"/>
      <c r="TY118" s="11"/>
      <c r="TZ118" s="11"/>
      <c r="UA118" s="11"/>
      <c r="UB118" s="11"/>
      <c r="UC118" s="11"/>
      <c r="UD118" s="11"/>
      <c r="UE118" s="11"/>
      <c r="UF118" s="11"/>
      <c r="UG118" s="11"/>
      <c r="UH118" s="11"/>
      <c r="UI118" s="11"/>
      <c r="UJ118" s="11"/>
      <c r="UK118" s="11"/>
      <c r="UL118" s="11"/>
      <c r="UM118" s="11"/>
      <c r="UN118" s="11"/>
      <c r="UO118" s="11"/>
      <c r="UP118" s="11"/>
      <c r="UQ118" s="11"/>
      <c r="UR118" s="11"/>
      <c r="US118" s="11"/>
      <c r="UT118" s="11"/>
      <c r="UU118" s="11"/>
      <c r="UV118" s="11"/>
      <c r="UW118" s="11"/>
      <c r="UX118" s="11"/>
      <c r="UY118" s="11"/>
      <c r="UZ118" s="11"/>
      <c r="VA118" s="11"/>
      <c r="VB118" s="11"/>
      <c r="VC118" s="11"/>
      <c r="VD118" s="11"/>
      <c r="VE118" s="11"/>
      <c r="VF118" s="11"/>
      <c r="VG118" s="11"/>
      <c r="VH118" s="11"/>
      <c r="VI118" s="11"/>
      <c r="VJ118" s="11"/>
      <c r="VK118" s="11"/>
      <c r="VL118" s="11"/>
      <c r="VM118" s="11"/>
      <c r="VN118" s="11"/>
      <c r="VO118" s="11"/>
      <c r="VP118" s="11"/>
      <c r="VQ118" s="11"/>
      <c r="VR118" s="11"/>
      <c r="VS118" s="11"/>
      <c r="VT118" s="11"/>
      <c r="VU118" s="11"/>
      <c r="VV118" s="11"/>
      <c r="VW118" s="11"/>
      <c r="VX118" s="11"/>
      <c r="VY118" s="11"/>
      <c r="VZ118" s="11"/>
      <c r="WA118" s="11"/>
      <c r="WB118" s="11"/>
      <c r="WC118" s="11"/>
      <c r="WD118" s="11"/>
      <c r="WE118" s="11"/>
      <c r="WF118" s="11"/>
      <c r="WG118" s="11"/>
      <c r="WH118" s="11"/>
      <c r="WI118" s="11"/>
      <c r="WJ118" s="11"/>
      <c r="WK118" s="11"/>
      <c r="WL118" s="11"/>
      <c r="WM118" s="11"/>
      <c r="WN118" s="11"/>
      <c r="WO118" s="11"/>
      <c r="WP118" s="11"/>
      <c r="WQ118" s="11"/>
      <c r="WR118" s="11"/>
      <c r="WS118" s="11"/>
      <c r="WT118" s="11"/>
      <c r="WU118" s="11"/>
      <c r="WV118" s="11"/>
      <c r="WW118" s="11"/>
      <c r="WX118" s="11"/>
      <c r="WY118" s="11"/>
      <c r="WZ118" s="11"/>
      <c r="XA118" s="11"/>
      <c r="XB118" s="11"/>
      <c r="XC118" s="11"/>
      <c r="XD118" s="11"/>
      <c r="XE118" s="11"/>
      <c r="XF118" s="11"/>
      <c r="XG118" s="11"/>
      <c r="XH118" s="11"/>
      <c r="XI118" s="11"/>
      <c r="XJ118" s="11"/>
      <c r="XK118" s="11"/>
      <c r="XL118" s="11"/>
      <c r="XM118" s="11"/>
      <c r="XN118" s="11"/>
      <c r="XO118" s="11"/>
      <c r="XP118" s="11"/>
      <c r="XQ118" s="11"/>
      <c r="XR118" s="11"/>
      <c r="XS118" s="11"/>
      <c r="XT118" s="11"/>
      <c r="XU118" s="11"/>
      <c r="XV118" s="11"/>
      <c r="XW118" s="11"/>
      <c r="XX118" s="11"/>
      <c r="XY118" s="11"/>
      <c r="XZ118" s="11"/>
      <c r="YA118" s="11"/>
      <c r="YB118" s="11"/>
      <c r="YC118" s="11"/>
      <c r="YD118" s="11"/>
      <c r="YE118" s="11"/>
      <c r="YF118" s="11"/>
      <c r="YG118" s="11"/>
      <c r="YH118" s="11"/>
      <c r="YI118" s="11"/>
      <c r="YJ118" s="11"/>
      <c r="YK118" s="11"/>
      <c r="YL118" s="11"/>
      <c r="YM118" s="11"/>
      <c r="YN118" s="11"/>
      <c r="YO118" s="11"/>
      <c r="YP118" s="11"/>
      <c r="YQ118" s="11"/>
      <c r="YR118" s="11"/>
      <c r="YS118" s="11"/>
      <c r="YT118" s="11"/>
      <c r="YU118" s="11"/>
      <c r="YV118" s="11"/>
      <c r="YW118" s="11"/>
      <c r="YX118" s="11"/>
      <c r="YY118" s="11"/>
      <c r="YZ118" s="11"/>
      <c r="ZA118" s="11"/>
      <c r="ZB118" s="11"/>
      <c r="ZC118" s="11"/>
      <c r="ZD118" s="11"/>
      <c r="ZE118" s="11"/>
      <c r="ZF118" s="11"/>
      <c r="ZG118" s="11"/>
      <c r="ZH118" s="11"/>
      <c r="ZI118" s="11"/>
      <c r="ZJ118" s="11"/>
      <c r="ZK118" s="11"/>
      <c r="ZL118" s="11"/>
      <c r="ZM118" s="11"/>
      <c r="ZN118" s="11"/>
      <c r="ZO118" s="11"/>
      <c r="ZP118" s="11"/>
      <c r="ZQ118" s="11"/>
      <c r="ZR118" s="11"/>
      <c r="ZS118" s="11"/>
      <c r="ZT118" s="11"/>
      <c r="ZU118" s="11"/>
      <c r="ZV118" s="11"/>
      <c r="ZW118" s="11"/>
      <c r="ZX118" s="11"/>
      <c r="ZY118" s="11"/>
      <c r="ZZ118" s="11"/>
      <c r="AAA118" s="11"/>
      <c r="AAB118" s="11"/>
      <c r="AAC118" s="11"/>
      <c r="AAD118" s="11"/>
      <c r="AAE118" s="11"/>
      <c r="AAF118" s="11"/>
      <c r="AAG118" s="11"/>
      <c r="AAH118" s="11"/>
      <c r="AAI118" s="11"/>
      <c r="AAJ118" s="11"/>
      <c r="AAK118" s="11"/>
      <c r="AAL118" s="11"/>
      <c r="AAM118" s="11"/>
      <c r="AAN118" s="11"/>
      <c r="AAO118" s="11"/>
      <c r="AAP118" s="11"/>
      <c r="AAQ118" s="11"/>
      <c r="AAR118" s="11"/>
      <c r="AAS118" s="11"/>
      <c r="AAT118" s="11"/>
      <c r="AAU118" s="11"/>
      <c r="AAV118" s="11"/>
      <c r="AAW118" s="11"/>
      <c r="AAX118" s="11"/>
      <c r="AAY118" s="11"/>
      <c r="AAZ118" s="11"/>
      <c r="ABA118" s="11"/>
      <c r="ABB118" s="11"/>
      <c r="ABC118" s="11"/>
      <c r="ABD118" s="11"/>
      <c r="ABE118" s="11"/>
      <c r="ABF118" s="11"/>
      <c r="ABG118" s="11"/>
      <c r="ABH118" s="11"/>
      <c r="ABI118" s="11"/>
      <c r="ABJ118" s="11"/>
      <c r="ABK118" s="11"/>
      <c r="ABL118" s="11"/>
      <c r="ABM118" s="11"/>
      <c r="ABN118" s="11"/>
      <c r="ABO118" s="11"/>
      <c r="ABP118" s="11"/>
      <c r="ABQ118" s="11"/>
      <c r="ABR118" s="11"/>
      <c r="ABS118" s="11"/>
      <c r="ABT118" s="11"/>
      <c r="ABU118" s="11"/>
      <c r="ABV118" s="11"/>
      <c r="ABW118" s="11"/>
      <c r="ABX118" s="11"/>
      <c r="ABY118" s="11"/>
      <c r="ABZ118" s="11"/>
      <c r="ACA118" s="11"/>
      <c r="ACB118" s="11"/>
      <c r="ACC118" s="11"/>
      <c r="ACD118" s="11"/>
      <c r="ACE118" s="11"/>
      <c r="ACF118" s="11"/>
      <c r="ACG118" s="11"/>
      <c r="ACH118" s="11"/>
      <c r="ACI118" s="11"/>
      <c r="ACJ118" s="11"/>
      <c r="ACK118" s="11"/>
      <c r="ACL118" s="11"/>
      <c r="ACM118" s="11"/>
      <c r="ACN118" s="11"/>
      <c r="ACO118" s="11"/>
      <c r="ACP118" s="11"/>
      <c r="ACQ118" s="11"/>
      <c r="ACR118" s="11"/>
      <c r="ACS118" s="11"/>
      <c r="ACT118" s="11"/>
      <c r="ACU118" s="11"/>
      <c r="ACV118" s="11"/>
      <c r="ACW118" s="11"/>
      <c r="ACX118" s="11"/>
      <c r="ACY118" s="11"/>
      <c r="ACZ118" s="11"/>
      <c r="ADA118" s="11"/>
      <c r="ADB118" s="11"/>
      <c r="ADC118" s="11"/>
      <c r="ADD118" s="11"/>
      <c r="ADE118" s="11"/>
      <c r="ADF118" s="11"/>
      <c r="ADG118" s="11"/>
      <c r="ADH118" s="11"/>
      <c r="ADI118" s="11"/>
      <c r="ADJ118" s="11"/>
      <c r="ADK118" s="11"/>
      <c r="ADL118" s="11"/>
      <c r="ADM118" s="11"/>
      <c r="ADN118" s="11"/>
      <c r="ADO118" s="11"/>
      <c r="ADP118" s="11"/>
      <c r="ADQ118" s="11"/>
      <c r="ADR118" s="11"/>
      <c r="ADS118" s="11"/>
      <c r="ADT118" s="11"/>
      <c r="ADU118" s="11"/>
      <c r="ADV118" s="11"/>
      <c r="ADW118" s="11"/>
      <c r="ADX118" s="11"/>
      <c r="ADY118" s="11"/>
      <c r="ADZ118" s="11"/>
      <c r="AEA118" s="11"/>
      <c r="AEB118" s="11"/>
      <c r="AEC118" s="11"/>
      <c r="AED118" s="11"/>
      <c r="AEE118" s="11"/>
      <c r="AEF118" s="11"/>
      <c r="AEG118" s="11"/>
      <c r="AEH118" s="11"/>
      <c r="AEI118" s="11"/>
      <c r="AEJ118" s="11"/>
      <c r="AEK118" s="11"/>
      <c r="AEL118" s="11"/>
      <c r="AEM118" s="11"/>
      <c r="AEN118" s="11"/>
      <c r="AEO118" s="11"/>
      <c r="AEP118" s="11"/>
      <c r="AEQ118" s="11"/>
      <c r="AER118" s="11"/>
      <c r="AES118" s="11"/>
      <c r="AET118" s="11"/>
      <c r="AEU118" s="11"/>
      <c r="AEV118" s="11"/>
      <c r="AEW118" s="11"/>
      <c r="AEX118" s="11"/>
      <c r="AEY118" s="11"/>
      <c r="AEZ118" s="11"/>
      <c r="AFA118" s="11"/>
      <c r="AFB118" s="11"/>
      <c r="AFC118" s="11"/>
      <c r="AFD118" s="11"/>
      <c r="AFE118" s="11"/>
      <c r="AFF118" s="11"/>
      <c r="AFG118" s="11"/>
      <c r="AFH118" s="11"/>
      <c r="AFI118" s="11"/>
    </row>
    <row r="119" spans="2:841">
      <c r="B119" s="11"/>
      <c r="C119" s="658" t="str">
        <f>M_A0!C30</f>
        <v>Cerámica</v>
      </c>
      <c r="D119" s="658"/>
      <c r="E119" s="509">
        <f>SUM(M_Datos!N81:N83)</f>
        <v>0</v>
      </c>
      <c r="F119" s="312">
        <f>E119*M_FactoresComplement!$D790</f>
        <v>0</v>
      </c>
      <c r="G119" s="313">
        <f>E119*M_FactoresComplement!E790</f>
        <v>0</v>
      </c>
      <c r="H119" s="311">
        <f>'M_Nuevos Desarrollos'!D74</f>
        <v>0</v>
      </c>
      <c r="I119" s="312">
        <f>H119*M_FactoresComplement!$D790</f>
        <v>0</v>
      </c>
      <c r="J119" s="313">
        <f>H119*M_FactoresComplement!E790</f>
        <v>0</v>
      </c>
      <c r="K119" s="311">
        <f>'M_Nuevos Desarrollos'!F74</f>
        <v>0</v>
      </c>
      <c r="L119" s="312">
        <f>K119*M_FactoresComplement!$D790</f>
        <v>0</v>
      </c>
      <c r="M119" s="313">
        <f>K119*M_FactoresComplement!E790</f>
        <v>0</v>
      </c>
      <c r="N119" s="311">
        <f>'M_Nuevos Desarrollos'!H74</f>
        <v>0</v>
      </c>
      <c r="O119" s="312">
        <f>N119*M_FactoresComplement!$D790</f>
        <v>0</v>
      </c>
      <c r="P119" s="313">
        <f>N119*M_FactoresComplement!E790</f>
        <v>0</v>
      </c>
      <c r="Q119" s="311">
        <f>'M_Nuevos Desarrollos'!J74</f>
        <v>0</v>
      </c>
      <c r="R119" s="312">
        <f>Q119*M_FactoresComplement!$D790</f>
        <v>0</v>
      </c>
      <c r="S119" s="313">
        <f>Q119*M_FactoresComplement!E790</f>
        <v>0</v>
      </c>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c r="IW119" s="11"/>
      <c r="IX119" s="11"/>
      <c r="IY119" s="11"/>
      <c r="IZ119" s="11"/>
      <c r="JA119" s="11"/>
      <c r="JB119" s="11"/>
      <c r="JC119" s="11"/>
      <c r="JD119" s="11"/>
      <c r="JE119" s="11"/>
      <c r="JF119" s="11"/>
      <c r="JG119" s="11"/>
      <c r="JH119" s="11"/>
      <c r="JI119" s="11"/>
      <c r="JJ119" s="11"/>
      <c r="JK119" s="11"/>
      <c r="JL119" s="11"/>
      <c r="JM119" s="11"/>
      <c r="JN119" s="11"/>
      <c r="JO119" s="11"/>
      <c r="JP119" s="11"/>
      <c r="JQ119" s="11"/>
      <c r="JR119" s="11"/>
      <c r="JS119" s="11"/>
      <c r="JT119" s="11"/>
      <c r="JU119" s="11"/>
      <c r="JV119" s="11"/>
      <c r="JW119" s="11"/>
      <c r="JX119" s="11"/>
      <c r="JY119" s="11"/>
      <c r="JZ119" s="11"/>
      <c r="KA119" s="11"/>
      <c r="KB119" s="11"/>
      <c r="KC119" s="11"/>
      <c r="KD119" s="11"/>
      <c r="KE119" s="11"/>
      <c r="KF119" s="11"/>
      <c r="KG119" s="11"/>
      <c r="KH119" s="11"/>
      <c r="KI119" s="11"/>
      <c r="KJ119" s="11"/>
      <c r="KK119" s="11"/>
      <c r="KL119" s="11"/>
      <c r="KM119" s="11"/>
      <c r="KN119" s="11"/>
      <c r="KO119" s="11"/>
      <c r="KP119" s="11"/>
      <c r="KQ119" s="11"/>
      <c r="KR119" s="11"/>
      <c r="KS119" s="11"/>
      <c r="KT119" s="11"/>
      <c r="KU119" s="11"/>
      <c r="KV119" s="11"/>
      <c r="KW119" s="11"/>
      <c r="KX119" s="11"/>
      <c r="KY119" s="11"/>
      <c r="KZ119" s="11"/>
      <c r="LA119" s="11"/>
      <c r="LB119" s="11"/>
      <c r="LC119" s="11"/>
      <c r="LD119" s="11"/>
      <c r="LE119" s="11"/>
      <c r="LF119" s="11"/>
      <c r="LG119" s="11"/>
      <c r="LH119" s="11"/>
      <c r="LI119" s="11"/>
      <c r="LJ119" s="11"/>
      <c r="LK119" s="11"/>
      <c r="LL119" s="11"/>
      <c r="LM119" s="11"/>
      <c r="LN119" s="11"/>
      <c r="LO119" s="11"/>
      <c r="LP119" s="11"/>
      <c r="LQ119" s="11"/>
      <c r="LR119" s="11"/>
      <c r="LS119" s="11"/>
      <c r="LT119" s="11"/>
      <c r="LU119" s="11"/>
      <c r="LV119" s="11"/>
      <c r="LW119" s="11"/>
      <c r="LX119" s="11"/>
      <c r="LY119" s="11"/>
      <c r="LZ119" s="11"/>
      <c r="MA119" s="11"/>
      <c r="MB119" s="11"/>
      <c r="MC119" s="11"/>
      <c r="MD119" s="11"/>
      <c r="ME119" s="11"/>
      <c r="MF119" s="11"/>
      <c r="MG119" s="11"/>
      <c r="MH119" s="11"/>
      <c r="MI119" s="11"/>
      <c r="MJ119" s="11"/>
      <c r="MK119" s="11"/>
      <c r="ML119" s="11"/>
      <c r="MM119" s="11"/>
      <c r="MN119" s="11"/>
      <c r="MO119" s="11"/>
      <c r="MP119" s="11"/>
      <c r="MQ119" s="11"/>
      <c r="MR119" s="11"/>
      <c r="MS119" s="11"/>
      <c r="MT119" s="11"/>
      <c r="MU119" s="11"/>
      <c r="MV119" s="11"/>
      <c r="MW119" s="11"/>
      <c r="MX119" s="11"/>
      <c r="MY119" s="11"/>
      <c r="MZ119" s="11"/>
      <c r="NA119" s="11"/>
      <c r="NB119" s="11"/>
      <c r="NC119" s="11"/>
      <c r="ND119" s="11"/>
      <c r="NE119" s="11"/>
      <c r="NF119" s="11"/>
      <c r="NG119" s="11"/>
      <c r="NH119" s="11"/>
      <c r="NI119" s="11"/>
      <c r="NJ119" s="11"/>
      <c r="NK119" s="11"/>
      <c r="NL119" s="11"/>
      <c r="NM119" s="11"/>
      <c r="NN119" s="11"/>
      <c r="NO119" s="11"/>
      <c r="NP119" s="11"/>
      <c r="NQ119" s="11"/>
      <c r="NR119" s="11"/>
      <c r="NS119" s="11"/>
      <c r="NT119" s="11"/>
      <c r="NU119" s="11"/>
      <c r="NV119" s="11"/>
      <c r="NW119" s="11"/>
      <c r="NX119" s="11"/>
      <c r="NY119" s="11"/>
      <c r="NZ119" s="11"/>
      <c r="OA119" s="11"/>
      <c r="OB119" s="11"/>
      <c r="OC119" s="11"/>
      <c r="OD119" s="11"/>
      <c r="OE119" s="11"/>
      <c r="OF119" s="11"/>
      <c r="OG119" s="11"/>
      <c r="OH119" s="11"/>
      <c r="OI119" s="11"/>
      <c r="OJ119" s="11"/>
      <c r="OK119" s="11"/>
      <c r="OL119" s="11"/>
      <c r="OM119" s="11"/>
      <c r="ON119" s="11"/>
      <c r="OO119" s="11"/>
      <c r="OP119" s="11"/>
      <c r="OQ119" s="11"/>
      <c r="OR119" s="11"/>
      <c r="OS119" s="11"/>
      <c r="OT119" s="11"/>
      <c r="OU119" s="11"/>
      <c r="OV119" s="11"/>
      <c r="OW119" s="11"/>
      <c r="OX119" s="11"/>
      <c r="OY119" s="11"/>
      <c r="OZ119" s="11"/>
      <c r="PA119" s="11"/>
      <c r="PB119" s="11"/>
      <c r="PC119" s="11"/>
      <c r="PD119" s="11"/>
      <c r="PE119" s="11"/>
      <c r="PF119" s="11"/>
      <c r="PG119" s="11"/>
      <c r="PH119" s="11"/>
      <c r="PI119" s="11"/>
      <c r="PJ119" s="11"/>
      <c r="PK119" s="11"/>
      <c r="PL119" s="11"/>
      <c r="PM119" s="11"/>
      <c r="PN119" s="11"/>
      <c r="PO119" s="11"/>
      <c r="PP119" s="11"/>
      <c r="PQ119" s="11"/>
      <c r="PR119" s="11"/>
      <c r="PS119" s="11"/>
      <c r="PT119" s="11"/>
      <c r="PU119" s="11"/>
      <c r="PV119" s="11"/>
      <c r="PW119" s="11"/>
      <c r="PX119" s="11"/>
      <c r="PY119" s="11"/>
      <c r="PZ119" s="11"/>
      <c r="QA119" s="11"/>
      <c r="QB119" s="11"/>
      <c r="QC119" s="11"/>
      <c r="QD119" s="11"/>
      <c r="QE119" s="11"/>
      <c r="QF119" s="11"/>
      <c r="QG119" s="11"/>
      <c r="QH119" s="11"/>
      <c r="QI119" s="11"/>
      <c r="QJ119" s="11"/>
      <c r="QK119" s="11"/>
      <c r="QL119" s="11"/>
      <c r="QM119" s="11"/>
      <c r="QN119" s="11"/>
      <c r="QO119" s="11"/>
      <c r="QP119" s="11"/>
      <c r="QQ119" s="11"/>
      <c r="QR119" s="11"/>
      <c r="QS119" s="11"/>
      <c r="QT119" s="11"/>
      <c r="QU119" s="11"/>
      <c r="QV119" s="11"/>
      <c r="QW119" s="11"/>
      <c r="QX119" s="11"/>
      <c r="QY119" s="11"/>
      <c r="QZ119" s="11"/>
      <c r="RA119" s="11"/>
      <c r="RB119" s="11"/>
      <c r="RC119" s="11"/>
      <c r="RD119" s="11"/>
      <c r="RE119" s="11"/>
      <c r="RF119" s="11"/>
      <c r="RG119" s="11"/>
      <c r="RH119" s="11"/>
      <c r="RI119" s="11"/>
      <c r="RJ119" s="11"/>
      <c r="RK119" s="11"/>
      <c r="RL119" s="11"/>
      <c r="RM119" s="11"/>
      <c r="RN119" s="11"/>
      <c r="RO119" s="11"/>
      <c r="RP119" s="11"/>
      <c r="RQ119" s="11"/>
      <c r="RR119" s="11"/>
      <c r="RS119" s="11"/>
      <c r="RT119" s="11"/>
      <c r="RU119" s="11"/>
      <c r="RV119" s="11"/>
      <c r="RW119" s="11"/>
      <c r="RX119" s="11"/>
      <c r="RY119" s="11"/>
      <c r="RZ119" s="11"/>
      <c r="SA119" s="11"/>
      <c r="SB119" s="11"/>
      <c r="SC119" s="11"/>
      <c r="SD119" s="11"/>
      <c r="SE119" s="11"/>
      <c r="SF119" s="11"/>
      <c r="SG119" s="11"/>
      <c r="SH119" s="11"/>
      <c r="SI119" s="11"/>
      <c r="SJ119" s="11"/>
      <c r="SK119" s="11"/>
      <c r="SL119" s="11"/>
      <c r="SM119" s="11"/>
      <c r="SN119" s="11"/>
      <c r="SO119" s="11"/>
      <c r="SP119" s="11"/>
      <c r="SQ119" s="11"/>
      <c r="SR119" s="11"/>
      <c r="SS119" s="11"/>
      <c r="ST119" s="11"/>
      <c r="SU119" s="11"/>
      <c r="SV119" s="11"/>
      <c r="SW119" s="11"/>
      <c r="SX119" s="11"/>
      <c r="SY119" s="11"/>
      <c r="SZ119" s="11"/>
      <c r="TA119" s="11"/>
      <c r="TB119" s="11"/>
      <c r="TC119" s="11"/>
      <c r="TD119" s="11"/>
      <c r="TE119" s="11"/>
      <c r="TF119" s="11"/>
      <c r="TG119" s="11"/>
      <c r="TH119" s="11"/>
      <c r="TI119" s="11"/>
      <c r="TJ119" s="11"/>
      <c r="TK119" s="11"/>
      <c r="TL119" s="11"/>
      <c r="TM119" s="11"/>
      <c r="TN119" s="11"/>
      <c r="TO119" s="11"/>
      <c r="TP119" s="11"/>
      <c r="TQ119" s="11"/>
      <c r="TR119" s="11"/>
      <c r="TS119" s="11"/>
      <c r="TT119" s="11"/>
      <c r="TU119" s="11"/>
      <c r="TV119" s="11"/>
      <c r="TW119" s="11"/>
      <c r="TX119" s="11"/>
      <c r="TY119" s="11"/>
      <c r="TZ119" s="11"/>
      <c r="UA119" s="11"/>
      <c r="UB119" s="11"/>
      <c r="UC119" s="11"/>
      <c r="UD119" s="11"/>
      <c r="UE119" s="11"/>
      <c r="UF119" s="11"/>
      <c r="UG119" s="11"/>
      <c r="UH119" s="11"/>
      <c r="UI119" s="11"/>
      <c r="UJ119" s="11"/>
      <c r="UK119" s="11"/>
      <c r="UL119" s="11"/>
      <c r="UM119" s="11"/>
      <c r="UN119" s="11"/>
      <c r="UO119" s="11"/>
      <c r="UP119" s="11"/>
      <c r="UQ119" s="11"/>
      <c r="UR119" s="11"/>
      <c r="US119" s="11"/>
      <c r="UT119" s="11"/>
      <c r="UU119" s="11"/>
      <c r="UV119" s="11"/>
      <c r="UW119" s="11"/>
      <c r="UX119" s="11"/>
      <c r="UY119" s="11"/>
      <c r="UZ119" s="11"/>
      <c r="VA119" s="11"/>
      <c r="VB119" s="11"/>
      <c r="VC119" s="11"/>
      <c r="VD119" s="11"/>
      <c r="VE119" s="11"/>
      <c r="VF119" s="11"/>
      <c r="VG119" s="11"/>
      <c r="VH119" s="11"/>
      <c r="VI119" s="11"/>
      <c r="VJ119" s="11"/>
      <c r="VK119" s="11"/>
      <c r="VL119" s="11"/>
      <c r="VM119" s="11"/>
      <c r="VN119" s="11"/>
      <c r="VO119" s="11"/>
      <c r="VP119" s="11"/>
      <c r="VQ119" s="11"/>
      <c r="VR119" s="11"/>
      <c r="VS119" s="11"/>
      <c r="VT119" s="11"/>
      <c r="VU119" s="11"/>
      <c r="VV119" s="11"/>
      <c r="VW119" s="11"/>
      <c r="VX119" s="11"/>
      <c r="VY119" s="11"/>
      <c r="VZ119" s="11"/>
      <c r="WA119" s="11"/>
      <c r="WB119" s="11"/>
      <c r="WC119" s="11"/>
      <c r="WD119" s="11"/>
      <c r="WE119" s="11"/>
      <c r="WF119" s="11"/>
      <c r="WG119" s="11"/>
      <c r="WH119" s="11"/>
      <c r="WI119" s="11"/>
      <c r="WJ119" s="11"/>
      <c r="WK119" s="11"/>
      <c r="WL119" s="11"/>
      <c r="WM119" s="11"/>
      <c r="WN119" s="11"/>
      <c r="WO119" s="11"/>
      <c r="WP119" s="11"/>
      <c r="WQ119" s="11"/>
      <c r="WR119" s="11"/>
      <c r="WS119" s="11"/>
      <c r="WT119" s="11"/>
      <c r="WU119" s="11"/>
      <c r="WV119" s="11"/>
      <c r="WW119" s="11"/>
      <c r="WX119" s="11"/>
      <c r="WY119" s="11"/>
      <c r="WZ119" s="11"/>
      <c r="XA119" s="11"/>
      <c r="XB119" s="11"/>
      <c r="XC119" s="11"/>
      <c r="XD119" s="11"/>
      <c r="XE119" s="11"/>
      <c r="XF119" s="11"/>
      <c r="XG119" s="11"/>
      <c r="XH119" s="11"/>
      <c r="XI119" s="11"/>
      <c r="XJ119" s="11"/>
      <c r="XK119" s="11"/>
      <c r="XL119" s="11"/>
      <c r="XM119" s="11"/>
      <c r="XN119" s="11"/>
      <c r="XO119" s="11"/>
      <c r="XP119" s="11"/>
      <c r="XQ119" s="11"/>
      <c r="XR119" s="11"/>
      <c r="XS119" s="11"/>
      <c r="XT119" s="11"/>
      <c r="XU119" s="11"/>
      <c r="XV119" s="11"/>
      <c r="XW119" s="11"/>
      <c r="XX119" s="11"/>
      <c r="XY119" s="11"/>
      <c r="XZ119" s="11"/>
      <c r="YA119" s="11"/>
      <c r="YB119" s="11"/>
      <c r="YC119" s="11"/>
      <c r="YD119" s="11"/>
      <c r="YE119" s="11"/>
      <c r="YF119" s="11"/>
      <c r="YG119" s="11"/>
      <c r="YH119" s="11"/>
      <c r="YI119" s="11"/>
      <c r="YJ119" s="11"/>
      <c r="YK119" s="11"/>
      <c r="YL119" s="11"/>
      <c r="YM119" s="11"/>
      <c r="YN119" s="11"/>
      <c r="YO119" s="11"/>
      <c r="YP119" s="11"/>
      <c r="YQ119" s="11"/>
      <c r="YR119" s="11"/>
      <c r="YS119" s="11"/>
      <c r="YT119" s="11"/>
      <c r="YU119" s="11"/>
      <c r="YV119" s="11"/>
      <c r="YW119" s="11"/>
      <c r="YX119" s="11"/>
      <c r="YY119" s="11"/>
      <c r="YZ119" s="11"/>
      <c r="ZA119" s="11"/>
      <c r="ZB119" s="11"/>
      <c r="ZC119" s="11"/>
      <c r="ZD119" s="11"/>
      <c r="ZE119" s="11"/>
      <c r="ZF119" s="11"/>
      <c r="ZG119" s="11"/>
      <c r="ZH119" s="11"/>
      <c r="ZI119" s="11"/>
      <c r="ZJ119" s="11"/>
      <c r="ZK119" s="11"/>
      <c r="ZL119" s="11"/>
      <c r="ZM119" s="11"/>
      <c r="ZN119" s="11"/>
      <c r="ZO119" s="11"/>
      <c r="ZP119" s="11"/>
      <c r="ZQ119" s="11"/>
      <c r="ZR119" s="11"/>
      <c r="ZS119" s="11"/>
      <c r="ZT119" s="11"/>
      <c r="ZU119" s="11"/>
      <c r="ZV119" s="11"/>
      <c r="ZW119" s="11"/>
      <c r="ZX119" s="11"/>
      <c r="ZY119" s="11"/>
      <c r="ZZ119" s="11"/>
      <c r="AAA119" s="11"/>
      <c r="AAB119" s="11"/>
      <c r="AAC119" s="11"/>
      <c r="AAD119" s="11"/>
      <c r="AAE119" s="11"/>
      <c r="AAF119" s="11"/>
      <c r="AAG119" s="11"/>
      <c r="AAH119" s="11"/>
      <c r="AAI119" s="11"/>
      <c r="AAJ119" s="11"/>
      <c r="AAK119" s="11"/>
      <c r="AAL119" s="11"/>
      <c r="AAM119" s="11"/>
      <c r="AAN119" s="11"/>
      <c r="AAO119" s="11"/>
      <c r="AAP119" s="11"/>
      <c r="AAQ119" s="11"/>
      <c r="AAR119" s="11"/>
      <c r="AAS119" s="11"/>
      <c r="AAT119" s="11"/>
      <c r="AAU119" s="11"/>
      <c r="AAV119" s="11"/>
      <c r="AAW119" s="11"/>
      <c r="AAX119" s="11"/>
      <c r="AAY119" s="11"/>
      <c r="AAZ119" s="11"/>
      <c r="ABA119" s="11"/>
      <c r="ABB119" s="11"/>
      <c r="ABC119" s="11"/>
      <c r="ABD119" s="11"/>
      <c r="ABE119" s="11"/>
      <c r="ABF119" s="11"/>
      <c r="ABG119" s="11"/>
      <c r="ABH119" s="11"/>
      <c r="ABI119" s="11"/>
      <c r="ABJ119" s="11"/>
      <c r="ABK119" s="11"/>
      <c r="ABL119" s="11"/>
      <c r="ABM119" s="11"/>
      <c r="ABN119" s="11"/>
      <c r="ABO119" s="11"/>
      <c r="ABP119" s="11"/>
      <c r="ABQ119" s="11"/>
      <c r="ABR119" s="11"/>
      <c r="ABS119" s="11"/>
      <c r="ABT119" s="11"/>
      <c r="ABU119" s="11"/>
      <c r="ABV119" s="11"/>
      <c r="ABW119" s="11"/>
      <c r="ABX119" s="11"/>
      <c r="ABY119" s="11"/>
      <c r="ABZ119" s="11"/>
      <c r="ACA119" s="11"/>
      <c r="ACB119" s="11"/>
      <c r="ACC119" s="11"/>
      <c r="ACD119" s="11"/>
      <c r="ACE119" s="11"/>
      <c r="ACF119" s="11"/>
      <c r="ACG119" s="11"/>
      <c r="ACH119" s="11"/>
      <c r="ACI119" s="11"/>
      <c r="ACJ119" s="11"/>
      <c r="ACK119" s="11"/>
      <c r="ACL119" s="11"/>
      <c r="ACM119" s="11"/>
      <c r="ACN119" s="11"/>
      <c r="ACO119" s="11"/>
      <c r="ACP119" s="11"/>
      <c r="ACQ119" s="11"/>
      <c r="ACR119" s="11"/>
      <c r="ACS119" s="11"/>
      <c r="ACT119" s="11"/>
      <c r="ACU119" s="11"/>
      <c r="ACV119" s="11"/>
      <c r="ACW119" s="11"/>
      <c r="ACX119" s="11"/>
      <c r="ACY119" s="11"/>
      <c r="ACZ119" s="11"/>
      <c r="ADA119" s="11"/>
      <c r="ADB119" s="11"/>
      <c r="ADC119" s="11"/>
      <c r="ADD119" s="11"/>
      <c r="ADE119" s="11"/>
      <c r="ADF119" s="11"/>
      <c r="ADG119" s="11"/>
      <c r="ADH119" s="11"/>
      <c r="ADI119" s="11"/>
      <c r="ADJ119" s="11"/>
      <c r="ADK119" s="11"/>
      <c r="ADL119" s="11"/>
      <c r="ADM119" s="11"/>
      <c r="ADN119" s="11"/>
      <c r="ADO119" s="11"/>
      <c r="ADP119" s="11"/>
      <c r="ADQ119" s="11"/>
      <c r="ADR119" s="11"/>
      <c r="ADS119" s="11"/>
      <c r="ADT119" s="11"/>
      <c r="ADU119" s="11"/>
      <c r="ADV119" s="11"/>
      <c r="ADW119" s="11"/>
      <c r="ADX119" s="11"/>
      <c r="ADY119" s="11"/>
      <c r="ADZ119" s="11"/>
      <c r="AEA119" s="11"/>
      <c r="AEB119" s="11"/>
      <c r="AEC119" s="11"/>
      <c r="AED119" s="11"/>
      <c r="AEE119" s="11"/>
      <c r="AEF119" s="11"/>
      <c r="AEG119" s="11"/>
      <c r="AEH119" s="11"/>
      <c r="AEI119" s="11"/>
      <c r="AEJ119" s="11"/>
      <c r="AEK119" s="11"/>
      <c r="AEL119" s="11"/>
      <c r="AEM119" s="11"/>
      <c r="AEN119" s="11"/>
      <c r="AEO119" s="11"/>
      <c r="AEP119" s="11"/>
      <c r="AEQ119" s="11"/>
      <c r="AER119" s="11"/>
      <c r="AES119" s="11"/>
      <c r="AET119" s="11"/>
      <c r="AEU119" s="11"/>
      <c r="AEV119" s="11"/>
      <c r="AEW119" s="11"/>
      <c r="AEX119" s="11"/>
      <c r="AEY119" s="11"/>
      <c r="AEZ119" s="11"/>
      <c r="AFA119" s="11"/>
      <c r="AFB119" s="11"/>
      <c r="AFC119" s="11"/>
      <c r="AFD119" s="11"/>
      <c r="AFE119" s="11"/>
      <c r="AFF119" s="11"/>
      <c r="AFG119" s="11"/>
      <c r="AFH119" s="11"/>
      <c r="AFI119" s="11"/>
    </row>
    <row r="120" spans="2:841">
      <c r="B120" s="11"/>
      <c r="C120" s="658" t="str">
        <f>M_A0!C31</f>
        <v>Agroalimentaria</v>
      </c>
      <c r="D120" s="658"/>
      <c r="E120" s="509">
        <f>SUM(M_Datos!N84:N86)</f>
        <v>0</v>
      </c>
      <c r="F120" s="312">
        <f>E120*M_FactoresComplement!D791</f>
        <v>0</v>
      </c>
      <c r="G120" s="313">
        <f>E120*M_FactoresComplement!E791</f>
        <v>0</v>
      </c>
      <c r="H120" s="311">
        <f>'M_Nuevos Desarrollos'!D75</f>
        <v>0</v>
      </c>
      <c r="I120" s="312">
        <f>H120*M_FactoresComplement!$D791</f>
        <v>0</v>
      </c>
      <c r="J120" s="313">
        <f>H120*M_FactoresComplement!E791</f>
        <v>0</v>
      </c>
      <c r="K120" s="311">
        <f>'M_Nuevos Desarrollos'!F75</f>
        <v>0</v>
      </c>
      <c r="L120" s="312">
        <f>K120*M_FactoresComplement!$D791</f>
        <v>0</v>
      </c>
      <c r="M120" s="313">
        <f>K120*M_FactoresComplement!E791</f>
        <v>0</v>
      </c>
      <c r="N120" s="311">
        <f>'M_Nuevos Desarrollos'!H75</f>
        <v>0</v>
      </c>
      <c r="O120" s="312">
        <f>N120*M_FactoresComplement!$D791</f>
        <v>0</v>
      </c>
      <c r="P120" s="313">
        <f>N120*M_FactoresComplement!E791</f>
        <v>0</v>
      </c>
      <c r="Q120" s="311">
        <f>'M_Nuevos Desarrollos'!J75</f>
        <v>0</v>
      </c>
      <c r="R120" s="312">
        <f>Q120*M_FactoresComplement!$D791</f>
        <v>0</v>
      </c>
      <c r="S120" s="313">
        <f>Q120*M_FactoresComplement!E791</f>
        <v>0</v>
      </c>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c r="IV120" s="11"/>
      <c r="IW120" s="11"/>
      <c r="IX120" s="11"/>
      <c r="IY120" s="11"/>
      <c r="IZ120" s="11"/>
      <c r="JA120" s="11"/>
      <c r="JB120" s="11"/>
      <c r="JC120" s="11"/>
      <c r="JD120" s="11"/>
      <c r="JE120" s="11"/>
      <c r="JF120" s="11"/>
      <c r="JG120" s="11"/>
      <c r="JH120" s="11"/>
      <c r="JI120" s="11"/>
      <c r="JJ120" s="11"/>
      <c r="JK120" s="11"/>
      <c r="JL120" s="11"/>
      <c r="JM120" s="11"/>
      <c r="JN120" s="11"/>
      <c r="JO120" s="11"/>
      <c r="JP120" s="11"/>
      <c r="JQ120" s="11"/>
      <c r="JR120" s="11"/>
      <c r="JS120" s="11"/>
      <c r="JT120" s="11"/>
      <c r="JU120" s="11"/>
      <c r="JV120" s="11"/>
      <c r="JW120" s="11"/>
      <c r="JX120" s="11"/>
      <c r="JY120" s="11"/>
      <c r="JZ120" s="11"/>
      <c r="KA120" s="11"/>
      <c r="KB120" s="11"/>
      <c r="KC120" s="11"/>
      <c r="KD120" s="11"/>
      <c r="KE120" s="11"/>
      <c r="KF120" s="11"/>
      <c r="KG120" s="11"/>
      <c r="KH120" s="11"/>
      <c r="KI120" s="11"/>
      <c r="KJ120" s="11"/>
      <c r="KK120" s="11"/>
      <c r="KL120" s="11"/>
      <c r="KM120" s="11"/>
      <c r="KN120" s="11"/>
      <c r="KO120" s="11"/>
      <c r="KP120" s="11"/>
      <c r="KQ120" s="11"/>
      <c r="KR120" s="11"/>
      <c r="KS120" s="11"/>
      <c r="KT120" s="11"/>
      <c r="KU120" s="11"/>
      <c r="KV120" s="11"/>
      <c r="KW120" s="11"/>
      <c r="KX120" s="11"/>
      <c r="KY120" s="11"/>
      <c r="KZ120" s="11"/>
      <c r="LA120" s="11"/>
      <c r="LB120" s="11"/>
      <c r="LC120" s="11"/>
      <c r="LD120" s="11"/>
      <c r="LE120" s="11"/>
      <c r="LF120" s="11"/>
      <c r="LG120" s="11"/>
      <c r="LH120" s="11"/>
      <c r="LI120" s="11"/>
      <c r="LJ120" s="11"/>
      <c r="LK120" s="11"/>
      <c r="LL120" s="11"/>
      <c r="LM120" s="11"/>
      <c r="LN120" s="11"/>
      <c r="LO120" s="11"/>
      <c r="LP120" s="11"/>
      <c r="LQ120" s="11"/>
      <c r="LR120" s="11"/>
      <c r="LS120" s="11"/>
      <c r="LT120" s="11"/>
      <c r="LU120" s="11"/>
      <c r="LV120" s="11"/>
      <c r="LW120" s="11"/>
      <c r="LX120" s="11"/>
      <c r="LY120" s="11"/>
      <c r="LZ120" s="11"/>
      <c r="MA120" s="11"/>
      <c r="MB120" s="11"/>
      <c r="MC120" s="11"/>
      <c r="MD120" s="11"/>
      <c r="ME120" s="11"/>
      <c r="MF120" s="11"/>
      <c r="MG120" s="11"/>
      <c r="MH120" s="11"/>
      <c r="MI120" s="11"/>
      <c r="MJ120" s="11"/>
      <c r="MK120" s="11"/>
      <c r="ML120" s="11"/>
      <c r="MM120" s="11"/>
      <c r="MN120" s="11"/>
      <c r="MO120" s="11"/>
      <c r="MP120" s="11"/>
      <c r="MQ120" s="11"/>
      <c r="MR120" s="11"/>
      <c r="MS120" s="11"/>
      <c r="MT120" s="11"/>
      <c r="MU120" s="11"/>
      <c r="MV120" s="11"/>
      <c r="MW120" s="11"/>
      <c r="MX120" s="11"/>
      <c r="MY120" s="11"/>
      <c r="MZ120" s="11"/>
      <c r="NA120" s="11"/>
      <c r="NB120" s="11"/>
      <c r="NC120" s="11"/>
      <c r="ND120" s="11"/>
      <c r="NE120" s="11"/>
      <c r="NF120" s="11"/>
      <c r="NG120" s="11"/>
      <c r="NH120" s="11"/>
      <c r="NI120" s="11"/>
      <c r="NJ120" s="11"/>
      <c r="NK120" s="11"/>
      <c r="NL120" s="11"/>
      <c r="NM120" s="11"/>
      <c r="NN120" s="11"/>
      <c r="NO120" s="11"/>
      <c r="NP120" s="11"/>
      <c r="NQ120" s="11"/>
      <c r="NR120" s="11"/>
      <c r="NS120" s="11"/>
      <c r="NT120" s="11"/>
      <c r="NU120" s="11"/>
      <c r="NV120" s="11"/>
      <c r="NW120" s="11"/>
      <c r="NX120" s="11"/>
      <c r="NY120" s="11"/>
      <c r="NZ120" s="11"/>
      <c r="OA120" s="11"/>
      <c r="OB120" s="11"/>
      <c r="OC120" s="11"/>
      <c r="OD120" s="11"/>
      <c r="OE120" s="11"/>
      <c r="OF120" s="11"/>
      <c r="OG120" s="11"/>
      <c r="OH120" s="11"/>
      <c r="OI120" s="11"/>
      <c r="OJ120" s="11"/>
      <c r="OK120" s="11"/>
      <c r="OL120" s="11"/>
      <c r="OM120" s="11"/>
      <c r="ON120" s="11"/>
      <c r="OO120" s="11"/>
      <c r="OP120" s="11"/>
      <c r="OQ120" s="11"/>
      <c r="OR120" s="11"/>
      <c r="OS120" s="11"/>
      <c r="OT120" s="11"/>
      <c r="OU120" s="11"/>
      <c r="OV120" s="11"/>
      <c r="OW120" s="11"/>
      <c r="OX120" s="11"/>
      <c r="OY120" s="11"/>
      <c r="OZ120" s="11"/>
      <c r="PA120" s="11"/>
      <c r="PB120" s="11"/>
      <c r="PC120" s="11"/>
      <c r="PD120" s="11"/>
      <c r="PE120" s="11"/>
      <c r="PF120" s="11"/>
      <c r="PG120" s="11"/>
      <c r="PH120" s="11"/>
      <c r="PI120" s="11"/>
      <c r="PJ120" s="11"/>
      <c r="PK120" s="11"/>
      <c r="PL120" s="11"/>
      <c r="PM120" s="11"/>
      <c r="PN120" s="11"/>
      <c r="PO120" s="11"/>
      <c r="PP120" s="11"/>
      <c r="PQ120" s="11"/>
      <c r="PR120" s="11"/>
      <c r="PS120" s="11"/>
      <c r="PT120" s="11"/>
      <c r="PU120" s="11"/>
      <c r="PV120" s="11"/>
      <c r="PW120" s="11"/>
      <c r="PX120" s="11"/>
      <c r="PY120" s="11"/>
      <c r="PZ120" s="11"/>
      <c r="QA120" s="11"/>
      <c r="QB120" s="11"/>
      <c r="QC120" s="11"/>
      <c r="QD120" s="11"/>
      <c r="QE120" s="11"/>
      <c r="QF120" s="11"/>
      <c r="QG120" s="11"/>
      <c r="QH120" s="11"/>
      <c r="QI120" s="11"/>
      <c r="QJ120" s="11"/>
      <c r="QK120" s="11"/>
      <c r="QL120" s="11"/>
      <c r="QM120" s="11"/>
      <c r="QN120" s="11"/>
      <c r="QO120" s="11"/>
      <c r="QP120" s="11"/>
      <c r="QQ120" s="11"/>
      <c r="QR120" s="11"/>
      <c r="QS120" s="11"/>
      <c r="QT120" s="11"/>
      <c r="QU120" s="11"/>
      <c r="QV120" s="11"/>
      <c r="QW120" s="11"/>
      <c r="QX120" s="11"/>
      <c r="QY120" s="11"/>
      <c r="QZ120" s="11"/>
      <c r="RA120" s="11"/>
      <c r="RB120" s="11"/>
      <c r="RC120" s="11"/>
      <c r="RD120" s="11"/>
      <c r="RE120" s="11"/>
      <c r="RF120" s="11"/>
      <c r="RG120" s="11"/>
      <c r="RH120" s="11"/>
      <c r="RI120" s="11"/>
      <c r="RJ120" s="11"/>
      <c r="RK120" s="11"/>
      <c r="RL120" s="11"/>
      <c r="RM120" s="11"/>
      <c r="RN120" s="11"/>
      <c r="RO120" s="11"/>
      <c r="RP120" s="11"/>
      <c r="RQ120" s="11"/>
      <c r="RR120" s="11"/>
      <c r="RS120" s="11"/>
      <c r="RT120" s="11"/>
      <c r="RU120" s="11"/>
      <c r="RV120" s="11"/>
      <c r="RW120" s="11"/>
      <c r="RX120" s="11"/>
      <c r="RY120" s="11"/>
      <c r="RZ120" s="11"/>
      <c r="SA120" s="11"/>
      <c r="SB120" s="11"/>
      <c r="SC120" s="11"/>
      <c r="SD120" s="11"/>
      <c r="SE120" s="11"/>
      <c r="SF120" s="11"/>
      <c r="SG120" s="11"/>
      <c r="SH120" s="11"/>
      <c r="SI120" s="11"/>
      <c r="SJ120" s="11"/>
      <c r="SK120" s="11"/>
      <c r="SL120" s="11"/>
      <c r="SM120" s="11"/>
      <c r="SN120" s="11"/>
      <c r="SO120" s="11"/>
      <c r="SP120" s="11"/>
      <c r="SQ120" s="11"/>
      <c r="SR120" s="11"/>
      <c r="SS120" s="11"/>
      <c r="ST120" s="11"/>
      <c r="SU120" s="11"/>
      <c r="SV120" s="11"/>
      <c r="SW120" s="11"/>
      <c r="SX120" s="11"/>
      <c r="SY120" s="11"/>
      <c r="SZ120" s="11"/>
      <c r="TA120" s="11"/>
      <c r="TB120" s="11"/>
      <c r="TC120" s="11"/>
      <c r="TD120" s="11"/>
      <c r="TE120" s="11"/>
      <c r="TF120" s="11"/>
      <c r="TG120" s="11"/>
      <c r="TH120" s="11"/>
      <c r="TI120" s="11"/>
      <c r="TJ120" s="11"/>
      <c r="TK120" s="11"/>
      <c r="TL120" s="11"/>
      <c r="TM120" s="11"/>
      <c r="TN120" s="11"/>
      <c r="TO120" s="11"/>
      <c r="TP120" s="11"/>
      <c r="TQ120" s="11"/>
      <c r="TR120" s="11"/>
      <c r="TS120" s="11"/>
      <c r="TT120" s="11"/>
      <c r="TU120" s="11"/>
      <c r="TV120" s="11"/>
      <c r="TW120" s="11"/>
      <c r="TX120" s="11"/>
      <c r="TY120" s="11"/>
      <c r="TZ120" s="11"/>
      <c r="UA120" s="11"/>
      <c r="UB120" s="11"/>
      <c r="UC120" s="11"/>
      <c r="UD120" s="11"/>
      <c r="UE120" s="11"/>
      <c r="UF120" s="11"/>
      <c r="UG120" s="11"/>
      <c r="UH120" s="11"/>
      <c r="UI120" s="11"/>
      <c r="UJ120" s="11"/>
      <c r="UK120" s="11"/>
      <c r="UL120" s="11"/>
      <c r="UM120" s="11"/>
      <c r="UN120" s="11"/>
      <c r="UO120" s="11"/>
      <c r="UP120" s="11"/>
      <c r="UQ120" s="11"/>
      <c r="UR120" s="11"/>
      <c r="US120" s="11"/>
      <c r="UT120" s="11"/>
      <c r="UU120" s="11"/>
      <c r="UV120" s="11"/>
      <c r="UW120" s="11"/>
      <c r="UX120" s="11"/>
      <c r="UY120" s="11"/>
      <c r="UZ120" s="11"/>
      <c r="VA120" s="11"/>
      <c r="VB120" s="11"/>
      <c r="VC120" s="11"/>
      <c r="VD120" s="11"/>
      <c r="VE120" s="11"/>
      <c r="VF120" s="11"/>
      <c r="VG120" s="11"/>
      <c r="VH120" s="11"/>
      <c r="VI120" s="11"/>
      <c r="VJ120" s="11"/>
      <c r="VK120" s="11"/>
      <c r="VL120" s="11"/>
      <c r="VM120" s="11"/>
      <c r="VN120" s="11"/>
      <c r="VO120" s="11"/>
      <c r="VP120" s="11"/>
      <c r="VQ120" s="11"/>
      <c r="VR120" s="11"/>
      <c r="VS120" s="11"/>
      <c r="VT120" s="11"/>
      <c r="VU120" s="11"/>
      <c r="VV120" s="11"/>
      <c r="VW120" s="11"/>
      <c r="VX120" s="11"/>
      <c r="VY120" s="11"/>
      <c r="VZ120" s="11"/>
      <c r="WA120" s="11"/>
      <c r="WB120" s="11"/>
      <c r="WC120" s="11"/>
      <c r="WD120" s="11"/>
      <c r="WE120" s="11"/>
      <c r="WF120" s="11"/>
      <c r="WG120" s="11"/>
      <c r="WH120" s="11"/>
      <c r="WI120" s="11"/>
      <c r="WJ120" s="11"/>
      <c r="WK120" s="11"/>
      <c r="WL120" s="11"/>
      <c r="WM120" s="11"/>
      <c r="WN120" s="11"/>
      <c r="WO120" s="11"/>
      <c r="WP120" s="11"/>
      <c r="WQ120" s="11"/>
      <c r="WR120" s="11"/>
      <c r="WS120" s="11"/>
      <c r="WT120" s="11"/>
      <c r="WU120" s="11"/>
      <c r="WV120" s="11"/>
      <c r="WW120" s="11"/>
      <c r="WX120" s="11"/>
      <c r="WY120" s="11"/>
      <c r="WZ120" s="11"/>
      <c r="XA120" s="11"/>
      <c r="XB120" s="11"/>
      <c r="XC120" s="11"/>
      <c r="XD120" s="11"/>
      <c r="XE120" s="11"/>
      <c r="XF120" s="11"/>
      <c r="XG120" s="11"/>
      <c r="XH120" s="11"/>
      <c r="XI120" s="11"/>
      <c r="XJ120" s="11"/>
      <c r="XK120" s="11"/>
      <c r="XL120" s="11"/>
      <c r="XM120" s="11"/>
      <c r="XN120" s="11"/>
      <c r="XO120" s="11"/>
      <c r="XP120" s="11"/>
      <c r="XQ120" s="11"/>
      <c r="XR120" s="11"/>
      <c r="XS120" s="11"/>
      <c r="XT120" s="11"/>
      <c r="XU120" s="11"/>
      <c r="XV120" s="11"/>
      <c r="XW120" s="11"/>
      <c r="XX120" s="11"/>
      <c r="XY120" s="11"/>
      <c r="XZ120" s="11"/>
      <c r="YA120" s="11"/>
      <c r="YB120" s="11"/>
      <c r="YC120" s="11"/>
      <c r="YD120" s="11"/>
      <c r="YE120" s="11"/>
      <c r="YF120" s="11"/>
      <c r="YG120" s="11"/>
      <c r="YH120" s="11"/>
      <c r="YI120" s="11"/>
      <c r="YJ120" s="11"/>
      <c r="YK120" s="11"/>
      <c r="YL120" s="11"/>
      <c r="YM120" s="11"/>
      <c r="YN120" s="11"/>
      <c r="YO120" s="11"/>
      <c r="YP120" s="11"/>
      <c r="YQ120" s="11"/>
      <c r="YR120" s="11"/>
      <c r="YS120" s="11"/>
      <c r="YT120" s="11"/>
      <c r="YU120" s="11"/>
      <c r="YV120" s="11"/>
      <c r="YW120" s="11"/>
      <c r="YX120" s="11"/>
      <c r="YY120" s="11"/>
      <c r="YZ120" s="11"/>
      <c r="ZA120" s="11"/>
      <c r="ZB120" s="11"/>
      <c r="ZC120" s="11"/>
      <c r="ZD120" s="11"/>
      <c r="ZE120" s="11"/>
      <c r="ZF120" s="11"/>
      <c r="ZG120" s="11"/>
      <c r="ZH120" s="11"/>
      <c r="ZI120" s="11"/>
      <c r="ZJ120" s="11"/>
      <c r="ZK120" s="11"/>
      <c r="ZL120" s="11"/>
      <c r="ZM120" s="11"/>
      <c r="ZN120" s="11"/>
      <c r="ZO120" s="11"/>
      <c r="ZP120" s="11"/>
      <c r="ZQ120" s="11"/>
      <c r="ZR120" s="11"/>
      <c r="ZS120" s="11"/>
      <c r="ZT120" s="11"/>
      <c r="ZU120" s="11"/>
      <c r="ZV120" s="11"/>
      <c r="ZW120" s="11"/>
      <c r="ZX120" s="11"/>
      <c r="ZY120" s="11"/>
      <c r="ZZ120" s="11"/>
      <c r="AAA120" s="11"/>
      <c r="AAB120" s="11"/>
      <c r="AAC120" s="11"/>
      <c r="AAD120" s="11"/>
      <c r="AAE120" s="11"/>
      <c r="AAF120" s="11"/>
      <c r="AAG120" s="11"/>
      <c r="AAH120" s="11"/>
      <c r="AAI120" s="11"/>
      <c r="AAJ120" s="11"/>
      <c r="AAK120" s="11"/>
      <c r="AAL120" s="11"/>
      <c r="AAM120" s="11"/>
      <c r="AAN120" s="11"/>
      <c r="AAO120" s="11"/>
      <c r="AAP120" s="11"/>
      <c r="AAQ120" s="11"/>
      <c r="AAR120" s="11"/>
      <c r="AAS120" s="11"/>
      <c r="AAT120" s="11"/>
      <c r="AAU120" s="11"/>
      <c r="AAV120" s="11"/>
      <c r="AAW120" s="11"/>
      <c r="AAX120" s="11"/>
      <c r="AAY120" s="11"/>
      <c r="AAZ120" s="11"/>
      <c r="ABA120" s="11"/>
      <c r="ABB120" s="11"/>
      <c r="ABC120" s="11"/>
      <c r="ABD120" s="11"/>
      <c r="ABE120" s="11"/>
      <c r="ABF120" s="11"/>
      <c r="ABG120" s="11"/>
      <c r="ABH120" s="11"/>
      <c r="ABI120" s="11"/>
      <c r="ABJ120" s="11"/>
      <c r="ABK120" s="11"/>
      <c r="ABL120" s="11"/>
      <c r="ABM120" s="11"/>
      <c r="ABN120" s="11"/>
      <c r="ABO120" s="11"/>
      <c r="ABP120" s="11"/>
      <c r="ABQ120" s="11"/>
      <c r="ABR120" s="11"/>
      <c r="ABS120" s="11"/>
      <c r="ABT120" s="11"/>
      <c r="ABU120" s="11"/>
      <c r="ABV120" s="11"/>
      <c r="ABW120" s="11"/>
      <c r="ABX120" s="11"/>
      <c r="ABY120" s="11"/>
      <c r="ABZ120" s="11"/>
      <c r="ACA120" s="11"/>
      <c r="ACB120" s="11"/>
      <c r="ACC120" s="11"/>
      <c r="ACD120" s="11"/>
      <c r="ACE120" s="11"/>
      <c r="ACF120" s="11"/>
      <c r="ACG120" s="11"/>
      <c r="ACH120" s="11"/>
      <c r="ACI120" s="11"/>
      <c r="ACJ120" s="11"/>
      <c r="ACK120" s="11"/>
      <c r="ACL120" s="11"/>
      <c r="ACM120" s="11"/>
      <c r="ACN120" s="11"/>
      <c r="ACO120" s="11"/>
      <c r="ACP120" s="11"/>
      <c r="ACQ120" s="11"/>
      <c r="ACR120" s="11"/>
      <c r="ACS120" s="11"/>
      <c r="ACT120" s="11"/>
      <c r="ACU120" s="11"/>
      <c r="ACV120" s="11"/>
      <c r="ACW120" s="11"/>
      <c r="ACX120" s="11"/>
      <c r="ACY120" s="11"/>
      <c r="ACZ120" s="11"/>
      <c r="ADA120" s="11"/>
      <c r="ADB120" s="11"/>
      <c r="ADC120" s="11"/>
      <c r="ADD120" s="11"/>
      <c r="ADE120" s="11"/>
      <c r="ADF120" s="11"/>
      <c r="ADG120" s="11"/>
      <c r="ADH120" s="11"/>
      <c r="ADI120" s="11"/>
      <c r="ADJ120" s="11"/>
      <c r="ADK120" s="11"/>
      <c r="ADL120" s="11"/>
      <c r="ADM120" s="11"/>
      <c r="ADN120" s="11"/>
      <c r="ADO120" s="11"/>
      <c r="ADP120" s="11"/>
      <c r="ADQ120" s="11"/>
      <c r="ADR120" s="11"/>
      <c r="ADS120" s="11"/>
      <c r="ADT120" s="11"/>
      <c r="ADU120" s="11"/>
      <c r="ADV120" s="11"/>
      <c r="ADW120" s="11"/>
      <c r="ADX120" s="11"/>
      <c r="ADY120" s="11"/>
      <c r="ADZ120" s="11"/>
      <c r="AEA120" s="11"/>
      <c r="AEB120" s="11"/>
      <c r="AEC120" s="11"/>
      <c r="AED120" s="11"/>
      <c r="AEE120" s="11"/>
      <c r="AEF120" s="11"/>
      <c r="AEG120" s="11"/>
      <c r="AEH120" s="11"/>
      <c r="AEI120" s="11"/>
      <c r="AEJ120" s="11"/>
      <c r="AEK120" s="11"/>
      <c r="AEL120" s="11"/>
      <c r="AEM120" s="11"/>
      <c r="AEN120" s="11"/>
      <c r="AEO120" s="11"/>
      <c r="AEP120" s="11"/>
      <c r="AEQ120" s="11"/>
      <c r="AER120" s="11"/>
      <c r="AES120" s="11"/>
      <c r="AET120" s="11"/>
      <c r="AEU120" s="11"/>
      <c r="AEV120" s="11"/>
      <c r="AEW120" s="11"/>
      <c r="AEX120" s="11"/>
      <c r="AEY120" s="11"/>
      <c r="AEZ120" s="11"/>
      <c r="AFA120" s="11"/>
      <c r="AFB120" s="11"/>
      <c r="AFC120" s="11"/>
      <c r="AFD120" s="11"/>
      <c r="AFE120" s="11"/>
      <c r="AFF120" s="11"/>
      <c r="AFG120" s="11"/>
      <c r="AFH120" s="11"/>
      <c r="AFI120" s="11"/>
    </row>
    <row r="121" spans="2:841">
      <c r="B121" s="11"/>
      <c r="C121" s="658" t="str">
        <f>M_A0!C32</f>
        <v>Logística</v>
      </c>
      <c r="D121" s="658"/>
      <c r="E121" s="509">
        <f>SUM(M_Datos!N87:N89)</f>
        <v>0</v>
      </c>
      <c r="F121" s="312">
        <f>E121*M_FactoresComplement!D792</f>
        <v>0</v>
      </c>
      <c r="G121" s="313">
        <f>E121*M_FactoresComplement!E792</f>
        <v>0</v>
      </c>
      <c r="H121" s="311">
        <f>'M_Nuevos Desarrollos'!D76</f>
        <v>0</v>
      </c>
      <c r="I121" s="312">
        <f>H121*M_FactoresComplement!$D792</f>
        <v>0</v>
      </c>
      <c r="J121" s="313">
        <f>H121*M_FactoresComplement!E792</f>
        <v>0</v>
      </c>
      <c r="K121" s="311">
        <f>'M_Nuevos Desarrollos'!F76</f>
        <v>0</v>
      </c>
      <c r="L121" s="312">
        <f>K121*M_FactoresComplement!$D792</f>
        <v>0</v>
      </c>
      <c r="M121" s="313">
        <f>K121*M_FactoresComplement!E792</f>
        <v>0</v>
      </c>
      <c r="N121" s="311">
        <f>'M_Nuevos Desarrollos'!H76</f>
        <v>0</v>
      </c>
      <c r="O121" s="312">
        <f>N121*M_FactoresComplement!$D792</f>
        <v>0</v>
      </c>
      <c r="P121" s="313">
        <f>N121*M_FactoresComplement!E792</f>
        <v>0</v>
      </c>
      <c r="Q121" s="311">
        <f>'M_Nuevos Desarrollos'!J76</f>
        <v>0</v>
      </c>
      <c r="R121" s="312">
        <f>Q121*M_FactoresComplement!$D792</f>
        <v>0</v>
      </c>
      <c r="S121" s="313">
        <f>Q121*M_FactoresComplement!E792</f>
        <v>0</v>
      </c>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c r="IW121" s="11"/>
      <c r="IX121" s="11"/>
      <c r="IY121" s="11"/>
      <c r="IZ121" s="11"/>
      <c r="JA121" s="11"/>
      <c r="JB121" s="11"/>
      <c r="JC121" s="11"/>
      <c r="JD121" s="11"/>
      <c r="JE121" s="11"/>
      <c r="JF121" s="11"/>
      <c r="JG121" s="11"/>
      <c r="JH121" s="11"/>
      <c r="JI121" s="11"/>
      <c r="JJ121" s="11"/>
      <c r="JK121" s="11"/>
      <c r="JL121" s="11"/>
      <c r="JM121" s="11"/>
      <c r="JN121" s="11"/>
      <c r="JO121" s="11"/>
      <c r="JP121" s="11"/>
      <c r="JQ121" s="11"/>
      <c r="JR121" s="11"/>
      <c r="JS121" s="11"/>
      <c r="JT121" s="11"/>
      <c r="JU121" s="11"/>
      <c r="JV121" s="11"/>
      <c r="JW121" s="11"/>
      <c r="JX121" s="11"/>
      <c r="JY121" s="11"/>
      <c r="JZ121" s="11"/>
      <c r="KA121" s="11"/>
      <c r="KB121" s="11"/>
      <c r="KC121" s="11"/>
      <c r="KD121" s="11"/>
      <c r="KE121" s="11"/>
      <c r="KF121" s="11"/>
      <c r="KG121" s="11"/>
      <c r="KH121" s="11"/>
      <c r="KI121" s="11"/>
      <c r="KJ121" s="11"/>
      <c r="KK121" s="11"/>
      <c r="KL121" s="11"/>
      <c r="KM121" s="11"/>
      <c r="KN121" s="11"/>
      <c r="KO121" s="11"/>
      <c r="KP121" s="11"/>
      <c r="KQ121" s="11"/>
      <c r="KR121" s="11"/>
      <c r="KS121" s="11"/>
      <c r="KT121" s="11"/>
      <c r="KU121" s="11"/>
      <c r="KV121" s="11"/>
      <c r="KW121" s="11"/>
      <c r="KX121" s="11"/>
      <c r="KY121" s="11"/>
      <c r="KZ121" s="11"/>
      <c r="LA121" s="11"/>
      <c r="LB121" s="11"/>
      <c r="LC121" s="11"/>
      <c r="LD121" s="11"/>
      <c r="LE121" s="11"/>
      <c r="LF121" s="11"/>
      <c r="LG121" s="11"/>
      <c r="LH121" s="11"/>
      <c r="LI121" s="11"/>
      <c r="LJ121" s="11"/>
      <c r="LK121" s="11"/>
      <c r="LL121" s="11"/>
      <c r="LM121" s="11"/>
      <c r="LN121" s="11"/>
      <c r="LO121" s="11"/>
      <c r="LP121" s="11"/>
      <c r="LQ121" s="11"/>
      <c r="LR121" s="11"/>
      <c r="LS121" s="11"/>
      <c r="LT121" s="11"/>
      <c r="LU121" s="11"/>
      <c r="LV121" s="11"/>
      <c r="LW121" s="11"/>
      <c r="LX121" s="11"/>
      <c r="LY121" s="11"/>
      <c r="LZ121" s="11"/>
      <c r="MA121" s="11"/>
      <c r="MB121" s="11"/>
      <c r="MC121" s="11"/>
      <c r="MD121" s="11"/>
      <c r="ME121" s="11"/>
      <c r="MF121" s="11"/>
      <c r="MG121" s="11"/>
      <c r="MH121" s="11"/>
      <c r="MI121" s="11"/>
      <c r="MJ121" s="11"/>
      <c r="MK121" s="11"/>
      <c r="ML121" s="11"/>
      <c r="MM121" s="11"/>
      <c r="MN121" s="11"/>
      <c r="MO121" s="11"/>
      <c r="MP121" s="11"/>
      <c r="MQ121" s="11"/>
      <c r="MR121" s="11"/>
      <c r="MS121" s="11"/>
      <c r="MT121" s="11"/>
      <c r="MU121" s="11"/>
      <c r="MV121" s="11"/>
      <c r="MW121" s="11"/>
      <c r="MX121" s="11"/>
      <c r="MY121" s="11"/>
      <c r="MZ121" s="11"/>
      <c r="NA121" s="11"/>
      <c r="NB121" s="11"/>
      <c r="NC121" s="11"/>
      <c r="ND121" s="11"/>
      <c r="NE121" s="11"/>
      <c r="NF121" s="11"/>
      <c r="NG121" s="11"/>
      <c r="NH121" s="11"/>
      <c r="NI121" s="11"/>
      <c r="NJ121" s="11"/>
      <c r="NK121" s="11"/>
      <c r="NL121" s="11"/>
      <c r="NM121" s="11"/>
      <c r="NN121" s="11"/>
      <c r="NO121" s="11"/>
      <c r="NP121" s="11"/>
      <c r="NQ121" s="11"/>
      <c r="NR121" s="11"/>
      <c r="NS121" s="11"/>
      <c r="NT121" s="11"/>
      <c r="NU121" s="11"/>
      <c r="NV121" s="11"/>
      <c r="NW121" s="11"/>
      <c r="NX121" s="11"/>
      <c r="NY121" s="11"/>
      <c r="NZ121" s="11"/>
      <c r="OA121" s="11"/>
      <c r="OB121" s="11"/>
      <c r="OC121" s="11"/>
      <c r="OD121" s="11"/>
      <c r="OE121" s="11"/>
      <c r="OF121" s="11"/>
      <c r="OG121" s="11"/>
      <c r="OH121" s="11"/>
      <c r="OI121" s="11"/>
      <c r="OJ121" s="11"/>
      <c r="OK121" s="11"/>
      <c r="OL121" s="11"/>
      <c r="OM121" s="11"/>
      <c r="ON121" s="11"/>
      <c r="OO121" s="11"/>
      <c r="OP121" s="11"/>
      <c r="OQ121" s="11"/>
      <c r="OR121" s="11"/>
      <c r="OS121" s="11"/>
      <c r="OT121" s="11"/>
      <c r="OU121" s="11"/>
      <c r="OV121" s="11"/>
      <c r="OW121" s="11"/>
      <c r="OX121" s="11"/>
      <c r="OY121" s="11"/>
      <c r="OZ121" s="11"/>
      <c r="PA121" s="11"/>
      <c r="PB121" s="11"/>
      <c r="PC121" s="11"/>
      <c r="PD121" s="11"/>
      <c r="PE121" s="11"/>
      <c r="PF121" s="11"/>
      <c r="PG121" s="11"/>
      <c r="PH121" s="11"/>
      <c r="PI121" s="11"/>
      <c r="PJ121" s="11"/>
      <c r="PK121" s="11"/>
      <c r="PL121" s="11"/>
      <c r="PM121" s="11"/>
      <c r="PN121" s="11"/>
      <c r="PO121" s="11"/>
      <c r="PP121" s="11"/>
      <c r="PQ121" s="11"/>
      <c r="PR121" s="11"/>
      <c r="PS121" s="11"/>
      <c r="PT121" s="11"/>
      <c r="PU121" s="11"/>
      <c r="PV121" s="11"/>
      <c r="PW121" s="11"/>
      <c r="PX121" s="11"/>
      <c r="PY121" s="11"/>
      <c r="PZ121" s="11"/>
      <c r="QA121" s="11"/>
      <c r="QB121" s="11"/>
      <c r="QC121" s="11"/>
      <c r="QD121" s="11"/>
      <c r="QE121" s="11"/>
      <c r="QF121" s="11"/>
      <c r="QG121" s="11"/>
      <c r="QH121" s="11"/>
      <c r="QI121" s="11"/>
      <c r="QJ121" s="11"/>
      <c r="QK121" s="11"/>
      <c r="QL121" s="11"/>
      <c r="QM121" s="11"/>
      <c r="QN121" s="11"/>
      <c r="QO121" s="11"/>
      <c r="QP121" s="11"/>
      <c r="QQ121" s="11"/>
      <c r="QR121" s="11"/>
      <c r="QS121" s="11"/>
      <c r="QT121" s="11"/>
      <c r="QU121" s="11"/>
      <c r="QV121" s="11"/>
      <c r="QW121" s="11"/>
      <c r="QX121" s="11"/>
      <c r="QY121" s="11"/>
      <c r="QZ121" s="11"/>
      <c r="RA121" s="11"/>
      <c r="RB121" s="11"/>
      <c r="RC121" s="11"/>
      <c r="RD121" s="11"/>
      <c r="RE121" s="11"/>
      <c r="RF121" s="11"/>
      <c r="RG121" s="11"/>
      <c r="RH121" s="11"/>
      <c r="RI121" s="11"/>
      <c r="RJ121" s="11"/>
      <c r="RK121" s="11"/>
      <c r="RL121" s="11"/>
      <c r="RM121" s="11"/>
      <c r="RN121" s="11"/>
      <c r="RO121" s="11"/>
      <c r="RP121" s="11"/>
      <c r="RQ121" s="11"/>
      <c r="RR121" s="11"/>
      <c r="RS121" s="11"/>
      <c r="RT121" s="11"/>
      <c r="RU121" s="11"/>
      <c r="RV121" s="11"/>
      <c r="RW121" s="11"/>
      <c r="RX121" s="11"/>
      <c r="RY121" s="11"/>
      <c r="RZ121" s="11"/>
      <c r="SA121" s="11"/>
      <c r="SB121" s="11"/>
      <c r="SC121" s="11"/>
      <c r="SD121" s="11"/>
      <c r="SE121" s="11"/>
      <c r="SF121" s="11"/>
      <c r="SG121" s="11"/>
      <c r="SH121" s="11"/>
      <c r="SI121" s="11"/>
      <c r="SJ121" s="11"/>
      <c r="SK121" s="11"/>
      <c r="SL121" s="11"/>
      <c r="SM121" s="11"/>
      <c r="SN121" s="11"/>
      <c r="SO121" s="11"/>
      <c r="SP121" s="11"/>
      <c r="SQ121" s="11"/>
      <c r="SR121" s="11"/>
      <c r="SS121" s="11"/>
      <c r="ST121" s="11"/>
      <c r="SU121" s="11"/>
      <c r="SV121" s="11"/>
      <c r="SW121" s="11"/>
      <c r="SX121" s="11"/>
      <c r="SY121" s="11"/>
      <c r="SZ121" s="11"/>
      <c r="TA121" s="11"/>
      <c r="TB121" s="11"/>
      <c r="TC121" s="11"/>
      <c r="TD121" s="11"/>
      <c r="TE121" s="11"/>
      <c r="TF121" s="11"/>
      <c r="TG121" s="11"/>
      <c r="TH121" s="11"/>
      <c r="TI121" s="11"/>
      <c r="TJ121" s="11"/>
      <c r="TK121" s="11"/>
      <c r="TL121" s="11"/>
      <c r="TM121" s="11"/>
      <c r="TN121" s="11"/>
      <c r="TO121" s="11"/>
      <c r="TP121" s="11"/>
      <c r="TQ121" s="11"/>
      <c r="TR121" s="11"/>
      <c r="TS121" s="11"/>
      <c r="TT121" s="11"/>
      <c r="TU121" s="11"/>
      <c r="TV121" s="11"/>
      <c r="TW121" s="11"/>
      <c r="TX121" s="11"/>
      <c r="TY121" s="11"/>
      <c r="TZ121" s="11"/>
      <c r="UA121" s="11"/>
      <c r="UB121" s="11"/>
      <c r="UC121" s="11"/>
      <c r="UD121" s="11"/>
      <c r="UE121" s="11"/>
      <c r="UF121" s="11"/>
      <c r="UG121" s="11"/>
      <c r="UH121" s="11"/>
      <c r="UI121" s="11"/>
      <c r="UJ121" s="11"/>
      <c r="UK121" s="11"/>
      <c r="UL121" s="11"/>
      <c r="UM121" s="11"/>
      <c r="UN121" s="11"/>
      <c r="UO121" s="11"/>
      <c r="UP121" s="11"/>
      <c r="UQ121" s="11"/>
      <c r="UR121" s="11"/>
      <c r="US121" s="11"/>
      <c r="UT121" s="11"/>
      <c r="UU121" s="11"/>
      <c r="UV121" s="11"/>
      <c r="UW121" s="11"/>
      <c r="UX121" s="11"/>
      <c r="UY121" s="11"/>
      <c r="UZ121" s="11"/>
      <c r="VA121" s="11"/>
      <c r="VB121" s="11"/>
      <c r="VC121" s="11"/>
      <c r="VD121" s="11"/>
      <c r="VE121" s="11"/>
      <c r="VF121" s="11"/>
      <c r="VG121" s="11"/>
      <c r="VH121" s="11"/>
      <c r="VI121" s="11"/>
      <c r="VJ121" s="11"/>
      <c r="VK121" s="11"/>
      <c r="VL121" s="11"/>
      <c r="VM121" s="11"/>
      <c r="VN121" s="11"/>
      <c r="VO121" s="11"/>
      <c r="VP121" s="11"/>
      <c r="VQ121" s="11"/>
      <c r="VR121" s="11"/>
      <c r="VS121" s="11"/>
      <c r="VT121" s="11"/>
      <c r="VU121" s="11"/>
      <c r="VV121" s="11"/>
      <c r="VW121" s="11"/>
      <c r="VX121" s="11"/>
      <c r="VY121" s="11"/>
      <c r="VZ121" s="11"/>
      <c r="WA121" s="11"/>
      <c r="WB121" s="11"/>
      <c r="WC121" s="11"/>
      <c r="WD121" s="11"/>
      <c r="WE121" s="11"/>
      <c r="WF121" s="11"/>
      <c r="WG121" s="11"/>
      <c r="WH121" s="11"/>
      <c r="WI121" s="11"/>
      <c r="WJ121" s="11"/>
      <c r="WK121" s="11"/>
      <c r="WL121" s="11"/>
      <c r="WM121" s="11"/>
      <c r="WN121" s="11"/>
      <c r="WO121" s="11"/>
      <c r="WP121" s="11"/>
      <c r="WQ121" s="11"/>
      <c r="WR121" s="11"/>
      <c r="WS121" s="11"/>
      <c r="WT121" s="11"/>
      <c r="WU121" s="11"/>
      <c r="WV121" s="11"/>
      <c r="WW121" s="11"/>
      <c r="WX121" s="11"/>
      <c r="WY121" s="11"/>
      <c r="WZ121" s="11"/>
      <c r="XA121" s="11"/>
      <c r="XB121" s="11"/>
      <c r="XC121" s="11"/>
      <c r="XD121" s="11"/>
      <c r="XE121" s="11"/>
      <c r="XF121" s="11"/>
      <c r="XG121" s="11"/>
      <c r="XH121" s="11"/>
      <c r="XI121" s="11"/>
      <c r="XJ121" s="11"/>
      <c r="XK121" s="11"/>
      <c r="XL121" s="11"/>
      <c r="XM121" s="11"/>
      <c r="XN121" s="11"/>
      <c r="XO121" s="11"/>
      <c r="XP121" s="11"/>
      <c r="XQ121" s="11"/>
      <c r="XR121" s="11"/>
      <c r="XS121" s="11"/>
      <c r="XT121" s="11"/>
      <c r="XU121" s="11"/>
      <c r="XV121" s="11"/>
      <c r="XW121" s="11"/>
      <c r="XX121" s="11"/>
      <c r="XY121" s="11"/>
      <c r="XZ121" s="11"/>
      <c r="YA121" s="11"/>
      <c r="YB121" s="11"/>
      <c r="YC121" s="11"/>
      <c r="YD121" s="11"/>
      <c r="YE121" s="11"/>
      <c r="YF121" s="11"/>
      <c r="YG121" s="11"/>
      <c r="YH121" s="11"/>
      <c r="YI121" s="11"/>
      <c r="YJ121" s="11"/>
      <c r="YK121" s="11"/>
      <c r="YL121" s="11"/>
      <c r="YM121" s="11"/>
      <c r="YN121" s="11"/>
      <c r="YO121" s="11"/>
      <c r="YP121" s="11"/>
      <c r="YQ121" s="11"/>
      <c r="YR121" s="11"/>
      <c r="YS121" s="11"/>
      <c r="YT121" s="11"/>
      <c r="YU121" s="11"/>
      <c r="YV121" s="11"/>
      <c r="YW121" s="11"/>
      <c r="YX121" s="11"/>
      <c r="YY121" s="11"/>
      <c r="YZ121" s="11"/>
      <c r="ZA121" s="11"/>
      <c r="ZB121" s="11"/>
      <c r="ZC121" s="11"/>
      <c r="ZD121" s="11"/>
      <c r="ZE121" s="11"/>
      <c r="ZF121" s="11"/>
      <c r="ZG121" s="11"/>
      <c r="ZH121" s="11"/>
      <c r="ZI121" s="11"/>
      <c r="ZJ121" s="11"/>
      <c r="ZK121" s="11"/>
      <c r="ZL121" s="11"/>
      <c r="ZM121" s="11"/>
      <c r="ZN121" s="11"/>
      <c r="ZO121" s="11"/>
      <c r="ZP121" s="11"/>
      <c r="ZQ121" s="11"/>
      <c r="ZR121" s="11"/>
      <c r="ZS121" s="11"/>
      <c r="ZT121" s="11"/>
      <c r="ZU121" s="11"/>
      <c r="ZV121" s="11"/>
      <c r="ZW121" s="11"/>
      <c r="ZX121" s="11"/>
      <c r="ZY121" s="11"/>
      <c r="ZZ121" s="11"/>
      <c r="AAA121" s="11"/>
      <c r="AAB121" s="11"/>
      <c r="AAC121" s="11"/>
      <c r="AAD121" s="11"/>
      <c r="AAE121" s="11"/>
      <c r="AAF121" s="11"/>
      <c r="AAG121" s="11"/>
      <c r="AAH121" s="11"/>
      <c r="AAI121" s="11"/>
      <c r="AAJ121" s="11"/>
      <c r="AAK121" s="11"/>
      <c r="AAL121" s="11"/>
      <c r="AAM121" s="11"/>
      <c r="AAN121" s="11"/>
      <c r="AAO121" s="11"/>
      <c r="AAP121" s="11"/>
      <c r="AAQ121" s="11"/>
      <c r="AAR121" s="11"/>
      <c r="AAS121" s="11"/>
      <c r="AAT121" s="11"/>
      <c r="AAU121" s="11"/>
      <c r="AAV121" s="11"/>
      <c r="AAW121" s="11"/>
      <c r="AAX121" s="11"/>
      <c r="AAY121" s="11"/>
      <c r="AAZ121" s="11"/>
      <c r="ABA121" s="11"/>
      <c r="ABB121" s="11"/>
      <c r="ABC121" s="11"/>
      <c r="ABD121" s="11"/>
      <c r="ABE121" s="11"/>
      <c r="ABF121" s="11"/>
      <c r="ABG121" s="11"/>
      <c r="ABH121" s="11"/>
      <c r="ABI121" s="11"/>
      <c r="ABJ121" s="11"/>
      <c r="ABK121" s="11"/>
      <c r="ABL121" s="11"/>
      <c r="ABM121" s="11"/>
      <c r="ABN121" s="11"/>
      <c r="ABO121" s="11"/>
      <c r="ABP121" s="11"/>
      <c r="ABQ121" s="11"/>
      <c r="ABR121" s="11"/>
      <c r="ABS121" s="11"/>
      <c r="ABT121" s="11"/>
      <c r="ABU121" s="11"/>
      <c r="ABV121" s="11"/>
      <c r="ABW121" s="11"/>
      <c r="ABX121" s="11"/>
      <c r="ABY121" s="11"/>
      <c r="ABZ121" s="11"/>
      <c r="ACA121" s="11"/>
      <c r="ACB121" s="11"/>
      <c r="ACC121" s="11"/>
      <c r="ACD121" s="11"/>
      <c r="ACE121" s="11"/>
      <c r="ACF121" s="11"/>
      <c r="ACG121" s="11"/>
      <c r="ACH121" s="11"/>
      <c r="ACI121" s="11"/>
      <c r="ACJ121" s="11"/>
      <c r="ACK121" s="11"/>
      <c r="ACL121" s="11"/>
      <c r="ACM121" s="11"/>
      <c r="ACN121" s="11"/>
      <c r="ACO121" s="11"/>
      <c r="ACP121" s="11"/>
      <c r="ACQ121" s="11"/>
      <c r="ACR121" s="11"/>
      <c r="ACS121" s="11"/>
      <c r="ACT121" s="11"/>
      <c r="ACU121" s="11"/>
      <c r="ACV121" s="11"/>
      <c r="ACW121" s="11"/>
      <c r="ACX121" s="11"/>
      <c r="ACY121" s="11"/>
      <c r="ACZ121" s="11"/>
      <c r="ADA121" s="11"/>
      <c r="ADB121" s="11"/>
      <c r="ADC121" s="11"/>
      <c r="ADD121" s="11"/>
      <c r="ADE121" s="11"/>
      <c r="ADF121" s="11"/>
      <c r="ADG121" s="11"/>
      <c r="ADH121" s="11"/>
      <c r="ADI121" s="11"/>
      <c r="ADJ121" s="11"/>
      <c r="ADK121" s="11"/>
      <c r="ADL121" s="11"/>
      <c r="ADM121" s="11"/>
      <c r="ADN121" s="11"/>
      <c r="ADO121" s="11"/>
      <c r="ADP121" s="11"/>
      <c r="ADQ121" s="11"/>
      <c r="ADR121" s="11"/>
      <c r="ADS121" s="11"/>
      <c r="ADT121" s="11"/>
      <c r="ADU121" s="11"/>
      <c r="ADV121" s="11"/>
      <c r="ADW121" s="11"/>
      <c r="ADX121" s="11"/>
      <c r="ADY121" s="11"/>
      <c r="ADZ121" s="11"/>
      <c r="AEA121" s="11"/>
      <c r="AEB121" s="11"/>
      <c r="AEC121" s="11"/>
      <c r="AED121" s="11"/>
      <c r="AEE121" s="11"/>
      <c r="AEF121" s="11"/>
      <c r="AEG121" s="11"/>
      <c r="AEH121" s="11"/>
      <c r="AEI121" s="11"/>
      <c r="AEJ121" s="11"/>
      <c r="AEK121" s="11"/>
      <c r="AEL121" s="11"/>
      <c r="AEM121" s="11"/>
      <c r="AEN121" s="11"/>
      <c r="AEO121" s="11"/>
      <c r="AEP121" s="11"/>
      <c r="AEQ121" s="11"/>
      <c r="AER121" s="11"/>
      <c r="AES121" s="11"/>
      <c r="AET121" s="11"/>
      <c r="AEU121" s="11"/>
      <c r="AEV121" s="11"/>
      <c r="AEW121" s="11"/>
      <c r="AEX121" s="11"/>
      <c r="AEY121" s="11"/>
      <c r="AEZ121" s="11"/>
      <c r="AFA121" s="11"/>
      <c r="AFB121" s="11"/>
      <c r="AFC121" s="11"/>
      <c r="AFD121" s="11"/>
      <c r="AFE121" s="11"/>
      <c r="AFF121" s="11"/>
      <c r="AFG121" s="11"/>
      <c r="AFH121" s="11"/>
      <c r="AFI121" s="11"/>
    </row>
    <row r="122" spans="2:841">
      <c r="B122" s="11"/>
      <c r="C122" s="658" t="str">
        <f>M_A0!C33</f>
        <v>Textil</v>
      </c>
      <c r="D122" s="658"/>
      <c r="E122" s="311">
        <f>SUM(M_Datos!N90:N92)</f>
        <v>0</v>
      </c>
      <c r="F122" s="312">
        <f>E122*M_FactoresComplement!D793</f>
        <v>0</v>
      </c>
      <c r="G122" s="313">
        <f>E122*M_FactoresComplement!E793</f>
        <v>0</v>
      </c>
      <c r="H122" s="311">
        <f>'M_Nuevos Desarrollos'!D77</f>
        <v>0</v>
      </c>
      <c r="I122" s="312">
        <f>H122*M_FactoresComplement!$D793</f>
        <v>0</v>
      </c>
      <c r="J122" s="313">
        <f>H122*M_FactoresComplement!E793</f>
        <v>0</v>
      </c>
      <c r="K122" s="311">
        <f>'M_Nuevos Desarrollos'!F77</f>
        <v>0</v>
      </c>
      <c r="L122" s="312">
        <f>K122*M_FactoresComplement!$D793</f>
        <v>0</v>
      </c>
      <c r="M122" s="313">
        <f>K122*M_FactoresComplement!E793</f>
        <v>0</v>
      </c>
      <c r="N122" s="311">
        <f>'M_Nuevos Desarrollos'!H77</f>
        <v>0</v>
      </c>
      <c r="O122" s="312">
        <f>N122*M_FactoresComplement!$D793</f>
        <v>0</v>
      </c>
      <c r="P122" s="313">
        <f>N122*M_FactoresComplement!E793</f>
        <v>0</v>
      </c>
      <c r="Q122" s="311">
        <f>'M_Nuevos Desarrollos'!J77</f>
        <v>0</v>
      </c>
      <c r="R122" s="312">
        <f>Q122*M_FactoresComplement!$D793</f>
        <v>0</v>
      </c>
      <c r="S122" s="313">
        <f>Q122*M_FactoresComplement!E793</f>
        <v>0</v>
      </c>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c r="IW122" s="11"/>
      <c r="IX122" s="11"/>
      <c r="IY122" s="11"/>
      <c r="IZ122" s="11"/>
      <c r="JA122" s="11"/>
      <c r="JB122" s="11"/>
      <c r="JC122" s="11"/>
      <c r="JD122" s="11"/>
      <c r="JE122" s="11"/>
      <c r="JF122" s="11"/>
      <c r="JG122" s="11"/>
      <c r="JH122" s="11"/>
      <c r="JI122" s="11"/>
      <c r="JJ122" s="11"/>
      <c r="JK122" s="11"/>
      <c r="JL122" s="11"/>
      <c r="JM122" s="11"/>
      <c r="JN122" s="11"/>
      <c r="JO122" s="11"/>
      <c r="JP122" s="11"/>
      <c r="JQ122" s="11"/>
      <c r="JR122" s="11"/>
      <c r="JS122" s="11"/>
      <c r="JT122" s="11"/>
      <c r="JU122" s="11"/>
      <c r="JV122" s="11"/>
      <c r="JW122" s="11"/>
      <c r="JX122" s="11"/>
      <c r="JY122" s="11"/>
      <c r="JZ122" s="11"/>
      <c r="KA122" s="11"/>
      <c r="KB122" s="11"/>
      <c r="KC122" s="11"/>
      <c r="KD122" s="11"/>
      <c r="KE122" s="11"/>
      <c r="KF122" s="11"/>
      <c r="KG122" s="11"/>
      <c r="KH122" s="11"/>
      <c r="KI122" s="11"/>
      <c r="KJ122" s="11"/>
      <c r="KK122" s="11"/>
      <c r="KL122" s="11"/>
      <c r="KM122" s="11"/>
      <c r="KN122" s="11"/>
      <c r="KO122" s="11"/>
      <c r="KP122" s="11"/>
      <c r="KQ122" s="11"/>
      <c r="KR122" s="11"/>
      <c r="KS122" s="11"/>
      <c r="KT122" s="11"/>
      <c r="KU122" s="11"/>
      <c r="KV122" s="11"/>
      <c r="KW122" s="11"/>
      <c r="KX122" s="11"/>
      <c r="KY122" s="11"/>
      <c r="KZ122" s="11"/>
      <c r="LA122" s="11"/>
      <c r="LB122" s="11"/>
      <c r="LC122" s="11"/>
      <c r="LD122" s="11"/>
      <c r="LE122" s="11"/>
      <c r="LF122" s="11"/>
      <c r="LG122" s="11"/>
      <c r="LH122" s="11"/>
      <c r="LI122" s="11"/>
      <c r="LJ122" s="11"/>
      <c r="LK122" s="11"/>
      <c r="LL122" s="11"/>
      <c r="LM122" s="11"/>
      <c r="LN122" s="11"/>
      <c r="LO122" s="11"/>
      <c r="LP122" s="11"/>
      <c r="LQ122" s="11"/>
      <c r="LR122" s="11"/>
      <c r="LS122" s="11"/>
      <c r="LT122" s="11"/>
      <c r="LU122" s="11"/>
      <c r="LV122" s="11"/>
      <c r="LW122" s="11"/>
      <c r="LX122" s="11"/>
      <c r="LY122" s="11"/>
      <c r="LZ122" s="11"/>
      <c r="MA122" s="11"/>
      <c r="MB122" s="11"/>
      <c r="MC122" s="11"/>
      <c r="MD122" s="11"/>
      <c r="ME122" s="11"/>
      <c r="MF122" s="11"/>
      <c r="MG122" s="11"/>
      <c r="MH122" s="11"/>
      <c r="MI122" s="11"/>
      <c r="MJ122" s="11"/>
      <c r="MK122" s="11"/>
      <c r="ML122" s="11"/>
      <c r="MM122" s="11"/>
      <c r="MN122" s="11"/>
      <c r="MO122" s="11"/>
      <c r="MP122" s="11"/>
      <c r="MQ122" s="11"/>
      <c r="MR122" s="11"/>
      <c r="MS122" s="11"/>
      <c r="MT122" s="11"/>
      <c r="MU122" s="11"/>
      <c r="MV122" s="11"/>
      <c r="MW122" s="11"/>
      <c r="MX122" s="11"/>
      <c r="MY122" s="11"/>
      <c r="MZ122" s="11"/>
      <c r="NA122" s="11"/>
      <c r="NB122" s="11"/>
      <c r="NC122" s="11"/>
      <c r="ND122" s="11"/>
      <c r="NE122" s="11"/>
      <c r="NF122" s="11"/>
      <c r="NG122" s="11"/>
      <c r="NH122" s="11"/>
      <c r="NI122" s="11"/>
      <c r="NJ122" s="11"/>
      <c r="NK122" s="11"/>
      <c r="NL122" s="11"/>
      <c r="NM122" s="11"/>
      <c r="NN122" s="11"/>
      <c r="NO122" s="11"/>
      <c r="NP122" s="11"/>
      <c r="NQ122" s="11"/>
      <c r="NR122" s="11"/>
      <c r="NS122" s="11"/>
      <c r="NT122" s="11"/>
      <c r="NU122" s="11"/>
      <c r="NV122" s="11"/>
      <c r="NW122" s="11"/>
      <c r="NX122" s="11"/>
      <c r="NY122" s="11"/>
      <c r="NZ122" s="11"/>
      <c r="OA122" s="11"/>
      <c r="OB122" s="11"/>
      <c r="OC122" s="11"/>
      <c r="OD122" s="11"/>
      <c r="OE122" s="11"/>
      <c r="OF122" s="11"/>
      <c r="OG122" s="11"/>
      <c r="OH122" s="11"/>
      <c r="OI122" s="11"/>
      <c r="OJ122" s="11"/>
      <c r="OK122" s="11"/>
      <c r="OL122" s="11"/>
      <c r="OM122" s="11"/>
      <c r="ON122" s="11"/>
      <c r="OO122" s="11"/>
      <c r="OP122" s="11"/>
      <c r="OQ122" s="11"/>
      <c r="OR122" s="11"/>
      <c r="OS122" s="11"/>
      <c r="OT122" s="11"/>
      <c r="OU122" s="11"/>
      <c r="OV122" s="11"/>
      <c r="OW122" s="11"/>
      <c r="OX122" s="11"/>
      <c r="OY122" s="11"/>
      <c r="OZ122" s="11"/>
      <c r="PA122" s="11"/>
      <c r="PB122" s="11"/>
      <c r="PC122" s="11"/>
      <c r="PD122" s="11"/>
      <c r="PE122" s="11"/>
      <c r="PF122" s="11"/>
      <c r="PG122" s="11"/>
      <c r="PH122" s="11"/>
      <c r="PI122" s="11"/>
      <c r="PJ122" s="11"/>
      <c r="PK122" s="11"/>
      <c r="PL122" s="11"/>
      <c r="PM122" s="11"/>
      <c r="PN122" s="11"/>
      <c r="PO122" s="11"/>
      <c r="PP122" s="11"/>
      <c r="PQ122" s="11"/>
      <c r="PR122" s="11"/>
      <c r="PS122" s="11"/>
      <c r="PT122" s="11"/>
      <c r="PU122" s="11"/>
      <c r="PV122" s="11"/>
      <c r="PW122" s="11"/>
      <c r="PX122" s="11"/>
      <c r="PY122" s="11"/>
      <c r="PZ122" s="11"/>
      <c r="QA122" s="11"/>
      <c r="QB122" s="11"/>
      <c r="QC122" s="11"/>
      <c r="QD122" s="11"/>
      <c r="QE122" s="11"/>
      <c r="QF122" s="11"/>
      <c r="QG122" s="11"/>
      <c r="QH122" s="11"/>
      <c r="QI122" s="11"/>
      <c r="QJ122" s="11"/>
      <c r="QK122" s="11"/>
      <c r="QL122" s="11"/>
      <c r="QM122" s="11"/>
      <c r="QN122" s="11"/>
      <c r="QO122" s="11"/>
      <c r="QP122" s="11"/>
      <c r="QQ122" s="11"/>
      <c r="QR122" s="11"/>
      <c r="QS122" s="11"/>
      <c r="QT122" s="11"/>
      <c r="QU122" s="11"/>
      <c r="QV122" s="11"/>
      <c r="QW122" s="11"/>
      <c r="QX122" s="11"/>
      <c r="QY122" s="11"/>
      <c r="QZ122" s="11"/>
      <c r="RA122" s="11"/>
      <c r="RB122" s="11"/>
      <c r="RC122" s="11"/>
      <c r="RD122" s="11"/>
      <c r="RE122" s="11"/>
      <c r="RF122" s="11"/>
      <c r="RG122" s="11"/>
      <c r="RH122" s="11"/>
      <c r="RI122" s="11"/>
      <c r="RJ122" s="11"/>
      <c r="RK122" s="11"/>
      <c r="RL122" s="11"/>
      <c r="RM122" s="11"/>
      <c r="RN122" s="11"/>
      <c r="RO122" s="11"/>
      <c r="RP122" s="11"/>
      <c r="RQ122" s="11"/>
      <c r="RR122" s="11"/>
      <c r="RS122" s="11"/>
      <c r="RT122" s="11"/>
      <c r="RU122" s="11"/>
      <c r="RV122" s="11"/>
      <c r="RW122" s="11"/>
      <c r="RX122" s="11"/>
      <c r="RY122" s="11"/>
      <c r="RZ122" s="11"/>
      <c r="SA122" s="11"/>
      <c r="SB122" s="11"/>
      <c r="SC122" s="11"/>
      <c r="SD122" s="11"/>
      <c r="SE122" s="11"/>
      <c r="SF122" s="11"/>
      <c r="SG122" s="11"/>
      <c r="SH122" s="11"/>
      <c r="SI122" s="11"/>
      <c r="SJ122" s="11"/>
      <c r="SK122" s="11"/>
      <c r="SL122" s="11"/>
      <c r="SM122" s="11"/>
      <c r="SN122" s="11"/>
      <c r="SO122" s="11"/>
      <c r="SP122" s="11"/>
      <c r="SQ122" s="11"/>
      <c r="SR122" s="11"/>
      <c r="SS122" s="11"/>
      <c r="ST122" s="11"/>
      <c r="SU122" s="11"/>
      <c r="SV122" s="11"/>
      <c r="SW122" s="11"/>
      <c r="SX122" s="11"/>
      <c r="SY122" s="11"/>
      <c r="SZ122" s="11"/>
      <c r="TA122" s="11"/>
      <c r="TB122" s="11"/>
      <c r="TC122" s="11"/>
      <c r="TD122" s="11"/>
      <c r="TE122" s="11"/>
      <c r="TF122" s="11"/>
      <c r="TG122" s="11"/>
      <c r="TH122" s="11"/>
      <c r="TI122" s="11"/>
      <c r="TJ122" s="11"/>
      <c r="TK122" s="11"/>
      <c r="TL122" s="11"/>
      <c r="TM122" s="11"/>
      <c r="TN122" s="11"/>
      <c r="TO122" s="11"/>
      <c r="TP122" s="11"/>
      <c r="TQ122" s="11"/>
      <c r="TR122" s="11"/>
      <c r="TS122" s="11"/>
      <c r="TT122" s="11"/>
      <c r="TU122" s="11"/>
      <c r="TV122" s="11"/>
      <c r="TW122" s="11"/>
      <c r="TX122" s="11"/>
      <c r="TY122" s="11"/>
      <c r="TZ122" s="11"/>
      <c r="UA122" s="11"/>
      <c r="UB122" s="11"/>
      <c r="UC122" s="11"/>
      <c r="UD122" s="11"/>
      <c r="UE122" s="11"/>
      <c r="UF122" s="11"/>
      <c r="UG122" s="11"/>
      <c r="UH122" s="11"/>
      <c r="UI122" s="11"/>
      <c r="UJ122" s="11"/>
      <c r="UK122" s="11"/>
      <c r="UL122" s="11"/>
      <c r="UM122" s="11"/>
      <c r="UN122" s="11"/>
      <c r="UO122" s="11"/>
      <c r="UP122" s="11"/>
      <c r="UQ122" s="11"/>
      <c r="UR122" s="11"/>
      <c r="US122" s="11"/>
      <c r="UT122" s="11"/>
      <c r="UU122" s="11"/>
      <c r="UV122" s="11"/>
      <c r="UW122" s="11"/>
      <c r="UX122" s="11"/>
      <c r="UY122" s="11"/>
      <c r="UZ122" s="11"/>
      <c r="VA122" s="11"/>
      <c r="VB122" s="11"/>
      <c r="VC122" s="11"/>
      <c r="VD122" s="11"/>
      <c r="VE122" s="11"/>
      <c r="VF122" s="11"/>
      <c r="VG122" s="11"/>
      <c r="VH122" s="11"/>
      <c r="VI122" s="11"/>
      <c r="VJ122" s="11"/>
      <c r="VK122" s="11"/>
      <c r="VL122" s="11"/>
      <c r="VM122" s="11"/>
      <c r="VN122" s="11"/>
      <c r="VO122" s="11"/>
      <c r="VP122" s="11"/>
      <c r="VQ122" s="11"/>
      <c r="VR122" s="11"/>
      <c r="VS122" s="11"/>
      <c r="VT122" s="11"/>
      <c r="VU122" s="11"/>
      <c r="VV122" s="11"/>
      <c r="VW122" s="11"/>
      <c r="VX122" s="11"/>
      <c r="VY122" s="11"/>
      <c r="VZ122" s="11"/>
      <c r="WA122" s="11"/>
      <c r="WB122" s="11"/>
      <c r="WC122" s="11"/>
      <c r="WD122" s="11"/>
      <c r="WE122" s="11"/>
      <c r="WF122" s="11"/>
      <c r="WG122" s="11"/>
      <c r="WH122" s="11"/>
      <c r="WI122" s="11"/>
      <c r="WJ122" s="11"/>
      <c r="WK122" s="11"/>
      <c r="WL122" s="11"/>
      <c r="WM122" s="11"/>
      <c r="WN122" s="11"/>
      <c r="WO122" s="11"/>
      <c r="WP122" s="11"/>
      <c r="WQ122" s="11"/>
      <c r="WR122" s="11"/>
      <c r="WS122" s="11"/>
      <c r="WT122" s="11"/>
      <c r="WU122" s="11"/>
      <c r="WV122" s="11"/>
      <c r="WW122" s="11"/>
      <c r="WX122" s="11"/>
      <c r="WY122" s="11"/>
      <c r="WZ122" s="11"/>
      <c r="XA122" s="11"/>
      <c r="XB122" s="11"/>
      <c r="XC122" s="11"/>
      <c r="XD122" s="11"/>
      <c r="XE122" s="11"/>
      <c r="XF122" s="11"/>
      <c r="XG122" s="11"/>
      <c r="XH122" s="11"/>
      <c r="XI122" s="11"/>
      <c r="XJ122" s="11"/>
      <c r="XK122" s="11"/>
      <c r="XL122" s="11"/>
      <c r="XM122" s="11"/>
      <c r="XN122" s="11"/>
      <c r="XO122" s="11"/>
      <c r="XP122" s="11"/>
      <c r="XQ122" s="11"/>
      <c r="XR122" s="11"/>
      <c r="XS122" s="11"/>
      <c r="XT122" s="11"/>
      <c r="XU122" s="11"/>
      <c r="XV122" s="11"/>
      <c r="XW122" s="11"/>
      <c r="XX122" s="11"/>
      <c r="XY122" s="11"/>
      <c r="XZ122" s="11"/>
      <c r="YA122" s="11"/>
      <c r="YB122" s="11"/>
      <c r="YC122" s="11"/>
      <c r="YD122" s="11"/>
      <c r="YE122" s="11"/>
      <c r="YF122" s="11"/>
      <c r="YG122" s="11"/>
      <c r="YH122" s="11"/>
      <c r="YI122" s="11"/>
      <c r="YJ122" s="11"/>
      <c r="YK122" s="11"/>
      <c r="YL122" s="11"/>
      <c r="YM122" s="11"/>
      <c r="YN122" s="11"/>
      <c r="YO122" s="11"/>
      <c r="YP122" s="11"/>
      <c r="YQ122" s="11"/>
      <c r="YR122" s="11"/>
      <c r="YS122" s="11"/>
      <c r="YT122" s="11"/>
      <c r="YU122" s="11"/>
      <c r="YV122" s="11"/>
      <c r="YW122" s="11"/>
      <c r="YX122" s="11"/>
      <c r="YY122" s="11"/>
      <c r="YZ122" s="11"/>
      <c r="ZA122" s="11"/>
      <c r="ZB122" s="11"/>
      <c r="ZC122" s="11"/>
      <c r="ZD122" s="11"/>
      <c r="ZE122" s="11"/>
      <c r="ZF122" s="11"/>
      <c r="ZG122" s="11"/>
      <c r="ZH122" s="11"/>
      <c r="ZI122" s="11"/>
      <c r="ZJ122" s="11"/>
      <c r="ZK122" s="11"/>
      <c r="ZL122" s="11"/>
      <c r="ZM122" s="11"/>
      <c r="ZN122" s="11"/>
      <c r="ZO122" s="11"/>
      <c r="ZP122" s="11"/>
      <c r="ZQ122" s="11"/>
      <c r="ZR122" s="11"/>
      <c r="ZS122" s="11"/>
      <c r="ZT122" s="11"/>
      <c r="ZU122" s="11"/>
      <c r="ZV122" s="11"/>
      <c r="ZW122" s="11"/>
      <c r="ZX122" s="11"/>
      <c r="ZY122" s="11"/>
      <c r="ZZ122" s="11"/>
      <c r="AAA122" s="11"/>
      <c r="AAB122" s="11"/>
      <c r="AAC122" s="11"/>
      <c r="AAD122" s="11"/>
      <c r="AAE122" s="11"/>
      <c r="AAF122" s="11"/>
      <c r="AAG122" s="11"/>
      <c r="AAH122" s="11"/>
      <c r="AAI122" s="11"/>
      <c r="AAJ122" s="11"/>
      <c r="AAK122" s="11"/>
      <c r="AAL122" s="11"/>
      <c r="AAM122" s="11"/>
      <c r="AAN122" s="11"/>
      <c r="AAO122" s="11"/>
      <c r="AAP122" s="11"/>
      <c r="AAQ122" s="11"/>
      <c r="AAR122" s="11"/>
      <c r="AAS122" s="11"/>
      <c r="AAT122" s="11"/>
      <c r="AAU122" s="11"/>
      <c r="AAV122" s="11"/>
      <c r="AAW122" s="11"/>
      <c r="AAX122" s="11"/>
      <c r="AAY122" s="11"/>
      <c r="AAZ122" s="11"/>
      <c r="ABA122" s="11"/>
      <c r="ABB122" s="11"/>
      <c r="ABC122" s="11"/>
      <c r="ABD122" s="11"/>
      <c r="ABE122" s="11"/>
      <c r="ABF122" s="11"/>
      <c r="ABG122" s="11"/>
      <c r="ABH122" s="11"/>
      <c r="ABI122" s="11"/>
      <c r="ABJ122" s="11"/>
      <c r="ABK122" s="11"/>
      <c r="ABL122" s="11"/>
      <c r="ABM122" s="11"/>
      <c r="ABN122" s="11"/>
      <c r="ABO122" s="11"/>
      <c r="ABP122" s="11"/>
      <c r="ABQ122" s="11"/>
      <c r="ABR122" s="11"/>
      <c r="ABS122" s="11"/>
      <c r="ABT122" s="11"/>
      <c r="ABU122" s="11"/>
      <c r="ABV122" s="11"/>
      <c r="ABW122" s="11"/>
      <c r="ABX122" s="11"/>
      <c r="ABY122" s="11"/>
      <c r="ABZ122" s="11"/>
      <c r="ACA122" s="11"/>
      <c r="ACB122" s="11"/>
      <c r="ACC122" s="11"/>
      <c r="ACD122" s="11"/>
      <c r="ACE122" s="11"/>
      <c r="ACF122" s="11"/>
      <c r="ACG122" s="11"/>
      <c r="ACH122" s="11"/>
      <c r="ACI122" s="11"/>
      <c r="ACJ122" s="11"/>
      <c r="ACK122" s="11"/>
      <c r="ACL122" s="11"/>
      <c r="ACM122" s="11"/>
      <c r="ACN122" s="11"/>
      <c r="ACO122" s="11"/>
      <c r="ACP122" s="11"/>
      <c r="ACQ122" s="11"/>
      <c r="ACR122" s="11"/>
      <c r="ACS122" s="11"/>
      <c r="ACT122" s="11"/>
      <c r="ACU122" s="11"/>
      <c r="ACV122" s="11"/>
      <c r="ACW122" s="11"/>
      <c r="ACX122" s="11"/>
      <c r="ACY122" s="11"/>
      <c r="ACZ122" s="11"/>
      <c r="ADA122" s="11"/>
      <c r="ADB122" s="11"/>
      <c r="ADC122" s="11"/>
      <c r="ADD122" s="11"/>
      <c r="ADE122" s="11"/>
      <c r="ADF122" s="11"/>
      <c r="ADG122" s="11"/>
      <c r="ADH122" s="11"/>
      <c r="ADI122" s="11"/>
      <c r="ADJ122" s="11"/>
      <c r="ADK122" s="11"/>
      <c r="ADL122" s="11"/>
      <c r="ADM122" s="11"/>
      <c r="ADN122" s="11"/>
      <c r="ADO122" s="11"/>
      <c r="ADP122" s="11"/>
      <c r="ADQ122" s="11"/>
      <c r="ADR122" s="11"/>
      <c r="ADS122" s="11"/>
      <c r="ADT122" s="11"/>
      <c r="ADU122" s="11"/>
      <c r="ADV122" s="11"/>
      <c r="ADW122" s="11"/>
      <c r="ADX122" s="11"/>
      <c r="ADY122" s="11"/>
      <c r="ADZ122" s="11"/>
      <c r="AEA122" s="11"/>
      <c r="AEB122" s="11"/>
      <c r="AEC122" s="11"/>
      <c r="AED122" s="11"/>
      <c r="AEE122" s="11"/>
      <c r="AEF122" s="11"/>
      <c r="AEG122" s="11"/>
      <c r="AEH122" s="11"/>
      <c r="AEI122" s="11"/>
      <c r="AEJ122" s="11"/>
      <c r="AEK122" s="11"/>
      <c r="AEL122" s="11"/>
      <c r="AEM122" s="11"/>
      <c r="AEN122" s="11"/>
      <c r="AEO122" s="11"/>
      <c r="AEP122" s="11"/>
      <c r="AEQ122" s="11"/>
      <c r="AER122" s="11"/>
      <c r="AES122" s="11"/>
      <c r="AET122" s="11"/>
      <c r="AEU122" s="11"/>
      <c r="AEV122" s="11"/>
      <c r="AEW122" s="11"/>
      <c r="AEX122" s="11"/>
      <c r="AEY122" s="11"/>
      <c r="AEZ122" s="11"/>
      <c r="AFA122" s="11"/>
      <c r="AFB122" s="11"/>
      <c r="AFC122" s="11"/>
      <c r="AFD122" s="11"/>
      <c r="AFE122" s="11"/>
      <c r="AFF122" s="11"/>
      <c r="AFG122" s="11"/>
      <c r="AFH122" s="11"/>
      <c r="AFI122" s="11"/>
    </row>
    <row r="123" spans="2:841">
      <c r="B123" s="11"/>
      <c r="C123" s="659" t="str">
        <f>M_A0!C34</f>
        <v>Total</v>
      </c>
      <c r="D123" s="659"/>
      <c r="E123" s="316">
        <f>SUM(E118:E122)</f>
        <v>0</v>
      </c>
      <c r="F123" s="316">
        <f t="shared" ref="F123:S123" si="11">SUM(F118:F122)</f>
        <v>0</v>
      </c>
      <c r="G123" s="316">
        <f t="shared" si="11"/>
        <v>0</v>
      </c>
      <c r="H123" s="316">
        <f t="shared" si="11"/>
        <v>0</v>
      </c>
      <c r="I123" s="316">
        <f t="shared" si="11"/>
        <v>0</v>
      </c>
      <c r="J123" s="316">
        <f t="shared" si="11"/>
        <v>0</v>
      </c>
      <c r="K123" s="316">
        <f t="shared" si="11"/>
        <v>0</v>
      </c>
      <c r="L123" s="316">
        <f t="shared" si="11"/>
        <v>0</v>
      </c>
      <c r="M123" s="316">
        <f t="shared" si="11"/>
        <v>0</v>
      </c>
      <c r="N123" s="316">
        <f t="shared" si="11"/>
        <v>0</v>
      </c>
      <c r="O123" s="316">
        <f t="shared" si="11"/>
        <v>0</v>
      </c>
      <c r="P123" s="316">
        <f t="shared" si="11"/>
        <v>0</v>
      </c>
      <c r="Q123" s="316">
        <f t="shared" si="11"/>
        <v>0</v>
      </c>
      <c r="R123" s="316">
        <f t="shared" si="11"/>
        <v>0</v>
      </c>
      <c r="S123" s="316">
        <f t="shared" si="11"/>
        <v>0</v>
      </c>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c r="IW123" s="11"/>
      <c r="IX123" s="11"/>
      <c r="IY123" s="11"/>
      <c r="IZ123" s="11"/>
      <c r="JA123" s="11"/>
      <c r="JB123" s="11"/>
      <c r="JC123" s="11"/>
      <c r="JD123" s="11"/>
      <c r="JE123" s="11"/>
      <c r="JF123" s="11"/>
      <c r="JG123" s="11"/>
      <c r="JH123" s="11"/>
      <c r="JI123" s="11"/>
      <c r="JJ123" s="11"/>
      <c r="JK123" s="11"/>
      <c r="JL123" s="11"/>
      <c r="JM123" s="11"/>
      <c r="JN123" s="11"/>
      <c r="JO123" s="11"/>
      <c r="JP123" s="11"/>
      <c r="JQ123" s="11"/>
      <c r="JR123" s="11"/>
      <c r="JS123" s="11"/>
      <c r="JT123" s="11"/>
      <c r="JU123" s="11"/>
      <c r="JV123" s="11"/>
      <c r="JW123" s="11"/>
      <c r="JX123" s="11"/>
      <c r="JY123" s="11"/>
      <c r="JZ123" s="11"/>
      <c r="KA123" s="11"/>
      <c r="KB123" s="11"/>
      <c r="KC123" s="11"/>
      <c r="KD123" s="11"/>
      <c r="KE123" s="11"/>
      <c r="KF123" s="11"/>
      <c r="KG123" s="11"/>
      <c r="KH123" s="11"/>
      <c r="KI123" s="11"/>
      <c r="KJ123" s="11"/>
      <c r="KK123" s="11"/>
      <c r="KL123" s="11"/>
      <c r="KM123" s="11"/>
      <c r="KN123" s="11"/>
      <c r="KO123" s="11"/>
      <c r="KP123" s="11"/>
      <c r="KQ123" s="11"/>
      <c r="KR123" s="11"/>
      <c r="KS123" s="11"/>
      <c r="KT123" s="11"/>
      <c r="KU123" s="11"/>
      <c r="KV123" s="11"/>
      <c r="KW123" s="11"/>
      <c r="KX123" s="11"/>
      <c r="KY123" s="11"/>
      <c r="KZ123" s="11"/>
      <c r="LA123" s="11"/>
      <c r="LB123" s="11"/>
      <c r="LC123" s="11"/>
      <c r="LD123" s="11"/>
      <c r="LE123" s="11"/>
      <c r="LF123" s="11"/>
      <c r="LG123" s="11"/>
      <c r="LH123" s="11"/>
      <c r="LI123" s="11"/>
      <c r="LJ123" s="11"/>
      <c r="LK123" s="11"/>
      <c r="LL123" s="11"/>
      <c r="LM123" s="11"/>
      <c r="LN123" s="11"/>
      <c r="LO123" s="11"/>
      <c r="LP123" s="11"/>
      <c r="LQ123" s="11"/>
      <c r="LR123" s="11"/>
      <c r="LS123" s="11"/>
      <c r="LT123" s="11"/>
      <c r="LU123" s="11"/>
      <c r="LV123" s="11"/>
      <c r="LW123" s="11"/>
      <c r="LX123" s="11"/>
      <c r="LY123" s="11"/>
      <c r="LZ123" s="11"/>
      <c r="MA123" s="11"/>
      <c r="MB123" s="11"/>
      <c r="MC123" s="11"/>
      <c r="MD123" s="11"/>
      <c r="ME123" s="11"/>
      <c r="MF123" s="11"/>
      <c r="MG123" s="11"/>
      <c r="MH123" s="11"/>
      <c r="MI123" s="11"/>
      <c r="MJ123" s="11"/>
      <c r="MK123" s="11"/>
      <c r="ML123" s="11"/>
      <c r="MM123" s="11"/>
      <c r="MN123" s="11"/>
      <c r="MO123" s="11"/>
      <c r="MP123" s="11"/>
      <c r="MQ123" s="11"/>
      <c r="MR123" s="11"/>
      <c r="MS123" s="11"/>
      <c r="MT123" s="11"/>
      <c r="MU123" s="11"/>
      <c r="MV123" s="11"/>
      <c r="MW123" s="11"/>
      <c r="MX123" s="11"/>
      <c r="MY123" s="11"/>
      <c r="MZ123" s="11"/>
      <c r="NA123" s="11"/>
      <c r="NB123" s="11"/>
      <c r="NC123" s="11"/>
      <c r="ND123" s="11"/>
      <c r="NE123" s="11"/>
      <c r="NF123" s="11"/>
      <c r="NG123" s="11"/>
      <c r="NH123" s="11"/>
      <c r="NI123" s="11"/>
      <c r="NJ123" s="11"/>
      <c r="NK123" s="11"/>
      <c r="NL123" s="11"/>
      <c r="NM123" s="11"/>
      <c r="NN123" s="11"/>
      <c r="NO123" s="11"/>
      <c r="NP123" s="11"/>
      <c r="NQ123" s="11"/>
      <c r="NR123" s="11"/>
      <c r="NS123" s="11"/>
      <c r="NT123" s="11"/>
      <c r="NU123" s="11"/>
      <c r="NV123" s="11"/>
      <c r="NW123" s="11"/>
      <c r="NX123" s="11"/>
      <c r="NY123" s="11"/>
      <c r="NZ123" s="11"/>
      <c r="OA123" s="11"/>
      <c r="OB123" s="11"/>
      <c r="OC123" s="11"/>
      <c r="OD123" s="11"/>
      <c r="OE123" s="11"/>
      <c r="OF123" s="11"/>
      <c r="OG123" s="11"/>
      <c r="OH123" s="11"/>
      <c r="OI123" s="11"/>
      <c r="OJ123" s="11"/>
      <c r="OK123" s="11"/>
      <c r="OL123" s="11"/>
      <c r="OM123" s="11"/>
      <c r="ON123" s="11"/>
      <c r="OO123" s="11"/>
      <c r="OP123" s="11"/>
      <c r="OQ123" s="11"/>
      <c r="OR123" s="11"/>
      <c r="OS123" s="11"/>
      <c r="OT123" s="11"/>
      <c r="OU123" s="11"/>
      <c r="OV123" s="11"/>
      <c r="OW123" s="11"/>
      <c r="OX123" s="11"/>
      <c r="OY123" s="11"/>
      <c r="OZ123" s="11"/>
      <c r="PA123" s="11"/>
      <c r="PB123" s="11"/>
      <c r="PC123" s="11"/>
      <c r="PD123" s="11"/>
      <c r="PE123" s="11"/>
      <c r="PF123" s="11"/>
      <c r="PG123" s="11"/>
      <c r="PH123" s="11"/>
      <c r="PI123" s="11"/>
      <c r="PJ123" s="11"/>
      <c r="PK123" s="11"/>
      <c r="PL123" s="11"/>
      <c r="PM123" s="11"/>
      <c r="PN123" s="11"/>
      <c r="PO123" s="11"/>
      <c r="PP123" s="11"/>
      <c r="PQ123" s="11"/>
      <c r="PR123" s="11"/>
      <c r="PS123" s="11"/>
      <c r="PT123" s="11"/>
      <c r="PU123" s="11"/>
      <c r="PV123" s="11"/>
      <c r="PW123" s="11"/>
      <c r="PX123" s="11"/>
      <c r="PY123" s="11"/>
      <c r="PZ123" s="11"/>
      <c r="QA123" s="11"/>
      <c r="QB123" s="11"/>
      <c r="QC123" s="11"/>
      <c r="QD123" s="11"/>
      <c r="QE123" s="11"/>
      <c r="QF123" s="11"/>
      <c r="QG123" s="11"/>
      <c r="QH123" s="11"/>
      <c r="QI123" s="11"/>
      <c r="QJ123" s="11"/>
      <c r="QK123" s="11"/>
      <c r="QL123" s="11"/>
      <c r="QM123" s="11"/>
      <c r="QN123" s="11"/>
      <c r="QO123" s="11"/>
      <c r="QP123" s="11"/>
      <c r="QQ123" s="11"/>
      <c r="QR123" s="11"/>
      <c r="QS123" s="11"/>
      <c r="QT123" s="11"/>
      <c r="QU123" s="11"/>
      <c r="QV123" s="11"/>
      <c r="QW123" s="11"/>
      <c r="QX123" s="11"/>
      <c r="QY123" s="11"/>
      <c r="QZ123" s="11"/>
      <c r="RA123" s="11"/>
      <c r="RB123" s="11"/>
      <c r="RC123" s="11"/>
      <c r="RD123" s="11"/>
      <c r="RE123" s="11"/>
      <c r="RF123" s="11"/>
      <c r="RG123" s="11"/>
      <c r="RH123" s="11"/>
      <c r="RI123" s="11"/>
      <c r="RJ123" s="11"/>
      <c r="RK123" s="11"/>
      <c r="RL123" s="11"/>
      <c r="RM123" s="11"/>
      <c r="RN123" s="11"/>
      <c r="RO123" s="11"/>
      <c r="RP123" s="11"/>
      <c r="RQ123" s="11"/>
      <c r="RR123" s="11"/>
      <c r="RS123" s="11"/>
      <c r="RT123" s="11"/>
      <c r="RU123" s="11"/>
      <c r="RV123" s="11"/>
      <c r="RW123" s="11"/>
      <c r="RX123" s="11"/>
      <c r="RY123" s="11"/>
      <c r="RZ123" s="11"/>
      <c r="SA123" s="11"/>
      <c r="SB123" s="11"/>
      <c r="SC123" s="11"/>
      <c r="SD123" s="11"/>
      <c r="SE123" s="11"/>
      <c r="SF123" s="11"/>
      <c r="SG123" s="11"/>
      <c r="SH123" s="11"/>
      <c r="SI123" s="11"/>
      <c r="SJ123" s="11"/>
      <c r="SK123" s="11"/>
      <c r="SL123" s="11"/>
      <c r="SM123" s="11"/>
      <c r="SN123" s="11"/>
      <c r="SO123" s="11"/>
      <c r="SP123" s="11"/>
      <c r="SQ123" s="11"/>
      <c r="SR123" s="11"/>
      <c r="SS123" s="11"/>
      <c r="ST123" s="11"/>
      <c r="SU123" s="11"/>
      <c r="SV123" s="11"/>
      <c r="SW123" s="11"/>
      <c r="SX123" s="11"/>
      <c r="SY123" s="11"/>
      <c r="SZ123" s="11"/>
      <c r="TA123" s="11"/>
      <c r="TB123" s="11"/>
      <c r="TC123" s="11"/>
      <c r="TD123" s="11"/>
      <c r="TE123" s="11"/>
      <c r="TF123" s="11"/>
      <c r="TG123" s="11"/>
      <c r="TH123" s="11"/>
      <c r="TI123" s="11"/>
      <c r="TJ123" s="11"/>
      <c r="TK123" s="11"/>
      <c r="TL123" s="11"/>
      <c r="TM123" s="11"/>
      <c r="TN123" s="11"/>
      <c r="TO123" s="11"/>
      <c r="TP123" s="11"/>
      <c r="TQ123" s="11"/>
      <c r="TR123" s="11"/>
      <c r="TS123" s="11"/>
      <c r="TT123" s="11"/>
      <c r="TU123" s="11"/>
      <c r="TV123" s="11"/>
      <c r="TW123" s="11"/>
      <c r="TX123" s="11"/>
      <c r="TY123" s="11"/>
      <c r="TZ123" s="11"/>
      <c r="UA123" s="11"/>
      <c r="UB123" s="11"/>
      <c r="UC123" s="11"/>
      <c r="UD123" s="11"/>
      <c r="UE123" s="11"/>
      <c r="UF123" s="11"/>
      <c r="UG123" s="11"/>
      <c r="UH123" s="11"/>
      <c r="UI123" s="11"/>
      <c r="UJ123" s="11"/>
      <c r="UK123" s="11"/>
      <c r="UL123" s="11"/>
      <c r="UM123" s="11"/>
      <c r="UN123" s="11"/>
      <c r="UO123" s="11"/>
      <c r="UP123" s="11"/>
      <c r="UQ123" s="11"/>
      <c r="UR123" s="11"/>
      <c r="US123" s="11"/>
      <c r="UT123" s="11"/>
      <c r="UU123" s="11"/>
      <c r="UV123" s="11"/>
      <c r="UW123" s="11"/>
      <c r="UX123" s="11"/>
      <c r="UY123" s="11"/>
      <c r="UZ123" s="11"/>
      <c r="VA123" s="11"/>
      <c r="VB123" s="11"/>
      <c r="VC123" s="11"/>
      <c r="VD123" s="11"/>
      <c r="VE123" s="11"/>
      <c r="VF123" s="11"/>
      <c r="VG123" s="11"/>
      <c r="VH123" s="11"/>
      <c r="VI123" s="11"/>
      <c r="VJ123" s="11"/>
      <c r="VK123" s="11"/>
      <c r="VL123" s="11"/>
      <c r="VM123" s="11"/>
      <c r="VN123" s="11"/>
      <c r="VO123" s="11"/>
      <c r="VP123" s="11"/>
      <c r="VQ123" s="11"/>
      <c r="VR123" s="11"/>
      <c r="VS123" s="11"/>
      <c r="VT123" s="11"/>
      <c r="VU123" s="11"/>
      <c r="VV123" s="11"/>
      <c r="VW123" s="11"/>
      <c r="VX123" s="11"/>
      <c r="VY123" s="11"/>
      <c r="VZ123" s="11"/>
      <c r="WA123" s="11"/>
      <c r="WB123" s="11"/>
      <c r="WC123" s="11"/>
      <c r="WD123" s="11"/>
      <c r="WE123" s="11"/>
      <c r="WF123" s="11"/>
      <c r="WG123" s="11"/>
      <c r="WH123" s="11"/>
      <c r="WI123" s="11"/>
      <c r="WJ123" s="11"/>
      <c r="WK123" s="11"/>
      <c r="WL123" s="11"/>
      <c r="WM123" s="11"/>
      <c r="WN123" s="11"/>
      <c r="WO123" s="11"/>
      <c r="WP123" s="11"/>
      <c r="WQ123" s="11"/>
      <c r="WR123" s="11"/>
      <c r="WS123" s="11"/>
      <c r="WT123" s="11"/>
      <c r="WU123" s="11"/>
      <c r="WV123" s="11"/>
      <c r="WW123" s="11"/>
      <c r="WX123" s="11"/>
      <c r="WY123" s="11"/>
      <c r="WZ123" s="11"/>
      <c r="XA123" s="11"/>
      <c r="XB123" s="11"/>
      <c r="XC123" s="11"/>
      <c r="XD123" s="11"/>
      <c r="XE123" s="11"/>
      <c r="XF123" s="11"/>
      <c r="XG123" s="11"/>
      <c r="XH123" s="11"/>
      <c r="XI123" s="11"/>
      <c r="XJ123" s="11"/>
      <c r="XK123" s="11"/>
      <c r="XL123" s="11"/>
      <c r="XM123" s="11"/>
      <c r="XN123" s="11"/>
      <c r="XO123" s="11"/>
      <c r="XP123" s="11"/>
      <c r="XQ123" s="11"/>
      <c r="XR123" s="11"/>
      <c r="XS123" s="11"/>
      <c r="XT123" s="11"/>
      <c r="XU123" s="11"/>
      <c r="XV123" s="11"/>
      <c r="XW123" s="11"/>
      <c r="XX123" s="11"/>
      <c r="XY123" s="11"/>
      <c r="XZ123" s="11"/>
      <c r="YA123" s="11"/>
      <c r="YB123" s="11"/>
      <c r="YC123" s="11"/>
      <c r="YD123" s="11"/>
      <c r="YE123" s="11"/>
      <c r="YF123" s="11"/>
      <c r="YG123" s="11"/>
      <c r="YH123" s="11"/>
      <c r="YI123" s="11"/>
      <c r="YJ123" s="11"/>
      <c r="YK123" s="11"/>
      <c r="YL123" s="11"/>
      <c r="YM123" s="11"/>
      <c r="YN123" s="11"/>
      <c r="YO123" s="11"/>
      <c r="YP123" s="11"/>
      <c r="YQ123" s="11"/>
      <c r="YR123" s="11"/>
      <c r="YS123" s="11"/>
      <c r="YT123" s="11"/>
      <c r="YU123" s="11"/>
      <c r="YV123" s="11"/>
      <c r="YW123" s="11"/>
      <c r="YX123" s="11"/>
      <c r="YY123" s="11"/>
      <c r="YZ123" s="11"/>
      <c r="ZA123" s="11"/>
      <c r="ZB123" s="11"/>
      <c r="ZC123" s="11"/>
      <c r="ZD123" s="11"/>
      <c r="ZE123" s="11"/>
      <c r="ZF123" s="11"/>
      <c r="ZG123" s="11"/>
      <c r="ZH123" s="11"/>
      <c r="ZI123" s="11"/>
      <c r="ZJ123" s="11"/>
      <c r="ZK123" s="11"/>
      <c r="ZL123" s="11"/>
      <c r="ZM123" s="11"/>
      <c r="ZN123" s="11"/>
      <c r="ZO123" s="11"/>
      <c r="ZP123" s="11"/>
      <c r="ZQ123" s="11"/>
      <c r="ZR123" s="11"/>
      <c r="ZS123" s="11"/>
      <c r="ZT123" s="11"/>
      <c r="ZU123" s="11"/>
      <c r="ZV123" s="11"/>
      <c r="ZW123" s="11"/>
      <c r="ZX123" s="11"/>
      <c r="ZY123" s="11"/>
      <c r="ZZ123" s="11"/>
      <c r="AAA123" s="11"/>
      <c r="AAB123" s="11"/>
      <c r="AAC123" s="11"/>
      <c r="AAD123" s="11"/>
      <c r="AAE123" s="11"/>
      <c r="AAF123" s="11"/>
      <c r="AAG123" s="11"/>
      <c r="AAH123" s="11"/>
      <c r="AAI123" s="11"/>
      <c r="AAJ123" s="11"/>
      <c r="AAK123" s="11"/>
      <c r="AAL123" s="11"/>
      <c r="AAM123" s="11"/>
      <c r="AAN123" s="11"/>
      <c r="AAO123" s="11"/>
      <c r="AAP123" s="11"/>
      <c r="AAQ123" s="11"/>
      <c r="AAR123" s="11"/>
      <c r="AAS123" s="11"/>
      <c r="AAT123" s="11"/>
      <c r="AAU123" s="11"/>
      <c r="AAV123" s="11"/>
      <c r="AAW123" s="11"/>
      <c r="AAX123" s="11"/>
      <c r="AAY123" s="11"/>
      <c r="AAZ123" s="11"/>
      <c r="ABA123" s="11"/>
      <c r="ABB123" s="11"/>
      <c r="ABC123" s="11"/>
      <c r="ABD123" s="11"/>
      <c r="ABE123" s="11"/>
      <c r="ABF123" s="11"/>
      <c r="ABG123" s="11"/>
      <c r="ABH123" s="11"/>
      <c r="ABI123" s="11"/>
      <c r="ABJ123" s="11"/>
      <c r="ABK123" s="11"/>
      <c r="ABL123" s="11"/>
      <c r="ABM123" s="11"/>
      <c r="ABN123" s="11"/>
      <c r="ABO123" s="11"/>
      <c r="ABP123" s="11"/>
      <c r="ABQ123" s="11"/>
      <c r="ABR123" s="11"/>
      <c r="ABS123" s="11"/>
      <c r="ABT123" s="11"/>
      <c r="ABU123" s="11"/>
      <c r="ABV123" s="11"/>
      <c r="ABW123" s="11"/>
      <c r="ABX123" s="11"/>
      <c r="ABY123" s="11"/>
      <c r="ABZ123" s="11"/>
      <c r="ACA123" s="11"/>
      <c r="ACB123" s="11"/>
      <c r="ACC123" s="11"/>
      <c r="ACD123" s="11"/>
      <c r="ACE123" s="11"/>
      <c r="ACF123" s="11"/>
      <c r="ACG123" s="11"/>
      <c r="ACH123" s="11"/>
      <c r="ACI123" s="11"/>
      <c r="ACJ123" s="11"/>
      <c r="ACK123" s="11"/>
      <c r="ACL123" s="11"/>
      <c r="ACM123" s="11"/>
      <c r="ACN123" s="11"/>
      <c r="ACO123" s="11"/>
      <c r="ACP123" s="11"/>
      <c r="ACQ123" s="11"/>
      <c r="ACR123" s="11"/>
      <c r="ACS123" s="11"/>
      <c r="ACT123" s="11"/>
      <c r="ACU123" s="11"/>
      <c r="ACV123" s="11"/>
      <c r="ACW123" s="11"/>
      <c r="ACX123" s="11"/>
      <c r="ACY123" s="11"/>
      <c r="ACZ123" s="11"/>
      <c r="ADA123" s="11"/>
      <c r="ADB123" s="11"/>
      <c r="ADC123" s="11"/>
      <c r="ADD123" s="11"/>
      <c r="ADE123" s="11"/>
      <c r="ADF123" s="11"/>
      <c r="ADG123" s="11"/>
      <c r="ADH123" s="11"/>
      <c r="ADI123" s="11"/>
      <c r="ADJ123" s="11"/>
      <c r="ADK123" s="11"/>
      <c r="ADL123" s="11"/>
      <c r="ADM123" s="11"/>
      <c r="ADN123" s="11"/>
      <c r="ADO123" s="11"/>
      <c r="ADP123" s="11"/>
      <c r="ADQ123" s="11"/>
      <c r="ADR123" s="11"/>
      <c r="ADS123" s="11"/>
      <c r="ADT123" s="11"/>
      <c r="ADU123" s="11"/>
      <c r="ADV123" s="11"/>
      <c r="ADW123" s="11"/>
      <c r="ADX123" s="11"/>
      <c r="ADY123" s="11"/>
      <c r="ADZ123" s="11"/>
      <c r="AEA123" s="11"/>
      <c r="AEB123" s="11"/>
      <c r="AEC123" s="11"/>
      <c r="AED123" s="11"/>
      <c r="AEE123" s="11"/>
      <c r="AEF123" s="11"/>
      <c r="AEG123" s="11"/>
      <c r="AEH123" s="11"/>
      <c r="AEI123" s="11"/>
      <c r="AEJ123" s="11"/>
      <c r="AEK123" s="11"/>
      <c r="AEL123" s="11"/>
      <c r="AEM123" s="11"/>
      <c r="AEN123" s="11"/>
      <c r="AEO123" s="11"/>
      <c r="AEP123" s="11"/>
      <c r="AEQ123" s="11"/>
      <c r="AER123" s="11"/>
      <c r="AES123" s="11"/>
      <c r="AET123" s="11"/>
      <c r="AEU123" s="11"/>
      <c r="AEV123" s="11"/>
      <c r="AEW123" s="11"/>
      <c r="AEX123" s="11"/>
      <c r="AEY123" s="11"/>
      <c r="AEZ123" s="11"/>
      <c r="AFA123" s="11"/>
      <c r="AFB123" s="11"/>
      <c r="AFC123" s="11"/>
      <c r="AFD123" s="11"/>
      <c r="AFE123" s="11"/>
      <c r="AFF123" s="11"/>
      <c r="AFG123" s="11"/>
      <c r="AFH123" s="11"/>
      <c r="AFI123" s="11"/>
    </row>
    <row r="124" spans="2:84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1"/>
      <c r="JA124" s="11"/>
      <c r="JB124" s="11"/>
      <c r="JC124" s="11"/>
      <c r="JD124" s="11"/>
      <c r="JE124" s="11"/>
      <c r="JF124" s="11"/>
      <c r="JG124" s="11"/>
      <c r="JH124" s="11"/>
      <c r="JI124" s="11"/>
      <c r="JJ124" s="11"/>
      <c r="JK124" s="11"/>
      <c r="JL124" s="11"/>
      <c r="JM124" s="11"/>
      <c r="JN124" s="11"/>
      <c r="JO124" s="11"/>
      <c r="JP124" s="11"/>
      <c r="JQ124" s="11"/>
      <c r="JR124" s="11"/>
      <c r="JS124" s="11"/>
      <c r="JT124" s="11"/>
      <c r="JU124" s="11"/>
      <c r="JV124" s="11"/>
      <c r="JW124" s="11"/>
      <c r="JX124" s="11"/>
      <c r="JY124" s="11"/>
      <c r="JZ124" s="11"/>
      <c r="KA124" s="11"/>
      <c r="KB124" s="11"/>
      <c r="KC124" s="11"/>
      <c r="KD124" s="11"/>
      <c r="KE124" s="11"/>
      <c r="KF124" s="11"/>
      <c r="KG124" s="11"/>
      <c r="KH124" s="11"/>
      <c r="KI124" s="11"/>
      <c r="KJ124" s="11"/>
      <c r="KK124" s="11"/>
      <c r="KL124" s="11"/>
      <c r="KM124" s="11"/>
      <c r="KN124" s="11"/>
      <c r="KO124" s="11"/>
      <c r="KP124" s="11"/>
      <c r="KQ124" s="11"/>
      <c r="KR124" s="11"/>
      <c r="KS124" s="11"/>
      <c r="KT124" s="11"/>
      <c r="KU124" s="11"/>
      <c r="KV124" s="11"/>
      <c r="KW124" s="11"/>
      <c r="KX124" s="11"/>
      <c r="KY124" s="11"/>
      <c r="KZ124" s="11"/>
      <c r="LA124" s="11"/>
      <c r="LB124" s="11"/>
      <c r="LC124" s="11"/>
      <c r="LD124" s="11"/>
      <c r="LE124" s="11"/>
      <c r="LF124" s="11"/>
      <c r="LG124" s="11"/>
      <c r="LH124" s="11"/>
      <c r="LI124" s="11"/>
      <c r="LJ124" s="11"/>
      <c r="LK124" s="11"/>
      <c r="LL124" s="11"/>
      <c r="LM124" s="11"/>
      <c r="LN124" s="11"/>
      <c r="LO124" s="11"/>
      <c r="LP124" s="11"/>
      <c r="LQ124" s="11"/>
      <c r="LR124" s="11"/>
      <c r="LS124" s="11"/>
      <c r="LT124" s="11"/>
      <c r="LU124" s="11"/>
      <c r="LV124" s="11"/>
      <c r="LW124" s="11"/>
      <c r="LX124" s="11"/>
      <c r="LY124" s="11"/>
      <c r="LZ124" s="11"/>
      <c r="MA124" s="11"/>
      <c r="MB124" s="11"/>
      <c r="MC124" s="11"/>
      <c r="MD124" s="11"/>
      <c r="ME124" s="11"/>
      <c r="MF124" s="11"/>
      <c r="MG124" s="11"/>
      <c r="MH124" s="11"/>
      <c r="MI124" s="11"/>
      <c r="MJ124" s="11"/>
      <c r="MK124" s="11"/>
      <c r="ML124" s="11"/>
      <c r="MM124" s="11"/>
      <c r="MN124" s="11"/>
      <c r="MO124" s="11"/>
      <c r="MP124" s="11"/>
      <c r="MQ124" s="11"/>
      <c r="MR124" s="11"/>
      <c r="MS124" s="11"/>
      <c r="MT124" s="11"/>
      <c r="MU124" s="11"/>
      <c r="MV124" s="11"/>
      <c r="MW124" s="11"/>
      <c r="MX124" s="11"/>
      <c r="MY124" s="11"/>
      <c r="MZ124" s="11"/>
      <c r="NA124" s="11"/>
      <c r="NB124" s="11"/>
      <c r="NC124" s="11"/>
      <c r="ND124" s="11"/>
      <c r="NE124" s="11"/>
      <c r="NF124" s="11"/>
      <c r="NG124" s="11"/>
      <c r="NH124" s="11"/>
      <c r="NI124" s="11"/>
      <c r="NJ124" s="11"/>
      <c r="NK124" s="11"/>
      <c r="NL124" s="11"/>
      <c r="NM124" s="11"/>
      <c r="NN124" s="11"/>
      <c r="NO124" s="11"/>
      <c r="NP124" s="11"/>
      <c r="NQ124" s="11"/>
      <c r="NR124" s="11"/>
      <c r="NS124" s="11"/>
      <c r="NT124" s="11"/>
      <c r="NU124" s="11"/>
      <c r="NV124" s="11"/>
      <c r="NW124" s="11"/>
      <c r="NX124" s="11"/>
      <c r="NY124" s="11"/>
      <c r="NZ124" s="11"/>
      <c r="OA124" s="11"/>
      <c r="OB124" s="11"/>
      <c r="OC124" s="11"/>
      <c r="OD124" s="11"/>
      <c r="OE124" s="11"/>
      <c r="OF124" s="11"/>
      <c r="OG124" s="11"/>
      <c r="OH124" s="11"/>
      <c r="OI124" s="11"/>
      <c r="OJ124" s="11"/>
      <c r="OK124" s="11"/>
      <c r="OL124" s="11"/>
      <c r="OM124" s="11"/>
      <c r="ON124" s="11"/>
      <c r="OO124" s="11"/>
      <c r="OP124" s="11"/>
      <c r="OQ124" s="11"/>
      <c r="OR124" s="11"/>
      <c r="OS124" s="11"/>
      <c r="OT124" s="11"/>
      <c r="OU124" s="11"/>
      <c r="OV124" s="11"/>
      <c r="OW124" s="11"/>
      <c r="OX124" s="11"/>
      <c r="OY124" s="11"/>
      <c r="OZ124" s="11"/>
      <c r="PA124" s="11"/>
      <c r="PB124" s="11"/>
      <c r="PC124" s="11"/>
      <c r="PD124" s="11"/>
      <c r="PE124" s="11"/>
      <c r="PF124" s="11"/>
      <c r="PG124" s="11"/>
      <c r="PH124" s="11"/>
      <c r="PI124" s="11"/>
      <c r="PJ124" s="11"/>
      <c r="PK124" s="11"/>
      <c r="PL124" s="11"/>
      <c r="PM124" s="11"/>
      <c r="PN124" s="11"/>
      <c r="PO124" s="11"/>
      <c r="PP124" s="11"/>
      <c r="PQ124" s="11"/>
      <c r="PR124" s="11"/>
      <c r="PS124" s="11"/>
      <c r="PT124" s="11"/>
      <c r="PU124" s="11"/>
      <c r="PV124" s="11"/>
      <c r="PW124" s="11"/>
      <c r="PX124" s="11"/>
      <c r="PY124" s="11"/>
      <c r="PZ124" s="11"/>
      <c r="QA124" s="11"/>
      <c r="QB124" s="11"/>
      <c r="QC124" s="11"/>
      <c r="QD124" s="11"/>
      <c r="QE124" s="11"/>
      <c r="QF124" s="11"/>
      <c r="QG124" s="11"/>
      <c r="QH124" s="11"/>
      <c r="QI124" s="11"/>
      <c r="QJ124" s="11"/>
      <c r="QK124" s="11"/>
      <c r="QL124" s="11"/>
      <c r="QM124" s="11"/>
      <c r="QN124" s="11"/>
      <c r="QO124" s="11"/>
      <c r="QP124" s="11"/>
      <c r="QQ124" s="11"/>
      <c r="QR124" s="11"/>
      <c r="QS124" s="11"/>
      <c r="QT124" s="11"/>
      <c r="QU124" s="11"/>
      <c r="QV124" s="11"/>
      <c r="QW124" s="11"/>
      <c r="QX124" s="11"/>
      <c r="QY124" s="11"/>
      <c r="QZ124" s="11"/>
      <c r="RA124" s="11"/>
      <c r="RB124" s="11"/>
      <c r="RC124" s="11"/>
      <c r="RD124" s="11"/>
      <c r="RE124" s="11"/>
      <c r="RF124" s="11"/>
      <c r="RG124" s="11"/>
      <c r="RH124" s="11"/>
      <c r="RI124" s="11"/>
      <c r="RJ124" s="11"/>
      <c r="RK124" s="11"/>
      <c r="RL124" s="11"/>
      <c r="RM124" s="11"/>
      <c r="RN124" s="11"/>
      <c r="RO124" s="11"/>
      <c r="RP124" s="11"/>
      <c r="RQ124" s="11"/>
      <c r="RR124" s="11"/>
      <c r="RS124" s="11"/>
      <c r="RT124" s="11"/>
      <c r="RU124" s="11"/>
      <c r="RV124" s="11"/>
      <c r="RW124" s="11"/>
      <c r="RX124" s="11"/>
      <c r="RY124" s="11"/>
      <c r="RZ124" s="11"/>
      <c r="SA124" s="11"/>
      <c r="SB124" s="11"/>
      <c r="SC124" s="11"/>
      <c r="SD124" s="11"/>
      <c r="SE124" s="11"/>
      <c r="SF124" s="11"/>
      <c r="SG124" s="11"/>
      <c r="SH124" s="11"/>
      <c r="SI124" s="11"/>
      <c r="SJ124" s="11"/>
      <c r="SK124" s="11"/>
      <c r="SL124" s="11"/>
      <c r="SM124" s="11"/>
      <c r="SN124" s="11"/>
      <c r="SO124" s="11"/>
      <c r="SP124" s="11"/>
      <c r="SQ124" s="11"/>
      <c r="SR124" s="11"/>
      <c r="SS124" s="11"/>
      <c r="ST124" s="11"/>
      <c r="SU124" s="11"/>
      <c r="SV124" s="11"/>
      <c r="SW124" s="11"/>
      <c r="SX124" s="11"/>
      <c r="SY124" s="11"/>
      <c r="SZ124" s="11"/>
      <c r="TA124" s="11"/>
      <c r="TB124" s="11"/>
      <c r="TC124" s="11"/>
      <c r="TD124" s="11"/>
      <c r="TE124" s="11"/>
      <c r="TF124" s="11"/>
      <c r="TG124" s="11"/>
      <c r="TH124" s="11"/>
      <c r="TI124" s="11"/>
      <c r="TJ124" s="11"/>
      <c r="TK124" s="11"/>
      <c r="TL124" s="11"/>
      <c r="TM124" s="11"/>
      <c r="TN124" s="11"/>
      <c r="TO124" s="11"/>
      <c r="TP124" s="11"/>
      <c r="TQ124" s="11"/>
      <c r="TR124" s="11"/>
      <c r="TS124" s="11"/>
      <c r="TT124" s="11"/>
      <c r="TU124" s="11"/>
      <c r="TV124" s="11"/>
      <c r="TW124" s="11"/>
      <c r="TX124" s="11"/>
      <c r="TY124" s="11"/>
      <c r="TZ124" s="11"/>
      <c r="UA124" s="11"/>
      <c r="UB124" s="11"/>
      <c r="UC124" s="11"/>
      <c r="UD124" s="11"/>
      <c r="UE124" s="11"/>
      <c r="UF124" s="11"/>
      <c r="UG124" s="11"/>
      <c r="UH124" s="11"/>
      <c r="UI124" s="11"/>
      <c r="UJ124" s="11"/>
      <c r="UK124" s="11"/>
      <c r="UL124" s="11"/>
      <c r="UM124" s="11"/>
      <c r="UN124" s="11"/>
      <c r="UO124" s="11"/>
      <c r="UP124" s="11"/>
      <c r="UQ124" s="11"/>
      <c r="UR124" s="11"/>
      <c r="US124" s="11"/>
      <c r="UT124" s="11"/>
      <c r="UU124" s="11"/>
      <c r="UV124" s="11"/>
      <c r="UW124" s="11"/>
      <c r="UX124" s="11"/>
      <c r="UY124" s="11"/>
      <c r="UZ124" s="11"/>
      <c r="VA124" s="11"/>
      <c r="VB124" s="11"/>
      <c r="VC124" s="11"/>
      <c r="VD124" s="11"/>
      <c r="VE124" s="11"/>
      <c r="VF124" s="11"/>
      <c r="VG124" s="11"/>
      <c r="VH124" s="11"/>
      <c r="VI124" s="11"/>
      <c r="VJ124" s="11"/>
      <c r="VK124" s="11"/>
      <c r="VL124" s="11"/>
      <c r="VM124" s="11"/>
      <c r="VN124" s="11"/>
      <c r="VO124" s="11"/>
      <c r="VP124" s="11"/>
      <c r="VQ124" s="11"/>
      <c r="VR124" s="11"/>
      <c r="VS124" s="11"/>
      <c r="VT124" s="11"/>
      <c r="VU124" s="11"/>
      <c r="VV124" s="11"/>
      <c r="VW124" s="11"/>
      <c r="VX124" s="11"/>
      <c r="VY124" s="11"/>
      <c r="VZ124" s="11"/>
      <c r="WA124" s="11"/>
      <c r="WB124" s="11"/>
      <c r="WC124" s="11"/>
      <c r="WD124" s="11"/>
      <c r="WE124" s="11"/>
      <c r="WF124" s="11"/>
      <c r="WG124" s="11"/>
      <c r="WH124" s="11"/>
      <c r="WI124" s="11"/>
      <c r="WJ124" s="11"/>
      <c r="WK124" s="11"/>
      <c r="WL124" s="11"/>
      <c r="WM124" s="11"/>
      <c r="WN124" s="11"/>
      <c r="WO124" s="11"/>
      <c r="WP124" s="11"/>
      <c r="WQ124" s="11"/>
      <c r="WR124" s="11"/>
      <c r="WS124" s="11"/>
      <c r="WT124" s="11"/>
      <c r="WU124" s="11"/>
      <c r="WV124" s="11"/>
      <c r="WW124" s="11"/>
      <c r="WX124" s="11"/>
      <c r="WY124" s="11"/>
      <c r="WZ124" s="11"/>
      <c r="XA124" s="11"/>
      <c r="XB124" s="11"/>
      <c r="XC124" s="11"/>
      <c r="XD124" s="11"/>
      <c r="XE124" s="11"/>
      <c r="XF124" s="11"/>
      <c r="XG124" s="11"/>
      <c r="XH124" s="11"/>
      <c r="XI124" s="11"/>
      <c r="XJ124" s="11"/>
      <c r="XK124" s="11"/>
      <c r="XL124" s="11"/>
      <c r="XM124" s="11"/>
      <c r="XN124" s="11"/>
      <c r="XO124" s="11"/>
      <c r="XP124" s="11"/>
      <c r="XQ124" s="11"/>
      <c r="XR124" s="11"/>
      <c r="XS124" s="11"/>
      <c r="XT124" s="11"/>
      <c r="XU124" s="11"/>
      <c r="XV124" s="11"/>
      <c r="XW124" s="11"/>
      <c r="XX124" s="11"/>
      <c r="XY124" s="11"/>
      <c r="XZ124" s="11"/>
      <c r="YA124" s="11"/>
      <c r="YB124" s="11"/>
      <c r="YC124" s="11"/>
      <c r="YD124" s="11"/>
      <c r="YE124" s="11"/>
      <c r="YF124" s="11"/>
      <c r="YG124" s="11"/>
      <c r="YH124" s="11"/>
      <c r="YI124" s="11"/>
      <c r="YJ124" s="11"/>
      <c r="YK124" s="11"/>
      <c r="YL124" s="11"/>
      <c r="YM124" s="11"/>
      <c r="YN124" s="11"/>
      <c r="YO124" s="11"/>
      <c r="YP124" s="11"/>
      <c r="YQ124" s="11"/>
      <c r="YR124" s="11"/>
      <c r="YS124" s="11"/>
      <c r="YT124" s="11"/>
      <c r="YU124" s="11"/>
      <c r="YV124" s="11"/>
      <c r="YW124" s="11"/>
      <c r="YX124" s="11"/>
      <c r="YY124" s="11"/>
      <c r="YZ124" s="11"/>
      <c r="ZA124" s="11"/>
      <c r="ZB124" s="11"/>
      <c r="ZC124" s="11"/>
      <c r="ZD124" s="11"/>
      <c r="ZE124" s="11"/>
      <c r="ZF124" s="11"/>
      <c r="ZG124" s="11"/>
      <c r="ZH124" s="11"/>
      <c r="ZI124" s="11"/>
      <c r="ZJ124" s="11"/>
      <c r="ZK124" s="11"/>
      <c r="ZL124" s="11"/>
      <c r="ZM124" s="11"/>
      <c r="ZN124" s="11"/>
      <c r="ZO124" s="11"/>
      <c r="ZP124" s="11"/>
      <c r="ZQ124" s="11"/>
      <c r="ZR124" s="11"/>
      <c r="ZS124" s="11"/>
      <c r="ZT124" s="11"/>
      <c r="ZU124" s="11"/>
      <c r="ZV124" s="11"/>
      <c r="ZW124" s="11"/>
      <c r="ZX124" s="11"/>
      <c r="ZY124" s="11"/>
      <c r="ZZ124" s="11"/>
      <c r="AAA124" s="11"/>
      <c r="AAB124" s="11"/>
      <c r="AAC124" s="11"/>
      <c r="AAD124" s="11"/>
      <c r="AAE124" s="11"/>
      <c r="AAF124" s="11"/>
      <c r="AAG124" s="11"/>
      <c r="AAH124" s="11"/>
      <c r="AAI124" s="11"/>
      <c r="AAJ124" s="11"/>
      <c r="AAK124" s="11"/>
      <c r="AAL124" s="11"/>
      <c r="AAM124" s="11"/>
      <c r="AAN124" s="11"/>
      <c r="AAO124" s="11"/>
      <c r="AAP124" s="11"/>
      <c r="AAQ124" s="11"/>
      <c r="AAR124" s="11"/>
      <c r="AAS124" s="11"/>
      <c r="AAT124" s="11"/>
      <c r="AAU124" s="11"/>
      <c r="AAV124" s="11"/>
      <c r="AAW124" s="11"/>
      <c r="AAX124" s="11"/>
      <c r="AAY124" s="11"/>
      <c r="AAZ124" s="11"/>
      <c r="ABA124" s="11"/>
      <c r="ABB124" s="11"/>
      <c r="ABC124" s="11"/>
      <c r="ABD124" s="11"/>
      <c r="ABE124" s="11"/>
      <c r="ABF124" s="11"/>
      <c r="ABG124" s="11"/>
      <c r="ABH124" s="11"/>
      <c r="ABI124" s="11"/>
      <c r="ABJ124" s="11"/>
      <c r="ABK124" s="11"/>
      <c r="ABL124" s="11"/>
      <c r="ABM124" s="11"/>
      <c r="ABN124" s="11"/>
      <c r="ABO124" s="11"/>
      <c r="ABP124" s="11"/>
      <c r="ABQ124" s="11"/>
      <c r="ABR124" s="11"/>
      <c r="ABS124" s="11"/>
      <c r="ABT124" s="11"/>
      <c r="ABU124" s="11"/>
      <c r="ABV124" s="11"/>
      <c r="ABW124" s="11"/>
      <c r="ABX124" s="11"/>
      <c r="ABY124" s="11"/>
      <c r="ABZ124" s="11"/>
      <c r="ACA124" s="11"/>
      <c r="ACB124" s="11"/>
      <c r="ACC124" s="11"/>
      <c r="ACD124" s="11"/>
      <c r="ACE124" s="11"/>
      <c r="ACF124" s="11"/>
      <c r="ACG124" s="11"/>
      <c r="ACH124" s="11"/>
      <c r="ACI124" s="11"/>
      <c r="ACJ124" s="11"/>
      <c r="ACK124" s="11"/>
      <c r="ACL124" s="11"/>
      <c r="ACM124" s="11"/>
      <c r="ACN124" s="11"/>
      <c r="ACO124" s="11"/>
      <c r="ACP124" s="11"/>
      <c r="ACQ124" s="11"/>
      <c r="ACR124" s="11"/>
      <c r="ACS124" s="11"/>
      <c r="ACT124" s="11"/>
      <c r="ACU124" s="11"/>
      <c r="ACV124" s="11"/>
      <c r="ACW124" s="11"/>
      <c r="ACX124" s="11"/>
      <c r="ACY124" s="11"/>
      <c r="ACZ124" s="11"/>
      <c r="ADA124" s="11"/>
      <c r="ADB124" s="11"/>
      <c r="ADC124" s="11"/>
      <c r="ADD124" s="11"/>
      <c r="ADE124" s="11"/>
      <c r="ADF124" s="11"/>
      <c r="ADG124" s="11"/>
      <c r="ADH124" s="11"/>
      <c r="ADI124" s="11"/>
      <c r="ADJ124" s="11"/>
      <c r="ADK124" s="11"/>
      <c r="ADL124" s="11"/>
      <c r="ADM124" s="11"/>
      <c r="ADN124" s="11"/>
      <c r="ADO124" s="11"/>
      <c r="ADP124" s="11"/>
      <c r="ADQ124" s="11"/>
      <c r="ADR124" s="11"/>
      <c r="ADS124" s="11"/>
      <c r="ADT124" s="11"/>
      <c r="ADU124" s="11"/>
      <c r="ADV124" s="11"/>
      <c r="ADW124" s="11"/>
      <c r="ADX124" s="11"/>
      <c r="ADY124" s="11"/>
      <c r="ADZ124" s="11"/>
      <c r="AEA124" s="11"/>
      <c r="AEB124" s="11"/>
      <c r="AEC124" s="11"/>
      <c r="AED124" s="11"/>
      <c r="AEE124" s="11"/>
      <c r="AEF124" s="11"/>
      <c r="AEG124" s="11"/>
      <c r="AEH124" s="11"/>
      <c r="AEI124" s="11"/>
      <c r="AEJ124" s="11"/>
      <c r="AEK124" s="11"/>
      <c r="AEL124" s="11"/>
      <c r="AEM124" s="11"/>
      <c r="AEN124" s="11"/>
      <c r="AEO124" s="11"/>
      <c r="AEP124" s="11"/>
      <c r="AEQ124" s="11"/>
      <c r="AER124" s="11"/>
      <c r="AES124" s="11"/>
      <c r="AET124" s="11"/>
      <c r="AEU124" s="11"/>
      <c r="AEV124" s="11"/>
      <c r="AEW124" s="11"/>
      <c r="AEX124" s="11"/>
      <c r="AEY124" s="11"/>
      <c r="AEZ124" s="11"/>
      <c r="AFA124" s="11"/>
      <c r="AFB124" s="11"/>
      <c r="AFC124" s="11"/>
      <c r="AFD124" s="11"/>
      <c r="AFE124" s="11"/>
      <c r="AFF124" s="11"/>
      <c r="AFG124" s="11"/>
      <c r="AFH124" s="11"/>
      <c r="AFI124" s="11"/>
    </row>
    <row r="125" spans="2:84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c r="IW125" s="11"/>
      <c r="IX125" s="11"/>
      <c r="IY125" s="11"/>
      <c r="IZ125" s="11"/>
      <c r="JA125" s="11"/>
      <c r="JB125" s="11"/>
      <c r="JC125" s="11"/>
      <c r="JD125" s="11"/>
      <c r="JE125" s="11"/>
      <c r="JF125" s="11"/>
      <c r="JG125" s="11"/>
      <c r="JH125" s="11"/>
      <c r="JI125" s="11"/>
      <c r="JJ125" s="11"/>
      <c r="JK125" s="11"/>
      <c r="JL125" s="11"/>
      <c r="JM125" s="11"/>
      <c r="JN125" s="11"/>
      <c r="JO125" s="11"/>
      <c r="JP125" s="11"/>
      <c r="JQ125" s="11"/>
      <c r="JR125" s="11"/>
      <c r="JS125" s="11"/>
      <c r="JT125" s="11"/>
      <c r="JU125" s="11"/>
      <c r="JV125" s="11"/>
      <c r="JW125" s="11"/>
      <c r="JX125" s="11"/>
      <c r="JY125" s="11"/>
      <c r="JZ125" s="11"/>
      <c r="KA125" s="11"/>
      <c r="KB125" s="11"/>
      <c r="KC125" s="11"/>
      <c r="KD125" s="11"/>
      <c r="KE125" s="11"/>
      <c r="KF125" s="11"/>
      <c r="KG125" s="11"/>
      <c r="KH125" s="11"/>
      <c r="KI125" s="11"/>
      <c r="KJ125" s="11"/>
      <c r="KK125" s="11"/>
      <c r="KL125" s="11"/>
      <c r="KM125" s="11"/>
      <c r="KN125" s="11"/>
      <c r="KO125" s="11"/>
      <c r="KP125" s="11"/>
      <c r="KQ125" s="11"/>
      <c r="KR125" s="11"/>
      <c r="KS125" s="11"/>
      <c r="KT125" s="11"/>
      <c r="KU125" s="11"/>
      <c r="KV125" s="11"/>
      <c r="KW125" s="11"/>
      <c r="KX125" s="11"/>
      <c r="KY125" s="11"/>
      <c r="KZ125" s="11"/>
      <c r="LA125" s="11"/>
      <c r="LB125" s="11"/>
      <c r="LC125" s="11"/>
      <c r="LD125" s="11"/>
      <c r="LE125" s="11"/>
      <c r="LF125" s="11"/>
      <c r="LG125" s="11"/>
      <c r="LH125" s="11"/>
      <c r="LI125" s="11"/>
      <c r="LJ125" s="11"/>
      <c r="LK125" s="11"/>
      <c r="LL125" s="11"/>
      <c r="LM125" s="11"/>
      <c r="LN125" s="11"/>
      <c r="LO125" s="11"/>
      <c r="LP125" s="11"/>
      <c r="LQ125" s="11"/>
      <c r="LR125" s="11"/>
      <c r="LS125" s="11"/>
      <c r="LT125" s="11"/>
      <c r="LU125" s="11"/>
      <c r="LV125" s="11"/>
      <c r="LW125" s="11"/>
      <c r="LX125" s="11"/>
      <c r="LY125" s="11"/>
      <c r="LZ125" s="11"/>
      <c r="MA125" s="11"/>
      <c r="MB125" s="11"/>
      <c r="MC125" s="11"/>
      <c r="MD125" s="11"/>
      <c r="ME125" s="11"/>
      <c r="MF125" s="11"/>
      <c r="MG125" s="11"/>
      <c r="MH125" s="11"/>
      <c r="MI125" s="11"/>
      <c r="MJ125" s="11"/>
      <c r="MK125" s="11"/>
      <c r="ML125" s="11"/>
      <c r="MM125" s="11"/>
      <c r="MN125" s="11"/>
      <c r="MO125" s="11"/>
      <c r="MP125" s="11"/>
      <c r="MQ125" s="11"/>
      <c r="MR125" s="11"/>
      <c r="MS125" s="11"/>
      <c r="MT125" s="11"/>
      <c r="MU125" s="11"/>
      <c r="MV125" s="11"/>
      <c r="MW125" s="11"/>
      <c r="MX125" s="11"/>
      <c r="MY125" s="11"/>
      <c r="MZ125" s="11"/>
      <c r="NA125" s="11"/>
      <c r="NB125" s="11"/>
      <c r="NC125" s="11"/>
      <c r="ND125" s="11"/>
      <c r="NE125" s="11"/>
      <c r="NF125" s="11"/>
      <c r="NG125" s="11"/>
      <c r="NH125" s="11"/>
      <c r="NI125" s="11"/>
      <c r="NJ125" s="11"/>
      <c r="NK125" s="11"/>
      <c r="NL125" s="11"/>
      <c r="NM125" s="11"/>
      <c r="NN125" s="11"/>
      <c r="NO125" s="11"/>
      <c r="NP125" s="11"/>
      <c r="NQ125" s="11"/>
      <c r="NR125" s="11"/>
      <c r="NS125" s="11"/>
      <c r="NT125" s="11"/>
      <c r="NU125" s="11"/>
      <c r="NV125" s="11"/>
      <c r="NW125" s="11"/>
      <c r="NX125" s="11"/>
      <c r="NY125" s="11"/>
      <c r="NZ125" s="11"/>
      <c r="OA125" s="11"/>
      <c r="OB125" s="11"/>
      <c r="OC125" s="11"/>
      <c r="OD125" s="11"/>
      <c r="OE125" s="11"/>
      <c r="OF125" s="11"/>
      <c r="OG125" s="11"/>
      <c r="OH125" s="11"/>
      <c r="OI125" s="11"/>
      <c r="OJ125" s="11"/>
      <c r="OK125" s="11"/>
      <c r="OL125" s="11"/>
      <c r="OM125" s="11"/>
      <c r="ON125" s="11"/>
      <c r="OO125" s="11"/>
      <c r="OP125" s="11"/>
      <c r="OQ125" s="11"/>
      <c r="OR125" s="11"/>
      <c r="OS125" s="11"/>
      <c r="OT125" s="11"/>
      <c r="OU125" s="11"/>
      <c r="OV125" s="11"/>
      <c r="OW125" s="11"/>
      <c r="OX125" s="11"/>
      <c r="OY125" s="11"/>
      <c r="OZ125" s="11"/>
      <c r="PA125" s="11"/>
      <c r="PB125" s="11"/>
      <c r="PC125" s="11"/>
      <c r="PD125" s="11"/>
      <c r="PE125" s="11"/>
      <c r="PF125" s="11"/>
      <c r="PG125" s="11"/>
      <c r="PH125" s="11"/>
      <c r="PI125" s="11"/>
      <c r="PJ125" s="11"/>
      <c r="PK125" s="11"/>
      <c r="PL125" s="11"/>
      <c r="PM125" s="11"/>
      <c r="PN125" s="11"/>
      <c r="PO125" s="11"/>
      <c r="PP125" s="11"/>
      <c r="PQ125" s="11"/>
      <c r="PR125" s="11"/>
      <c r="PS125" s="11"/>
      <c r="PT125" s="11"/>
      <c r="PU125" s="11"/>
      <c r="PV125" s="11"/>
      <c r="PW125" s="11"/>
      <c r="PX125" s="11"/>
      <c r="PY125" s="11"/>
      <c r="PZ125" s="11"/>
      <c r="QA125" s="11"/>
      <c r="QB125" s="11"/>
      <c r="QC125" s="11"/>
      <c r="QD125" s="11"/>
      <c r="QE125" s="11"/>
      <c r="QF125" s="11"/>
      <c r="QG125" s="11"/>
      <c r="QH125" s="11"/>
      <c r="QI125" s="11"/>
      <c r="QJ125" s="11"/>
      <c r="QK125" s="11"/>
      <c r="QL125" s="11"/>
      <c r="QM125" s="11"/>
      <c r="QN125" s="11"/>
      <c r="QO125" s="11"/>
      <c r="QP125" s="11"/>
      <c r="QQ125" s="11"/>
      <c r="QR125" s="11"/>
      <c r="QS125" s="11"/>
      <c r="QT125" s="11"/>
      <c r="QU125" s="11"/>
      <c r="QV125" s="11"/>
      <c r="QW125" s="11"/>
      <c r="QX125" s="11"/>
      <c r="QY125" s="11"/>
      <c r="QZ125" s="11"/>
      <c r="RA125" s="11"/>
      <c r="RB125" s="11"/>
      <c r="RC125" s="11"/>
      <c r="RD125" s="11"/>
      <c r="RE125" s="11"/>
      <c r="RF125" s="11"/>
      <c r="RG125" s="11"/>
      <c r="RH125" s="11"/>
      <c r="RI125" s="11"/>
      <c r="RJ125" s="11"/>
      <c r="RK125" s="11"/>
      <c r="RL125" s="11"/>
      <c r="RM125" s="11"/>
      <c r="RN125" s="11"/>
      <c r="RO125" s="11"/>
      <c r="RP125" s="11"/>
      <c r="RQ125" s="11"/>
      <c r="RR125" s="11"/>
      <c r="RS125" s="11"/>
      <c r="RT125" s="11"/>
      <c r="RU125" s="11"/>
      <c r="RV125" s="11"/>
      <c r="RW125" s="11"/>
      <c r="RX125" s="11"/>
      <c r="RY125" s="11"/>
      <c r="RZ125" s="11"/>
      <c r="SA125" s="11"/>
      <c r="SB125" s="11"/>
      <c r="SC125" s="11"/>
      <c r="SD125" s="11"/>
      <c r="SE125" s="11"/>
      <c r="SF125" s="11"/>
      <c r="SG125" s="11"/>
      <c r="SH125" s="11"/>
      <c r="SI125" s="11"/>
      <c r="SJ125" s="11"/>
      <c r="SK125" s="11"/>
      <c r="SL125" s="11"/>
      <c r="SM125" s="11"/>
      <c r="SN125" s="11"/>
      <c r="SO125" s="11"/>
      <c r="SP125" s="11"/>
      <c r="SQ125" s="11"/>
      <c r="SR125" s="11"/>
      <c r="SS125" s="11"/>
      <c r="ST125" s="11"/>
      <c r="SU125" s="11"/>
      <c r="SV125" s="11"/>
      <c r="SW125" s="11"/>
      <c r="SX125" s="11"/>
      <c r="SY125" s="11"/>
      <c r="SZ125" s="11"/>
      <c r="TA125" s="11"/>
      <c r="TB125" s="11"/>
      <c r="TC125" s="11"/>
      <c r="TD125" s="11"/>
      <c r="TE125" s="11"/>
      <c r="TF125" s="11"/>
      <c r="TG125" s="11"/>
      <c r="TH125" s="11"/>
      <c r="TI125" s="11"/>
      <c r="TJ125" s="11"/>
      <c r="TK125" s="11"/>
      <c r="TL125" s="11"/>
      <c r="TM125" s="11"/>
      <c r="TN125" s="11"/>
      <c r="TO125" s="11"/>
      <c r="TP125" s="11"/>
      <c r="TQ125" s="11"/>
      <c r="TR125" s="11"/>
      <c r="TS125" s="11"/>
      <c r="TT125" s="11"/>
      <c r="TU125" s="11"/>
      <c r="TV125" s="11"/>
      <c r="TW125" s="11"/>
      <c r="TX125" s="11"/>
      <c r="TY125" s="11"/>
      <c r="TZ125" s="11"/>
      <c r="UA125" s="11"/>
      <c r="UB125" s="11"/>
      <c r="UC125" s="11"/>
      <c r="UD125" s="11"/>
      <c r="UE125" s="11"/>
      <c r="UF125" s="11"/>
      <c r="UG125" s="11"/>
      <c r="UH125" s="11"/>
      <c r="UI125" s="11"/>
      <c r="UJ125" s="11"/>
      <c r="UK125" s="11"/>
      <c r="UL125" s="11"/>
      <c r="UM125" s="11"/>
      <c r="UN125" s="11"/>
      <c r="UO125" s="11"/>
      <c r="UP125" s="11"/>
      <c r="UQ125" s="11"/>
      <c r="UR125" s="11"/>
      <c r="US125" s="11"/>
      <c r="UT125" s="11"/>
      <c r="UU125" s="11"/>
      <c r="UV125" s="11"/>
      <c r="UW125" s="11"/>
      <c r="UX125" s="11"/>
      <c r="UY125" s="11"/>
      <c r="UZ125" s="11"/>
      <c r="VA125" s="11"/>
      <c r="VB125" s="11"/>
      <c r="VC125" s="11"/>
      <c r="VD125" s="11"/>
      <c r="VE125" s="11"/>
      <c r="VF125" s="11"/>
      <c r="VG125" s="11"/>
      <c r="VH125" s="11"/>
      <c r="VI125" s="11"/>
      <c r="VJ125" s="11"/>
      <c r="VK125" s="11"/>
      <c r="VL125" s="11"/>
      <c r="VM125" s="11"/>
      <c r="VN125" s="11"/>
      <c r="VO125" s="11"/>
      <c r="VP125" s="11"/>
      <c r="VQ125" s="11"/>
      <c r="VR125" s="11"/>
      <c r="VS125" s="11"/>
      <c r="VT125" s="11"/>
      <c r="VU125" s="11"/>
      <c r="VV125" s="11"/>
      <c r="VW125" s="11"/>
      <c r="VX125" s="11"/>
      <c r="VY125" s="11"/>
      <c r="VZ125" s="11"/>
      <c r="WA125" s="11"/>
      <c r="WB125" s="11"/>
      <c r="WC125" s="11"/>
      <c r="WD125" s="11"/>
      <c r="WE125" s="11"/>
      <c r="WF125" s="11"/>
      <c r="WG125" s="11"/>
      <c r="WH125" s="11"/>
      <c r="WI125" s="11"/>
      <c r="WJ125" s="11"/>
      <c r="WK125" s="11"/>
      <c r="WL125" s="11"/>
      <c r="WM125" s="11"/>
      <c r="WN125" s="11"/>
      <c r="WO125" s="11"/>
      <c r="WP125" s="11"/>
      <c r="WQ125" s="11"/>
      <c r="WR125" s="11"/>
      <c r="WS125" s="11"/>
      <c r="WT125" s="11"/>
      <c r="WU125" s="11"/>
      <c r="WV125" s="11"/>
      <c r="WW125" s="11"/>
      <c r="WX125" s="11"/>
      <c r="WY125" s="11"/>
      <c r="WZ125" s="11"/>
      <c r="XA125" s="11"/>
      <c r="XB125" s="11"/>
      <c r="XC125" s="11"/>
      <c r="XD125" s="11"/>
      <c r="XE125" s="11"/>
      <c r="XF125" s="11"/>
      <c r="XG125" s="11"/>
      <c r="XH125" s="11"/>
      <c r="XI125" s="11"/>
      <c r="XJ125" s="11"/>
      <c r="XK125" s="11"/>
      <c r="XL125" s="11"/>
      <c r="XM125" s="11"/>
      <c r="XN125" s="11"/>
      <c r="XO125" s="11"/>
      <c r="XP125" s="11"/>
      <c r="XQ125" s="11"/>
      <c r="XR125" s="11"/>
      <c r="XS125" s="11"/>
      <c r="XT125" s="11"/>
      <c r="XU125" s="11"/>
      <c r="XV125" s="11"/>
      <c r="XW125" s="11"/>
      <c r="XX125" s="11"/>
      <c r="XY125" s="11"/>
      <c r="XZ125" s="11"/>
      <c r="YA125" s="11"/>
      <c r="YB125" s="11"/>
      <c r="YC125" s="11"/>
      <c r="YD125" s="11"/>
      <c r="YE125" s="11"/>
      <c r="YF125" s="11"/>
      <c r="YG125" s="11"/>
      <c r="YH125" s="11"/>
      <c r="YI125" s="11"/>
      <c r="YJ125" s="11"/>
      <c r="YK125" s="11"/>
      <c r="YL125" s="11"/>
      <c r="YM125" s="11"/>
      <c r="YN125" s="11"/>
      <c r="YO125" s="11"/>
      <c r="YP125" s="11"/>
      <c r="YQ125" s="11"/>
      <c r="YR125" s="11"/>
      <c r="YS125" s="11"/>
      <c r="YT125" s="11"/>
      <c r="YU125" s="11"/>
      <c r="YV125" s="11"/>
      <c r="YW125" s="11"/>
      <c r="YX125" s="11"/>
      <c r="YY125" s="11"/>
      <c r="YZ125" s="11"/>
      <c r="ZA125" s="11"/>
      <c r="ZB125" s="11"/>
      <c r="ZC125" s="11"/>
      <c r="ZD125" s="11"/>
      <c r="ZE125" s="11"/>
      <c r="ZF125" s="11"/>
      <c r="ZG125" s="11"/>
      <c r="ZH125" s="11"/>
      <c r="ZI125" s="11"/>
      <c r="ZJ125" s="11"/>
      <c r="ZK125" s="11"/>
      <c r="ZL125" s="11"/>
      <c r="ZM125" s="11"/>
      <c r="ZN125" s="11"/>
      <c r="ZO125" s="11"/>
      <c r="ZP125" s="11"/>
      <c r="ZQ125" s="11"/>
      <c r="ZR125" s="11"/>
      <c r="ZS125" s="11"/>
      <c r="ZT125" s="11"/>
      <c r="ZU125" s="11"/>
      <c r="ZV125" s="11"/>
      <c r="ZW125" s="11"/>
      <c r="ZX125" s="11"/>
      <c r="ZY125" s="11"/>
      <c r="ZZ125" s="11"/>
      <c r="AAA125" s="11"/>
      <c r="AAB125" s="11"/>
      <c r="AAC125" s="11"/>
      <c r="AAD125" s="11"/>
      <c r="AAE125" s="11"/>
      <c r="AAF125" s="11"/>
      <c r="AAG125" s="11"/>
      <c r="AAH125" s="11"/>
      <c r="AAI125" s="11"/>
      <c r="AAJ125" s="11"/>
      <c r="AAK125" s="11"/>
      <c r="AAL125" s="11"/>
      <c r="AAM125" s="11"/>
      <c r="AAN125" s="11"/>
      <c r="AAO125" s="11"/>
      <c r="AAP125" s="11"/>
      <c r="AAQ125" s="11"/>
      <c r="AAR125" s="11"/>
      <c r="AAS125" s="11"/>
      <c r="AAT125" s="11"/>
      <c r="AAU125" s="11"/>
      <c r="AAV125" s="11"/>
      <c r="AAW125" s="11"/>
      <c r="AAX125" s="11"/>
      <c r="AAY125" s="11"/>
      <c r="AAZ125" s="11"/>
      <c r="ABA125" s="11"/>
      <c r="ABB125" s="11"/>
      <c r="ABC125" s="11"/>
      <c r="ABD125" s="11"/>
      <c r="ABE125" s="11"/>
      <c r="ABF125" s="11"/>
      <c r="ABG125" s="11"/>
      <c r="ABH125" s="11"/>
      <c r="ABI125" s="11"/>
      <c r="ABJ125" s="11"/>
      <c r="ABK125" s="11"/>
      <c r="ABL125" s="11"/>
      <c r="ABM125" s="11"/>
      <c r="ABN125" s="11"/>
      <c r="ABO125" s="11"/>
      <c r="ABP125" s="11"/>
      <c r="ABQ125" s="11"/>
      <c r="ABR125" s="11"/>
      <c r="ABS125" s="11"/>
      <c r="ABT125" s="11"/>
      <c r="ABU125" s="11"/>
      <c r="ABV125" s="11"/>
      <c r="ABW125" s="11"/>
      <c r="ABX125" s="11"/>
      <c r="ABY125" s="11"/>
      <c r="ABZ125" s="11"/>
      <c r="ACA125" s="11"/>
      <c r="ACB125" s="11"/>
      <c r="ACC125" s="11"/>
      <c r="ACD125" s="11"/>
      <c r="ACE125" s="11"/>
      <c r="ACF125" s="11"/>
      <c r="ACG125" s="11"/>
      <c r="ACH125" s="11"/>
      <c r="ACI125" s="11"/>
      <c r="ACJ125" s="11"/>
      <c r="ACK125" s="11"/>
      <c r="ACL125" s="11"/>
      <c r="ACM125" s="11"/>
      <c r="ACN125" s="11"/>
      <c r="ACO125" s="11"/>
      <c r="ACP125" s="11"/>
      <c r="ACQ125" s="11"/>
      <c r="ACR125" s="11"/>
      <c r="ACS125" s="11"/>
      <c r="ACT125" s="11"/>
      <c r="ACU125" s="11"/>
      <c r="ACV125" s="11"/>
      <c r="ACW125" s="11"/>
      <c r="ACX125" s="11"/>
      <c r="ACY125" s="11"/>
      <c r="ACZ125" s="11"/>
      <c r="ADA125" s="11"/>
      <c r="ADB125" s="11"/>
      <c r="ADC125" s="11"/>
      <c r="ADD125" s="11"/>
      <c r="ADE125" s="11"/>
      <c r="ADF125" s="11"/>
      <c r="ADG125" s="11"/>
      <c r="ADH125" s="11"/>
      <c r="ADI125" s="11"/>
      <c r="ADJ125" s="11"/>
      <c r="ADK125" s="11"/>
      <c r="ADL125" s="11"/>
      <c r="ADM125" s="11"/>
      <c r="ADN125" s="11"/>
      <c r="ADO125" s="11"/>
      <c r="ADP125" s="11"/>
      <c r="ADQ125" s="11"/>
      <c r="ADR125" s="11"/>
      <c r="ADS125" s="11"/>
      <c r="ADT125" s="11"/>
      <c r="ADU125" s="11"/>
      <c r="ADV125" s="11"/>
      <c r="ADW125" s="11"/>
      <c r="ADX125" s="11"/>
      <c r="ADY125" s="11"/>
      <c r="ADZ125" s="11"/>
      <c r="AEA125" s="11"/>
      <c r="AEB125" s="11"/>
      <c r="AEC125" s="11"/>
      <c r="AED125" s="11"/>
      <c r="AEE125" s="11"/>
      <c r="AEF125" s="11"/>
      <c r="AEG125" s="11"/>
      <c r="AEH125" s="11"/>
      <c r="AEI125" s="11"/>
      <c r="AEJ125" s="11"/>
      <c r="AEK125" s="11"/>
      <c r="AEL125" s="11"/>
      <c r="AEM125" s="11"/>
      <c r="AEN125" s="11"/>
      <c r="AEO125" s="11"/>
      <c r="AEP125" s="11"/>
      <c r="AEQ125" s="11"/>
      <c r="AER125" s="11"/>
      <c r="AES125" s="11"/>
      <c r="AET125" s="11"/>
      <c r="AEU125" s="11"/>
      <c r="AEV125" s="11"/>
      <c r="AEW125" s="11"/>
      <c r="AEX125" s="11"/>
      <c r="AEY125" s="11"/>
      <c r="AEZ125" s="11"/>
      <c r="AFA125" s="11"/>
      <c r="AFB125" s="11"/>
      <c r="AFC125" s="11"/>
      <c r="AFD125" s="11"/>
      <c r="AFE125" s="11"/>
      <c r="AFF125" s="11"/>
      <c r="AFG125" s="11"/>
      <c r="AFH125" s="11"/>
      <c r="AFI125" s="11"/>
    </row>
    <row r="126" spans="2:84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c r="IW126" s="11"/>
      <c r="IX126" s="11"/>
      <c r="IY126" s="11"/>
      <c r="IZ126" s="11"/>
      <c r="JA126" s="11"/>
      <c r="JB126" s="11"/>
      <c r="JC126" s="11"/>
      <c r="JD126" s="11"/>
      <c r="JE126" s="11"/>
      <c r="JF126" s="11"/>
      <c r="JG126" s="11"/>
      <c r="JH126" s="11"/>
      <c r="JI126" s="11"/>
      <c r="JJ126" s="11"/>
      <c r="JK126" s="11"/>
      <c r="JL126" s="11"/>
      <c r="JM126" s="11"/>
      <c r="JN126" s="11"/>
      <c r="JO126" s="11"/>
      <c r="JP126" s="11"/>
      <c r="JQ126" s="11"/>
      <c r="JR126" s="11"/>
      <c r="JS126" s="11"/>
      <c r="JT126" s="11"/>
      <c r="JU126" s="11"/>
      <c r="JV126" s="11"/>
      <c r="JW126" s="11"/>
      <c r="JX126" s="11"/>
      <c r="JY126" s="11"/>
      <c r="JZ126" s="11"/>
      <c r="KA126" s="11"/>
      <c r="KB126" s="11"/>
      <c r="KC126" s="11"/>
      <c r="KD126" s="11"/>
      <c r="KE126" s="11"/>
      <c r="KF126" s="11"/>
      <c r="KG126" s="11"/>
      <c r="KH126" s="11"/>
      <c r="KI126" s="11"/>
      <c r="KJ126" s="11"/>
      <c r="KK126" s="11"/>
      <c r="KL126" s="11"/>
      <c r="KM126" s="11"/>
      <c r="KN126" s="11"/>
      <c r="KO126" s="11"/>
      <c r="KP126" s="11"/>
      <c r="KQ126" s="11"/>
      <c r="KR126" s="11"/>
      <c r="KS126" s="11"/>
      <c r="KT126" s="11"/>
      <c r="KU126" s="11"/>
      <c r="KV126" s="11"/>
      <c r="KW126" s="11"/>
      <c r="KX126" s="11"/>
      <c r="KY126" s="11"/>
      <c r="KZ126" s="11"/>
      <c r="LA126" s="11"/>
      <c r="LB126" s="11"/>
      <c r="LC126" s="11"/>
      <c r="LD126" s="11"/>
      <c r="LE126" s="11"/>
      <c r="LF126" s="11"/>
      <c r="LG126" s="11"/>
      <c r="LH126" s="11"/>
      <c r="LI126" s="11"/>
      <c r="LJ126" s="11"/>
      <c r="LK126" s="11"/>
      <c r="LL126" s="11"/>
      <c r="LM126" s="11"/>
      <c r="LN126" s="11"/>
      <c r="LO126" s="11"/>
      <c r="LP126" s="11"/>
      <c r="LQ126" s="11"/>
      <c r="LR126" s="11"/>
      <c r="LS126" s="11"/>
      <c r="LT126" s="11"/>
      <c r="LU126" s="11"/>
      <c r="LV126" s="11"/>
      <c r="LW126" s="11"/>
      <c r="LX126" s="11"/>
      <c r="LY126" s="11"/>
      <c r="LZ126" s="11"/>
      <c r="MA126" s="11"/>
      <c r="MB126" s="11"/>
      <c r="MC126" s="11"/>
      <c r="MD126" s="11"/>
      <c r="ME126" s="11"/>
      <c r="MF126" s="11"/>
      <c r="MG126" s="11"/>
      <c r="MH126" s="11"/>
      <c r="MI126" s="11"/>
      <c r="MJ126" s="11"/>
      <c r="MK126" s="11"/>
      <c r="ML126" s="11"/>
      <c r="MM126" s="11"/>
      <c r="MN126" s="11"/>
      <c r="MO126" s="11"/>
      <c r="MP126" s="11"/>
      <c r="MQ126" s="11"/>
      <c r="MR126" s="11"/>
      <c r="MS126" s="11"/>
      <c r="MT126" s="11"/>
      <c r="MU126" s="11"/>
      <c r="MV126" s="11"/>
      <c r="MW126" s="11"/>
      <c r="MX126" s="11"/>
      <c r="MY126" s="11"/>
      <c r="MZ126" s="11"/>
      <c r="NA126" s="11"/>
      <c r="NB126" s="11"/>
      <c r="NC126" s="11"/>
      <c r="ND126" s="11"/>
      <c r="NE126" s="11"/>
      <c r="NF126" s="11"/>
      <c r="NG126" s="11"/>
      <c r="NH126" s="11"/>
      <c r="NI126" s="11"/>
      <c r="NJ126" s="11"/>
      <c r="NK126" s="11"/>
      <c r="NL126" s="11"/>
      <c r="NM126" s="11"/>
      <c r="NN126" s="11"/>
      <c r="NO126" s="11"/>
      <c r="NP126" s="11"/>
      <c r="NQ126" s="11"/>
      <c r="NR126" s="11"/>
      <c r="NS126" s="11"/>
      <c r="NT126" s="11"/>
      <c r="NU126" s="11"/>
      <c r="NV126" s="11"/>
      <c r="NW126" s="11"/>
      <c r="NX126" s="11"/>
      <c r="NY126" s="11"/>
      <c r="NZ126" s="11"/>
      <c r="OA126" s="11"/>
      <c r="OB126" s="11"/>
      <c r="OC126" s="11"/>
      <c r="OD126" s="11"/>
      <c r="OE126" s="11"/>
      <c r="OF126" s="11"/>
      <c r="OG126" s="11"/>
      <c r="OH126" s="11"/>
      <c r="OI126" s="11"/>
      <c r="OJ126" s="11"/>
      <c r="OK126" s="11"/>
      <c r="OL126" s="11"/>
      <c r="OM126" s="11"/>
      <c r="ON126" s="11"/>
      <c r="OO126" s="11"/>
      <c r="OP126" s="11"/>
      <c r="OQ126" s="11"/>
      <c r="OR126" s="11"/>
      <c r="OS126" s="11"/>
      <c r="OT126" s="11"/>
      <c r="OU126" s="11"/>
      <c r="OV126" s="11"/>
      <c r="OW126" s="11"/>
      <c r="OX126" s="11"/>
      <c r="OY126" s="11"/>
      <c r="OZ126" s="11"/>
      <c r="PA126" s="11"/>
      <c r="PB126" s="11"/>
      <c r="PC126" s="11"/>
      <c r="PD126" s="11"/>
      <c r="PE126" s="11"/>
      <c r="PF126" s="11"/>
      <c r="PG126" s="11"/>
      <c r="PH126" s="11"/>
      <c r="PI126" s="11"/>
      <c r="PJ126" s="11"/>
      <c r="PK126" s="11"/>
      <c r="PL126" s="11"/>
      <c r="PM126" s="11"/>
      <c r="PN126" s="11"/>
      <c r="PO126" s="11"/>
      <c r="PP126" s="11"/>
      <c r="PQ126" s="11"/>
      <c r="PR126" s="11"/>
      <c r="PS126" s="11"/>
      <c r="PT126" s="11"/>
      <c r="PU126" s="11"/>
      <c r="PV126" s="11"/>
      <c r="PW126" s="11"/>
      <c r="PX126" s="11"/>
      <c r="PY126" s="11"/>
      <c r="PZ126" s="11"/>
      <c r="QA126" s="11"/>
      <c r="QB126" s="11"/>
      <c r="QC126" s="11"/>
      <c r="QD126" s="11"/>
      <c r="QE126" s="11"/>
      <c r="QF126" s="11"/>
      <c r="QG126" s="11"/>
      <c r="QH126" s="11"/>
      <c r="QI126" s="11"/>
      <c r="QJ126" s="11"/>
      <c r="QK126" s="11"/>
      <c r="QL126" s="11"/>
      <c r="QM126" s="11"/>
      <c r="QN126" s="11"/>
      <c r="QO126" s="11"/>
      <c r="QP126" s="11"/>
      <c r="QQ126" s="11"/>
      <c r="QR126" s="11"/>
      <c r="QS126" s="11"/>
      <c r="QT126" s="11"/>
      <c r="QU126" s="11"/>
      <c r="QV126" s="11"/>
      <c r="QW126" s="11"/>
      <c r="QX126" s="11"/>
      <c r="QY126" s="11"/>
      <c r="QZ126" s="11"/>
      <c r="RA126" s="11"/>
      <c r="RB126" s="11"/>
      <c r="RC126" s="11"/>
      <c r="RD126" s="11"/>
      <c r="RE126" s="11"/>
      <c r="RF126" s="11"/>
      <c r="RG126" s="11"/>
      <c r="RH126" s="11"/>
      <c r="RI126" s="11"/>
      <c r="RJ126" s="11"/>
      <c r="RK126" s="11"/>
      <c r="RL126" s="11"/>
      <c r="RM126" s="11"/>
      <c r="RN126" s="11"/>
      <c r="RO126" s="11"/>
      <c r="RP126" s="11"/>
      <c r="RQ126" s="11"/>
      <c r="RR126" s="11"/>
      <c r="RS126" s="11"/>
      <c r="RT126" s="11"/>
      <c r="RU126" s="11"/>
      <c r="RV126" s="11"/>
      <c r="RW126" s="11"/>
      <c r="RX126" s="11"/>
      <c r="RY126" s="11"/>
      <c r="RZ126" s="11"/>
      <c r="SA126" s="11"/>
      <c r="SB126" s="11"/>
      <c r="SC126" s="11"/>
      <c r="SD126" s="11"/>
      <c r="SE126" s="11"/>
      <c r="SF126" s="11"/>
      <c r="SG126" s="11"/>
      <c r="SH126" s="11"/>
      <c r="SI126" s="11"/>
      <c r="SJ126" s="11"/>
      <c r="SK126" s="11"/>
      <c r="SL126" s="11"/>
      <c r="SM126" s="11"/>
      <c r="SN126" s="11"/>
      <c r="SO126" s="11"/>
      <c r="SP126" s="11"/>
      <c r="SQ126" s="11"/>
      <c r="SR126" s="11"/>
      <c r="SS126" s="11"/>
      <c r="ST126" s="11"/>
      <c r="SU126" s="11"/>
      <c r="SV126" s="11"/>
      <c r="SW126" s="11"/>
      <c r="SX126" s="11"/>
      <c r="SY126" s="11"/>
      <c r="SZ126" s="11"/>
      <c r="TA126" s="11"/>
      <c r="TB126" s="11"/>
      <c r="TC126" s="11"/>
      <c r="TD126" s="11"/>
      <c r="TE126" s="11"/>
      <c r="TF126" s="11"/>
      <c r="TG126" s="11"/>
      <c r="TH126" s="11"/>
      <c r="TI126" s="11"/>
      <c r="TJ126" s="11"/>
      <c r="TK126" s="11"/>
      <c r="TL126" s="11"/>
      <c r="TM126" s="11"/>
      <c r="TN126" s="11"/>
      <c r="TO126" s="11"/>
      <c r="TP126" s="11"/>
      <c r="TQ126" s="11"/>
      <c r="TR126" s="11"/>
      <c r="TS126" s="11"/>
      <c r="TT126" s="11"/>
      <c r="TU126" s="11"/>
      <c r="TV126" s="11"/>
      <c r="TW126" s="11"/>
      <c r="TX126" s="11"/>
      <c r="TY126" s="11"/>
      <c r="TZ126" s="11"/>
      <c r="UA126" s="11"/>
      <c r="UB126" s="11"/>
      <c r="UC126" s="11"/>
      <c r="UD126" s="11"/>
      <c r="UE126" s="11"/>
      <c r="UF126" s="11"/>
      <c r="UG126" s="11"/>
      <c r="UH126" s="11"/>
      <c r="UI126" s="11"/>
      <c r="UJ126" s="11"/>
      <c r="UK126" s="11"/>
      <c r="UL126" s="11"/>
      <c r="UM126" s="11"/>
      <c r="UN126" s="11"/>
      <c r="UO126" s="11"/>
      <c r="UP126" s="11"/>
      <c r="UQ126" s="11"/>
      <c r="UR126" s="11"/>
      <c r="US126" s="11"/>
      <c r="UT126" s="11"/>
      <c r="UU126" s="11"/>
      <c r="UV126" s="11"/>
      <c r="UW126" s="11"/>
      <c r="UX126" s="11"/>
      <c r="UY126" s="11"/>
      <c r="UZ126" s="11"/>
      <c r="VA126" s="11"/>
      <c r="VB126" s="11"/>
      <c r="VC126" s="11"/>
      <c r="VD126" s="11"/>
      <c r="VE126" s="11"/>
      <c r="VF126" s="11"/>
      <c r="VG126" s="11"/>
      <c r="VH126" s="11"/>
      <c r="VI126" s="11"/>
      <c r="VJ126" s="11"/>
      <c r="VK126" s="11"/>
      <c r="VL126" s="11"/>
      <c r="VM126" s="11"/>
      <c r="VN126" s="11"/>
      <c r="VO126" s="11"/>
      <c r="VP126" s="11"/>
      <c r="VQ126" s="11"/>
      <c r="VR126" s="11"/>
      <c r="VS126" s="11"/>
      <c r="VT126" s="11"/>
      <c r="VU126" s="11"/>
      <c r="VV126" s="11"/>
      <c r="VW126" s="11"/>
      <c r="VX126" s="11"/>
      <c r="VY126" s="11"/>
      <c r="VZ126" s="11"/>
      <c r="WA126" s="11"/>
      <c r="WB126" s="11"/>
      <c r="WC126" s="11"/>
      <c r="WD126" s="11"/>
      <c r="WE126" s="11"/>
      <c r="WF126" s="11"/>
      <c r="WG126" s="11"/>
      <c r="WH126" s="11"/>
      <c r="WI126" s="11"/>
      <c r="WJ126" s="11"/>
      <c r="WK126" s="11"/>
      <c r="WL126" s="11"/>
      <c r="WM126" s="11"/>
      <c r="WN126" s="11"/>
      <c r="WO126" s="11"/>
      <c r="WP126" s="11"/>
      <c r="WQ126" s="11"/>
      <c r="WR126" s="11"/>
      <c r="WS126" s="11"/>
      <c r="WT126" s="11"/>
      <c r="WU126" s="11"/>
      <c r="WV126" s="11"/>
      <c r="WW126" s="11"/>
      <c r="WX126" s="11"/>
      <c r="WY126" s="11"/>
      <c r="WZ126" s="11"/>
      <c r="XA126" s="11"/>
      <c r="XB126" s="11"/>
      <c r="XC126" s="11"/>
      <c r="XD126" s="11"/>
      <c r="XE126" s="11"/>
      <c r="XF126" s="11"/>
      <c r="XG126" s="11"/>
      <c r="XH126" s="11"/>
      <c r="XI126" s="11"/>
      <c r="XJ126" s="11"/>
      <c r="XK126" s="11"/>
      <c r="XL126" s="11"/>
      <c r="XM126" s="11"/>
      <c r="XN126" s="11"/>
      <c r="XO126" s="11"/>
      <c r="XP126" s="11"/>
      <c r="XQ126" s="11"/>
      <c r="XR126" s="11"/>
      <c r="XS126" s="11"/>
      <c r="XT126" s="11"/>
      <c r="XU126" s="11"/>
      <c r="XV126" s="11"/>
      <c r="XW126" s="11"/>
      <c r="XX126" s="11"/>
      <c r="XY126" s="11"/>
      <c r="XZ126" s="11"/>
      <c r="YA126" s="11"/>
      <c r="YB126" s="11"/>
      <c r="YC126" s="11"/>
      <c r="YD126" s="11"/>
      <c r="YE126" s="11"/>
      <c r="YF126" s="11"/>
      <c r="YG126" s="11"/>
      <c r="YH126" s="11"/>
      <c r="YI126" s="11"/>
      <c r="YJ126" s="11"/>
      <c r="YK126" s="11"/>
      <c r="YL126" s="11"/>
      <c r="YM126" s="11"/>
      <c r="YN126" s="11"/>
      <c r="YO126" s="11"/>
      <c r="YP126" s="11"/>
      <c r="YQ126" s="11"/>
      <c r="YR126" s="11"/>
      <c r="YS126" s="11"/>
      <c r="YT126" s="11"/>
      <c r="YU126" s="11"/>
      <c r="YV126" s="11"/>
      <c r="YW126" s="11"/>
      <c r="YX126" s="11"/>
      <c r="YY126" s="11"/>
      <c r="YZ126" s="11"/>
      <c r="ZA126" s="11"/>
      <c r="ZB126" s="11"/>
      <c r="ZC126" s="11"/>
      <c r="ZD126" s="11"/>
      <c r="ZE126" s="11"/>
      <c r="ZF126" s="11"/>
      <c r="ZG126" s="11"/>
      <c r="ZH126" s="11"/>
      <c r="ZI126" s="11"/>
      <c r="ZJ126" s="11"/>
      <c r="ZK126" s="11"/>
      <c r="ZL126" s="11"/>
      <c r="ZM126" s="11"/>
      <c r="ZN126" s="11"/>
      <c r="ZO126" s="11"/>
      <c r="ZP126" s="11"/>
      <c r="ZQ126" s="11"/>
      <c r="ZR126" s="11"/>
      <c r="ZS126" s="11"/>
      <c r="ZT126" s="11"/>
      <c r="ZU126" s="11"/>
      <c r="ZV126" s="11"/>
      <c r="ZW126" s="11"/>
      <c r="ZX126" s="11"/>
      <c r="ZY126" s="11"/>
      <c r="ZZ126" s="11"/>
      <c r="AAA126" s="11"/>
      <c r="AAB126" s="11"/>
      <c r="AAC126" s="11"/>
      <c r="AAD126" s="11"/>
      <c r="AAE126" s="11"/>
      <c r="AAF126" s="11"/>
      <c r="AAG126" s="11"/>
      <c r="AAH126" s="11"/>
      <c r="AAI126" s="11"/>
      <c r="AAJ126" s="11"/>
      <c r="AAK126" s="11"/>
      <c r="AAL126" s="11"/>
      <c r="AAM126" s="11"/>
      <c r="AAN126" s="11"/>
      <c r="AAO126" s="11"/>
      <c r="AAP126" s="11"/>
      <c r="AAQ126" s="11"/>
      <c r="AAR126" s="11"/>
      <c r="AAS126" s="11"/>
      <c r="AAT126" s="11"/>
      <c r="AAU126" s="11"/>
      <c r="AAV126" s="11"/>
      <c r="AAW126" s="11"/>
      <c r="AAX126" s="11"/>
      <c r="AAY126" s="11"/>
      <c r="AAZ126" s="11"/>
      <c r="ABA126" s="11"/>
      <c r="ABB126" s="11"/>
      <c r="ABC126" s="11"/>
      <c r="ABD126" s="11"/>
      <c r="ABE126" s="11"/>
      <c r="ABF126" s="11"/>
      <c r="ABG126" s="11"/>
      <c r="ABH126" s="11"/>
      <c r="ABI126" s="11"/>
      <c r="ABJ126" s="11"/>
      <c r="ABK126" s="11"/>
      <c r="ABL126" s="11"/>
      <c r="ABM126" s="11"/>
      <c r="ABN126" s="11"/>
      <c r="ABO126" s="11"/>
      <c r="ABP126" s="11"/>
      <c r="ABQ126" s="11"/>
      <c r="ABR126" s="11"/>
      <c r="ABS126" s="11"/>
      <c r="ABT126" s="11"/>
      <c r="ABU126" s="11"/>
      <c r="ABV126" s="11"/>
      <c r="ABW126" s="11"/>
      <c r="ABX126" s="11"/>
      <c r="ABY126" s="11"/>
      <c r="ABZ126" s="11"/>
      <c r="ACA126" s="11"/>
      <c r="ACB126" s="11"/>
      <c r="ACC126" s="11"/>
      <c r="ACD126" s="11"/>
      <c r="ACE126" s="11"/>
      <c r="ACF126" s="11"/>
      <c r="ACG126" s="11"/>
      <c r="ACH126" s="11"/>
      <c r="ACI126" s="11"/>
      <c r="ACJ126" s="11"/>
      <c r="ACK126" s="11"/>
      <c r="ACL126" s="11"/>
      <c r="ACM126" s="11"/>
      <c r="ACN126" s="11"/>
      <c r="ACO126" s="11"/>
      <c r="ACP126" s="11"/>
      <c r="ACQ126" s="11"/>
      <c r="ACR126" s="11"/>
      <c r="ACS126" s="11"/>
      <c r="ACT126" s="11"/>
      <c r="ACU126" s="11"/>
      <c r="ACV126" s="11"/>
      <c r="ACW126" s="11"/>
      <c r="ACX126" s="11"/>
      <c r="ACY126" s="11"/>
      <c r="ACZ126" s="11"/>
      <c r="ADA126" s="11"/>
      <c r="ADB126" s="11"/>
      <c r="ADC126" s="11"/>
      <c r="ADD126" s="11"/>
      <c r="ADE126" s="11"/>
      <c r="ADF126" s="11"/>
      <c r="ADG126" s="11"/>
      <c r="ADH126" s="11"/>
      <c r="ADI126" s="11"/>
      <c r="ADJ126" s="11"/>
      <c r="ADK126" s="11"/>
      <c r="ADL126" s="11"/>
      <c r="ADM126" s="11"/>
      <c r="ADN126" s="11"/>
      <c r="ADO126" s="11"/>
      <c r="ADP126" s="11"/>
      <c r="ADQ126" s="11"/>
      <c r="ADR126" s="11"/>
      <c r="ADS126" s="11"/>
      <c r="ADT126" s="11"/>
      <c r="ADU126" s="11"/>
      <c r="ADV126" s="11"/>
      <c r="ADW126" s="11"/>
      <c r="ADX126" s="11"/>
      <c r="ADY126" s="11"/>
      <c r="ADZ126" s="11"/>
      <c r="AEA126" s="11"/>
      <c r="AEB126" s="11"/>
      <c r="AEC126" s="11"/>
      <c r="AED126" s="11"/>
      <c r="AEE126" s="11"/>
      <c r="AEF126" s="11"/>
      <c r="AEG126" s="11"/>
      <c r="AEH126" s="11"/>
      <c r="AEI126" s="11"/>
      <c r="AEJ126" s="11"/>
      <c r="AEK126" s="11"/>
      <c r="AEL126" s="11"/>
      <c r="AEM126" s="11"/>
      <c r="AEN126" s="11"/>
      <c r="AEO126" s="11"/>
      <c r="AEP126" s="11"/>
      <c r="AEQ126" s="11"/>
      <c r="AER126" s="11"/>
      <c r="AES126" s="11"/>
      <c r="AET126" s="11"/>
      <c r="AEU126" s="11"/>
      <c r="AEV126" s="11"/>
      <c r="AEW126" s="11"/>
      <c r="AEX126" s="11"/>
      <c r="AEY126" s="11"/>
      <c r="AEZ126" s="11"/>
      <c r="AFA126" s="11"/>
      <c r="AFB126" s="11"/>
      <c r="AFC126" s="11"/>
      <c r="AFD126" s="11"/>
      <c r="AFE126" s="11"/>
      <c r="AFF126" s="11"/>
      <c r="AFG126" s="11"/>
      <c r="AFH126" s="11"/>
      <c r="AFI126" s="11"/>
    </row>
    <row r="127" spans="2:84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c r="IW127" s="11"/>
      <c r="IX127" s="11"/>
      <c r="IY127" s="11"/>
      <c r="IZ127" s="11"/>
      <c r="JA127" s="11"/>
      <c r="JB127" s="11"/>
      <c r="JC127" s="11"/>
      <c r="JD127" s="11"/>
      <c r="JE127" s="11"/>
      <c r="JF127" s="11"/>
      <c r="JG127" s="11"/>
      <c r="JH127" s="11"/>
      <c r="JI127" s="11"/>
      <c r="JJ127" s="11"/>
      <c r="JK127" s="11"/>
      <c r="JL127" s="11"/>
      <c r="JM127" s="11"/>
      <c r="JN127" s="11"/>
      <c r="JO127" s="11"/>
      <c r="JP127" s="11"/>
      <c r="JQ127" s="11"/>
      <c r="JR127" s="11"/>
      <c r="JS127" s="11"/>
      <c r="JT127" s="11"/>
      <c r="JU127" s="11"/>
      <c r="JV127" s="11"/>
      <c r="JW127" s="11"/>
      <c r="JX127" s="11"/>
      <c r="JY127" s="11"/>
      <c r="JZ127" s="11"/>
      <c r="KA127" s="11"/>
      <c r="KB127" s="11"/>
      <c r="KC127" s="11"/>
      <c r="KD127" s="11"/>
      <c r="KE127" s="11"/>
      <c r="KF127" s="11"/>
      <c r="KG127" s="11"/>
      <c r="KH127" s="11"/>
      <c r="KI127" s="11"/>
      <c r="KJ127" s="11"/>
      <c r="KK127" s="11"/>
      <c r="KL127" s="11"/>
      <c r="KM127" s="11"/>
      <c r="KN127" s="11"/>
      <c r="KO127" s="11"/>
      <c r="KP127" s="11"/>
      <c r="KQ127" s="11"/>
      <c r="KR127" s="11"/>
      <c r="KS127" s="11"/>
      <c r="KT127" s="11"/>
      <c r="KU127" s="11"/>
      <c r="KV127" s="11"/>
      <c r="KW127" s="11"/>
      <c r="KX127" s="11"/>
      <c r="KY127" s="11"/>
      <c r="KZ127" s="11"/>
      <c r="LA127" s="11"/>
      <c r="LB127" s="11"/>
      <c r="LC127" s="11"/>
      <c r="LD127" s="11"/>
      <c r="LE127" s="11"/>
      <c r="LF127" s="11"/>
      <c r="LG127" s="11"/>
      <c r="LH127" s="11"/>
      <c r="LI127" s="11"/>
      <c r="LJ127" s="11"/>
      <c r="LK127" s="11"/>
      <c r="LL127" s="11"/>
      <c r="LM127" s="11"/>
      <c r="LN127" s="11"/>
      <c r="LO127" s="11"/>
      <c r="LP127" s="11"/>
      <c r="LQ127" s="11"/>
      <c r="LR127" s="11"/>
      <c r="LS127" s="11"/>
      <c r="LT127" s="11"/>
      <c r="LU127" s="11"/>
      <c r="LV127" s="11"/>
      <c r="LW127" s="11"/>
      <c r="LX127" s="11"/>
      <c r="LY127" s="11"/>
      <c r="LZ127" s="11"/>
      <c r="MA127" s="11"/>
      <c r="MB127" s="11"/>
      <c r="MC127" s="11"/>
      <c r="MD127" s="11"/>
      <c r="ME127" s="11"/>
      <c r="MF127" s="11"/>
      <c r="MG127" s="11"/>
      <c r="MH127" s="11"/>
      <c r="MI127" s="11"/>
      <c r="MJ127" s="11"/>
      <c r="MK127" s="11"/>
      <c r="ML127" s="11"/>
      <c r="MM127" s="11"/>
      <c r="MN127" s="11"/>
      <c r="MO127" s="11"/>
      <c r="MP127" s="11"/>
      <c r="MQ127" s="11"/>
      <c r="MR127" s="11"/>
      <c r="MS127" s="11"/>
      <c r="MT127" s="11"/>
      <c r="MU127" s="11"/>
      <c r="MV127" s="11"/>
      <c r="MW127" s="11"/>
      <c r="MX127" s="11"/>
      <c r="MY127" s="11"/>
      <c r="MZ127" s="11"/>
      <c r="NA127" s="11"/>
      <c r="NB127" s="11"/>
      <c r="NC127" s="11"/>
      <c r="ND127" s="11"/>
      <c r="NE127" s="11"/>
      <c r="NF127" s="11"/>
      <c r="NG127" s="11"/>
      <c r="NH127" s="11"/>
      <c r="NI127" s="11"/>
      <c r="NJ127" s="11"/>
      <c r="NK127" s="11"/>
      <c r="NL127" s="11"/>
      <c r="NM127" s="11"/>
      <c r="NN127" s="11"/>
      <c r="NO127" s="11"/>
      <c r="NP127" s="11"/>
      <c r="NQ127" s="11"/>
      <c r="NR127" s="11"/>
      <c r="NS127" s="11"/>
      <c r="NT127" s="11"/>
      <c r="NU127" s="11"/>
      <c r="NV127" s="11"/>
      <c r="NW127" s="11"/>
      <c r="NX127" s="11"/>
      <c r="NY127" s="11"/>
      <c r="NZ127" s="11"/>
      <c r="OA127" s="11"/>
      <c r="OB127" s="11"/>
      <c r="OC127" s="11"/>
      <c r="OD127" s="11"/>
      <c r="OE127" s="11"/>
      <c r="OF127" s="11"/>
      <c r="OG127" s="11"/>
      <c r="OH127" s="11"/>
      <c r="OI127" s="11"/>
      <c r="OJ127" s="11"/>
      <c r="OK127" s="11"/>
      <c r="OL127" s="11"/>
      <c r="OM127" s="11"/>
      <c r="ON127" s="11"/>
      <c r="OO127" s="11"/>
      <c r="OP127" s="11"/>
      <c r="OQ127" s="11"/>
      <c r="OR127" s="11"/>
      <c r="OS127" s="11"/>
      <c r="OT127" s="11"/>
      <c r="OU127" s="11"/>
      <c r="OV127" s="11"/>
      <c r="OW127" s="11"/>
      <c r="OX127" s="11"/>
      <c r="OY127" s="11"/>
      <c r="OZ127" s="11"/>
      <c r="PA127" s="11"/>
      <c r="PB127" s="11"/>
      <c r="PC127" s="11"/>
      <c r="PD127" s="11"/>
      <c r="PE127" s="11"/>
      <c r="PF127" s="11"/>
      <c r="PG127" s="11"/>
      <c r="PH127" s="11"/>
      <c r="PI127" s="11"/>
      <c r="PJ127" s="11"/>
      <c r="PK127" s="11"/>
      <c r="PL127" s="11"/>
      <c r="PM127" s="11"/>
      <c r="PN127" s="11"/>
      <c r="PO127" s="11"/>
      <c r="PP127" s="11"/>
      <c r="PQ127" s="11"/>
      <c r="PR127" s="11"/>
      <c r="PS127" s="11"/>
      <c r="PT127" s="11"/>
      <c r="PU127" s="11"/>
      <c r="PV127" s="11"/>
      <c r="PW127" s="11"/>
      <c r="PX127" s="11"/>
      <c r="PY127" s="11"/>
      <c r="PZ127" s="11"/>
      <c r="QA127" s="11"/>
      <c r="QB127" s="11"/>
      <c r="QC127" s="11"/>
      <c r="QD127" s="11"/>
      <c r="QE127" s="11"/>
      <c r="QF127" s="11"/>
      <c r="QG127" s="11"/>
      <c r="QH127" s="11"/>
      <c r="QI127" s="11"/>
      <c r="QJ127" s="11"/>
      <c r="QK127" s="11"/>
      <c r="QL127" s="11"/>
      <c r="QM127" s="11"/>
      <c r="QN127" s="11"/>
      <c r="QO127" s="11"/>
      <c r="QP127" s="11"/>
      <c r="QQ127" s="11"/>
      <c r="QR127" s="11"/>
      <c r="QS127" s="11"/>
      <c r="QT127" s="11"/>
      <c r="QU127" s="11"/>
      <c r="QV127" s="11"/>
      <c r="QW127" s="11"/>
      <c r="QX127" s="11"/>
      <c r="QY127" s="11"/>
      <c r="QZ127" s="11"/>
      <c r="RA127" s="11"/>
      <c r="RB127" s="11"/>
      <c r="RC127" s="11"/>
      <c r="RD127" s="11"/>
      <c r="RE127" s="11"/>
      <c r="RF127" s="11"/>
      <c r="RG127" s="11"/>
      <c r="RH127" s="11"/>
      <c r="RI127" s="11"/>
      <c r="RJ127" s="11"/>
      <c r="RK127" s="11"/>
      <c r="RL127" s="11"/>
      <c r="RM127" s="11"/>
      <c r="RN127" s="11"/>
      <c r="RO127" s="11"/>
      <c r="RP127" s="11"/>
      <c r="RQ127" s="11"/>
      <c r="RR127" s="11"/>
      <c r="RS127" s="11"/>
      <c r="RT127" s="11"/>
      <c r="RU127" s="11"/>
      <c r="RV127" s="11"/>
      <c r="RW127" s="11"/>
      <c r="RX127" s="11"/>
      <c r="RY127" s="11"/>
      <c r="RZ127" s="11"/>
      <c r="SA127" s="11"/>
      <c r="SB127" s="11"/>
      <c r="SC127" s="11"/>
      <c r="SD127" s="11"/>
      <c r="SE127" s="11"/>
      <c r="SF127" s="11"/>
      <c r="SG127" s="11"/>
      <c r="SH127" s="11"/>
      <c r="SI127" s="11"/>
      <c r="SJ127" s="11"/>
      <c r="SK127" s="11"/>
      <c r="SL127" s="11"/>
      <c r="SM127" s="11"/>
      <c r="SN127" s="11"/>
      <c r="SO127" s="11"/>
      <c r="SP127" s="11"/>
      <c r="SQ127" s="11"/>
      <c r="SR127" s="11"/>
      <c r="SS127" s="11"/>
      <c r="ST127" s="11"/>
      <c r="SU127" s="11"/>
      <c r="SV127" s="11"/>
      <c r="SW127" s="11"/>
      <c r="SX127" s="11"/>
      <c r="SY127" s="11"/>
      <c r="SZ127" s="11"/>
      <c r="TA127" s="11"/>
      <c r="TB127" s="11"/>
      <c r="TC127" s="11"/>
      <c r="TD127" s="11"/>
      <c r="TE127" s="11"/>
      <c r="TF127" s="11"/>
      <c r="TG127" s="11"/>
      <c r="TH127" s="11"/>
      <c r="TI127" s="11"/>
      <c r="TJ127" s="11"/>
      <c r="TK127" s="11"/>
      <c r="TL127" s="11"/>
      <c r="TM127" s="11"/>
      <c r="TN127" s="11"/>
      <c r="TO127" s="11"/>
      <c r="TP127" s="11"/>
      <c r="TQ127" s="11"/>
      <c r="TR127" s="11"/>
      <c r="TS127" s="11"/>
      <c r="TT127" s="11"/>
      <c r="TU127" s="11"/>
      <c r="TV127" s="11"/>
      <c r="TW127" s="11"/>
      <c r="TX127" s="11"/>
      <c r="TY127" s="11"/>
      <c r="TZ127" s="11"/>
      <c r="UA127" s="11"/>
      <c r="UB127" s="11"/>
      <c r="UC127" s="11"/>
      <c r="UD127" s="11"/>
      <c r="UE127" s="11"/>
      <c r="UF127" s="11"/>
      <c r="UG127" s="11"/>
      <c r="UH127" s="11"/>
      <c r="UI127" s="11"/>
      <c r="UJ127" s="11"/>
      <c r="UK127" s="11"/>
      <c r="UL127" s="11"/>
      <c r="UM127" s="11"/>
      <c r="UN127" s="11"/>
      <c r="UO127" s="11"/>
      <c r="UP127" s="11"/>
      <c r="UQ127" s="11"/>
      <c r="UR127" s="11"/>
      <c r="US127" s="11"/>
      <c r="UT127" s="11"/>
      <c r="UU127" s="11"/>
      <c r="UV127" s="11"/>
      <c r="UW127" s="11"/>
      <c r="UX127" s="11"/>
      <c r="UY127" s="11"/>
      <c r="UZ127" s="11"/>
      <c r="VA127" s="11"/>
      <c r="VB127" s="11"/>
      <c r="VC127" s="11"/>
      <c r="VD127" s="11"/>
      <c r="VE127" s="11"/>
      <c r="VF127" s="11"/>
      <c r="VG127" s="11"/>
      <c r="VH127" s="11"/>
      <c r="VI127" s="11"/>
      <c r="VJ127" s="11"/>
      <c r="VK127" s="11"/>
      <c r="VL127" s="11"/>
      <c r="VM127" s="11"/>
      <c r="VN127" s="11"/>
      <c r="VO127" s="11"/>
      <c r="VP127" s="11"/>
      <c r="VQ127" s="11"/>
      <c r="VR127" s="11"/>
      <c r="VS127" s="11"/>
      <c r="VT127" s="11"/>
      <c r="VU127" s="11"/>
      <c r="VV127" s="11"/>
      <c r="VW127" s="11"/>
      <c r="VX127" s="11"/>
      <c r="VY127" s="11"/>
      <c r="VZ127" s="11"/>
      <c r="WA127" s="11"/>
      <c r="WB127" s="11"/>
      <c r="WC127" s="11"/>
      <c r="WD127" s="11"/>
      <c r="WE127" s="11"/>
      <c r="WF127" s="11"/>
      <c r="WG127" s="11"/>
      <c r="WH127" s="11"/>
      <c r="WI127" s="11"/>
      <c r="WJ127" s="11"/>
      <c r="WK127" s="11"/>
      <c r="WL127" s="11"/>
      <c r="WM127" s="11"/>
      <c r="WN127" s="11"/>
      <c r="WO127" s="11"/>
      <c r="WP127" s="11"/>
      <c r="WQ127" s="11"/>
      <c r="WR127" s="11"/>
      <c r="WS127" s="11"/>
      <c r="WT127" s="11"/>
      <c r="WU127" s="11"/>
      <c r="WV127" s="11"/>
      <c r="WW127" s="11"/>
      <c r="WX127" s="11"/>
      <c r="WY127" s="11"/>
      <c r="WZ127" s="11"/>
      <c r="XA127" s="11"/>
      <c r="XB127" s="11"/>
      <c r="XC127" s="11"/>
      <c r="XD127" s="11"/>
      <c r="XE127" s="11"/>
      <c r="XF127" s="11"/>
      <c r="XG127" s="11"/>
      <c r="XH127" s="11"/>
      <c r="XI127" s="11"/>
      <c r="XJ127" s="11"/>
      <c r="XK127" s="11"/>
      <c r="XL127" s="11"/>
      <c r="XM127" s="11"/>
      <c r="XN127" s="11"/>
      <c r="XO127" s="11"/>
      <c r="XP127" s="11"/>
      <c r="XQ127" s="11"/>
      <c r="XR127" s="11"/>
      <c r="XS127" s="11"/>
      <c r="XT127" s="11"/>
      <c r="XU127" s="11"/>
      <c r="XV127" s="11"/>
      <c r="XW127" s="11"/>
      <c r="XX127" s="11"/>
      <c r="XY127" s="11"/>
      <c r="XZ127" s="11"/>
      <c r="YA127" s="11"/>
      <c r="YB127" s="11"/>
      <c r="YC127" s="11"/>
      <c r="YD127" s="11"/>
      <c r="YE127" s="11"/>
      <c r="YF127" s="11"/>
      <c r="YG127" s="11"/>
      <c r="YH127" s="11"/>
      <c r="YI127" s="11"/>
      <c r="YJ127" s="11"/>
      <c r="YK127" s="11"/>
      <c r="YL127" s="11"/>
      <c r="YM127" s="11"/>
      <c r="YN127" s="11"/>
      <c r="YO127" s="11"/>
      <c r="YP127" s="11"/>
      <c r="YQ127" s="11"/>
      <c r="YR127" s="11"/>
      <c r="YS127" s="11"/>
      <c r="YT127" s="11"/>
      <c r="YU127" s="11"/>
      <c r="YV127" s="11"/>
      <c r="YW127" s="11"/>
      <c r="YX127" s="11"/>
      <c r="YY127" s="11"/>
      <c r="YZ127" s="11"/>
      <c r="ZA127" s="11"/>
      <c r="ZB127" s="11"/>
      <c r="ZC127" s="11"/>
      <c r="ZD127" s="11"/>
      <c r="ZE127" s="11"/>
      <c r="ZF127" s="11"/>
      <c r="ZG127" s="11"/>
      <c r="ZH127" s="11"/>
      <c r="ZI127" s="11"/>
      <c r="ZJ127" s="11"/>
      <c r="ZK127" s="11"/>
      <c r="ZL127" s="11"/>
      <c r="ZM127" s="11"/>
      <c r="ZN127" s="11"/>
      <c r="ZO127" s="11"/>
      <c r="ZP127" s="11"/>
      <c r="ZQ127" s="11"/>
      <c r="ZR127" s="11"/>
      <c r="ZS127" s="11"/>
      <c r="ZT127" s="11"/>
      <c r="ZU127" s="11"/>
      <c r="ZV127" s="11"/>
      <c r="ZW127" s="11"/>
      <c r="ZX127" s="11"/>
      <c r="ZY127" s="11"/>
      <c r="ZZ127" s="11"/>
      <c r="AAA127" s="11"/>
      <c r="AAB127" s="11"/>
      <c r="AAC127" s="11"/>
      <c r="AAD127" s="11"/>
      <c r="AAE127" s="11"/>
      <c r="AAF127" s="11"/>
      <c r="AAG127" s="11"/>
      <c r="AAH127" s="11"/>
      <c r="AAI127" s="11"/>
      <c r="AAJ127" s="11"/>
      <c r="AAK127" s="11"/>
      <c r="AAL127" s="11"/>
      <c r="AAM127" s="11"/>
      <c r="AAN127" s="11"/>
      <c r="AAO127" s="11"/>
      <c r="AAP127" s="11"/>
      <c r="AAQ127" s="11"/>
      <c r="AAR127" s="11"/>
      <c r="AAS127" s="11"/>
      <c r="AAT127" s="11"/>
      <c r="AAU127" s="11"/>
      <c r="AAV127" s="11"/>
      <c r="AAW127" s="11"/>
      <c r="AAX127" s="11"/>
      <c r="AAY127" s="11"/>
      <c r="AAZ127" s="11"/>
      <c r="ABA127" s="11"/>
      <c r="ABB127" s="11"/>
      <c r="ABC127" s="11"/>
      <c r="ABD127" s="11"/>
      <c r="ABE127" s="11"/>
      <c r="ABF127" s="11"/>
      <c r="ABG127" s="11"/>
      <c r="ABH127" s="11"/>
      <c r="ABI127" s="11"/>
      <c r="ABJ127" s="11"/>
      <c r="ABK127" s="11"/>
      <c r="ABL127" s="11"/>
      <c r="ABM127" s="11"/>
      <c r="ABN127" s="11"/>
      <c r="ABO127" s="11"/>
      <c r="ABP127" s="11"/>
      <c r="ABQ127" s="11"/>
      <c r="ABR127" s="11"/>
      <c r="ABS127" s="11"/>
      <c r="ABT127" s="11"/>
      <c r="ABU127" s="11"/>
      <c r="ABV127" s="11"/>
      <c r="ABW127" s="11"/>
      <c r="ABX127" s="11"/>
      <c r="ABY127" s="11"/>
      <c r="ABZ127" s="11"/>
      <c r="ACA127" s="11"/>
      <c r="ACB127" s="11"/>
      <c r="ACC127" s="11"/>
      <c r="ACD127" s="11"/>
      <c r="ACE127" s="11"/>
      <c r="ACF127" s="11"/>
      <c r="ACG127" s="11"/>
      <c r="ACH127" s="11"/>
      <c r="ACI127" s="11"/>
      <c r="ACJ127" s="11"/>
      <c r="ACK127" s="11"/>
      <c r="ACL127" s="11"/>
      <c r="ACM127" s="11"/>
      <c r="ACN127" s="11"/>
      <c r="ACO127" s="11"/>
      <c r="ACP127" s="11"/>
      <c r="ACQ127" s="11"/>
      <c r="ACR127" s="11"/>
      <c r="ACS127" s="11"/>
      <c r="ACT127" s="11"/>
      <c r="ACU127" s="11"/>
      <c r="ACV127" s="11"/>
      <c r="ACW127" s="11"/>
      <c r="ACX127" s="11"/>
      <c r="ACY127" s="11"/>
      <c r="ACZ127" s="11"/>
      <c r="ADA127" s="11"/>
      <c r="ADB127" s="11"/>
      <c r="ADC127" s="11"/>
      <c r="ADD127" s="11"/>
      <c r="ADE127" s="11"/>
      <c r="ADF127" s="11"/>
      <c r="ADG127" s="11"/>
      <c r="ADH127" s="11"/>
      <c r="ADI127" s="11"/>
      <c r="ADJ127" s="11"/>
      <c r="ADK127" s="11"/>
      <c r="ADL127" s="11"/>
      <c r="ADM127" s="11"/>
      <c r="ADN127" s="11"/>
      <c r="ADO127" s="11"/>
      <c r="ADP127" s="11"/>
      <c r="ADQ127" s="11"/>
      <c r="ADR127" s="11"/>
      <c r="ADS127" s="11"/>
      <c r="ADT127" s="11"/>
      <c r="ADU127" s="11"/>
      <c r="ADV127" s="11"/>
      <c r="ADW127" s="11"/>
      <c r="ADX127" s="11"/>
      <c r="ADY127" s="11"/>
      <c r="ADZ127" s="11"/>
      <c r="AEA127" s="11"/>
      <c r="AEB127" s="11"/>
      <c r="AEC127" s="11"/>
      <c r="AED127" s="11"/>
      <c r="AEE127" s="11"/>
      <c r="AEF127" s="11"/>
      <c r="AEG127" s="11"/>
      <c r="AEH127" s="11"/>
      <c r="AEI127" s="11"/>
      <c r="AEJ127" s="11"/>
      <c r="AEK127" s="11"/>
      <c r="AEL127" s="11"/>
      <c r="AEM127" s="11"/>
      <c r="AEN127" s="11"/>
      <c r="AEO127" s="11"/>
      <c r="AEP127" s="11"/>
      <c r="AEQ127" s="11"/>
      <c r="AER127" s="11"/>
      <c r="AES127" s="11"/>
      <c r="AET127" s="11"/>
      <c r="AEU127" s="11"/>
      <c r="AEV127" s="11"/>
      <c r="AEW127" s="11"/>
      <c r="AEX127" s="11"/>
      <c r="AEY127" s="11"/>
      <c r="AEZ127" s="11"/>
      <c r="AFA127" s="11"/>
      <c r="AFB127" s="11"/>
      <c r="AFC127" s="11"/>
      <c r="AFD127" s="11"/>
      <c r="AFE127" s="11"/>
      <c r="AFF127" s="11"/>
      <c r="AFG127" s="11"/>
      <c r="AFH127" s="11"/>
      <c r="AFI127" s="11"/>
    </row>
    <row r="128" spans="2:84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1"/>
      <c r="JA128" s="11"/>
      <c r="JB128" s="11"/>
      <c r="JC128" s="11"/>
      <c r="JD128" s="11"/>
      <c r="JE128" s="11"/>
      <c r="JF128" s="11"/>
      <c r="JG128" s="11"/>
      <c r="JH128" s="11"/>
      <c r="JI128" s="11"/>
      <c r="JJ128" s="11"/>
      <c r="JK128" s="11"/>
      <c r="JL128" s="11"/>
      <c r="JM128" s="11"/>
      <c r="JN128" s="11"/>
      <c r="JO128" s="11"/>
      <c r="JP128" s="11"/>
      <c r="JQ128" s="11"/>
      <c r="JR128" s="11"/>
      <c r="JS128" s="11"/>
      <c r="JT128" s="11"/>
      <c r="JU128" s="11"/>
      <c r="JV128" s="11"/>
      <c r="JW128" s="11"/>
      <c r="JX128" s="11"/>
      <c r="JY128" s="11"/>
      <c r="JZ128" s="11"/>
      <c r="KA128" s="11"/>
      <c r="KB128" s="11"/>
      <c r="KC128" s="11"/>
      <c r="KD128" s="11"/>
      <c r="KE128" s="11"/>
      <c r="KF128" s="11"/>
      <c r="KG128" s="11"/>
      <c r="KH128" s="11"/>
      <c r="KI128" s="11"/>
      <c r="KJ128" s="11"/>
      <c r="KK128" s="11"/>
      <c r="KL128" s="11"/>
      <c r="KM128" s="11"/>
      <c r="KN128" s="11"/>
      <c r="KO128" s="11"/>
      <c r="KP128" s="11"/>
      <c r="KQ128" s="11"/>
      <c r="KR128" s="11"/>
      <c r="KS128" s="11"/>
      <c r="KT128" s="11"/>
      <c r="KU128" s="11"/>
      <c r="KV128" s="11"/>
      <c r="KW128" s="11"/>
      <c r="KX128" s="11"/>
      <c r="KY128" s="11"/>
      <c r="KZ128" s="11"/>
      <c r="LA128" s="11"/>
      <c r="LB128" s="11"/>
      <c r="LC128" s="11"/>
      <c r="LD128" s="11"/>
      <c r="LE128" s="11"/>
      <c r="LF128" s="11"/>
      <c r="LG128" s="11"/>
      <c r="LH128" s="11"/>
      <c r="LI128" s="11"/>
      <c r="LJ128" s="11"/>
      <c r="LK128" s="11"/>
      <c r="LL128" s="11"/>
      <c r="LM128" s="11"/>
      <c r="LN128" s="11"/>
      <c r="LO128" s="11"/>
      <c r="LP128" s="11"/>
      <c r="LQ128" s="11"/>
      <c r="LR128" s="11"/>
      <c r="LS128" s="11"/>
      <c r="LT128" s="11"/>
      <c r="LU128" s="11"/>
      <c r="LV128" s="11"/>
      <c r="LW128" s="11"/>
      <c r="LX128" s="11"/>
      <c r="LY128" s="11"/>
      <c r="LZ128" s="11"/>
      <c r="MA128" s="11"/>
      <c r="MB128" s="11"/>
      <c r="MC128" s="11"/>
      <c r="MD128" s="11"/>
      <c r="ME128" s="11"/>
      <c r="MF128" s="11"/>
      <c r="MG128" s="11"/>
      <c r="MH128" s="11"/>
      <c r="MI128" s="11"/>
      <c r="MJ128" s="11"/>
      <c r="MK128" s="11"/>
      <c r="ML128" s="11"/>
      <c r="MM128" s="11"/>
      <c r="MN128" s="11"/>
      <c r="MO128" s="11"/>
      <c r="MP128" s="11"/>
      <c r="MQ128" s="11"/>
      <c r="MR128" s="11"/>
      <c r="MS128" s="11"/>
      <c r="MT128" s="11"/>
      <c r="MU128" s="11"/>
      <c r="MV128" s="11"/>
      <c r="MW128" s="11"/>
      <c r="MX128" s="11"/>
      <c r="MY128" s="11"/>
      <c r="MZ128" s="11"/>
      <c r="NA128" s="11"/>
      <c r="NB128" s="11"/>
      <c r="NC128" s="11"/>
      <c r="ND128" s="11"/>
      <c r="NE128" s="11"/>
      <c r="NF128" s="11"/>
      <c r="NG128" s="11"/>
      <c r="NH128" s="11"/>
      <c r="NI128" s="11"/>
      <c r="NJ128" s="11"/>
      <c r="NK128" s="11"/>
      <c r="NL128" s="11"/>
      <c r="NM128" s="11"/>
      <c r="NN128" s="11"/>
      <c r="NO128" s="11"/>
      <c r="NP128" s="11"/>
      <c r="NQ128" s="11"/>
      <c r="NR128" s="11"/>
      <c r="NS128" s="11"/>
      <c r="NT128" s="11"/>
      <c r="NU128" s="11"/>
      <c r="NV128" s="11"/>
      <c r="NW128" s="11"/>
      <c r="NX128" s="11"/>
      <c r="NY128" s="11"/>
      <c r="NZ128" s="11"/>
      <c r="OA128" s="11"/>
      <c r="OB128" s="11"/>
      <c r="OC128" s="11"/>
      <c r="OD128" s="11"/>
      <c r="OE128" s="11"/>
      <c r="OF128" s="11"/>
      <c r="OG128" s="11"/>
      <c r="OH128" s="11"/>
      <c r="OI128" s="11"/>
      <c r="OJ128" s="11"/>
      <c r="OK128" s="11"/>
      <c r="OL128" s="11"/>
      <c r="OM128" s="11"/>
      <c r="ON128" s="11"/>
      <c r="OO128" s="11"/>
      <c r="OP128" s="11"/>
      <c r="OQ128" s="11"/>
      <c r="OR128" s="11"/>
      <c r="OS128" s="11"/>
      <c r="OT128" s="11"/>
      <c r="OU128" s="11"/>
      <c r="OV128" s="11"/>
      <c r="OW128" s="11"/>
      <c r="OX128" s="11"/>
      <c r="OY128" s="11"/>
      <c r="OZ128" s="11"/>
      <c r="PA128" s="11"/>
      <c r="PB128" s="11"/>
      <c r="PC128" s="11"/>
      <c r="PD128" s="11"/>
      <c r="PE128" s="11"/>
      <c r="PF128" s="11"/>
      <c r="PG128" s="11"/>
      <c r="PH128" s="11"/>
      <c r="PI128" s="11"/>
      <c r="PJ128" s="11"/>
      <c r="PK128" s="11"/>
      <c r="PL128" s="11"/>
      <c r="PM128" s="11"/>
      <c r="PN128" s="11"/>
      <c r="PO128" s="11"/>
      <c r="PP128" s="11"/>
      <c r="PQ128" s="11"/>
      <c r="PR128" s="11"/>
      <c r="PS128" s="11"/>
      <c r="PT128" s="11"/>
      <c r="PU128" s="11"/>
      <c r="PV128" s="11"/>
      <c r="PW128" s="11"/>
      <c r="PX128" s="11"/>
      <c r="PY128" s="11"/>
      <c r="PZ128" s="11"/>
      <c r="QA128" s="11"/>
      <c r="QB128" s="11"/>
      <c r="QC128" s="11"/>
      <c r="QD128" s="11"/>
      <c r="QE128" s="11"/>
      <c r="QF128" s="11"/>
      <c r="QG128" s="11"/>
      <c r="QH128" s="11"/>
      <c r="QI128" s="11"/>
      <c r="QJ128" s="11"/>
      <c r="QK128" s="11"/>
      <c r="QL128" s="11"/>
      <c r="QM128" s="11"/>
      <c r="QN128" s="11"/>
      <c r="QO128" s="11"/>
      <c r="QP128" s="11"/>
      <c r="QQ128" s="11"/>
      <c r="QR128" s="11"/>
      <c r="QS128" s="11"/>
      <c r="QT128" s="11"/>
      <c r="QU128" s="11"/>
      <c r="QV128" s="11"/>
      <c r="QW128" s="11"/>
      <c r="QX128" s="11"/>
      <c r="QY128" s="11"/>
      <c r="QZ128" s="11"/>
      <c r="RA128" s="11"/>
      <c r="RB128" s="11"/>
      <c r="RC128" s="11"/>
      <c r="RD128" s="11"/>
      <c r="RE128" s="11"/>
      <c r="RF128" s="11"/>
      <c r="RG128" s="11"/>
      <c r="RH128" s="11"/>
      <c r="RI128" s="11"/>
      <c r="RJ128" s="11"/>
      <c r="RK128" s="11"/>
      <c r="RL128" s="11"/>
      <c r="RM128" s="11"/>
      <c r="RN128" s="11"/>
      <c r="RO128" s="11"/>
      <c r="RP128" s="11"/>
      <c r="RQ128" s="11"/>
      <c r="RR128" s="11"/>
      <c r="RS128" s="11"/>
      <c r="RT128" s="11"/>
      <c r="RU128" s="11"/>
      <c r="RV128" s="11"/>
      <c r="RW128" s="11"/>
      <c r="RX128" s="11"/>
      <c r="RY128" s="11"/>
      <c r="RZ128" s="11"/>
      <c r="SA128" s="11"/>
      <c r="SB128" s="11"/>
      <c r="SC128" s="11"/>
      <c r="SD128" s="11"/>
      <c r="SE128" s="11"/>
      <c r="SF128" s="11"/>
      <c r="SG128" s="11"/>
      <c r="SH128" s="11"/>
      <c r="SI128" s="11"/>
      <c r="SJ128" s="11"/>
      <c r="SK128" s="11"/>
      <c r="SL128" s="11"/>
      <c r="SM128" s="11"/>
      <c r="SN128" s="11"/>
      <c r="SO128" s="11"/>
      <c r="SP128" s="11"/>
      <c r="SQ128" s="11"/>
      <c r="SR128" s="11"/>
      <c r="SS128" s="11"/>
      <c r="ST128" s="11"/>
      <c r="SU128" s="11"/>
      <c r="SV128" s="11"/>
      <c r="SW128" s="11"/>
      <c r="SX128" s="11"/>
      <c r="SY128" s="11"/>
      <c r="SZ128" s="11"/>
      <c r="TA128" s="11"/>
      <c r="TB128" s="11"/>
      <c r="TC128" s="11"/>
      <c r="TD128" s="11"/>
      <c r="TE128" s="11"/>
      <c r="TF128" s="11"/>
      <c r="TG128" s="11"/>
      <c r="TH128" s="11"/>
      <c r="TI128" s="11"/>
      <c r="TJ128" s="11"/>
      <c r="TK128" s="11"/>
      <c r="TL128" s="11"/>
      <c r="TM128" s="11"/>
      <c r="TN128" s="11"/>
      <c r="TO128" s="11"/>
      <c r="TP128" s="11"/>
      <c r="TQ128" s="11"/>
      <c r="TR128" s="11"/>
      <c r="TS128" s="11"/>
      <c r="TT128" s="11"/>
      <c r="TU128" s="11"/>
      <c r="TV128" s="11"/>
      <c r="TW128" s="11"/>
      <c r="TX128" s="11"/>
      <c r="TY128" s="11"/>
      <c r="TZ128" s="11"/>
      <c r="UA128" s="11"/>
      <c r="UB128" s="11"/>
      <c r="UC128" s="11"/>
      <c r="UD128" s="11"/>
      <c r="UE128" s="11"/>
      <c r="UF128" s="11"/>
      <c r="UG128" s="11"/>
      <c r="UH128" s="11"/>
      <c r="UI128" s="11"/>
      <c r="UJ128" s="11"/>
      <c r="UK128" s="11"/>
      <c r="UL128" s="11"/>
      <c r="UM128" s="11"/>
      <c r="UN128" s="11"/>
      <c r="UO128" s="11"/>
      <c r="UP128" s="11"/>
      <c r="UQ128" s="11"/>
      <c r="UR128" s="11"/>
      <c r="US128" s="11"/>
      <c r="UT128" s="11"/>
      <c r="UU128" s="11"/>
      <c r="UV128" s="11"/>
      <c r="UW128" s="11"/>
      <c r="UX128" s="11"/>
      <c r="UY128" s="11"/>
      <c r="UZ128" s="11"/>
      <c r="VA128" s="11"/>
      <c r="VB128" s="11"/>
      <c r="VC128" s="11"/>
      <c r="VD128" s="11"/>
      <c r="VE128" s="11"/>
      <c r="VF128" s="11"/>
      <c r="VG128" s="11"/>
      <c r="VH128" s="11"/>
      <c r="VI128" s="11"/>
      <c r="VJ128" s="11"/>
      <c r="VK128" s="11"/>
      <c r="VL128" s="11"/>
      <c r="VM128" s="11"/>
      <c r="VN128" s="11"/>
      <c r="VO128" s="11"/>
      <c r="VP128" s="11"/>
      <c r="VQ128" s="11"/>
      <c r="VR128" s="11"/>
      <c r="VS128" s="11"/>
      <c r="VT128" s="11"/>
      <c r="VU128" s="11"/>
      <c r="VV128" s="11"/>
      <c r="VW128" s="11"/>
      <c r="VX128" s="11"/>
      <c r="VY128" s="11"/>
      <c r="VZ128" s="11"/>
      <c r="WA128" s="11"/>
      <c r="WB128" s="11"/>
      <c r="WC128" s="11"/>
      <c r="WD128" s="11"/>
      <c r="WE128" s="11"/>
      <c r="WF128" s="11"/>
      <c r="WG128" s="11"/>
      <c r="WH128" s="11"/>
      <c r="WI128" s="11"/>
      <c r="WJ128" s="11"/>
      <c r="WK128" s="11"/>
      <c r="WL128" s="11"/>
      <c r="WM128" s="11"/>
      <c r="WN128" s="11"/>
      <c r="WO128" s="11"/>
      <c r="WP128" s="11"/>
      <c r="WQ128" s="11"/>
      <c r="WR128" s="11"/>
      <c r="WS128" s="11"/>
      <c r="WT128" s="11"/>
      <c r="WU128" s="11"/>
      <c r="WV128" s="11"/>
      <c r="WW128" s="11"/>
      <c r="WX128" s="11"/>
      <c r="WY128" s="11"/>
      <c r="WZ128" s="11"/>
      <c r="XA128" s="11"/>
      <c r="XB128" s="11"/>
      <c r="XC128" s="11"/>
      <c r="XD128" s="11"/>
      <c r="XE128" s="11"/>
      <c r="XF128" s="11"/>
      <c r="XG128" s="11"/>
      <c r="XH128" s="11"/>
      <c r="XI128" s="11"/>
      <c r="XJ128" s="11"/>
      <c r="XK128" s="11"/>
      <c r="XL128" s="11"/>
      <c r="XM128" s="11"/>
      <c r="XN128" s="11"/>
      <c r="XO128" s="11"/>
      <c r="XP128" s="11"/>
      <c r="XQ128" s="11"/>
      <c r="XR128" s="11"/>
      <c r="XS128" s="11"/>
      <c r="XT128" s="11"/>
      <c r="XU128" s="11"/>
      <c r="XV128" s="11"/>
      <c r="XW128" s="11"/>
      <c r="XX128" s="11"/>
      <c r="XY128" s="11"/>
      <c r="XZ128" s="11"/>
      <c r="YA128" s="11"/>
      <c r="YB128" s="11"/>
      <c r="YC128" s="11"/>
      <c r="YD128" s="11"/>
      <c r="YE128" s="11"/>
      <c r="YF128" s="11"/>
      <c r="YG128" s="11"/>
      <c r="YH128" s="11"/>
      <c r="YI128" s="11"/>
      <c r="YJ128" s="11"/>
      <c r="YK128" s="11"/>
      <c r="YL128" s="11"/>
      <c r="YM128" s="11"/>
      <c r="YN128" s="11"/>
      <c r="YO128" s="11"/>
      <c r="YP128" s="11"/>
      <c r="YQ128" s="11"/>
      <c r="YR128" s="11"/>
      <c r="YS128" s="11"/>
      <c r="YT128" s="11"/>
      <c r="YU128" s="11"/>
      <c r="YV128" s="11"/>
      <c r="YW128" s="11"/>
      <c r="YX128" s="11"/>
      <c r="YY128" s="11"/>
      <c r="YZ128" s="11"/>
      <c r="ZA128" s="11"/>
      <c r="ZB128" s="11"/>
      <c r="ZC128" s="11"/>
      <c r="ZD128" s="11"/>
      <c r="ZE128" s="11"/>
      <c r="ZF128" s="11"/>
      <c r="ZG128" s="11"/>
      <c r="ZH128" s="11"/>
      <c r="ZI128" s="11"/>
      <c r="ZJ128" s="11"/>
      <c r="ZK128" s="11"/>
      <c r="ZL128" s="11"/>
      <c r="ZM128" s="11"/>
      <c r="ZN128" s="11"/>
      <c r="ZO128" s="11"/>
      <c r="ZP128" s="11"/>
      <c r="ZQ128" s="11"/>
      <c r="ZR128" s="11"/>
      <c r="ZS128" s="11"/>
      <c r="ZT128" s="11"/>
      <c r="ZU128" s="11"/>
      <c r="ZV128" s="11"/>
      <c r="ZW128" s="11"/>
      <c r="ZX128" s="11"/>
      <c r="ZY128" s="11"/>
      <c r="ZZ128" s="11"/>
      <c r="AAA128" s="11"/>
      <c r="AAB128" s="11"/>
      <c r="AAC128" s="11"/>
      <c r="AAD128" s="11"/>
      <c r="AAE128" s="11"/>
      <c r="AAF128" s="11"/>
      <c r="AAG128" s="11"/>
      <c r="AAH128" s="11"/>
      <c r="AAI128" s="11"/>
      <c r="AAJ128" s="11"/>
      <c r="AAK128" s="11"/>
      <c r="AAL128" s="11"/>
      <c r="AAM128" s="11"/>
      <c r="AAN128" s="11"/>
      <c r="AAO128" s="11"/>
      <c r="AAP128" s="11"/>
      <c r="AAQ128" s="11"/>
      <c r="AAR128" s="11"/>
      <c r="AAS128" s="11"/>
      <c r="AAT128" s="11"/>
      <c r="AAU128" s="11"/>
      <c r="AAV128" s="11"/>
      <c r="AAW128" s="11"/>
      <c r="AAX128" s="11"/>
      <c r="AAY128" s="11"/>
      <c r="AAZ128" s="11"/>
      <c r="ABA128" s="11"/>
      <c r="ABB128" s="11"/>
      <c r="ABC128" s="11"/>
      <c r="ABD128" s="11"/>
      <c r="ABE128" s="11"/>
      <c r="ABF128" s="11"/>
      <c r="ABG128" s="11"/>
      <c r="ABH128" s="11"/>
      <c r="ABI128" s="11"/>
      <c r="ABJ128" s="11"/>
      <c r="ABK128" s="11"/>
      <c r="ABL128" s="11"/>
      <c r="ABM128" s="11"/>
      <c r="ABN128" s="11"/>
      <c r="ABO128" s="11"/>
      <c r="ABP128" s="11"/>
      <c r="ABQ128" s="11"/>
      <c r="ABR128" s="11"/>
      <c r="ABS128" s="11"/>
      <c r="ABT128" s="11"/>
      <c r="ABU128" s="11"/>
      <c r="ABV128" s="11"/>
      <c r="ABW128" s="11"/>
      <c r="ABX128" s="11"/>
      <c r="ABY128" s="11"/>
      <c r="ABZ128" s="11"/>
      <c r="ACA128" s="11"/>
      <c r="ACB128" s="11"/>
      <c r="ACC128" s="11"/>
      <c r="ACD128" s="11"/>
      <c r="ACE128" s="11"/>
      <c r="ACF128" s="11"/>
      <c r="ACG128" s="11"/>
      <c r="ACH128" s="11"/>
      <c r="ACI128" s="11"/>
      <c r="ACJ128" s="11"/>
      <c r="ACK128" s="11"/>
      <c r="ACL128" s="11"/>
      <c r="ACM128" s="11"/>
      <c r="ACN128" s="11"/>
      <c r="ACO128" s="11"/>
      <c r="ACP128" s="11"/>
      <c r="ACQ128" s="11"/>
      <c r="ACR128" s="11"/>
      <c r="ACS128" s="11"/>
      <c r="ACT128" s="11"/>
      <c r="ACU128" s="11"/>
      <c r="ACV128" s="11"/>
      <c r="ACW128" s="11"/>
      <c r="ACX128" s="11"/>
      <c r="ACY128" s="11"/>
      <c r="ACZ128" s="11"/>
      <c r="ADA128" s="11"/>
      <c r="ADB128" s="11"/>
      <c r="ADC128" s="11"/>
      <c r="ADD128" s="11"/>
      <c r="ADE128" s="11"/>
      <c r="ADF128" s="11"/>
      <c r="ADG128" s="11"/>
      <c r="ADH128" s="11"/>
      <c r="ADI128" s="11"/>
      <c r="ADJ128" s="11"/>
      <c r="ADK128" s="11"/>
      <c r="ADL128" s="11"/>
      <c r="ADM128" s="11"/>
      <c r="ADN128" s="11"/>
      <c r="ADO128" s="11"/>
      <c r="ADP128" s="11"/>
      <c r="ADQ128" s="11"/>
      <c r="ADR128" s="11"/>
      <c r="ADS128" s="11"/>
      <c r="ADT128" s="11"/>
      <c r="ADU128" s="11"/>
      <c r="ADV128" s="11"/>
      <c r="ADW128" s="11"/>
      <c r="ADX128" s="11"/>
      <c r="ADY128" s="11"/>
      <c r="ADZ128" s="11"/>
      <c r="AEA128" s="11"/>
      <c r="AEB128" s="11"/>
      <c r="AEC128" s="11"/>
      <c r="AED128" s="11"/>
      <c r="AEE128" s="11"/>
      <c r="AEF128" s="11"/>
      <c r="AEG128" s="11"/>
      <c r="AEH128" s="11"/>
      <c r="AEI128" s="11"/>
      <c r="AEJ128" s="11"/>
      <c r="AEK128" s="11"/>
      <c r="AEL128" s="11"/>
      <c r="AEM128" s="11"/>
      <c r="AEN128" s="11"/>
      <c r="AEO128" s="11"/>
      <c r="AEP128" s="11"/>
      <c r="AEQ128" s="11"/>
      <c r="AER128" s="11"/>
      <c r="AES128" s="11"/>
      <c r="AET128" s="11"/>
      <c r="AEU128" s="11"/>
      <c r="AEV128" s="11"/>
      <c r="AEW128" s="11"/>
      <c r="AEX128" s="11"/>
      <c r="AEY128" s="11"/>
      <c r="AEZ128" s="11"/>
      <c r="AFA128" s="11"/>
      <c r="AFB128" s="11"/>
      <c r="AFC128" s="11"/>
      <c r="AFD128" s="11"/>
      <c r="AFE128" s="11"/>
      <c r="AFF128" s="11"/>
      <c r="AFG128" s="11"/>
      <c r="AFH128" s="11"/>
      <c r="AFI128" s="11"/>
    </row>
    <row r="129" spans="2:84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c r="IW129" s="11"/>
      <c r="IX129" s="11"/>
      <c r="IY129" s="11"/>
      <c r="IZ129" s="11"/>
      <c r="JA129" s="11"/>
      <c r="JB129" s="11"/>
      <c r="JC129" s="11"/>
      <c r="JD129" s="11"/>
      <c r="JE129" s="11"/>
      <c r="JF129" s="11"/>
      <c r="JG129" s="11"/>
      <c r="JH129" s="11"/>
      <c r="JI129" s="11"/>
      <c r="JJ129" s="11"/>
      <c r="JK129" s="11"/>
      <c r="JL129" s="11"/>
      <c r="JM129" s="11"/>
      <c r="JN129" s="11"/>
      <c r="JO129" s="11"/>
      <c r="JP129" s="11"/>
      <c r="JQ129" s="11"/>
      <c r="JR129" s="11"/>
      <c r="JS129" s="11"/>
      <c r="JT129" s="11"/>
      <c r="JU129" s="11"/>
      <c r="JV129" s="11"/>
      <c r="JW129" s="11"/>
      <c r="JX129" s="11"/>
      <c r="JY129" s="11"/>
      <c r="JZ129" s="11"/>
      <c r="KA129" s="11"/>
      <c r="KB129" s="11"/>
      <c r="KC129" s="11"/>
      <c r="KD129" s="11"/>
      <c r="KE129" s="11"/>
      <c r="KF129" s="11"/>
      <c r="KG129" s="11"/>
      <c r="KH129" s="11"/>
      <c r="KI129" s="11"/>
      <c r="KJ129" s="11"/>
      <c r="KK129" s="11"/>
      <c r="KL129" s="11"/>
      <c r="KM129" s="11"/>
      <c r="KN129" s="11"/>
      <c r="KO129" s="11"/>
      <c r="KP129" s="11"/>
      <c r="KQ129" s="11"/>
      <c r="KR129" s="11"/>
      <c r="KS129" s="11"/>
      <c r="KT129" s="11"/>
      <c r="KU129" s="11"/>
      <c r="KV129" s="11"/>
      <c r="KW129" s="11"/>
      <c r="KX129" s="11"/>
      <c r="KY129" s="11"/>
      <c r="KZ129" s="11"/>
      <c r="LA129" s="11"/>
      <c r="LB129" s="11"/>
      <c r="LC129" s="11"/>
      <c r="LD129" s="11"/>
      <c r="LE129" s="11"/>
      <c r="LF129" s="11"/>
      <c r="LG129" s="11"/>
      <c r="LH129" s="11"/>
      <c r="LI129" s="11"/>
      <c r="LJ129" s="11"/>
      <c r="LK129" s="11"/>
      <c r="LL129" s="11"/>
      <c r="LM129" s="11"/>
      <c r="LN129" s="11"/>
      <c r="LO129" s="11"/>
      <c r="LP129" s="11"/>
      <c r="LQ129" s="11"/>
      <c r="LR129" s="11"/>
      <c r="LS129" s="11"/>
      <c r="LT129" s="11"/>
      <c r="LU129" s="11"/>
      <c r="LV129" s="11"/>
      <c r="LW129" s="11"/>
      <c r="LX129" s="11"/>
      <c r="LY129" s="11"/>
      <c r="LZ129" s="11"/>
      <c r="MA129" s="11"/>
      <c r="MB129" s="11"/>
      <c r="MC129" s="11"/>
      <c r="MD129" s="11"/>
      <c r="ME129" s="11"/>
      <c r="MF129" s="11"/>
      <c r="MG129" s="11"/>
      <c r="MH129" s="11"/>
      <c r="MI129" s="11"/>
      <c r="MJ129" s="11"/>
      <c r="MK129" s="11"/>
      <c r="ML129" s="11"/>
      <c r="MM129" s="11"/>
      <c r="MN129" s="11"/>
      <c r="MO129" s="11"/>
      <c r="MP129" s="11"/>
      <c r="MQ129" s="11"/>
      <c r="MR129" s="11"/>
      <c r="MS129" s="11"/>
      <c r="MT129" s="11"/>
      <c r="MU129" s="11"/>
      <c r="MV129" s="11"/>
      <c r="MW129" s="11"/>
      <c r="MX129" s="11"/>
      <c r="MY129" s="11"/>
      <c r="MZ129" s="11"/>
      <c r="NA129" s="11"/>
      <c r="NB129" s="11"/>
      <c r="NC129" s="11"/>
      <c r="ND129" s="11"/>
      <c r="NE129" s="11"/>
      <c r="NF129" s="11"/>
      <c r="NG129" s="11"/>
      <c r="NH129" s="11"/>
      <c r="NI129" s="11"/>
      <c r="NJ129" s="11"/>
      <c r="NK129" s="11"/>
      <c r="NL129" s="11"/>
      <c r="NM129" s="11"/>
      <c r="NN129" s="11"/>
      <c r="NO129" s="11"/>
      <c r="NP129" s="11"/>
      <c r="NQ129" s="11"/>
      <c r="NR129" s="11"/>
      <c r="NS129" s="11"/>
      <c r="NT129" s="11"/>
      <c r="NU129" s="11"/>
      <c r="NV129" s="11"/>
      <c r="NW129" s="11"/>
      <c r="NX129" s="11"/>
      <c r="NY129" s="11"/>
      <c r="NZ129" s="11"/>
      <c r="OA129" s="11"/>
      <c r="OB129" s="11"/>
      <c r="OC129" s="11"/>
      <c r="OD129" s="11"/>
      <c r="OE129" s="11"/>
      <c r="OF129" s="11"/>
      <c r="OG129" s="11"/>
      <c r="OH129" s="11"/>
      <c r="OI129" s="11"/>
      <c r="OJ129" s="11"/>
      <c r="OK129" s="11"/>
      <c r="OL129" s="11"/>
      <c r="OM129" s="11"/>
      <c r="ON129" s="11"/>
      <c r="OO129" s="11"/>
      <c r="OP129" s="11"/>
      <c r="OQ129" s="11"/>
      <c r="OR129" s="11"/>
      <c r="OS129" s="11"/>
      <c r="OT129" s="11"/>
      <c r="OU129" s="11"/>
      <c r="OV129" s="11"/>
      <c r="OW129" s="11"/>
      <c r="OX129" s="11"/>
      <c r="OY129" s="11"/>
      <c r="OZ129" s="11"/>
      <c r="PA129" s="11"/>
      <c r="PB129" s="11"/>
      <c r="PC129" s="11"/>
      <c r="PD129" s="11"/>
      <c r="PE129" s="11"/>
      <c r="PF129" s="11"/>
      <c r="PG129" s="11"/>
      <c r="PH129" s="11"/>
      <c r="PI129" s="11"/>
      <c r="PJ129" s="11"/>
      <c r="PK129" s="11"/>
      <c r="PL129" s="11"/>
      <c r="PM129" s="11"/>
      <c r="PN129" s="11"/>
      <c r="PO129" s="11"/>
      <c r="PP129" s="11"/>
      <c r="PQ129" s="11"/>
      <c r="PR129" s="11"/>
      <c r="PS129" s="11"/>
      <c r="PT129" s="11"/>
      <c r="PU129" s="11"/>
      <c r="PV129" s="11"/>
      <c r="PW129" s="11"/>
      <c r="PX129" s="11"/>
      <c r="PY129" s="11"/>
      <c r="PZ129" s="11"/>
      <c r="QA129" s="11"/>
      <c r="QB129" s="11"/>
      <c r="QC129" s="11"/>
      <c r="QD129" s="11"/>
      <c r="QE129" s="11"/>
      <c r="QF129" s="11"/>
      <c r="QG129" s="11"/>
      <c r="QH129" s="11"/>
      <c r="QI129" s="11"/>
      <c r="QJ129" s="11"/>
      <c r="QK129" s="11"/>
      <c r="QL129" s="11"/>
      <c r="QM129" s="11"/>
      <c r="QN129" s="11"/>
      <c r="QO129" s="11"/>
      <c r="QP129" s="11"/>
      <c r="QQ129" s="11"/>
      <c r="QR129" s="11"/>
      <c r="QS129" s="11"/>
      <c r="QT129" s="11"/>
      <c r="QU129" s="11"/>
      <c r="QV129" s="11"/>
      <c r="QW129" s="11"/>
      <c r="QX129" s="11"/>
      <c r="QY129" s="11"/>
      <c r="QZ129" s="11"/>
      <c r="RA129" s="11"/>
      <c r="RB129" s="11"/>
      <c r="RC129" s="11"/>
      <c r="RD129" s="11"/>
      <c r="RE129" s="11"/>
      <c r="RF129" s="11"/>
      <c r="RG129" s="11"/>
      <c r="RH129" s="11"/>
      <c r="RI129" s="11"/>
      <c r="RJ129" s="11"/>
      <c r="RK129" s="11"/>
      <c r="RL129" s="11"/>
      <c r="RM129" s="11"/>
      <c r="RN129" s="11"/>
      <c r="RO129" s="11"/>
      <c r="RP129" s="11"/>
      <c r="RQ129" s="11"/>
      <c r="RR129" s="11"/>
      <c r="RS129" s="11"/>
      <c r="RT129" s="11"/>
      <c r="RU129" s="11"/>
      <c r="RV129" s="11"/>
      <c r="RW129" s="11"/>
      <c r="RX129" s="11"/>
      <c r="RY129" s="11"/>
      <c r="RZ129" s="11"/>
      <c r="SA129" s="11"/>
      <c r="SB129" s="11"/>
      <c r="SC129" s="11"/>
      <c r="SD129" s="11"/>
      <c r="SE129" s="11"/>
      <c r="SF129" s="11"/>
      <c r="SG129" s="11"/>
      <c r="SH129" s="11"/>
      <c r="SI129" s="11"/>
      <c r="SJ129" s="11"/>
      <c r="SK129" s="11"/>
      <c r="SL129" s="11"/>
      <c r="SM129" s="11"/>
      <c r="SN129" s="11"/>
      <c r="SO129" s="11"/>
      <c r="SP129" s="11"/>
      <c r="SQ129" s="11"/>
      <c r="SR129" s="11"/>
      <c r="SS129" s="11"/>
      <c r="ST129" s="11"/>
      <c r="SU129" s="11"/>
      <c r="SV129" s="11"/>
      <c r="SW129" s="11"/>
      <c r="SX129" s="11"/>
      <c r="SY129" s="11"/>
      <c r="SZ129" s="11"/>
      <c r="TA129" s="11"/>
      <c r="TB129" s="11"/>
      <c r="TC129" s="11"/>
      <c r="TD129" s="11"/>
      <c r="TE129" s="11"/>
      <c r="TF129" s="11"/>
      <c r="TG129" s="11"/>
      <c r="TH129" s="11"/>
      <c r="TI129" s="11"/>
      <c r="TJ129" s="11"/>
      <c r="TK129" s="11"/>
      <c r="TL129" s="11"/>
      <c r="TM129" s="11"/>
      <c r="TN129" s="11"/>
      <c r="TO129" s="11"/>
      <c r="TP129" s="11"/>
      <c r="TQ129" s="11"/>
      <c r="TR129" s="11"/>
      <c r="TS129" s="11"/>
      <c r="TT129" s="11"/>
      <c r="TU129" s="11"/>
      <c r="TV129" s="11"/>
      <c r="TW129" s="11"/>
      <c r="TX129" s="11"/>
      <c r="TY129" s="11"/>
      <c r="TZ129" s="11"/>
      <c r="UA129" s="11"/>
      <c r="UB129" s="11"/>
      <c r="UC129" s="11"/>
      <c r="UD129" s="11"/>
      <c r="UE129" s="11"/>
      <c r="UF129" s="11"/>
      <c r="UG129" s="11"/>
      <c r="UH129" s="11"/>
      <c r="UI129" s="11"/>
      <c r="UJ129" s="11"/>
      <c r="UK129" s="11"/>
      <c r="UL129" s="11"/>
      <c r="UM129" s="11"/>
      <c r="UN129" s="11"/>
      <c r="UO129" s="11"/>
      <c r="UP129" s="11"/>
      <c r="UQ129" s="11"/>
      <c r="UR129" s="11"/>
      <c r="US129" s="11"/>
      <c r="UT129" s="11"/>
      <c r="UU129" s="11"/>
      <c r="UV129" s="11"/>
      <c r="UW129" s="11"/>
      <c r="UX129" s="11"/>
      <c r="UY129" s="11"/>
      <c r="UZ129" s="11"/>
      <c r="VA129" s="11"/>
      <c r="VB129" s="11"/>
      <c r="VC129" s="11"/>
      <c r="VD129" s="11"/>
      <c r="VE129" s="11"/>
      <c r="VF129" s="11"/>
      <c r="VG129" s="11"/>
      <c r="VH129" s="11"/>
      <c r="VI129" s="11"/>
      <c r="VJ129" s="11"/>
      <c r="VK129" s="11"/>
      <c r="VL129" s="11"/>
      <c r="VM129" s="11"/>
      <c r="VN129" s="11"/>
      <c r="VO129" s="11"/>
      <c r="VP129" s="11"/>
      <c r="VQ129" s="11"/>
      <c r="VR129" s="11"/>
      <c r="VS129" s="11"/>
      <c r="VT129" s="11"/>
      <c r="VU129" s="11"/>
      <c r="VV129" s="11"/>
      <c r="VW129" s="11"/>
      <c r="VX129" s="11"/>
      <c r="VY129" s="11"/>
      <c r="VZ129" s="11"/>
      <c r="WA129" s="11"/>
      <c r="WB129" s="11"/>
      <c r="WC129" s="11"/>
      <c r="WD129" s="11"/>
      <c r="WE129" s="11"/>
      <c r="WF129" s="11"/>
      <c r="WG129" s="11"/>
      <c r="WH129" s="11"/>
      <c r="WI129" s="11"/>
      <c r="WJ129" s="11"/>
      <c r="WK129" s="11"/>
      <c r="WL129" s="11"/>
      <c r="WM129" s="11"/>
      <c r="WN129" s="11"/>
      <c r="WO129" s="11"/>
      <c r="WP129" s="11"/>
      <c r="WQ129" s="11"/>
      <c r="WR129" s="11"/>
      <c r="WS129" s="11"/>
      <c r="WT129" s="11"/>
      <c r="WU129" s="11"/>
      <c r="WV129" s="11"/>
      <c r="WW129" s="11"/>
      <c r="WX129" s="11"/>
      <c r="WY129" s="11"/>
      <c r="WZ129" s="11"/>
      <c r="XA129" s="11"/>
      <c r="XB129" s="11"/>
      <c r="XC129" s="11"/>
      <c r="XD129" s="11"/>
      <c r="XE129" s="11"/>
      <c r="XF129" s="11"/>
      <c r="XG129" s="11"/>
      <c r="XH129" s="11"/>
      <c r="XI129" s="11"/>
      <c r="XJ129" s="11"/>
      <c r="XK129" s="11"/>
      <c r="XL129" s="11"/>
      <c r="XM129" s="11"/>
      <c r="XN129" s="11"/>
      <c r="XO129" s="11"/>
      <c r="XP129" s="11"/>
      <c r="XQ129" s="11"/>
      <c r="XR129" s="11"/>
      <c r="XS129" s="11"/>
      <c r="XT129" s="11"/>
      <c r="XU129" s="11"/>
      <c r="XV129" s="11"/>
      <c r="XW129" s="11"/>
      <c r="XX129" s="11"/>
      <c r="XY129" s="11"/>
      <c r="XZ129" s="11"/>
      <c r="YA129" s="11"/>
      <c r="YB129" s="11"/>
      <c r="YC129" s="11"/>
      <c r="YD129" s="11"/>
      <c r="YE129" s="11"/>
      <c r="YF129" s="11"/>
      <c r="YG129" s="11"/>
      <c r="YH129" s="11"/>
      <c r="YI129" s="11"/>
      <c r="YJ129" s="11"/>
      <c r="YK129" s="11"/>
      <c r="YL129" s="11"/>
      <c r="YM129" s="11"/>
      <c r="YN129" s="11"/>
      <c r="YO129" s="11"/>
      <c r="YP129" s="11"/>
      <c r="YQ129" s="11"/>
      <c r="YR129" s="11"/>
      <c r="YS129" s="11"/>
      <c r="YT129" s="11"/>
      <c r="YU129" s="11"/>
      <c r="YV129" s="11"/>
      <c r="YW129" s="11"/>
      <c r="YX129" s="11"/>
      <c r="YY129" s="11"/>
      <c r="YZ129" s="11"/>
      <c r="ZA129" s="11"/>
      <c r="ZB129" s="11"/>
      <c r="ZC129" s="11"/>
      <c r="ZD129" s="11"/>
      <c r="ZE129" s="11"/>
      <c r="ZF129" s="11"/>
      <c r="ZG129" s="11"/>
      <c r="ZH129" s="11"/>
      <c r="ZI129" s="11"/>
      <c r="ZJ129" s="11"/>
      <c r="ZK129" s="11"/>
      <c r="ZL129" s="11"/>
      <c r="ZM129" s="11"/>
      <c r="ZN129" s="11"/>
      <c r="ZO129" s="11"/>
      <c r="ZP129" s="11"/>
      <c r="ZQ129" s="11"/>
      <c r="ZR129" s="11"/>
      <c r="ZS129" s="11"/>
      <c r="ZT129" s="11"/>
      <c r="ZU129" s="11"/>
      <c r="ZV129" s="11"/>
      <c r="ZW129" s="11"/>
      <c r="ZX129" s="11"/>
      <c r="ZY129" s="11"/>
      <c r="ZZ129" s="11"/>
      <c r="AAA129" s="11"/>
      <c r="AAB129" s="11"/>
      <c r="AAC129" s="11"/>
      <c r="AAD129" s="11"/>
      <c r="AAE129" s="11"/>
      <c r="AAF129" s="11"/>
      <c r="AAG129" s="11"/>
      <c r="AAH129" s="11"/>
      <c r="AAI129" s="11"/>
      <c r="AAJ129" s="11"/>
      <c r="AAK129" s="11"/>
      <c r="AAL129" s="11"/>
      <c r="AAM129" s="11"/>
      <c r="AAN129" s="11"/>
      <c r="AAO129" s="11"/>
      <c r="AAP129" s="11"/>
      <c r="AAQ129" s="11"/>
      <c r="AAR129" s="11"/>
      <c r="AAS129" s="11"/>
      <c r="AAT129" s="11"/>
      <c r="AAU129" s="11"/>
      <c r="AAV129" s="11"/>
      <c r="AAW129" s="11"/>
      <c r="AAX129" s="11"/>
      <c r="AAY129" s="11"/>
      <c r="AAZ129" s="11"/>
      <c r="ABA129" s="11"/>
      <c r="ABB129" s="11"/>
      <c r="ABC129" s="11"/>
      <c r="ABD129" s="11"/>
      <c r="ABE129" s="11"/>
      <c r="ABF129" s="11"/>
      <c r="ABG129" s="11"/>
      <c r="ABH129" s="11"/>
      <c r="ABI129" s="11"/>
      <c r="ABJ129" s="11"/>
      <c r="ABK129" s="11"/>
      <c r="ABL129" s="11"/>
      <c r="ABM129" s="11"/>
      <c r="ABN129" s="11"/>
      <c r="ABO129" s="11"/>
      <c r="ABP129" s="11"/>
      <c r="ABQ129" s="11"/>
      <c r="ABR129" s="11"/>
      <c r="ABS129" s="11"/>
      <c r="ABT129" s="11"/>
      <c r="ABU129" s="11"/>
      <c r="ABV129" s="11"/>
      <c r="ABW129" s="11"/>
      <c r="ABX129" s="11"/>
      <c r="ABY129" s="11"/>
      <c r="ABZ129" s="11"/>
      <c r="ACA129" s="11"/>
      <c r="ACB129" s="11"/>
      <c r="ACC129" s="11"/>
      <c r="ACD129" s="11"/>
      <c r="ACE129" s="11"/>
      <c r="ACF129" s="11"/>
      <c r="ACG129" s="11"/>
      <c r="ACH129" s="11"/>
      <c r="ACI129" s="11"/>
      <c r="ACJ129" s="11"/>
      <c r="ACK129" s="11"/>
      <c r="ACL129" s="11"/>
      <c r="ACM129" s="11"/>
      <c r="ACN129" s="11"/>
      <c r="ACO129" s="11"/>
      <c r="ACP129" s="11"/>
      <c r="ACQ129" s="11"/>
      <c r="ACR129" s="11"/>
      <c r="ACS129" s="11"/>
      <c r="ACT129" s="11"/>
      <c r="ACU129" s="11"/>
      <c r="ACV129" s="11"/>
      <c r="ACW129" s="11"/>
      <c r="ACX129" s="11"/>
      <c r="ACY129" s="11"/>
      <c r="ACZ129" s="11"/>
      <c r="ADA129" s="11"/>
      <c r="ADB129" s="11"/>
      <c r="ADC129" s="11"/>
      <c r="ADD129" s="11"/>
      <c r="ADE129" s="11"/>
      <c r="ADF129" s="11"/>
      <c r="ADG129" s="11"/>
      <c r="ADH129" s="11"/>
      <c r="ADI129" s="11"/>
      <c r="ADJ129" s="11"/>
      <c r="ADK129" s="11"/>
      <c r="ADL129" s="11"/>
      <c r="ADM129" s="11"/>
      <c r="ADN129" s="11"/>
      <c r="ADO129" s="11"/>
      <c r="ADP129" s="11"/>
      <c r="ADQ129" s="11"/>
      <c r="ADR129" s="11"/>
      <c r="ADS129" s="11"/>
      <c r="ADT129" s="11"/>
      <c r="ADU129" s="11"/>
      <c r="ADV129" s="11"/>
      <c r="ADW129" s="11"/>
      <c r="ADX129" s="11"/>
      <c r="ADY129" s="11"/>
      <c r="ADZ129" s="11"/>
      <c r="AEA129" s="11"/>
      <c r="AEB129" s="11"/>
      <c r="AEC129" s="11"/>
      <c r="AED129" s="11"/>
      <c r="AEE129" s="11"/>
      <c r="AEF129" s="11"/>
      <c r="AEG129" s="11"/>
      <c r="AEH129" s="11"/>
      <c r="AEI129" s="11"/>
      <c r="AEJ129" s="11"/>
      <c r="AEK129" s="11"/>
      <c r="AEL129" s="11"/>
      <c r="AEM129" s="11"/>
      <c r="AEN129" s="11"/>
      <c r="AEO129" s="11"/>
      <c r="AEP129" s="11"/>
      <c r="AEQ129" s="11"/>
      <c r="AER129" s="11"/>
      <c r="AES129" s="11"/>
      <c r="AET129" s="11"/>
      <c r="AEU129" s="11"/>
      <c r="AEV129" s="11"/>
      <c r="AEW129" s="11"/>
      <c r="AEX129" s="11"/>
      <c r="AEY129" s="11"/>
      <c r="AEZ129" s="11"/>
      <c r="AFA129" s="11"/>
      <c r="AFB129" s="11"/>
      <c r="AFC129" s="11"/>
      <c r="AFD129" s="11"/>
      <c r="AFE129" s="11"/>
      <c r="AFF129" s="11"/>
      <c r="AFG129" s="11"/>
      <c r="AFH129" s="11"/>
      <c r="AFI129" s="11"/>
    </row>
    <row r="130" spans="2:84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c r="IW130" s="11"/>
      <c r="IX130" s="11"/>
      <c r="IY130" s="11"/>
      <c r="IZ130" s="11"/>
      <c r="JA130" s="11"/>
      <c r="JB130" s="11"/>
      <c r="JC130" s="11"/>
      <c r="JD130" s="11"/>
      <c r="JE130" s="11"/>
      <c r="JF130" s="11"/>
      <c r="JG130" s="11"/>
      <c r="JH130" s="11"/>
      <c r="JI130" s="11"/>
      <c r="JJ130" s="11"/>
      <c r="JK130" s="11"/>
      <c r="JL130" s="11"/>
      <c r="JM130" s="11"/>
      <c r="JN130" s="11"/>
      <c r="JO130" s="11"/>
      <c r="JP130" s="11"/>
      <c r="JQ130" s="11"/>
      <c r="JR130" s="11"/>
      <c r="JS130" s="11"/>
      <c r="JT130" s="11"/>
      <c r="JU130" s="11"/>
      <c r="JV130" s="11"/>
      <c r="JW130" s="11"/>
      <c r="JX130" s="11"/>
      <c r="JY130" s="11"/>
      <c r="JZ130" s="11"/>
      <c r="KA130" s="11"/>
      <c r="KB130" s="11"/>
      <c r="KC130" s="11"/>
      <c r="KD130" s="11"/>
      <c r="KE130" s="11"/>
      <c r="KF130" s="11"/>
      <c r="KG130" s="11"/>
      <c r="KH130" s="11"/>
      <c r="KI130" s="11"/>
      <c r="KJ130" s="11"/>
      <c r="KK130" s="11"/>
      <c r="KL130" s="11"/>
      <c r="KM130" s="11"/>
      <c r="KN130" s="11"/>
      <c r="KO130" s="11"/>
      <c r="KP130" s="11"/>
      <c r="KQ130" s="11"/>
      <c r="KR130" s="11"/>
      <c r="KS130" s="11"/>
      <c r="KT130" s="11"/>
      <c r="KU130" s="11"/>
      <c r="KV130" s="11"/>
      <c r="KW130" s="11"/>
      <c r="KX130" s="11"/>
      <c r="KY130" s="11"/>
      <c r="KZ130" s="11"/>
      <c r="LA130" s="11"/>
      <c r="LB130" s="11"/>
      <c r="LC130" s="11"/>
      <c r="LD130" s="11"/>
      <c r="LE130" s="11"/>
      <c r="LF130" s="11"/>
      <c r="LG130" s="11"/>
      <c r="LH130" s="11"/>
      <c r="LI130" s="11"/>
      <c r="LJ130" s="11"/>
      <c r="LK130" s="11"/>
      <c r="LL130" s="11"/>
      <c r="LM130" s="11"/>
      <c r="LN130" s="11"/>
      <c r="LO130" s="11"/>
      <c r="LP130" s="11"/>
      <c r="LQ130" s="11"/>
      <c r="LR130" s="11"/>
      <c r="LS130" s="11"/>
      <c r="LT130" s="11"/>
      <c r="LU130" s="11"/>
      <c r="LV130" s="11"/>
      <c r="LW130" s="11"/>
      <c r="LX130" s="11"/>
      <c r="LY130" s="11"/>
      <c r="LZ130" s="11"/>
      <c r="MA130" s="11"/>
      <c r="MB130" s="11"/>
      <c r="MC130" s="11"/>
      <c r="MD130" s="11"/>
      <c r="ME130" s="11"/>
      <c r="MF130" s="11"/>
      <c r="MG130" s="11"/>
      <c r="MH130" s="11"/>
      <c r="MI130" s="11"/>
      <c r="MJ130" s="11"/>
      <c r="MK130" s="11"/>
      <c r="ML130" s="11"/>
      <c r="MM130" s="11"/>
      <c r="MN130" s="11"/>
      <c r="MO130" s="11"/>
      <c r="MP130" s="11"/>
      <c r="MQ130" s="11"/>
      <c r="MR130" s="11"/>
      <c r="MS130" s="11"/>
      <c r="MT130" s="11"/>
      <c r="MU130" s="11"/>
      <c r="MV130" s="11"/>
      <c r="MW130" s="11"/>
      <c r="MX130" s="11"/>
      <c r="MY130" s="11"/>
      <c r="MZ130" s="11"/>
      <c r="NA130" s="11"/>
      <c r="NB130" s="11"/>
      <c r="NC130" s="11"/>
      <c r="ND130" s="11"/>
      <c r="NE130" s="11"/>
      <c r="NF130" s="11"/>
      <c r="NG130" s="11"/>
      <c r="NH130" s="11"/>
      <c r="NI130" s="11"/>
      <c r="NJ130" s="11"/>
      <c r="NK130" s="11"/>
      <c r="NL130" s="11"/>
      <c r="NM130" s="11"/>
      <c r="NN130" s="11"/>
      <c r="NO130" s="11"/>
      <c r="NP130" s="11"/>
      <c r="NQ130" s="11"/>
      <c r="NR130" s="11"/>
      <c r="NS130" s="11"/>
      <c r="NT130" s="11"/>
      <c r="NU130" s="11"/>
      <c r="NV130" s="11"/>
      <c r="NW130" s="11"/>
      <c r="NX130" s="11"/>
      <c r="NY130" s="11"/>
      <c r="NZ130" s="11"/>
      <c r="OA130" s="11"/>
      <c r="OB130" s="11"/>
      <c r="OC130" s="11"/>
      <c r="OD130" s="11"/>
      <c r="OE130" s="11"/>
      <c r="OF130" s="11"/>
      <c r="OG130" s="11"/>
      <c r="OH130" s="11"/>
      <c r="OI130" s="11"/>
      <c r="OJ130" s="11"/>
      <c r="OK130" s="11"/>
      <c r="OL130" s="11"/>
      <c r="OM130" s="11"/>
      <c r="ON130" s="11"/>
      <c r="OO130" s="11"/>
      <c r="OP130" s="11"/>
      <c r="OQ130" s="11"/>
      <c r="OR130" s="11"/>
      <c r="OS130" s="11"/>
      <c r="OT130" s="11"/>
      <c r="OU130" s="11"/>
      <c r="OV130" s="11"/>
      <c r="OW130" s="11"/>
      <c r="OX130" s="11"/>
      <c r="OY130" s="11"/>
      <c r="OZ130" s="11"/>
      <c r="PA130" s="11"/>
      <c r="PB130" s="11"/>
      <c r="PC130" s="11"/>
      <c r="PD130" s="11"/>
      <c r="PE130" s="11"/>
      <c r="PF130" s="11"/>
      <c r="PG130" s="11"/>
      <c r="PH130" s="11"/>
      <c r="PI130" s="11"/>
      <c r="PJ130" s="11"/>
      <c r="PK130" s="11"/>
      <c r="PL130" s="11"/>
      <c r="PM130" s="11"/>
      <c r="PN130" s="11"/>
      <c r="PO130" s="11"/>
      <c r="PP130" s="11"/>
      <c r="PQ130" s="11"/>
      <c r="PR130" s="11"/>
      <c r="PS130" s="11"/>
      <c r="PT130" s="11"/>
      <c r="PU130" s="11"/>
      <c r="PV130" s="11"/>
      <c r="PW130" s="11"/>
      <c r="PX130" s="11"/>
      <c r="PY130" s="11"/>
      <c r="PZ130" s="11"/>
      <c r="QA130" s="11"/>
      <c r="QB130" s="11"/>
      <c r="QC130" s="11"/>
      <c r="QD130" s="11"/>
      <c r="QE130" s="11"/>
      <c r="QF130" s="11"/>
      <c r="QG130" s="11"/>
      <c r="QH130" s="11"/>
      <c r="QI130" s="11"/>
      <c r="QJ130" s="11"/>
      <c r="QK130" s="11"/>
      <c r="QL130" s="11"/>
      <c r="QM130" s="11"/>
      <c r="QN130" s="11"/>
      <c r="QO130" s="11"/>
      <c r="QP130" s="11"/>
      <c r="QQ130" s="11"/>
      <c r="QR130" s="11"/>
      <c r="QS130" s="11"/>
      <c r="QT130" s="11"/>
      <c r="QU130" s="11"/>
      <c r="QV130" s="11"/>
      <c r="QW130" s="11"/>
      <c r="QX130" s="11"/>
      <c r="QY130" s="11"/>
      <c r="QZ130" s="11"/>
      <c r="RA130" s="11"/>
      <c r="RB130" s="11"/>
      <c r="RC130" s="11"/>
      <c r="RD130" s="11"/>
      <c r="RE130" s="11"/>
      <c r="RF130" s="11"/>
      <c r="RG130" s="11"/>
      <c r="RH130" s="11"/>
      <c r="RI130" s="11"/>
      <c r="RJ130" s="11"/>
      <c r="RK130" s="11"/>
      <c r="RL130" s="11"/>
      <c r="RM130" s="11"/>
      <c r="RN130" s="11"/>
      <c r="RO130" s="11"/>
      <c r="RP130" s="11"/>
      <c r="RQ130" s="11"/>
      <c r="RR130" s="11"/>
      <c r="RS130" s="11"/>
      <c r="RT130" s="11"/>
      <c r="RU130" s="11"/>
      <c r="RV130" s="11"/>
      <c r="RW130" s="11"/>
      <c r="RX130" s="11"/>
      <c r="RY130" s="11"/>
      <c r="RZ130" s="11"/>
      <c r="SA130" s="11"/>
      <c r="SB130" s="11"/>
      <c r="SC130" s="11"/>
      <c r="SD130" s="11"/>
      <c r="SE130" s="11"/>
      <c r="SF130" s="11"/>
      <c r="SG130" s="11"/>
      <c r="SH130" s="11"/>
      <c r="SI130" s="11"/>
      <c r="SJ130" s="11"/>
      <c r="SK130" s="11"/>
      <c r="SL130" s="11"/>
      <c r="SM130" s="11"/>
      <c r="SN130" s="11"/>
      <c r="SO130" s="11"/>
      <c r="SP130" s="11"/>
      <c r="SQ130" s="11"/>
      <c r="SR130" s="11"/>
      <c r="SS130" s="11"/>
      <c r="ST130" s="11"/>
      <c r="SU130" s="11"/>
      <c r="SV130" s="11"/>
      <c r="SW130" s="11"/>
      <c r="SX130" s="11"/>
      <c r="SY130" s="11"/>
      <c r="SZ130" s="11"/>
      <c r="TA130" s="11"/>
      <c r="TB130" s="11"/>
      <c r="TC130" s="11"/>
      <c r="TD130" s="11"/>
      <c r="TE130" s="11"/>
      <c r="TF130" s="11"/>
      <c r="TG130" s="11"/>
      <c r="TH130" s="11"/>
      <c r="TI130" s="11"/>
      <c r="TJ130" s="11"/>
      <c r="TK130" s="11"/>
      <c r="TL130" s="11"/>
      <c r="TM130" s="11"/>
      <c r="TN130" s="11"/>
      <c r="TO130" s="11"/>
      <c r="TP130" s="11"/>
      <c r="TQ130" s="11"/>
      <c r="TR130" s="11"/>
      <c r="TS130" s="11"/>
      <c r="TT130" s="11"/>
      <c r="TU130" s="11"/>
      <c r="TV130" s="11"/>
      <c r="TW130" s="11"/>
      <c r="TX130" s="11"/>
      <c r="TY130" s="11"/>
      <c r="TZ130" s="11"/>
      <c r="UA130" s="11"/>
      <c r="UB130" s="11"/>
      <c r="UC130" s="11"/>
      <c r="UD130" s="11"/>
      <c r="UE130" s="11"/>
      <c r="UF130" s="11"/>
      <c r="UG130" s="11"/>
      <c r="UH130" s="11"/>
      <c r="UI130" s="11"/>
      <c r="UJ130" s="11"/>
      <c r="UK130" s="11"/>
      <c r="UL130" s="11"/>
      <c r="UM130" s="11"/>
      <c r="UN130" s="11"/>
      <c r="UO130" s="11"/>
      <c r="UP130" s="11"/>
      <c r="UQ130" s="11"/>
      <c r="UR130" s="11"/>
      <c r="US130" s="11"/>
      <c r="UT130" s="11"/>
      <c r="UU130" s="11"/>
      <c r="UV130" s="11"/>
      <c r="UW130" s="11"/>
      <c r="UX130" s="11"/>
      <c r="UY130" s="11"/>
      <c r="UZ130" s="11"/>
      <c r="VA130" s="11"/>
      <c r="VB130" s="11"/>
      <c r="VC130" s="11"/>
      <c r="VD130" s="11"/>
      <c r="VE130" s="11"/>
      <c r="VF130" s="11"/>
      <c r="VG130" s="11"/>
      <c r="VH130" s="11"/>
      <c r="VI130" s="11"/>
      <c r="VJ130" s="11"/>
      <c r="VK130" s="11"/>
      <c r="VL130" s="11"/>
      <c r="VM130" s="11"/>
      <c r="VN130" s="11"/>
      <c r="VO130" s="11"/>
      <c r="VP130" s="11"/>
      <c r="VQ130" s="11"/>
      <c r="VR130" s="11"/>
      <c r="VS130" s="11"/>
      <c r="VT130" s="11"/>
      <c r="VU130" s="11"/>
      <c r="VV130" s="11"/>
      <c r="VW130" s="11"/>
      <c r="VX130" s="11"/>
      <c r="VY130" s="11"/>
      <c r="VZ130" s="11"/>
      <c r="WA130" s="11"/>
      <c r="WB130" s="11"/>
      <c r="WC130" s="11"/>
      <c r="WD130" s="11"/>
      <c r="WE130" s="11"/>
      <c r="WF130" s="11"/>
      <c r="WG130" s="11"/>
      <c r="WH130" s="11"/>
      <c r="WI130" s="11"/>
      <c r="WJ130" s="11"/>
      <c r="WK130" s="11"/>
      <c r="WL130" s="11"/>
      <c r="WM130" s="11"/>
      <c r="WN130" s="11"/>
      <c r="WO130" s="11"/>
      <c r="WP130" s="11"/>
      <c r="WQ130" s="11"/>
      <c r="WR130" s="11"/>
      <c r="WS130" s="11"/>
      <c r="WT130" s="11"/>
      <c r="WU130" s="11"/>
      <c r="WV130" s="11"/>
      <c r="WW130" s="11"/>
      <c r="WX130" s="11"/>
      <c r="WY130" s="11"/>
      <c r="WZ130" s="11"/>
      <c r="XA130" s="11"/>
      <c r="XB130" s="11"/>
      <c r="XC130" s="11"/>
      <c r="XD130" s="11"/>
      <c r="XE130" s="11"/>
      <c r="XF130" s="11"/>
      <c r="XG130" s="11"/>
      <c r="XH130" s="11"/>
      <c r="XI130" s="11"/>
      <c r="XJ130" s="11"/>
      <c r="XK130" s="11"/>
      <c r="XL130" s="11"/>
      <c r="XM130" s="11"/>
      <c r="XN130" s="11"/>
      <c r="XO130" s="11"/>
      <c r="XP130" s="11"/>
      <c r="XQ130" s="11"/>
      <c r="XR130" s="11"/>
      <c r="XS130" s="11"/>
      <c r="XT130" s="11"/>
      <c r="XU130" s="11"/>
      <c r="XV130" s="11"/>
      <c r="XW130" s="11"/>
      <c r="XX130" s="11"/>
      <c r="XY130" s="11"/>
      <c r="XZ130" s="11"/>
      <c r="YA130" s="11"/>
      <c r="YB130" s="11"/>
      <c r="YC130" s="11"/>
      <c r="YD130" s="11"/>
      <c r="YE130" s="11"/>
      <c r="YF130" s="11"/>
      <c r="YG130" s="11"/>
      <c r="YH130" s="11"/>
      <c r="YI130" s="11"/>
      <c r="YJ130" s="11"/>
      <c r="YK130" s="11"/>
      <c r="YL130" s="11"/>
      <c r="YM130" s="11"/>
      <c r="YN130" s="11"/>
      <c r="YO130" s="11"/>
      <c r="YP130" s="11"/>
      <c r="YQ130" s="11"/>
      <c r="YR130" s="11"/>
      <c r="YS130" s="11"/>
      <c r="YT130" s="11"/>
      <c r="YU130" s="11"/>
      <c r="YV130" s="11"/>
      <c r="YW130" s="11"/>
      <c r="YX130" s="11"/>
      <c r="YY130" s="11"/>
      <c r="YZ130" s="11"/>
      <c r="ZA130" s="11"/>
      <c r="ZB130" s="11"/>
      <c r="ZC130" s="11"/>
      <c r="ZD130" s="11"/>
      <c r="ZE130" s="11"/>
      <c r="ZF130" s="11"/>
      <c r="ZG130" s="11"/>
      <c r="ZH130" s="11"/>
      <c r="ZI130" s="11"/>
      <c r="ZJ130" s="11"/>
      <c r="ZK130" s="11"/>
      <c r="ZL130" s="11"/>
      <c r="ZM130" s="11"/>
      <c r="ZN130" s="11"/>
      <c r="ZO130" s="11"/>
      <c r="ZP130" s="11"/>
      <c r="ZQ130" s="11"/>
      <c r="ZR130" s="11"/>
      <c r="ZS130" s="11"/>
      <c r="ZT130" s="11"/>
      <c r="ZU130" s="11"/>
      <c r="ZV130" s="11"/>
      <c r="ZW130" s="11"/>
      <c r="ZX130" s="11"/>
      <c r="ZY130" s="11"/>
      <c r="ZZ130" s="11"/>
      <c r="AAA130" s="11"/>
      <c r="AAB130" s="11"/>
      <c r="AAC130" s="11"/>
      <c r="AAD130" s="11"/>
      <c r="AAE130" s="11"/>
      <c r="AAF130" s="11"/>
      <c r="AAG130" s="11"/>
      <c r="AAH130" s="11"/>
      <c r="AAI130" s="11"/>
      <c r="AAJ130" s="11"/>
      <c r="AAK130" s="11"/>
      <c r="AAL130" s="11"/>
      <c r="AAM130" s="11"/>
      <c r="AAN130" s="11"/>
      <c r="AAO130" s="11"/>
      <c r="AAP130" s="11"/>
      <c r="AAQ130" s="11"/>
      <c r="AAR130" s="11"/>
      <c r="AAS130" s="11"/>
      <c r="AAT130" s="11"/>
      <c r="AAU130" s="11"/>
      <c r="AAV130" s="11"/>
      <c r="AAW130" s="11"/>
      <c r="AAX130" s="11"/>
      <c r="AAY130" s="11"/>
      <c r="AAZ130" s="11"/>
      <c r="ABA130" s="11"/>
      <c r="ABB130" s="11"/>
      <c r="ABC130" s="11"/>
      <c r="ABD130" s="11"/>
      <c r="ABE130" s="11"/>
      <c r="ABF130" s="11"/>
      <c r="ABG130" s="11"/>
      <c r="ABH130" s="11"/>
      <c r="ABI130" s="11"/>
      <c r="ABJ130" s="11"/>
      <c r="ABK130" s="11"/>
      <c r="ABL130" s="11"/>
      <c r="ABM130" s="11"/>
      <c r="ABN130" s="11"/>
      <c r="ABO130" s="11"/>
      <c r="ABP130" s="11"/>
      <c r="ABQ130" s="11"/>
      <c r="ABR130" s="11"/>
      <c r="ABS130" s="11"/>
      <c r="ABT130" s="11"/>
      <c r="ABU130" s="11"/>
      <c r="ABV130" s="11"/>
      <c r="ABW130" s="11"/>
      <c r="ABX130" s="11"/>
      <c r="ABY130" s="11"/>
      <c r="ABZ130" s="11"/>
      <c r="ACA130" s="11"/>
      <c r="ACB130" s="11"/>
      <c r="ACC130" s="11"/>
      <c r="ACD130" s="11"/>
      <c r="ACE130" s="11"/>
      <c r="ACF130" s="11"/>
      <c r="ACG130" s="11"/>
      <c r="ACH130" s="11"/>
      <c r="ACI130" s="11"/>
      <c r="ACJ130" s="11"/>
      <c r="ACK130" s="11"/>
      <c r="ACL130" s="11"/>
      <c r="ACM130" s="11"/>
      <c r="ACN130" s="11"/>
      <c r="ACO130" s="11"/>
      <c r="ACP130" s="11"/>
      <c r="ACQ130" s="11"/>
      <c r="ACR130" s="11"/>
      <c r="ACS130" s="11"/>
      <c r="ACT130" s="11"/>
      <c r="ACU130" s="11"/>
      <c r="ACV130" s="11"/>
      <c r="ACW130" s="11"/>
      <c r="ACX130" s="11"/>
      <c r="ACY130" s="11"/>
      <c r="ACZ130" s="11"/>
      <c r="ADA130" s="11"/>
      <c r="ADB130" s="11"/>
      <c r="ADC130" s="11"/>
      <c r="ADD130" s="11"/>
      <c r="ADE130" s="11"/>
      <c r="ADF130" s="11"/>
      <c r="ADG130" s="11"/>
      <c r="ADH130" s="11"/>
      <c r="ADI130" s="11"/>
      <c r="ADJ130" s="11"/>
      <c r="ADK130" s="11"/>
      <c r="ADL130" s="11"/>
      <c r="ADM130" s="11"/>
      <c r="ADN130" s="11"/>
      <c r="ADO130" s="11"/>
      <c r="ADP130" s="11"/>
      <c r="ADQ130" s="11"/>
      <c r="ADR130" s="11"/>
      <c r="ADS130" s="11"/>
      <c r="ADT130" s="11"/>
      <c r="ADU130" s="11"/>
      <c r="ADV130" s="11"/>
      <c r="ADW130" s="11"/>
      <c r="ADX130" s="11"/>
      <c r="ADY130" s="11"/>
      <c r="ADZ130" s="11"/>
      <c r="AEA130" s="11"/>
      <c r="AEB130" s="11"/>
      <c r="AEC130" s="11"/>
      <c r="AED130" s="11"/>
      <c r="AEE130" s="11"/>
      <c r="AEF130" s="11"/>
      <c r="AEG130" s="11"/>
      <c r="AEH130" s="11"/>
      <c r="AEI130" s="11"/>
      <c r="AEJ130" s="11"/>
      <c r="AEK130" s="11"/>
      <c r="AEL130" s="11"/>
      <c r="AEM130" s="11"/>
      <c r="AEN130" s="11"/>
      <c r="AEO130" s="11"/>
      <c r="AEP130" s="11"/>
      <c r="AEQ130" s="11"/>
      <c r="AER130" s="11"/>
      <c r="AES130" s="11"/>
      <c r="AET130" s="11"/>
      <c r="AEU130" s="11"/>
      <c r="AEV130" s="11"/>
      <c r="AEW130" s="11"/>
      <c r="AEX130" s="11"/>
      <c r="AEY130" s="11"/>
      <c r="AEZ130" s="11"/>
      <c r="AFA130" s="11"/>
      <c r="AFB130" s="11"/>
      <c r="AFC130" s="11"/>
      <c r="AFD130" s="11"/>
      <c r="AFE130" s="11"/>
      <c r="AFF130" s="11"/>
      <c r="AFG130" s="11"/>
      <c r="AFH130" s="11"/>
      <c r="AFI130" s="11"/>
    </row>
    <row r="131" spans="2:84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c r="IW131" s="11"/>
      <c r="IX131" s="11"/>
      <c r="IY131" s="11"/>
      <c r="IZ131" s="11"/>
      <c r="JA131" s="11"/>
      <c r="JB131" s="11"/>
      <c r="JC131" s="11"/>
      <c r="JD131" s="11"/>
      <c r="JE131" s="11"/>
      <c r="JF131" s="11"/>
      <c r="JG131" s="11"/>
      <c r="JH131" s="11"/>
      <c r="JI131" s="11"/>
      <c r="JJ131" s="11"/>
      <c r="JK131" s="11"/>
      <c r="JL131" s="11"/>
      <c r="JM131" s="11"/>
      <c r="JN131" s="11"/>
      <c r="JO131" s="11"/>
      <c r="JP131" s="11"/>
      <c r="JQ131" s="11"/>
      <c r="JR131" s="11"/>
      <c r="JS131" s="11"/>
      <c r="JT131" s="11"/>
      <c r="JU131" s="11"/>
      <c r="JV131" s="11"/>
      <c r="JW131" s="11"/>
      <c r="JX131" s="11"/>
      <c r="JY131" s="11"/>
      <c r="JZ131" s="11"/>
      <c r="KA131" s="11"/>
      <c r="KB131" s="11"/>
      <c r="KC131" s="11"/>
      <c r="KD131" s="11"/>
      <c r="KE131" s="11"/>
      <c r="KF131" s="11"/>
      <c r="KG131" s="11"/>
      <c r="KH131" s="11"/>
      <c r="KI131" s="11"/>
      <c r="KJ131" s="11"/>
      <c r="KK131" s="11"/>
      <c r="KL131" s="11"/>
      <c r="KM131" s="11"/>
      <c r="KN131" s="11"/>
      <c r="KO131" s="11"/>
      <c r="KP131" s="11"/>
      <c r="KQ131" s="11"/>
      <c r="KR131" s="11"/>
      <c r="KS131" s="11"/>
      <c r="KT131" s="11"/>
      <c r="KU131" s="11"/>
      <c r="KV131" s="11"/>
      <c r="KW131" s="11"/>
      <c r="KX131" s="11"/>
      <c r="KY131" s="11"/>
      <c r="KZ131" s="11"/>
      <c r="LA131" s="11"/>
      <c r="LB131" s="11"/>
      <c r="LC131" s="11"/>
      <c r="LD131" s="11"/>
      <c r="LE131" s="11"/>
      <c r="LF131" s="11"/>
      <c r="LG131" s="11"/>
      <c r="LH131" s="11"/>
      <c r="LI131" s="11"/>
      <c r="LJ131" s="11"/>
      <c r="LK131" s="11"/>
      <c r="LL131" s="11"/>
      <c r="LM131" s="11"/>
      <c r="LN131" s="11"/>
      <c r="LO131" s="11"/>
      <c r="LP131" s="11"/>
      <c r="LQ131" s="11"/>
      <c r="LR131" s="11"/>
      <c r="LS131" s="11"/>
      <c r="LT131" s="11"/>
      <c r="LU131" s="11"/>
      <c r="LV131" s="11"/>
      <c r="LW131" s="11"/>
      <c r="LX131" s="11"/>
      <c r="LY131" s="11"/>
      <c r="LZ131" s="11"/>
      <c r="MA131" s="11"/>
      <c r="MB131" s="11"/>
      <c r="MC131" s="11"/>
      <c r="MD131" s="11"/>
      <c r="ME131" s="11"/>
      <c r="MF131" s="11"/>
      <c r="MG131" s="11"/>
      <c r="MH131" s="11"/>
      <c r="MI131" s="11"/>
      <c r="MJ131" s="11"/>
      <c r="MK131" s="11"/>
      <c r="ML131" s="11"/>
      <c r="MM131" s="11"/>
      <c r="MN131" s="11"/>
      <c r="MO131" s="11"/>
      <c r="MP131" s="11"/>
      <c r="MQ131" s="11"/>
      <c r="MR131" s="11"/>
      <c r="MS131" s="11"/>
      <c r="MT131" s="11"/>
      <c r="MU131" s="11"/>
      <c r="MV131" s="11"/>
      <c r="MW131" s="11"/>
      <c r="MX131" s="11"/>
      <c r="MY131" s="11"/>
      <c r="MZ131" s="11"/>
      <c r="NA131" s="11"/>
      <c r="NB131" s="11"/>
      <c r="NC131" s="11"/>
      <c r="ND131" s="11"/>
      <c r="NE131" s="11"/>
      <c r="NF131" s="11"/>
      <c r="NG131" s="11"/>
      <c r="NH131" s="11"/>
      <c r="NI131" s="11"/>
      <c r="NJ131" s="11"/>
      <c r="NK131" s="11"/>
      <c r="NL131" s="11"/>
      <c r="NM131" s="11"/>
      <c r="NN131" s="11"/>
      <c r="NO131" s="11"/>
      <c r="NP131" s="11"/>
      <c r="NQ131" s="11"/>
      <c r="NR131" s="11"/>
      <c r="NS131" s="11"/>
      <c r="NT131" s="11"/>
      <c r="NU131" s="11"/>
      <c r="NV131" s="11"/>
      <c r="NW131" s="11"/>
      <c r="NX131" s="11"/>
      <c r="NY131" s="11"/>
      <c r="NZ131" s="11"/>
      <c r="OA131" s="11"/>
      <c r="OB131" s="11"/>
      <c r="OC131" s="11"/>
      <c r="OD131" s="11"/>
      <c r="OE131" s="11"/>
      <c r="OF131" s="11"/>
      <c r="OG131" s="11"/>
      <c r="OH131" s="11"/>
      <c r="OI131" s="11"/>
      <c r="OJ131" s="11"/>
      <c r="OK131" s="11"/>
      <c r="OL131" s="11"/>
      <c r="OM131" s="11"/>
      <c r="ON131" s="11"/>
      <c r="OO131" s="11"/>
      <c r="OP131" s="11"/>
      <c r="OQ131" s="11"/>
      <c r="OR131" s="11"/>
      <c r="OS131" s="11"/>
      <c r="OT131" s="11"/>
      <c r="OU131" s="11"/>
      <c r="OV131" s="11"/>
      <c r="OW131" s="11"/>
      <c r="OX131" s="11"/>
      <c r="OY131" s="11"/>
      <c r="OZ131" s="11"/>
      <c r="PA131" s="11"/>
      <c r="PB131" s="11"/>
      <c r="PC131" s="11"/>
      <c r="PD131" s="11"/>
      <c r="PE131" s="11"/>
      <c r="PF131" s="11"/>
      <c r="PG131" s="11"/>
      <c r="PH131" s="11"/>
      <c r="PI131" s="11"/>
      <c r="PJ131" s="11"/>
      <c r="PK131" s="11"/>
      <c r="PL131" s="11"/>
      <c r="PM131" s="11"/>
      <c r="PN131" s="11"/>
      <c r="PO131" s="11"/>
      <c r="PP131" s="11"/>
      <c r="PQ131" s="11"/>
      <c r="PR131" s="11"/>
      <c r="PS131" s="11"/>
      <c r="PT131" s="11"/>
      <c r="PU131" s="11"/>
      <c r="PV131" s="11"/>
      <c r="PW131" s="11"/>
      <c r="PX131" s="11"/>
      <c r="PY131" s="11"/>
      <c r="PZ131" s="11"/>
      <c r="QA131" s="11"/>
      <c r="QB131" s="11"/>
      <c r="QC131" s="11"/>
      <c r="QD131" s="11"/>
      <c r="QE131" s="11"/>
      <c r="QF131" s="11"/>
      <c r="QG131" s="11"/>
      <c r="QH131" s="11"/>
      <c r="QI131" s="11"/>
      <c r="QJ131" s="11"/>
      <c r="QK131" s="11"/>
      <c r="QL131" s="11"/>
      <c r="QM131" s="11"/>
      <c r="QN131" s="11"/>
      <c r="QO131" s="11"/>
      <c r="QP131" s="11"/>
      <c r="QQ131" s="11"/>
      <c r="QR131" s="11"/>
      <c r="QS131" s="11"/>
      <c r="QT131" s="11"/>
      <c r="QU131" s="11"/>
      <c r="QV131" s="11"/>
      <c r="QW131" s="11"/>
      <c r="QX131" s="11"/>
      <c r="QY131" s="11"/>
      <c r="QZ131" s="11"/>
      <c r="RA131" s="11"/>
      <c r="RB131" s="11"/>
      <c r="RC131" s="11"/>
      <c r="RD131" s="11"/>
      <c r="RE131" s="11"/>
      <c r="RF131" s="11"/>
      <c r="RG131" s="11"/>
      <c r="RH131" s="11"/>
      <c r="RI131" s="11"/>
      <c r="RJ131" s="11"/>
      <c r="RK131" s="11"/>
      <c r="RL131" s="11"/>
      <c r="RM131" s="11"/>
      <c r="RN131" s="11"/>
      <c r="RO131" s="11"/>
      <c r="RP131" s="11"/>
      <c r="RQ131" s="11"/>
      <c r="RR131" s="11"/>
      <c r="RS131" s="11"/>
      <c r="RT131" s="11"/>
      <c r="RU131" s="11"/>
      <c r="RV131" s="11"/>
      <c r="RW131" s="11"/>
      <c r="RX131" s="11"/>
      <c r="RY131" s="11"/>
      <c r="RZ131" s="11"/>
      <c r="SA131" s="11"/>
      <c r="SB131" s="11"/>
      <c r="SC131" s="11"/>
      <c r="SD131" s="11"/>
      <c r="SE131" s="11"/>
      <c r="SF131" s="11"/>
      <c r="SG131" s="11"/>
      <c r="SH131" s="11"/>
      <c r="SI131" s="11"/>
      <c r="SJ131" s="11"/>
      <c r="SK131" s="11"/>
      <c r="SL131" s="11"/>
      <c r="SM131" s="11"/>
      <c r="SN131" s="11"/>
      <c r="SO131" s="11"/>
      <c r="SP131" s="11"/>
      <c r="SQ131" s="11"/>
      <c r="SR131" s="11"/>
      <c r="SS131" s="11"/>
      <c r="ST131" s="11"/>
      <c r="SU131" s="11"/>
      <c r="SV131" s="11"/>
      <c r="SW131" s="11"/>
      <c r="SX131" s="11"/>
      <c r="SY131" s="11"/>
      <c r="SZ131" s="11"/>
      <c r="TA131" s="11"/>
      <c r="TB131" s="11"/>
      <c r="TC131" s="11"/>
      <c r="TD131" s="11"/>
      <c r="TE131" s="11"/>
      <c r="TF131" s="11"/>
      <c r="TG131" s="11"/>
      <c r="TH131" s="11"/>
      <c r="TI131" s="11"/>
      <c r="TJ131" s="11"/>
      <c r="TK131" s="11"/>
      <c r="TL131" s="11"/>
      <c r="TM131" s="11"/>
      <c r="TN131" s="11"/>
      <c r="TO131" s="11"/>
      <c r="TP131" s="11"/>
      <c r="TQ131" s="11"/>
      <c r="TR131" s="11"/>
      <c r="TS131" s="11"/>
      <c r="TT131" s="11"/>
      <c r="TU131" s="11"/>
      <c r="TV131" s="11"/>
      <c r="TW131" s="11"/>
      <c r="TX131" s="11"/>
      <c r="TY131" s="11"/>
      <c r="TZ131" s="11"/>
      <c r="UA131" s="11"/>
      <c r="UB131" s="11"/>
      <c r="UC131" s="11"/>
      <c r="UD131" s="11"/>
      <c r="UE131" s="11"/>
      <c r="UF131" s="11"/>
      <c r="UG131" s="11"/>
      <c r="UH131" s="11"/>
      <c r="UI131" s="11"/>
      <c r="UJ131" s="11"/>
      <c r="UK131" s="11"/>
      <c r="UL131" s="11"/>
      <c r="UM131" s="11"/>
      <c r="UN131" s="11"/>
      <c r="UO131" s="11"/>
      <c r="UP131" s="11"/>
      <c r="UQ131" s="11"/>
      <c r="UR131" s="11"/>
      <c r="US131" s="11"/>
      <c r="UT131" s="11"/>
      <c r="UU131" s="11"/>
      <c r="UV131" s="11"/>
      <c r="UW131" s="11"/>
      <c r="UX131" s="11"/>
      <c r="UY131" s="11"/>
      <c r="UZ131" s="11"/>
      <c r="VA131" s="11"/>
      <c r="VB131" s="11"/>
      <c r="VC131" s="11"/>
      <c r="VD131" s="11"/>
      <c r="VE131" s="11"/>
      <c r="VF131" s="11"/>
      <c r="VG131" s="11"/>
      <c r="VH131" s="11"/>
      <c r="VI131" s="11"/>
      <c r="VJ131" s="11"/>
      <c r="VK131" s="11"/>
      <c r="VL131" s="11"/>
      <c r="VM131" s="11"/>
      <c r="VN131" s="11"/>
      <c r="VO131" s="11"/>
      <c r="VP131" s="11"/>
      <c r="VQ131" s="11"/>
      <c r="VR131" s="11"/>
      <c r="VS131" s="11"/>
      <c r="VT131" s="11"/>
      <c r="VU131" s="11"/>
      <c r="VV131" s="11"/>
      <c r="VW131" s="11"/>
      <c r="VX131" s="11"/>
      <c r="VY131" s="11"/>
      <c r="VZ131" s="11"/>
      <c r="WA131" s="11"/>
      <c r="WB131" s="11"/>
      <c r="WC131" s="11"/>
      <c r="WD131" s="11"/>
      <c r="WE131" s="11"/>
      <c r="WF131" s="11"/>
      <c r="WG131" s="11"/>
      <c r="WH131" s="11"/>
      <c r="WI131" s="11"/>
      <c r="WJ131" s="11"/>
      <c r="WK131" s="11"/>
      <c r="WL131" s="11"/>
      <c r="WM131" s="11"/>
      <c r="WN131" s="11"/>
      <c r="WO131" s="11"/>
      <c r="WP131" s="11"/>
      <c r="WQ131" s="11"/>
      <c r="WR131" s="11"/>
      <c r="WS131" s="11"/>
      <c r="WT131" s="11"/>
      <c r="WU131" s="11"/>
      <c r="WV131" s="11"/>
      <c r="WW131" s="11"/>
      <c r="WX131" s="11"/>
      <c r="WY131" s="11"/>
      <c r="WZ131" s="11"/>
      <c r="XA131" s="11"/>
      <c r="XB131" s="11"/>
      <c r="XC131" s="11"/>
      <c r="XD131" s="11"/>
      <c r="XE131" s="11"/>
      <c r="XF131" s="11"/>
      <c r="XG131" s="11"/>
      <c r="XH131" s="11"/>
      <c r="XI131" s="11"/>
      <c r="XJ131" s="11"/>
      <c r="XK131" s="11"/>
      <c r="XL131" s="11"/>
      <c r="XM131" s="11"/>
      <c r="XN131" s="11"/>
      <c r="XO131" s="11"/>
      <c r="XP131" s="11"/>
      <c r="XQ131" s="11"/>
      <c r="XR131" s="11"/>
      <c r="XS131" s="11"/>
      <c r="XT131" s="11"/>
      <c r="XU131" s="11"/>
      <c r="XV131" s="11"/>
      <c r="XW131" s="11"/>
      <c r="XX131" s="11"/>
      <c r="XY131" s="11"/>
      <c r="XZ131" s="11"/>
      <c r="YA131" s="11"/>
      <c r="YB131" s="11"/>
      <c r="YC131" s="11"/>
      <c r="YD131" s="11"/>
      <c r="YE131" s="11"/>
      <c r="YF131" s="11"/>
      <c r="YG131" s="11"/>
      <c r="YH131" s="11"/>
      <c r="YI131" s="11"/>
      <c r="YJ131" s="11"/>
      <c r="YK131" s="11"/>
      <c r="YL131" s="11"/>
      <c r="YM131" s="11"/>
      <c r="YN131" s="11"/>
      <c r="YO131" s="11"/>
      <c r="YP131" s="11"/>
      <c r="YQ131" s="11"/>
      <c r="YR131" s="11"/>
      <c r="YS131" s="11"/>
      <c r="YT131" s="11"/>
      <c r="YU131" s="11"/>
      <c r="YV131" s="11"/>
      <c r="YW131" s="11"/>
      <c r="YX131" s="11"/>
      <c r="YY131" s="11"/>
      <c r="YZ131" s="11"/>
      <c r="ZA131" s="11"/>
      <c r="ZB131" s="11"/>
      <c r="ZC131" s="11"/>
      <c r="ZD131" s="11"/>
      <c r="ZE131" s="11"/>
      <c r="ZF131" s="11"/>
      <c r="ZG131" s="11"/>
      <c r="ZH131" s="11"/>
      <c r="ZI131" s="11"/>
      <c r="ZJ131" s="11"/>
      <c r="ZK131" s="11"/>
      <c r="ZL131" s="11"/>
      <c r="ZM131" s="11"/>
      <c r="ZN131" s="11"/>
      <c r="ZO131" s="11"/>
      <c r="ZP131" s="11"/>
      <c r="ZQ131" s="11"/>
      <c r="ZR131" s="11"/>
      <c r="ZS131" s="11"/>
      <c r="ZT131" s="11"/>
      <c r="ZU131" s="11"/>
      <c r="ZV131" s="11"/>
      <c r="ZW131" s="11"/>
      <c r="ZX131" s="11"/>
      <c r="ZY131" s="11"/>
      <c r="ZZ131" s="11"/>
      <c r="AAA131" s="11"/>
      <c r="AAB131" s="11"/>
      <c r="AAC131" s="11"/>
      <c r="AAD131" s="11"/>
      <c r="AAE131" s="11"/>
      <c r="AAF131" s="11"/>
      <c r="AAG131" s="11"/>
      <c r="AAH131" s="11"/>
      <c r="AAI131" s="11"/>
      <c r="AAJ131" s="11"/>
      <c r="AAK131" s="11"/>
      <c r="AAL131" s="11"/>
      <c r="AAM131" s="11"/>
      <c r="AAN131" s="11"/>
      <c r="AAO131" s="11"/>
      <c r="AAP131" s="11"/>
      <c r="AAQ131" s="11"/>
      <c r="AAR131" s="11"/>
      <c r="AAS131" s="11"/>
      <c r="AAT131" s="11"/>
      <c r="AAU131" s="11"/>
      <c r="AAV131" s="11"/>
      <c r="AAW131" s="11"/>
      <c r="AAX131" s="11"/>
      <c r="AAY131" s="11"/>
      <c r="AAZ131" s="11"/>
      <c r="ABA131" s="11"/>
      <c r="ABB131" s="11"/>
      <c r="ABC131" s="11"/>
      <c r="ABD131" s="11"/>
      <c r="ABE131" s="11"/>
      <c r="ABF131" s="11"/>
      <c r="ABG131" s="11"/>
      <c r="ABH131" s="11"/>
      <c r="ABI131" s="11"/>
      <c r="ABJ131" s="11"/>
      <c r="ABK131" s="11"/>
      <c r="ABL131" s="11"/>
      <c r="ABM131" s="11"/>
      <c r="ABN131" s="11"/>
      <c r="ABO131" s="11"/>
      <c r="ABP131" s="11"/>
      <c r="ABQ131" s="11"/>
      <c r="ABR131" s="11"/>
      <c r="ABS131" s="11"/>
      <c r="ABT131" s="11"/>
      <c r="ABU131" s="11"/>
      <c r="ABV131" s="11"/>
      <c r="ABW131" s="11"/>
      <c r="ABX131" s="11"/>
      <c r="ABY131" s="11"/>
      <c r="ABZ131" s="11"/>
      <c r="ACA131" s="11"/>
      <c r="ACB131" s="11"/>
      <c r="ACC131" s="11"/>
      <c r="ACD131" s="11"/>
      <c r="ACE131" s="11"/>
      <c r="ACF131" s="11"/>
      <c r="ACG131" s="11"/>
      <c r="ACH131" s="11"/>
      <c r="ACI131" s="11"/>
      <c r="ACJ131" s="11"/>
      <c r="ACK131" s="11"/>
      <c r="ACL131" s="11"/>
      <c r="ACM131" s="11"/>
      <c r="ACN131" s="11"/>
      <c r="ACO131" s="11"/>
      <c r="ACP131" s="11"/>
      <c r="ACQ131" s="11"/>
      <c r="ACR131" s="11"/>
      <c r="ACS131" s="11"/>
      <c r="ACT131" s="11"/>
      <c r="ACU131" s="11"/>
      <c r="ACV131" s="11"/>
      <c r="ACW131" s="11"/>
      <c r="ACX131" s="11"/>
      <c r="ACY131" s="11"/>
      <c r="ACZ131" s="11"/>
      <c r="ADA131" s="11"/>
      <c r="ADB131" s="11"/>
      <c r="ADC131" s="11"/>
      <c r="ADD131" s="11"/>
      <c r="ADE131" s="11"/>
      <c r="ADF131" s="11"/>
      <c r="ADG131" s="11"/>
      <c r="ADH131" s="11"/>
      <c r="ADI131" s="11"/>
      <c r="ADJ131" s="11"/>
      <c r="ADK131" s="11"/>
      <c r="ADL131" s="11"/>
      <c r="ADM131" s="11"/>
      <c r="ADN131" s="11"/>
      <c r="ADO131" s="11"/>
      <c r="ADP131" s="11"/>
      <c r="ADQ131" s="11"/>
      <c r="ADR131" s="11"/>
      <c r="ADS131" s="11"/>
      <c r="ADT131" s="11"/>
      <c r="ADU131" s="11"/>
      <c r="ADV131" s="11"/>
      <c r="ADW131" s="11"/>
      <c r="ADX131" s="11"/>
      <c r="ADY131" s="11"/>
      <c r="ADZ131" s="11"/>
      <c r="AEA131" s="11"/>
      <c r="AEB131" s="11"/>
      <c r="AEC131" s="11"/>
      <c r="AED131" s="11"/>
      <c r="AEE131" s="11"/>
      <c r="AEF131" s="11"/>
      <c r="AEG131" s="11"/>
      <c r="AEH131" s="11"/>
      <c r="AEI131" s="11"/>
      <c r="AEJ131" s="11"/>
      <c r="AEK131" s="11"/>
      <c r="AEL131" s="11"/>
      <c r="AEM131" s="11"/>
      <c r="AEN131" s="11"/>
      <c r="AEO131" s="11"/>
      <c r="AEP131" s="11"/>
      <c r="AEQ131" s="11"/>
      <c r="AER131" s="11"/>
      <c r="AES131" s="11"/>
      <c r="AET131" s="11"/>
      <c r="AEU131" s="11"/>
      <c r="AEV131" s="11"/>
      <c r="AEW131" s="11"/>
      <c r="AEX131" s="11"/>
      <c r="AEY131" s="11"/>
      <c r="AEZ131" s="11"/>
      <c r="AFA131" s="11"/>
      <c r="AFB131" s="11"/>
      <c r="AFC131" s="11"/>
      <c r="AFD131" s="11"/>
      <c r="AFE131" s="11"/>
      <c r="AFF131" s="11"/>
      <c r="AFG131" s="11"/>
      <c r="AFH131" s="11"/>
      <c r="AFI131" s="11"/>
    </row>
    <row r="132" spans="2:84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c r="IW132" s="11"/>
      <c r="IX132" s="11"/>
      <c r="IY132" s="11"/>
      <c r="IZ132" s="11"/>
      <c r="JA132" s="11"/>
      <c r="JB132" s="11"/>
      <c r="JC132" s="11"/>
      <c r="JD132" s="11"/>
      <c r="JE132" s="11"/>
      <c r="JF132" s="11"/>
      <c r="JG132" s="11"/>
      <c r="JH132" s="11"/>
      <c r="JI132" s="11"/>
      <c r="JJ132" s="11"/>
      <c r="JK132" s="11"/>
      <c r="JL132" s="11"/>
      <c r="JM132" s="11"/>
      <c r="JN132" s="11"/>
      <c r="JO132" s="11"/>
      <c r="JP132" s="11"/>
      <c r="JQ132" s="11"/>
      <c r="JR132" s="11"/>
      <c r="JS132" s="11"/>
      <c r="JT132" s="11"/>
      <c r="JU132" s="11"/>
      <c r="JV132" s="11"/>
      <c r="JW132" s="11"/>
      <c r="JX132" s="11"/>
      <c r="JY132" s="11"/>
      <c r="JZ132" s="11"/>
      <c r="KA132" s="11"/>
      <c r="KB132" s="11"/>
      <c r="KC132" s="11"/>
      <c r="KD132" s="11"/>
      <c r="KE132" s="11"/>
      <c r="KF132" s="11"/>
      <c r="KG132" s="11"/>
      <c r="KH132" s="11"/>
      <c r="KI132" s="11"/>
      <c r="KJ132" s="11"/>
      <c r="KK132" s="11"/>
      <c r="KL132" s="11"/>
      <c r="KM132" s="11"/>
      <c r="KN132" s="11"/>
      <c r="KO132" s="11"/>
      <c r="KP132" s="11"/>
      <c r="KQ132" s="11"/>
      <c r="KR132" s="11"/>
      <c r="KS132" s="11"/>
      <c r="KT132" s="11"/>
      <c r="KU132" s="11"/>
      <c r="KV132" s="11"/>
      <c r="KW132" s="11"/>
      <c r="KX132" s="11"/>
      <c r="KY132" s="11"/>
      <c r="KZ132" s="11"/>
      <c r="LA132" s="11"/>
      <c r="LB132" s="11"/>
      <c r="LC132" s="11"/>
      <c r="LD132" s="11"/>
      <c r="LE132" s="11"/>
      <c r="LF132" s="11"/>
      <c r="LG132" s="11"/>
      <c r="LH132" s="11"/>
      <c r="LI132" s="11"/>
      <c r="LJ132" s="11"/>
      <c r="LK132" s="11"/>
      <c r="LL132" s="11"/>
      <c r="LM132" s="11"/>
      <c r="LN132" s="11"/>
      <c r="LO132" s="11"/>
      <c r="LP132" s="11"/>
      <c r="LQ132" s="11"/>
      <c r="LR132" s="11"/>
      <c r="LS132" s="11"/>
      <c r="LT132" s="11"/>
      <c r="LU132" s="11"/>
      <c r="LV132" s="11"/>
      <c r="LW132" s="11"/>
      <c r="LX132" s="11"/>
      <c r="LY132" s="11"/>
      <c r="LZ132" s="11"/>
      <c r="MA132" s="11"/>
      <c r="MB132" s="11"/>
      <c r="MC132" s="11"/>
      <c r="MD132" s="11"/>
      <c r="ME132" s="11"/>
      <c r="MF132" s="11"/>
      <c r="MG132" s="11"/>
      <c r="MH132" s="11"/>
      <c r="MI132" s="11"/>
      <c r="MJ132" s="11"/>
      <c r="MK132" s="11"/>
      <c r="ML132" s="11"/>
      <c r="MM132" s="11"/>
      <c r="MN132" s="11"/>
      <c r="MO132" s="11"/>
      <c r="MP132" s="11"/>
      <c r="MQ132" s="11"/>
      <c r="MR132" s="11"/>
      <c r="MS132" s="11"/>
      <c r="MT132" s="11"/>
      <c r="MU132" s="11"/>
      <c r="MV132" s="11"/>
      <c r="MW132" s="11"/>
      <c r="MX132" s="11"/>
      <c r="MY132" s="11"/>
      <c r="MZ132" s="11"/>
      <c r="NA132" s="11"/>
      <c r="NB132" s="11"/>
      <c r="NC132" s="11"/>
      <c r="ND132" s="11"/>
      <c r="NE132" s="11"/>
      <c r="NF132" s="11"/>
      <c r="NG132" s="11"/>
      <c r="NH132" s="11"/>
      <c r="NI132" s="11"/>
      <c r="NJ132" s="11"/>
      <c r="NK132" s="11"/>
      <c r="NL132" s="11"/>
      <c r="NM132" s="11"/>
      <c r="NN132" s="11"/>
      <c r="NO132" s="11"/>
      <c r="NP132" s="11"/>
      <c r="NQ132" s="11"/>
      <c r="NR132" s="11"/>
      <c r="NS132" s="11"/>
      <c r="NT132" s="11"/>
      <c r="NU132" s="11"/>
      <c r="NV132" s="11"/>
      <c r="NW132" s="11"/>
      <c r="NX132" s="11"/>
      <c r="NY132" s="11"/>
      <c r="NZ132" s="11"/>
      <c r="OA132" s="11"/>
      <c r="OB132" s="11"/>
      <c r="OC132" s="11"/>
      <c r="OD132" s="11"/>
      <c r="OE132" s="11"/>
      <c r="OF132" s="11"/>
      <c r="OG132" s="11"/>
      <c r="OH132" s="11"/>
      <c r="OI132" s="11"/>
      <c r="OJ132" s="11"/>
      <c r="OK132" s="11"/>
      <c r="OL132" s="11"/>
      <c r="OM132" s="11"/>
      <c r="ON132" s="11"/>
      <c r="OO132" s="11"/>
      <c r="OP132" s="11"/>
      <c r="OQ132" s="11"/>
      <c r="OR132" s="11"/>
      <c r="OS132" s="11"/>
      <c r="OT132" s="11"/>
      <c r="OU132" s="11"/>
      <c r="OV132" s="11"/>
      <c r="OW132" s="11"/>
      <c r="OX132" s="11"/>
      <c r="OY132" s="11"/>
      <c r="OZ132" s="11"/>
      <c r="PA132" s="11"/>
      <c r="PB132" s="11"/>
      <c r="PC132" s="11"/>
      <c r="PD132" s="11"/>
      <c r="PE132" s="11"/>
      <c r="PF132" s="11"/>
      <c r="PG132" s="11"/>
      <c r="PH132" s="11"/>
      <c r="PI132" s="11"/>
      <c r="PJ132" s="11"/>
      <c r="PK132" s="11"/>
      <c r="PL132" s="11"/>
      <c r="PM132" s="11"/>
      <c r="PN132" s="11"/>
      <c r="PO132" s="11"/>
      <c r="PP132" s="11"/>
      <c r="PQ132" s="11"/>
      <c r="PR132" s="11"/>
      <c r="PS132" s="11"/>
      <c r="PT132" s="11"/>
      <c r="PU132" s="11"/>
      <c r="PV132" s="11"/>
      <c r="PW132" s="11"/>
      <c r="PX132" s="11"/>
      <c r="PY132" s="11"/>
      <c r="PZ132" s="11"/>
      <c r="QA132" s="11"/>
      <c r="QB132" s="11"/>
      <c r="QC132" s="11"/>
      <c r="QD132" s="11"/>
      <c r="QE132" s="11"/>
      <c r="QF132" s="11"/>
      <c r="QG132" s="11"/>
      <c r="QH132" s="11"/>
      <c r="QI132" s="11"/>
      <c r="QJ132" s="11"/>
      <c r="QK132" s="11"/>
      <c r="QL132" s="11"/>
      <c r="QM132" s="11"/>
      <c r="QN132" s="11"/>
      <c r="QO132" s="11"/>
      <c r="QP132" s="11"/>
      <c r="QQ132" s="11"/>
      <c r="QR132" s="11"/>
      <c r="QS132" s="11"/>
      <c r="QT132" s="11"/>
      <c r="QU132" s="11"/>
      <c r="QV132" s="11"/>
      <c r="QW132" s="11"/>
      <c r="QX132" s="11"/>
      <c r="QY132" s="11"/>
      <c r="QZ132" s="11"/>
      <c r="RA132" s="11"/>
      <c r="RB132" s="11"/>
      <c r="RC132" s="11"/>
      <c r="RD132" s="11"/>
      <c r="RE132" s="11"/>
      <c r="RF132" s="11"/>
      <c r="RG132" s="11"/>
      <c r="RH132" s="11"/>
      <c r="RI132" s="11"/>
      <c r="RJ132" s="11"/>
      <c r="RK132" s="11"/>
      <c r="RL132" s="11"/>
      <c r="RM132" s="11"/>
      <c r="RN132" s="11"/>
      <c r="RO132" s="11"/>
      <c r="RP132" s="11"/>
      <c r="RQ132" s="11"/>
      <c r="RR132" s="11"/>
      <c r="RS132" s="11"/>
      <c r="RT132" s="11"/>
      <c r="RU132" s="11"/>
      <c r="RV132" s="11"/>
      <c r="RW132" s="11"/>
      <c r="RX132" s="11"/>
      <c r="RY132" s="11"/>
      <c r="RZ132" s="11"/>
      <c r="SA132" s="11"/>
      <c r="SB132" s="11"/>
      <c r="SC132" s="11"/>
      <c r="SD132" s="11"/>
      <c r="SE132" s="11"/>
      <c r="SF132" s="11"/>
      <c r="SG132" s="11"/>
      <c r="SH132" s="11"/>
      <c r="SI132" s="11"/>
      <c r="SJ132" s="11"/>
      <c r="SK132" s="11"/>
      <c r="SL132" s="11"/>
      <c r="SM132" s="11"/>
      <c r="SN132" s="11"/>
      <c r="SO132" s="11"/>
      <c r="SP132" s="11"/>
      <c r="SQ132" s="11"/>
      <c r="SR132" s="11"/>
      <c r="SS132" s="11"/>
      <c r="ST132" s="11"/>
      <c r="SU132" s="11"/>
      <c r="SV132" s="11"/>
      <c r="SW132" s="11"/>
      <c r="SX132" s="11"/>
      <c r="SY132" s="11"/>
      <c r="SZ132" s="11"/>
      <c r="TA132" s="11"/>
      <c r="TB132" s="11"/>
      <c r="TC132" s="11"/>
      <c r="TD132" s="11"/>
      <c r="TE132" s="11"/>
      <c r="TF132" s="11"/>
      <c r="TG132" s="11"/>
      <c r="TH132" s="11"/>
      <c r="TI132" s="11"/>
      <c r="TJ132" s="11"/>
      <c r="TK132" s="11"/>
      <c r="TL132" s="11"/>
      <c r="TM132" s="11"/>
      <c r="TN132" s="11"/>
      <c r="TO132" s="11"/>
      <c r="TP132" s="11"/>
      <c r="TQ132" s="11"/>
      <c r="TR132" s="11"/>
      <c r="TS132" s="11"/>
      <c r="TT132" s="11"/>
      <c r="TU132" s="11"/>
      <c r="TV132" s="11"/>
      <c r="TW132" s="11"/>
      <c r="TX132" s="11"/>
      <c r="TY132" s="11"/>
      <c r="TZ132" s="11"/>
      <c r="UA132" s="11"/>
      <c r="UB132" s="11"/>
      <c r="UC132" s="11"/>
      <c r="UD132" s="11"/>
      <c r="UE132" s="11"/>
      <c r="UF132" s="11"/>
      <c r="UG132" s="11"/>
      <c r="UH132" s="11"/>
      <c r="UI132" s="11"/>
      <c r="UJ132" s="11"/>
      <c r="UK132" s="11"/>
      <c r="UL132" s="11"/>
      <c r="UM132" s="11"/>
      <c r="UN132" s="11"/>
      <c r="UO132" s="11"/>
      <c r="UP132" s="11"/>
      <c r="UQ132" s="11"/>
      <c r="UR132" s="11"/>
      <c r="US132" s="11"/>
      <c r="UT132" s="11"/>
      <c r="UU132" s="11"/>
      <c r="UV132" s="11"/>
      <c r="UW132" s="11"/>
      <c r="UX132" s="11"/>
      <c r="UY132" s="11"/>
      <c r="UZ132" s="11"/>
      <c r="VA132" s="11"/>
      <c r="VB132" s="11"/>
      <c r="VC132" s="11"/>
      <c r="VD132" s="11"/>
      <c r="VE132" s="11"/>
      <c r="VF132" s="11"/>
      <c r="VG132" s="11"/>
      <c r="VH132" s="11"/>
      <c r="VI132" s="11"/>
      <c r="VJ132" s="11"/>
      <c r="VK132" s="11"/>
      <c r="VL132" s="11"/>
      <c r="VM132" s="11"/>
      <c r="VN132" s="11"/>
      <c r="VO132" s="11"/>
      <c r="VP132" s="11"/>
      <c r="VQ132" s="11"/>
      <c r="VR132" s="11"/>
      <c r="VS132" s="11"/>
      <c r="VT132" s="11"/>
      <c r="VU132" s="11"/>
      <c r="VV132" s="11"/>
      <c r="VW132" s="11"/>
      <c r="VX132" s="11"/>
      <c r="VY132" s="11"/>
      <c r="VZ132" s="11"/>
      <c r="WA132" s="11"/>
      <c r="WB132" s="11"/>
      <c r="WC132" s="11"/>
      <c r="WD132" s="11"/>
      <c r="WE132" s="11"/>
      <c r="WF132" s="11"/>
      <c r="WG132" s="11"/>
      <c r="WH132" s="11"/>
      <c r="WI132" s="11"/>
      <c r="WJ132" s="11"/>
      <c r="WK132" s="11"/>
      <c r="WL132" s="11"/>
      <c r="WM132" s="11"/>
      <c r="WN132" s="11"/>
      <c r="WO132" s="11"/>
      <c r="WP132" s="11"/>
      <c r="WQ132" s="11"/>
      <c r="WR132" s="11"/>
      <c r="WS132" s="11"/>
      <c r="WT132" s="11"/>
      <c r="WU132" s="11"/>
      <c r="WV132" s="11"/>
      <c r="WW132" s="11"/>
      <c r="WX132" s="11"/>
      <c r="WY132" s="11"/>
      <c r="WZ132" s="11"/>
      <c r="XA132" s="11"/>
      <c r="XB132" s="11"/>
      <c r="XC132" s="11"/>
      <c r="XD132" s="11"/>
      <c r="XE132" s="11"/>
      <c r="XF132" s="11"/>
      <c r="XG132" s="11"/>
      <c r="XH132" s="11"/>
      <c r="XI132" s="11"/>
      <c r="XJ132" s="11"/>
      <c r="XK132" s="11"/>
      <c r="XL132" s="11"/>
      <c r="XM132" s="11"/>
      <c r="XN132" s="11"/>
      <c r="XO132" s="11"/>
      <c r="XP132" s="11"/>
      <c r="XQ132" s="11"/>
      <c r="XR132" s="11"/>
      <c r="XS132" s="11"/>
      <c r="XT132" s="11"/>
      <c r="XU132" s="11"/>
      <c r="XV132" s="11"/>
      <c r="XW132" s="11"/>
      <c r="XX132" s="11"/>
      <c r="XY132" s="11"/>
      <c r="XZ132" s="11"/>
      <c r="YA132" s="11"/>
      <c r="YB132" s="11"/>
      <c r="YC132" s="11"/>
      <c r="YD132" s="11"/>
      <c r="YE132" s="11"/>
      <c r="YF132" s="11"/>
      <c r="YG132" s="11"/>
      <c r="YH132" s="11"/>
      <c r="YI132" s="11"/>
      <c r="YJ132" s="11"/>
      <c r="YK132" s="11"/>
      <c r="YL132" s="11"/>
      <c r="YM132" s="11"/>
      <c r="YN132" s="11"/>
      <c r="YO132" s="11"/>
      <c r="YP132" s="11"/>
      <c r="YQ132" s="11"/>
      <c r="YR132" s="11"/>
      <c r="YS132" s="11"/>
      <c r="YT132" s="11"/>
      <c r="YU132" s="11"/>
      <c r="YV132" s="11"/>
      <c r="YW132" s="11"/>
      <c r="YX132" s="11"/>
      <c r="YY132" s="11"/>
      <c r="YZ132" s="11"/>
      <c r="ZA132" s="11"/>
      <c r="ZB132" s="11"/>
      <c r="ZC132" s="11"/>
      <c r="ZD132" s="11"/>
      <c r="ZE132" s="11"/>
      <c r="ZF132" s="11"/>
      <c r="ZG132" s="11"/>
      <c r="ZH132" s="11"/>
      <c r="ZI132" s="11"/>
      <c r="ZJ132" s="11"/>
      <c r="ZK132" s="11"/>
      <c r="ZL132" s="11"/>
      <c r="ZM132" s="11"/>
      <c r="ZN132" s="11"/>
      <c r="ZO132" s="11"/>
      <c r="ZP132" s="11"/>
      <c r="ZQ132" s="11"/>
      <c r="ZR132" s="11"/>
      <c r="ZS132" s="11"/>
      <c r="ZT132" s="11"/>
      <c r="ZU132" s="11"/>
      <c r="ZV132" s="11"/>
      <c r="ZW132" s="11"/>
      <c r="ZX132" s="11"/>
      <c r="ZY132" s="11"/>
      <c r="ZZ132" s="11"/>
      <c r="AAA132" s="11"/>
      <c r="AAB132" s="11"/>
      <c r="AAC132" s="11"/>
      <c r="AAD132" s="11"/>
      <c r="AAE132" s="11"/>
      <c r="AAF132" s="11"/>
      <c r="AAG132" s="11"/>
      <c r="AAH132" s="11"/>
      <c r="AAI132" s="11"/>
      <c r="AAJ132" s="11"/>
      <c r="AAK132" s="11"/>
      <c r="AAL132" s="11"/>
      <c r="AAM132" s="11"/>
      <c r="AAN132" s="11"/>
      <c r="AAO132" s="11"/>
      <c r="AAP132" s="11"/>
      <c r="AAQ132" s="11"/>
      <c r="AAR132" s="11"/>
      <c r="AAS132" s="11"/>
      <c r="AAT132" s="11"/>
      <c r="AAU132" s="11"/>
      <c r="AAV132" s="11"/>
      <c r="AAW132" s="11"/>
      <c r="AAX132" s="11"/>
      <c r="AAY132" s="11"/>
      <c r="AAZ132" s="11"/>
      <c r="ABA132" s="11"/>
      <c r="ABB132" s="11"/>
      <c r="ABC132" s="11"/>
      <c r="ABD132" s="11"/>
      <c r="ABE132" s="11"/>
      <c r="ABF132" s="11"/>
      <c r="ABG132" s="11"/>
      <c r="ABH132" s="11"/>
      <c r="ABI132" s="11"/>
      <c r="ABJ132" s="11"/>
      <c r="ABK132" s="11"/>
      <c r="ABL132" s="11"/>
      <c r="ABM132" s="11"/>
      <c r="ABN132" s="11"/>
      <c r="ABO132" s="11"/>
      <c r="ABP132" s="11"/>
      <c r="ABQ132" s="11"/>
      <c r="ABR132" s="11"/>
      <c r="ABS132" s="11"/>
      <c r="ABT132" s="11"/>
      <c r="ABU132" s="11"/>
      <c r="ABV132" s="11"/>
      <c r="ABW132" s="11"/>
      <c r="ABX132" s="11"/>
      <c r="ABY132" s="11"/>
      <c r="ABZ132" s="11"/>
      <c r="ACA132" s="11"/>
      <c r="ACB132" s="11"/>
      <c r="ACC132" s="11"/>
      <c r="ACD132" s="11"/>
      <c r="ACE132" s="11"/>
      <c r="ACF132" s="11"/>
      <c r="ACG132" s="11"/>
      <c r="ACH132" s="11"/>
      <c r="ACI132" s="11"/>
      <c r="ACJ132" s="11"/>
      <c r="ACK132" s="11"/>
      <c r="ACL132" s="11"/>
      <c r="ACM132" s="11"/>
      <c r="ACN132" s="11"/>
      <c r="ACO132" s="11"/>
      <c r="ACP132" s="11"/>
      <c r="ACQ132" s="11"/>
      <c r="ACR132" s="11"/>
      <c r="ACS132" s="11"/>
      <c r="ACT132" s="11"/>
      <c r="ACU132" s="11"/>
      <c r="ACV132" s="11"/>
      <c r="ACW132" s="11"/>
      <c r="ACX132" s="11"/>
      <c r="ACY132" s="11"/>
      <c r="ACZ132" s="11"/>
      <c r="ADA132" s="11"/>
      <c r="ADB132" s="11"/>
      <c r="ADC132" s="11"/>
      <c r="ADD132" s="11"/>
      <c r="ADE132" s="11"/>
      <c r="ADF132" s="11"/>
      <c r="ADG132" s="11"/>
      <c r="ADH132" s="11"/>
      <c r="ADI132" s="11"/>
      <c r="ADJ132" s="11"/>
      <c r="ADK132" s="11"/>
      <c r="ADL132" s="11"/>
      <c r="ADM132" s="11"/>
      <c r="ADN132" s="11"/>
      <c r="ADO132" s="11"/>
      <c r="ADP132" s="11"/>
      <c r="ADQ132" s="11"/>
      <c r="ADR132" s="11"/>
      <c r="ADS132" s="11"/>
      <c r="ADT132" s="11"/>
      <c r="ADU132" s="11"/>
      <c r="ADV132" s="11"/>
      <c r="ADW132" s="11"/>
      <c r="ADX132" s="11"/>
      <c r="ADY132" s="11"/>
      <c r="ADZ132" s="11"/>
      <c r="AEA132" s="11"/>
      <c r="AEB132" s="11"/>
      <c r="AEC132" s="11"/>
      <c r="AED132" s="11"/>
      <c r="AEE132" s="11"/>
      <c r="AEF132" s="11"/>
      <c r="AEG132" s="11"/>
      <c r="AEH132" s="11"/>
      <c r="AEI132" s="11"/>
      <c r="AEJ132" s="11"/>
      <c r="AEK132" s="11"/>
      <c r="AEL132" s="11"/>
      <c r="AEM132" s="11"/>
      <c r="AEN132" s="11"/>
      <c r="AEO132" s="11"/>
      <c r="AEP132" s="11"/>
      <c r="AEQ132" s="11"/>
      <c r="AER132" s="11"/>
      <c r="AES132" s="11"/>
      <c r="AET132" s="11"/>
      <c r="AEU132" s="11"/>
      <c r="AEV132" s="11"/>
      <c r="AEW132" s="11"/>
      <c r="AEX132" s="11"/>
      <c r="AEY132" s="11"/>
      <c r="AEZ132" s="11"/>
      <c r="AFA132" s="11"/>
      <c r="AFB132" s="11"/>
      <c r="AFC132" s="11"/>
      <c r="AFD132" s="11"/>
      <c r="AFE132" s="11"/>
      <c r="AFF132" s="11"/>
      <c r="AFG132" s="11"/>
      <c r="AFH132" s="11"/>
      <c r="AFI132" s="11"/>
    </row>
    <row r="133" spans="2:84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c r="IW133" s="11"/>
      <c r="IX133" s="11"/>
      <c r="IY133" s="11"/>
      <c r="IZ133" s="11"/>
      <c r="JA133" s="11"/>
      <c r="JB133" s="11"/>
      <c r="JC133" s="11"/>
      <c r="JD133" s="11"/>
      <c r="JE133" s="11"/>
      <c r="JF133" s="11"/>
      <c r="JG133" s="11"/>
      <c r="JH133" s="11"/>
      <c r="JI133" s="11"/>
      <c r="JJ133" s="11"/>
      <c r="JK133" s="11"/>
      <c r="JL133" s="11"/>
      <c r="JM133" s="11"/>
      <c r="JN133" s="11"/>
      <c r="JO133" s="11"/>
      <c r="JP133" s="11"/>
      <c r="JQ133" s="11"/>
      <c r="JR133" s="11"/>
      <c r="JS133" s="11"/>
      <c r="JT133" s="11"/>
      <c r="JU133" s="11"/>
      <c r="JV133" s="11"/>
      <c r="JW133" s="11"/>
      <c r="JX133" s="11"/>
      <c r="JY133" s="11"/>
      <c r="JZ133" s="11"/>
      <c r="KA133" s="11"/>
      <c r="KB133" s="11"/>
      <c r="KC133" s="11"/>
      <c r="KD133" s="11"/>
      <c r="KE133" s="11"/>
      <c r="KF133" s="11"/>
      <c r="KG133" s="11"/>
      <c r="KH133" s="11"/>
      <c r="KI133" s="11"/>
      <c r="KJ133" s="11"/>
      <c r="KK133" s="11"/>
      <c r="KL133" s="11"/>
      <c r="KM133" s="11"/>
      <c r="KN133" s="11"/>
      <c r="KO133" s="11"/>
      <c r="KP133" s="11"/>
      <c r="KQ133" s="11"/>
      <c r="KR133" s="11"/>
      <c r="KS133" s="11"/>
      <c r="KT133" s="11"/>
      <c r="KU133" s="11"/>
      <c r="KV133" s="11"/>
      <c r="KW133" s="11"/>
      <c r="KX133" s="11"/>
      <c r="KY133" s="11"/>
      <c r="KZ133" s="11"/>
      <c r="LA133" s="11"/>
      <c r="LB133" s="11"/>
      <c r="LC133" s="11"/>
      <c r="LD133" s="11"/>
      <c r="LE133" s="11"/>
      <c r="LF133" s="11"/>
      <c r="LG133" s="11"/>
      <c r="LH133" s="11"/>
      <c r="LI133" s="11"/>
      <c r="LJ133" s="11"/>
      <c r="LK133" s="11"/>
      <c r="LL133" s="11"/>
      <c r="LM133" s="11"/>
      <c r="LN133" s="11"/>
      <c r="LO133" s="11"/>
      <c r="LP133" s="11"/>
      <c r="LQ133" s="11"/>
      <c r="LR133" s="11"/>
      <c r="LS133" s="11"/>
      <c r="LT133" s="11"/>
      <c r="LU133" s="11"/>
      <c r="LV133" s="11"/>
      <c r="LW133" s="11"/>
      <c r="LX133" s="11"/>
      <c r="LY133" s="11"/>
      <c r="LZ133" s="11"/>
      <c r="MA133" s="11"/>
      <c r="MB133" s="11"/>
      <c r="MC133" s="11"/>
      <c r="MD133" s="11"/>
      <c r="ME133" s="11"/>
      <c r="MF133" s="11"/>
      <c r="MG133" s="11"/>
      <c r="MH133" s="11"/>
      <c r="MI133" s="11"/>
      <c r="MJ133" s="11"/>
      <c r="MK133" s="11"/>
      <c r="ML133" s="11"/>
      <c r="MM133" s="11"/>
      <c r="MN133" s="11"/>
      <c r="MO133" s="11"/>
      <c r="MP133" s="11"/>
      <c r="MQ133" s="11"/>
      <c r="MR133" s="11"/>
      <c r="MS133" s="11"/>
      <c r="MT133" s="11"/>
      <c r="MU133" s="11"/>
      <c r="MV133" s="11"/>
      <c r="MW133" s="11"/>
      <c r="MX133" s="11"/>
      <c r="MY133" s="11"/>
      <c r="MZ133" s="11"/>
      <c r="NA133" s="11"/>
      <c r="NB133" s="11"/>
      <c r="NC133" s="11"/>
      <c r="ND133" s="11"/>
      <c r="NE133" s="11"/>
      <c r="NF133" s="11"/>
      <c r="NG133" s="11"/>
      <c r="NH133" s="11"/>
      <c r="NI133" s="11"/>
      <c r="NJ133" s="11"/>
      <c r="NK133" s="11"/>
      <c r="NL133" s="11"/>
      <c r="NM133" s="11"/>
      <c r="NN133" s="11"/>
      <c r="NO133" s="11"/>
      <c r="NP133" s="11"/>
      <c r="NQ133" s="11"/>
      <c r="NR133" s="11"/>
      <c r="NS133" s="11"/>
      <c r="NT133" s="11"/>
      <c r="NU133" s="11"/>
      <c r="NV133" s="11"/>
      <c r="NW133" s="11"/>
      <c r="NX133" s="11"/>
      <c r="NY133" s="11"/>
      <c r="NZ133" s="11"/>
      <c r="OA133" s="11"/>
      <c r="OB133" s="11"/>
      <c r="OC133" s="11"/>
      <c r="OD133" s="11"/>
      <c r="OE133" s="11"/>
      <c r="OF133" s="11"/>
      <c r="OG133" s="11"/>
      <c r="OH133" s="11"/>
      <c r="OI133" s="11"/>
      <c r="OJ133" s="11"/>
      <c r="OK133" s="11"/>
      <c r="OL133" s="11"/>
      <c r="OM133" s="11"/>
      <c r="ON133" s="11"/>
      <c r="OO133" s="11"/>
      <c r="OP133" s="11"/>
      <c r="OQ133" s="11"/>
      <c r="OR133" s="11"/>
      <c r="OS133" s="11"/>
      <c r="OT133" s="11"/>
      <c r="OU133" s="11"/>
      <c r="OV133" s="11"/>
      <c r="OW133" s="11"/>
      <c r="OX133" s="11"/>
      <c r="OY133" s="11"/>
      <c r="OZ133" s="11"/>
      <c r="PA133" s="11"/>
      <c r="PB133" s="11"/>
      <c r="PC133" s="11"/>
      <c r="PD133" s="11"/>
      <c r="PE133" s="11"/>
      <c r="PF133" s="11"/>
      <c r="PG133" s="11"/>
      <c r="PH133" s="11"/>
      <c r="PI133" s="11"/>
      <c r="PJ133" s="11"/>
      <c r="PK133" s="11"/>
      <c r="PL133" s="11"/>
      <c r="PM133" s="11"/>
      <c r="PN133" s="11"/>
      <c r="PO133" s="11"/>
      <c r="PP133" s="11"/>
      <c r="PQ133" s="11"/>
      <c r="PR133" s="11"/>
      <c r="PS133" s="11"/>
      <c r="PT133" s="11"/>
      <c r="PU133" s="11"/>
      <c r="PV133" s="11"/>
      <c r="PW133" s="11"/>
      <c r="PX133" s="11"/>
      <c r="PY133" s="11"/>
      <c r="PZ133" s="11"/>
      <c r="QA133" s="11"/>
      <c r="QB133" s="11"/>
      <c r="QC133" s="11"/>
      <c r="QD133" s="11"/>
      <c r="QE133" s="11"/>
      <c r="QF133" s="11"/>
      <c r="QG133" s="11"/>
      <c r="QH133" s="11"/>
      <c r="QI133" s="11"/>
      <c r="QJ133" s="11"/>
      <c r="QK133" s="11"/>
      <c r="QL133" s="11"/>
      <c r="QM133" s="11"/>
      <c r="QN133" s="11"/>
      <c r="QO133" s="11"/>
      <c r="QP133" s="11"/>
      <c r="QQ133" s="11"/>
      <c r="QR133" s="11"/>
      <c r="QS133" s="11"/>
      <c r="QT133" s="11"/>
      <c r="QU133" s="11"/>
      <c r="QV133" s="11"/>
      <c r="QW133" s="11"/>
      <c r="QX133" s="11"/>
      <c r="QY133" s="11"/>
      <c r="QZ133" s="11"/>
      <c r="RA133" s="11"/>
      <c r="RB133" s="11"/>
      <c r="RC133" s="11"/>
      <c r="RD133" s="11"/>
      <c r="RE133" s="11"/>
      <c r="RF133" s="11"/>
      <c r="RG133" s="11"/>
      <c r="RH133" s="11"/>
      <c r="RI133" s="11"/>
      <c r="RJ133" s="11"/>
      <c r="RK133" s="11"/>
      <c r="RL133" s="11"/>
      <c r="RM133" s="11"/>
      <c r="RN133" s="11"/>
      <c r="RO133" s="11"/>
      <c r="RP133" s="11"/>
      <c r="RQ133" s="11"/>
      <c r="RR133" s="11"/>
      <c r="RS133" s="11"/>
      <c r="RT133" s="11"/>
      <c r="RU133" s="11"/>
      <c r="RV133" s="11"/>
      <c r="RW133" s="11"/>
      <c r="RX133" s="11"/>
      <c r="RY133" s="11"/>
      <c r="RZ133" s="11"/>
      <c r="SA133" s="11"/>
      <c r="SB133" s="11"/>
      <c r="SC133" s="11"/>
      <c r="SD133" s="11"/>
      <c r="SE133" s="11"/>
      <c r="SF133" s="11"/>
      <c r="SG133" s="11"/>
      <c r="SH133" s="11"/>
      <c r="SI133" s="11"/>
      <c r="SJ133" s="11"/>
      <c r="SK133" s="11"/>
      <c r="SL133" s="11"/>
      <c r="SM133" s="11"/>
      <c r="SN133" s="11"/>
      <c r="SO133" s="11"/>
      <c r="SP133" s="11"/>
      <c r="SQ133" s="11"/>
      <c r="SR133" s="11"/>
      <c r="SS133" s="11"/>
      <c r="ST133" s="11"/>
      <c r="SU133" s="11"/>
      <c r="SV133" s="11"/>
      <c r="SW133" s="11"/>
      <c r="SX133" s="11"/>
      <c r="SY133" s="11"/>
      <c r="SZ133" s="11"/>
      <c r="TA133" s="11"/>
      <c r="TB133" s="11"/>
      <c r="TC133" s="11"/>
      <c r="TD133" s="11"/>
      <c r="TE133" s="11"/>
      <c r="TF133" s="11"/>
      <c r="TG133" s="11"/>
      <c r="TH133" s="11"/>
      <c r="TI133" s="11"/>
      <c r="TJ133" s="11"/>
      <c r="TK133" s="11"/>
      <c r="TL133" s="11"/>
      <c r="TM133" s="11"/>
      <c r="TN133" s="11"/>
      <c r="TO133" s="11"/>
      <c r="TP133" s="11"/>
      <c r="TQ133" s="11"/>
      <c r="TR133" s="11"/>
      <c r="TS133" s="11"/>
      <c r="TT133" s="11"/>
      <c r="TU133" s="11"/>
      <c r="TV133" s="11"/>
      <c r="TW133" s="11"/>
      <c r="TX133" s="11"/>
      <c r="TY133" s="11"/>
      <c r="TZ133" s="11"/>
      <c r="UA133" s="11"/>
      <c r="UB133" s="11"/>
      <c r="UC133" s="11"/>
      <c r="UD133" s="11"/>
      <c r="UE133" s="11"/>
      <c r="UF133" s="11"/>
      <c r="UG133" s="11"/>
      <c r="UH133" s="11"/>
      <c r="UI133" s="11"/>
      <c r="UJ133" s="11"/>
      <c r="UK133" s="11"/>
      <c r="UL133" s="11"/>
      <c r="UM133" s="11"/>
      <c r="UN133" s="11"/>
      <c r="UO133" s="11"/>
      <c r="UP133" s="11"/>
      <c r="UQ133" s="11"/>
      <c r="UR133" s="11"/>
      <c r="US133" s="11"/>
      <c r="UT133" s="11"/>
      <c r="UU133" s="11"/>
      <c r="UV133" s="11"/>
      <c r="UW133" s="11"/>
      <c r="UX133" s="11"/>
      <c r="UY133" s="11"/>
      <c r="UZ133" s="11"/>
      <c r="VA133" s="11"/>
      <c r="VB133" s="11"/>
      <c r="VC133" s="11"/>
      <c r="VD133" s="11"/>
      <c r="VE133" s="11"/>
      <c r="VF133" s="11"/>
      <c r="VG133" s="11"/>
      <c r="VH133" s="11"/>
      <c r="VI133" s="11"/>
      <c r="VJ133" s="11"/>
      <c r="VK133" s="11"/>
      <c r="VL133" s="11"/>
      <c r="VM133" s="11"/>
      <c r="VN133" s="11"/>
      <c r="VO133" s="11"/>
      <c r="VP133" s="11"/>
      <c r="VQ133" s="11"/>
      <c r="VR133" s="11"/>
      <c r="VS133" s="11"/>
      <c r="VT133" s="11"/>
      <c r="VU133" s="11"/>
      <c r="VV133" s="11"/>
      <c r="VW133" s="11"/>
      <c r="VX133" s="11"/>
      <c r="VY133" s="11"/>
      <c r="VZ133" s="11"/>
      <c r="WA133" s="11"/>
      <c r="WB133" s="11"/>
      <c r="WC133" s="11"/>
      <c r="WD133" s="11"/>
      <c r="WE133" s="11"/>
      <c r="WF133" s="11"/>
      <c r="WG133" s="11"/>
      <c r="WH133" s="11"/>
      <c r="WI133" s="11"/>
      <c r="WJ133" s="11"/>
      <c r="WK133" s="11"/>
      <c r="WL133" s="11"/>
      <c r="WM133" s="11"/>
      <c r="WN133" s="11"/>
      <c r="WO133" s="11"/>
      <c r="WP133" s="11"/>
      <c r="WQ133" s="11"/>
      <c r="WR133" s="11"/>
      <c r="WS133" s="11"/>
      <c r="WT133" s="11"/>
      <c r="WU133" s="11"/>
      <c r="WV133" s="11"/>
      <c r="WW133" s="11"/>
      <c r="WX133" s="11"/>
      <c r="WY133" s="11"/>
      <c r="WZ133" s="11"/>
      <c r="XA133" s="11"/>
      <c r="XB133" s="11"/>
      <c r="XC133" s="11"/>
      <c r="XD133" s="11"/>
      <c r="XE133" s="11"/>
      <c r="XF133" s="11"/>
      <c r="XG133" s="11"/>
      <c r="XH133" s="11"/>
      <c r="XI133" s="11"/>
      <c r="XJ133" s="11"/>
      <c r="XK133" s="11"/>
      <c r="XL133" s="11"/>
      <c r="XM133" s="11"/>
      <c r="XN133" s="11"/>
      <c r="XO133" s="11"/>
      <c r="XP133" s="11"/>
      <c r="XQ133" s="11"/>
      <c r="XR133" s="11"/>
      <c r="XS133" s="11"/>
      <c r="XT133" s="11"/>
      <c r="XU133" s="11"/>
      <c r="XV133" s="11"/>
      <c r="XW133" s="11"/>
      <c r="XX133" s="11"/>
      <c r="XY133" s="11"/>
      <c r="XZ133" s="11"/>
      <c r="YA133" s="11"/>
      <c r="YB133" s="11"/>
      <c r="YC133" s="11"/>
      <c r="YD133" s="11"/>
      <c r="YE133" s="11"/>
      <c r="YF133" s="11"/>
      <c r="YG133" s="11"/>
      <c r="YH133" s="11"/>
      <c r="YI133" s="11"/>
      <c r="YJ133" s="11"/>
      <c r="YK133" s="11"/>
      <c r="YL133" s="11"/>
      <c r="YM133" s="11"/>
      <c r="YN133" s="11"/>
      <c r="YO133" s="11"/>
      <c r="YP133" s="11"/>
      <c r="YQ133" s="11"/>
      <c r="YR133" s="11"/>
      <c r="YS133" s="11"/>
      <c r="YT133" s="11"/>
      <c r="YU133" s="11"/>
      <c r="YV133" s="11"/>
      <c r="YW133" s="11"/>
      <c r="YX133" s="11"/>
      <c r="YY133" s="11"/>
      <c r="YZ133" s="11"/>
      <c r="ZA133" s="11"/>
      <c r="ZB133" s="11"/>
      <c r="ZC133" s="11"/>
      <c r="ZD133" s="11"/>
      <c r="ZE133" s="11"/>
      <c r="ZF133" s="11"/>
      <c r="ZG133" s="11"/>
      <c r="ZH133" s="11"/>
      <c r="ZI133" s="11"/>
      <c r="ZJ133" s="11"/>
      <c r="ZK133" s="11"/>
      <c r="ZL133" s="11"/>
      <c r="ZM133" s="11"/>
      <c r="ZN133" s="11"/>
      <c r="ZO133" s="11"/>
      <c r="ZP133" s="11"/>
      <c r="ZQ133" s="11"/>
      <c r="ZR133" s="11"/>
      <c r="ZS133" s="11"/>
      <c r="ZT133" s="11"/>
      <c r="ZU133" s="11"/>
      <c r="ZV133" s="11"/>
      <c r="ZW133" s="11"/>
      <c r="ZX133" s="11"/>
      <c r="ZY133" s="11"/>
      <c r="ZZ133" s="11"/>
      <c r="AAA133" s="11"/>
      <c r="AAB133" s="11"/>
      <c r="AAC133" s="11"/>
      <c r="AAD133" s="11"/>
      <c r="AAE133" s="11"/>
      <c r="AAF133" s="11"/>
      <c r="AAG133" s="11"/>
      <c r="AAH133" s="11"/>
      <c r="AAI133" s="11"/>
      <c r="AAJ133" s="11"/>
      <c r="AAK133" s="11"/>
      <c r="AAL133" s="11"/>
      <c r="AAM133" s="11"/>
      <c r="AAN133" s="11"/>
      <c r="AAO133" s="11"/>
      <c r="AAP133" s="11"/>
      <c r="AAQ133" s="11"/>
      <c r="AAR133" s="11"/>
      <c r="AAS133" s="11"/>
      <c r="AAT133" s="11"/>
      <c r="AAU133" s="11"/>
      <c r="AAV133" s="11"/>
      <c r="AAW133" s="11"/>
      <c r="AAX133" s="11"/>
      <c r="AAY133" s="11"/>
      <c r="AAZ133" s="11"/>
      <c r="ABA133" s="11"/>
      <c r="ABB133" s="11"/>
      <c r="ABC133" s="11"/>
      <c r="ABD133" s="11"/>
      <c r="ABE133" s="11"/>
      <c r="ABF133" s="11"/>
      <c r="ABG133" s="11"/>
      <c r="ABH133" s="11"/>
      <c r="ABI133" s="11"/>
      <c r="ABJ133" s="11"/>
      <c r="ABK133" s="11"/>
      <c r="ABL133" s="11"/>
      <c r="ABM133" s="11"/>
      <c r="ABN133" s="11"/>
      <c r="ABO133" s="11"/>
      <c r="ABP133" s="11"/>
      <c r="ABQ133" s="11"/>
      <c r="ABR133" s="11"/>
      <c r="ABS133" s="11"/>
      <c r="ABT133" s="11"/>
      <c r="ABU133" s="11"/>
      <c r="ABV133" s="11"/>
      <c r="ABW133" s="11"/>
      <c r="ABX133" s="11"/>
      <c r="ABY133" s="11"/>
      <c r="ABZ133" s="11"/>
      <c r="ACA133" s="11"/>
      <c r="ACB133" s="11"/>
      <c r="ACC133" s="11"/>
      <c r="ACD133" s="11"/>
      <c r="ACE133" s="11"/>
      <c r="ACF133" s="11"/>
      <c r="ACG133" s="11"/>
      <c r="ACH133" s="11"/>
      <c r="ACI133" s="11"/>
      <c r="ACJ133" s="11"/>
      <c r="ACK133" s="11"/>
      <c r="ACL133" s="11"/>
      <c r="ACM133" s="11"/>
      <c r="ACN133" s="11"/>
      <c r="ACO133" s="11"/>
      <c r="ACP133" s="11"/>
      <c r="ACQ133" s="11"/>
      <c r="ACR133" s="11"/>
      <c r="ACS133" s="11"/>
      <c r="ACT133" s="11"/>
      <c r="ACU133" s="11"/>
      <c r="ACV133" s="11"/>
      <c r="ACW133" s="11"/>
      <c r="ACX133" s="11"/>
      <c r="ACY133" s="11"/>
      <c r="ACZ133" s="11"/>
      <c r="ADA133" s="11"/>
      <c r="ADB133" s="11"/>
      <c r="ADC133" s="11"/>
      <c r="ADD133" s="11"/>
      <c r="ADE133" s="11"/>
      <c r="ADF133" s="11"/>
      <c r="ADG133" s="11"/>
      <c r="ADH133" s="11"/>
      <c r="ADI133" s="11"/>
      <c r="ADJ133" s="11"/>
      <c r="ADK133" s="11"/>
      <c r="ADL133" s="11"/>
      <c r="ADM133" s="11"/>
      <c r="ADN133" s="11"/>
      <c r="ADO133" s="11"/>
      <c r="ADP133" s="11"/>
      <c r="ADQ133" s="11"/>
      <c r="ADR133" s="11"/>
      <c r="ADS133" s="11"/>
      <c r="ADT133" s="11"/>
      <c r="ADU133" s="11"/>
      <c r="ADV133" s="11"/>
      <c r="ADW133" s="11"/>
      <c r="ADX133" s="11"/>
      <c r="ADY133" s="11"/>
      <c r="ADZ133" s="11"/>
      <c r="AEA133" s="11"/>
      <c r="AEB133" s="11"/>
      <c r="AEC133" s="11"/>
      <c r="AED133" s="11"/>
      <c r="AEE133" s="11"/>
      <c r="AEF133" s="11"/>
      <c r="AEG133" s="11"/>
      <c r="AEH133" s="11"/>
      <c r="AEI133" s="11"/>
      <c r="AEJ133" s="11"/>
      <c r="AEK133" s="11"/>
      <c r="AEL133" s="11"/>
      <c r="AEM133" s="11"/>
      <c r="AEN133" s="11"/>
      <c r="AEO133" s="11"/>
      <c r="AEP133" s="11"/>
      <c r="AEQ133" s="11"/>
      <c r="AER133" s="11"/>
      <c r="AES133" s="11"/>
      <c r="AET133" s="11"/>
      <c r="AEU133" s="11"/>
      <c r="AEV133" s="11"/>
      <c r="AEW133" s="11"/>
      <c r="AEX133" s="11"/>
      <c r="AEY133" s="11"/>
      <c r="AEZ133" s="11"/>
      <c r="AFA133" s="11"/>
      <c r="AFB133" s="11"/>
      <c r="AFC133" s="11"/>
      <c r="AFD133" s="11"/>
      <c r="AFE133" s="11"/>
      <c r="AFF133" s="11"/>
      <c r="AFG133" s="11"/>
      <c r="AFH133" s="11"/>
      <c r="AFI133" s="11"/>
    </row>
    <row r="134" spans="2:84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c r="IW134" s="11"/>
      <c r="IX134" s="11"/>
      <c r="IY134" s="11"/>
      <c r="IZ134" s="11"/>
      <c r="JA134" s="11"/>
      <c r="JB134" s="11"/>
      <c r="JC134" s="11"/>
      <c r="JD134" s="11"/>
      <c r="JE134" s="11"/>
      <c r="JF134" s="11"/>
      <c r="JG134" s="11"/>
      <c r="JH134" s="11"/>
      <c r="JI134" s="11"/>
      <c r="JJ134" s="11"/>
      <c r="JK134" s="11"/>
      <c r="JL134" s="11"/>
      <c r="JM134" s="11"/>
      <c r="JN134" s="11"/>
      <c r="JO134" s="11"/>
      <c r="JP134" s="11"/>
      <c r="JQ134" s="11"/>
      <c r="JR134" s="11"/>
      <c r="JS134" s="11"/>
      <c r="JT134" s="11"/>
      <c r="JU134" s="11"/>
      <c r="JV134" s="11"/>
      <c r="JW134" s="11"/>
      <c r="JX134" s="11"/>
      <c r="JY134" s="11"/>
      <c r="JZ134" s="11"/>
      <c r="KA134" s="11"/>
      <c r="KB134" s="11"/>
      <c r="KC134" s="11"/>
      <c r="KD134" s="11"/>
      <c r="KE134" s="11"/>
      <c r="KF134" s="11"/>
      <c r="KG134" s="11"/>
      <c r="KH134" s="11"/>
      <c r="KI134" s="11"/>
      <c r="KJ134" s="11"/>
      <c r="KK134" s="11"/>
      <c r="KL134" s="11"/>
      <c r="KM134" s="11"/>
      <c r="KN134" s="11"/>
      <c r="KO134" s="11"/>
      <c r="KP134" s="11"/>
      <c r="KQ134" s="11"/>
      <c r="KR134" s="11"/>
      <c r="KS134" s="11"/>
      <c r="KT134" s="11"/>
      <c r="KU134" s="11"/>
      <c r="KV134" s="11"/>
      <c r="KW134" s="11"/>
      <c r="KX134" s="11"/>
      <c r="KY134" s="11"/>
      <c r="KZ134" s="11"/>
      <c r="LA134" s="11"/>
      <c r="LB134" s="11"/>
      <c r="LC134" s="11"/>
      <c r="LD134" s="11"/>
      <c r="LE134" s="11"/>
      <c r="LF134" s="11"/>
      <c r="LG134" s="11"/>
      <c r="LH134" s="11"/>
      <c r="LI134" s="11"/>
      <c r="LJ134" s="11"/>
      <c r="LK134" s="11"/>
      <c r="LL134" s="11"/>
      <c r="LM134" s="11"/>
      <c r="LN134" s="11"/>
      <c r="LO134" s="11"/>
      <c r="LP134" s="11"/>
      <c r="LQ134" s="11"/>
      <c r="LR134" s="11"/>
      <c r="LS134" s="11"/>
      <c r="LT134" s="11"/>
      <c r="LU134" s="11"/>
      <c r="LV134" s="11"/>
      <c r="LW134" s="11"/>
      <c r="LX134" s="11"/>
      <c r="LY134" s="11"/>
      <c r="LZ134" s="11"/>
      <c r="MA134" s="11"/>
      <c r="MB134" s="11"/>
      <c r="MC134" s="11"/>
      <c r="MD134" s="11"/>
      <c r="ME134" s="11"/>
      <c r="MF134" s="11"/>
      <c r="MG134" s="11"/>
      <c r="MH134" s="11"/>
      <c r="MI134" s="11"/>
      <c r="MJ134" s="11"/>
      <c r="MK134" s="11"/>
      <c r="ML134" s="11"/>
      <c r="MM134" s="11"/>
      <c r="MN134" s="11"/>
      <c r="MO134" s="11"/>
      <c r="MP134" s="11"/>
      <c r="MQ134" s="11"/>
      <c r="MR134" s="11"/>
      <c r="MS134" s="11"/>
      <c r="MT134" s="11"/>
      <c r="MU134" s="11"/>
      <c r="MV134" s="11"/>
      <c r="MW134" s="11"/>
      <c r="MX134" s="11"/>
      <c r="MY134" s="11"/>
      <c r="MZ134" s="11"/>
      <c r="NA134" s="11"/>
      <c r="NB134" s="11"/>
      <c r="NC134" s="11"/>
      <c r="ND134" s="11"/>
      <c r="NE134" s="11"/>
      <c r="NF134" s="11"/>
      <c r="NG134" s="11"/>
      <c r="NH134" s="11"/>
      <c r="NI134" s="11"/>
      <c r="NJ134" s="11"/>
      <c r="NK134" s="11"/>
      <c r="NL134" s="11"/>
      <c r="NM134" s="11"/>
      <c r="NN134" s="11"/>
      <c r="NO134" s="11"/>
      <c r="NP134" s="11"/>
      <c r="NQ134" s="11"/>
      <c r="NR134" s="11"/>
      <c r="NS134" s="11"/>
      <c r="NT134" s="11"/>
      <c r="NU134" s="11"/>
      <c r="NV134" s="11"/>
      <c r="NW134" s="11"/>
      <c r="NX134" s="11"/>
      <c r="NY134" s="11"/>
      <c r="NZ134" s="11"/>
      <c r="OA134" s="11"/>
      <c r="OB134" s="11"/>
      <c r="OC134" s="11"/>
      <c r="OD134" s="11"/>
      <c r="OE134" s="11"/>
      <c r="OF134" s="11"/>
      <c r="OG134" s="11"/>
      <c r="OH134" s="11"/>
      <c r="OI134" s="11"/>
      <c r="OJ134" s="11"/>
      <c r="OK134" s="11"/>
      <c r="OL134" s="11"/>
      <c r="OM134" s="11"/>
      <c r="ON134" s="11"/>
      <c r="OO134" s="11"/>
      <c r="OP134" s="11"/>
      <c r="OQ134" s="11"/>
      <c r="OR134" s="11"/>
      <c r="OS134" s="11"/>
      <c r="OT134" s="11"/>
      <c r="OU134" s="11"/>
      <c r="OV134" s="11"/>
      <c r="OW134" s="11"/>
      <c r="OX134" s="11"/>
      <c r="OY134" s="11"/>
      <c r="OZ134" s="11"/>
      <c r="PA134" s="11"/>
      <c r="PB134" s="11"/>
      <c r="PC134" s="11"/>
      <c r="PD134" s="11"/>
      <c r="PE134" s="11"/>
      <c r="PF134" s="11"/>
      <c r="PG134" s="11"/>
      <c r="PH134" s="11"/>
      <c r="PI134" s="11"/>
      <c r="PJ134" s="11"/>
      <c r="PK134" s="11"/>
      <c r="PL134" s="11"/>
      <c r="PM134" s="11"/>
      <c r="PN134" s="11"/>
      <c r="PO134" s="11"/>
      <c r="PP134" s="11"/>
      <c r="PQ134" s="11"/>
      <c r="PR134" s="11"/>
      <c r="PS134" s="11"/>
      <c r="PT134" s="11"/>
      <c r="PU134" s="11"/>
      <c r="PV134" s="11"/>
      <c r="PW134" s="11"/>
      <c r="PX134" s="11"/>
      <c r="PY134" s="11"/>
      <c r="PZ134" s="11"/>
      <c r="QA134" s="11"/>
      <c r="QB134" s="11"/>
      <c r="QC134" s="11"/>
      <c r="QD134" s="11"/>
      <c r="QE134" s="11"/>
      <c r="QF134" s="11"/>
      <c r="QG134" s="11"/>
      <c r="QH134" s="11"/>
      <c r="QI134" s="11"/>
      <c r="QJ134" s="11"/>
      <c r="QK134" s="11"/>
      <c r="QL134" s="11"/>
      <c r="QM134" s="11"/>
      <c r="QN134" s="11"/>
      <c r="QO134" s="11"/>
      <c r="QP134" s="11"/>
      <c r="QQ134" s="11"/>
      <c r="QR134" s="11"/>
      <c r="QS134" s="11"/>
      <c r="QT134" s="11"/>
      <c r="QU134" s="11"/>
      <c r="QV134" s="11"/>
      <c r="QW134" s="11"/>
      <c r="QX134" s="11"/>
      <c r="QY134" s="11"/>
      <c r="QZ134" s="11"/>
      <c r="RA134" s="11"/>
      <c r="RB134" s="11"/>
      <c r="RC134" s="11"/>
      <c r="RD134" s="11"/>
      <c r="RE134" s="11"/>
      <c r="RF134" s="11"/>
      <c r="RG134" s="11"/>
      <c r="RH134" s="11"/>
      <c r="RI134" s="11"/>
      <c r="RJ134" s="11"/>
      <c r="RK134" s="11"/>
      <c r="RL134" s="11"/>
      <c r="RM134" s="11"/>
      <c r="RN134" s="11"/>
      <c r="RO134" s="11"/>
      <c r="RP134" s="11"/>
      <c r="RQ134" s="11"/>
      <c r="RR134" s="11"/>
      <c r="RS134" s="11"/>
      <c r="RT134" s="11"/>
      <c r="RU134" s="11"/>
      <c r="RV134" s="11"/>
      <c r="RW134" s="11"/>
      <c r="RX134" s="11"/>
      <c r="RY134" s="11"/>
      <c r="RZ134" s="11"/>
      <c r="SA134" s="11"/>
      <c r="SB134" s="11"/>
      <c r="SC134" s="11"/>
      <c r="SD134" s="11"/>
      <c r="SE134" s="11"/>
      <c r="SF134" s="11"/>
      <c r="SG134" s="11"/>
      <c r="SH134" s="11"/>
      <c r="SI134" s="11"/>
      <c r="SJ134" s="11"/>
      <c r="SK134" s="11"/>
      <c r="SL134" s="11"/>
      <c r="SM134" s="11"/>
      <c r="SN134" s="11"/>
      <c r="SO134" s="11"/>
      <c r="SP134" s="11"/>
      <c r="SQ134" s="11"/>
      <c r="SR134" s="11"/>
      <c r="SS134" s="11"/>
      <c r="ST134" s="11"/>
      <c r="SU134" s="11"/>
      <c r="SV134" s="11"/>
      <c r="SW134" s="11"/>
      <c r="SX134" s="11"/>
      <c r="SY134" s="11"/>
      <c r="SZ134" s="11"/>
      <c r="TA134" s="11"/>
      <c r="TB134" s="11"/>
      <c r="TC134" s="11"/>
      <c r="TD134" s="11"/>
      <c r="TE134" s="11"/>
      <c r="TF134" s="11"/>
      <c r="TG134" s="11"/>
      <c r="TH134" s="11"/>
      <c r="TI134" s="11"/>
      <c r="TJ134" s="11"/>
      <c r="TK134" s="11"/>
      <c r="TL134" s="11"/>
      <c r="TM134" s="11"/>
      <c r="TN134" s="11"/>
      <c r="TO134" s="11"/>
      <c r="TP134" s="11"/>
      <c r="TQ134" s="11"/>
      <c r="TR134" s="11"/>
      <c r="TS134" s="11"/>
      <c r="TT134" s="11"/>
      <c r="TU134" s="11"/>
      <c r="TV134" s="11"/>
      <c r="TW134" s="11"/>
      <c r="TX134" s="11"/>
      <c r="TY134" s="11"/>
      <c r="TZ134" s="11"/>
      <c r="UA134" s="11"/>
      <c r="UB134" s="11"/>
      <c r="UC134" s="11"/>
      <c r="UD134" s="11"/>
      <c r="UE134" s="11"/>
      <c r="UF134" s="11"/>
      <c r="UG134" s="11"/>
      <c r="UH134" s="11"/>
      <c r="UI134" s="11"/>
      <c r="UJ134" s="11"/>
      <c r="UK134" s="11"/>
      <c r="UL134" s="11"/>
      <c r="UM134" s="11"/>
      <c r="UN134" s="11"/>
      <c r="UO134" s="11"/>
      <c r="UP134" s="11"/>
      <c r="UQ134" s="11"/>
      <c r="UR134" s="11"/>
      <c r="US134" s="11"/>
      <c r="UT134" s="11"/>
      <c r="UU134" s="11"/>
      <c r="UV134" s="11"/>
      <c r="UW134" s="11"/>
      <c r="UX134" s="11"/>
      <c r="UY134" s="11"/>
      <c r="UZ134" s="11"/>
      <c r="VA134" s="11"/>
      <c r="VB134" s="11"/>
      <c r="VC134" s="11"/>
      <c r="VD134" s="11"/>
      <c r="VE134" s="11"/>
      <c r="VF134" s="11"/>
      <c r="VG134" s="11"/>
      <c r="VH134" s="11"/>
      <c r="VI134" s="11"/>
      <c r="VJ134" s="11"/>
      <c r="VK134" s="11"/>
      <c r="VL134" s="11"/>
      <c r="VM134" s="11"/>
      <c r="VN134" s="11"/>
      <c r="VO134" s="11"/>
      <c r="VP134" s="11"/>
      <c r="VQ134" s="11"/>
      <c r="VR134" s="11"/>
      <c r="VS134" s="11"/>
      <c r="VT134" s="11"/>
      <c r="VU134" s="11"/>
      <c r="VV134" s="11"/>
      <c r="VW134" s="11"/>
      <c r="VX134" s="11"/>
      <c r="VY134" s="11"/>
      <c r="VZ134" s="11"/>
      <c r="WA134" s="11"/>
      <c r="WB134" s="11"/>
      <c r="WC134" s="11"/>
      <c r="WD134" s="11"/>
      <c r="WE134" s="11"/>
      <c r="WF134" s="11"/>
      <c r="WG134" s="11"/>
      <c r="WH134" s="11"/>
      <c r="WI134" s="11"/>
      <c r="WJ134" s="11"/>
      <c r="WK134" s="11"/>
      <c r="WL134" s="11"/>
      <c r="WM134" s="11"/>
      <c r="WN134" s="11"/>
      <c r="WO134" s="11"/>
      <c r="WP134" s="11"/>
      <c r="WQ134" s="11"/>
      <c r="WR134" s="11"/>
      <c r="WS134" s="11"/>
      <c r="WT134" s="11"/>
      <c r="WU134" s="11"/>
      <c r="WV134" s="11"/>
      <c r="WW134" s="11"/>
      <c r="WX134" s="11"/>
      <c r="WY134" s="11"/>
      <c r="WZ134" s="11"/>
      <c r="XA134" s="11"/>
      <c r="XB134" s="11"/>
      <c r="XC134" s="11"/>
      <c r="XD134" s="11"/>
      <c r="XE134" s="11"/>
      <c r="XF134" s="11"/>
      <c r="XG134" s="11"/>
      <c r="XH134" s="11"/>
      <c r="XI134" s="11"/>
      <c r="XJ134" s="11"/>
      <c r="XK134" s="11"/>
      <c r="XL134" s="11"/>
      <c r="XM134" s="11"/>
      <c r="XN134" s="11"/>
      <c r="XO134" s="11"/>
      <c r="XP134" s="11"/>
      <c r="XQ134" s="11"/>
      <c r="XR134" s="11"/>
      <c r="XS134" s="11"/>
      <c r="XT134" s="11"/>
      <c r="XU134" s="11"/>
      <c r="XV134" s="11"/>
      <c r="XW134" s="11"/>
      <c r="XX134" s="11"/>
      <c r="XY134" s="11"/>
      <c r="XZ134" s="11"/>
      <c r="YA134" s="11"/>
      <c r="YB134" s="11"/>
      <c r="YC134" s="11"/>
      <c r="YD134" s="11"/>
      <c r="YE134" s="11"/>
      <c r="YF134" s="11"/>
      <c r="YG134" s="11"/>
      <c r="YH134" s="11"/>
      <c r="YI134" s="11"/>
      <c r="YJ134" s="11"/>
      <c r="YK134" s="11"/>
      <c r="YL134" s="11"/>
      <c r="YM134" s="11"/>
      <c r="YN134" s="11"/>
      <c r="YO134" s="11"/>
      <c r="YP134" s="11"/>
      <c r="YQ134" s="11"/>
      <c r="YR134" s="11"/>
      <c r="YS134" s="11"/>
      <c r="YT134" s="11"/>
      <c r="YU134" s="11"/>
      <c r="YV134" s="11"/>
      <c r="YW134" s="11"/>
      <c r="YX134" s="11"/>
      <c r="YY134" s="11"/>
      <c r="YZ134" s="11"/>
      <c r="ZA134" s="11"/>
      <c r="ZB134" s="11"/>
      <c r="ZC134" s="11"/>
      <c r="ZD134" s="11"/>
      <c r="ZE134" s="11"/>
      <c r="ZF134" s="11"/>
      <c r="ZG134" s="11"/>
      <c r="ZH134" s="11"/>
      <c r="ZI134" s="11"/>
      <c r="ZJ134" s="11"/>
      <c r="ZK134" s="11"/>
      <c r="ZL134" s="11"/>
      <c r="ZM134" s="11"/>
      <c r="ZN134" s="11"/>
      <c r="ZO134" s="11"/>
      <c r="ZP134" s="11"/>
      <c r="ZQ134" s="11"/>
      <c r="ZR134" s="11"/>
      <c r="ZS134" s="11"/>
      <c r="ZT134" s="11"/>
      <c r="ZU134" s="11"/>
      <c r="ZV134" s="11"/>
      <c r="ZW134" s="11"/>
      <c r="ZX134" s="11"/>
      <c r="ZY134" s="11"/>
      <c r="ZZ134" s="11"/>
      <c r="AAA134" s="11"/>
      <c r="AAB134" s="11"/>
      <c r="AAC134" s="11"/>
      <c r="AAD134" s="11"/>
      <c r="AAE134" s="11"/>
      <c r="AAF134" s="11"/>
      <c r="AAG134" s="11"/>
      <c r="AAH134" s="11"/>
      <c r="AAI134" s="11"/>
      <c r="AAJ134" s="11"/>
      <c r="AAK134" s="11"/>
      <c r="AAL134" s="11"/>
      <c r="AAM134" s="11"/>
      <c r="AAN134" s="11"/>
      <c r="AAO134" s="11"/>
      <c r="AAP134" s="11"/>
      <c r="AAQ134" s="11"/>
      <c r="AAR134" s="11"/>
      <c r="AAS134" s="11"/>
      <c r="AAT134" s="11"/>
      <c r="AAU134" s="11"/>
      <c r="AAV134" s="11"/>
      <c r="AAW134" s="11"/>
      <c r="AAX134" s="11"/>
      <c r="AAY134" s="11"/>
      <c r="AAZ134" s="11"/>
      <c r="ABA134" s="11"/>
      <c r="ABB134" s="11"/>
      <c r="ABC134" s="11"/>
      <c r="ABD134" s="11"/>
      <c r="ABE134" s="11"/>
      <c r="ABF134" s="11"/>
      <c r="ABG134" s="11"/>
      <c r="ABH134" s="11"/>
      <c r="ABI134" s="11"/>
      <c r="ABJ134" s="11"/>
      <c r="ABK134" s="11"/>
      <c r="ABL134" s="11"/>
      <c r="ABM134" s="11"/>
      <c r="ABN134" s="11"/>
      <c r="ABO134" s="11"/>
      <c r="ABP134" s="11"/>
      <c r="ABQ134" s="11"/>
      <c r="ABR134" s="11"/>
      <c r="ABS134" s="11"/>
      <c r="ABT134" s="11"/>
      <c r="ABU134" s="11"/>
      <c r="ABV134" s="11"/>
      <c r="ABW134" s="11"/>
      <c r="ABX134" s="11"/>
      <c r="ABY134" s="11"/>
      <c r="ABZ134" s="11"/>
      <c r="ACA134" s="11"/>
      <c r="ACB134" s="11"/>
      <c r="ACC134" s="11"/>
      <c r="ACD134" s="11"/>
      <c r="ACE134" s="11"/>
      <c r="ACF134" s="11"/>
      <c r="ACG134" s="11"/>
      <c r="ACH134" s="11"/>
      <c r="ACI134" s="11"/>
      <c r="ACJ134" s="11"/>
      <c r="ACK134" s="11"/>
      <c r="ACL134" s="11"/>
      <c r="ACM134" s="11"/>
      <c r="ACN134" s="11"/>
      <c r="ACO134" s="11"/>
      <c r="ACP134" s="11"/>
      <c r="ACQ134" s="11"/>
      <c r="ACR134" s="11"/>
      <c r="ACS134" s="11"/>
      <c r="ACT134" s="11"/>
      <c r="ACU134" s="11"/>
      <c r="ACV134" s="11"/>
      <c r="ACW134" s="11"/>
      <c r="ACX134" s="11"/>
      <c r="ACY134" s="11"/>
      <c r="ACZ134" s="11"/>
      <c r="ADA134" s="11"/>
      <c r="ADB134" s="11"/>
      <c r="ADC134" s="11"/>
      <c r="ADD134" s="11"/>
      <c r="ADE134" s="11"/>
      <c r="ADF134" s="11"/>
      <c r="ADG134" s="11"/>
      <c r="ADH134" s="11"/>
      <c r="ADI134" s="11"/>
      <c r="ADJ134" s="11"/>
      <c r="ADK134" s="11"/>
      <c r="ADL134" s="11"/>
      <c r="ADM134" s="11"/>
      <c r="ADN134" s="11"/>
      <c r="ADO134" s="11"/>
      <c r="ADP134" s="11"/>
      <c r="ADQ134" s="11"/>
      <c r="ADR134" s="11"/>
      <c r="ADS134" s="11"/>
      <c r="ADT134" s="11"/>
      <c r="ADU134" s="11"/>
      <c r="ADV134" s="11"/>
      <c r="ADW134" s="11"/>
      <c r="ADX134" s="11"/>
      <c r="ADY134" s="11"/>
      <c r="ADZ134" s="11"/>
      <c r="AEA134" s="11"/>
      <c r="AEB134" s="11"/>
      <c r="AEC134" s="11"/>
      <c r="AED134" s="11"/>
      <c r="AEE134" s="11"/>
      <c r="AEF134" s="11"/>
      <c r="AEG134" s="11"/>
      <c r="AEH134" s="11"/>
      <c r="AEI134" s="11"/>
      <c r="AEJ134" s="11"/>
      <c r="AEK134" s="11"/>
      <c r="AEL134" s="11"/>
      <c r="AEM134" s="11"/>
      <c r="AEN134" s="11"/>
      <c r="AEO134" s="11"/>
      <c r="AEP134" s="11"/>
      <c r="AEQ134" s="11"/>
      <c r="AER134" s="11"/>
      <c r="AES134" s="11"/>
      <c r="AET134" s="11"/>
      <c r="AEU134" s="11"/>
      <c r="AEV134" s="11"/>
      <c r="AEW134" s="11"/>
      <c r="AEX134" s="11"/>
      <c r="AEY134" s="11"/>
      <c r="AEZ134" s="11"/>
      <c r="AFA134" s="11"/>
      <c r="AFB134" s="11"/>
      <c r="AFC134" s="11"/>
      <c r="AFD134" s="11"/>
      <c r="AFE134" s="11"/>
      <c r="AFF134" s="11"/>
      <c r="AFG134" s="11"/>
      <c r="AFH134" s="11"/>
      <c r="AFI134" s="11"/>
    </row>
    <row r="135" spans="2:84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c r="IW135" s="11"/>
      <c r="IX135" s="11"/>
      <c r="IY135" s="11"/>
      <c r="IZ135" s="11"/>
      <c r="JA135" s="11"/>
      <c r="JB135" s="11"/>
      <c r="JC135" s="11"/>
      <c r="JD135" s="11"/>
      <c r="JE135" s="11"/>
      <c r="JF135" s="11"/>
      <c r="JG135" s="11"/>
      <c r="JH135" s="11"/>
      <c r="JI135" s="11"/>
      <c r="JJ135" s="11"/>
      <c r="JK135" s="11"/>
      <c r="JL135" s="11"/>
      <c r="JM135" s="11"/>
      <c r="JN135" s="11"/>
      <c r="JO135" s="11"/>
      <c r="JP135" s="11"/>
      <c r="JQ135" s="11"/>
      <c r="JR135" s="11"/>
      <c r="JS135" s="11"/>
      <c r="JT135" s="11"/>
      <c r="JU135" s="11"/>
      <c r="JV135" s="11"/>
      <c r="JW135" s="11"/>
      <c r="JX135" s="11"/>
      <c r="JY135" s="11"/>
      <c r="JZ135" s="11"/>
      <c r="KA135" s="11"/>
      <c r="KB135" s="11"/>
      <c r="KC135" s="11"/>
      <c r="KD135" s="11"/>
      <c r="KE135" s="11"/>
      <c r="KF135" s="11"/>
      <c r="KG135" s="11"/>
      <c r="KH135" s="11"/>
      <c r="KI135" s="11"/>
      <c r="KJ135" s="11"/>
      <c r="KK135" s="11"/>
      <c r="KL135" s="11"/>
      <c r="KM135" s="11"/>
      <c r="KN135" s="11"/>
      <c r="KO135" s="11"/>
      <c r="KP135" s="11"/>
      <c r="KQ135" s="11"/>
      <c r="KR135" s="11"/>
      <c r="KS135" s="11"/>
      <c r="KT135" s="11"/>
      <c r="KU135" s="11"/>
      <c r="KV135" s="11"/>
      <c r="KW135" s="11"/>
      <c r="KX135" s="11"/>
      <c r="KY135" s="11"/>
      <c r="KZ135" s="11"/>
      <c r="LA135" s="11"/>
      <c r="LB135" s="11"/>
      <c r="LC135" s="11"/>
      <c r="LD135" s="11"/>
      <c r="LE135" s="11"/>
      <c r="LF135" s="11"/>
      <c r="LG135" s="11"/>
      <c r="LH135" s="11"/>
      <c r="LI135" s="11"/>
      <c r="LJ135" s="11"/>
      <c r="LK135" s="11"/>
      <c r="LL135" s="11"/>
      <c r="LM135" s="11"/>
      <c r="LN135" s="11"/>
      <c r="LO135" s="11"/>
      <c r="LP135" s="11"/>
      <c r="LQ135" s="11"/>
      <c r="LR135" s="11"/>
      <c r="LS135" s="11"/>
      <c r="LT135" s="11"/>
      <c r="LU135" s="11"/>
      <c r="LV135" s="11"/>
      <c r="LW135" s="11"/>
      <c r="LX135" s="11"/>
      <c r="LY135" s="11"/>
      <c r="LZ135" s="11"/>
      <c r="MA135" s="11"/>
      <c r="MB135" s="11"/>
      <c r="MC135" s="11"/>
      <c r="MD135" s="11"/>
      <c r="ME135" s="11"/>
      <c r="MF135" s="11"/>
      <c r="MG135" s="11"/>
      <c r="MH135" s="11"/>
      <c r="MI135" s="11"/>
      <c r="MJ135" s="11"/>
      <c r="MK135" s="11"/>
      <c r="ML135" s="11"/>
      <c r="MM135" s="11"/>
      <c r="MN135" s="11"/>
      <c r="MO135" s="11"/>
      <c r="MP135" s="11"/>
      <c r="MQ135" s="11"/>
      <c r="MR135" s="11"/>
      <c r="MS135" s="11"/>
      <c r="MT135" s="11"/>
      <c r="MU135" s="11"/>
      <c r="MV135" s="11"/>
      <c r="MW135" s="11"/>
      <c r="MX135" s="11"/>
      <c r="MY135" s="11"/>
      <c r="MZ135" s="11"/>
      <c r="NA135" s="11"/>
      <c r="NB135" s="11"/>
      <c r="NC135" s="11"/>
      <c r="ND135" s="11"/>
      <c r="NE135" s="11"/>
      <c r="NF135" s="11"/>
      <c r="NG135" s="11"/>
      <c r="NH135" s="11"/>
      <c r="NI135" s="11"/>
      <c r="NJ135" s="11"/>
      <c r="NK135" s="11"/>
      <c r="NL135" s="11"/>
      <c r="NM135" s="11"/>
      <c r="NN135" s="11"/>
      <c r="NO135" s="11"/>
      <c r="NP135" s="11"/>
      <c r="NQ135" s="11"/>
      <c r="NR135" s="11"/>
      <c r="NS135" s="11"/>
      <c r="NT135" s="11"/>
      <c r="NU135" s="11"/>
      <c r="NV135" s="11"/>
      <c r="NW135" s="11"/>
      <c r="NX135" s="11"/>
      <c r="NY135" s="11"/>
      <c r="NZ135" s="11"/>
      <c r="OA135" s="11"/>
      <c r="OB135" s="11"/>
      <c r="OC135" s="11"/>
      <c r="OD135" s="11"/>
      <c r="OE135" s="11"/>
      <c r="OF135" s="11"/>
      <c r="OG135" s="11"/>
      <c r="OH135" s="11"/>
      <c r="OI135" s="11"/>
      <c r="OJ135" s="11"/>
      <c r="OK135" s="11"/>
      <c r="OL135" s="11"/>
      <c r="OM135" s="11"/>
      <c r="ON135" s="11"/>
      <c r="OO135" s="11"/>
      <c r="OP135" s="11"/>
      <c r="OQ135" s="11"/>
      <c r="OR135" s="11"/>
      <c r="OS135" s="11"/>
      <c r="OT135" s="11"/>
      <c r="OU135" s="11"/>
      <c r="OV135" s="11"/>
      <c r="OW135" s="11"/>
      <c r="OX135" s="11"/>
      <c r="OY135" s="11"/>
      <c r="OZ135" s="11"/>
      <c r="PA135" s="11"/>
      <c r="PB135" s="11"/>
      <c r="PC135" s="11"/>
      <c r="PD135" s="11"/>
      <c r="PE135" s="11"/>
      <c r="PF135" s="11"/>
      <c r="PG135" s="11"/>
      <c r="PH135" s="11"/>
      <c r="PI135" s="11"/>
      <c r="PJ135" s="11"/>
      <c r="PK135" s="11"/>
      <c r="PL135" s="11"/>
      <c r="PM135" s="11"/>
      <c r="PN135" s="11"/>
      <c r="PO135" s="11"/>
      <c r="PP135" s="11"/>
      <c r="PQ135" s="11"/>
      <c r="PR135" s="11"/>
      <c r="PS135" s="11"/>
      <c r="PT135" s="11"/>
      <c r="PU135" s="11"/>
      <c r="PV135" s="11"/>
      <c r="PW135" s="11"/>
      <c r="PX135" s="11"/>
      <c r="PY135" s="11"/>
      <c r="PZ135" s="11"/>
      <c r="QA135" s="11"/>
      <c r="QB135" s="11"/>
      <c r="QC135" s="11"/>
      <c r="QD135" s="11"/>
      <c r="QE135" s="11"/>
      <c r="QF135" s="11"/>
      <c r="QG135" s="11"/>
      <c r="QH135" s="11"/>
      <c r="QI135" s="11"/>
      <c r="QJ135" s="11"/>
      <c r="QK135" s="11"/>
      <c r="QL135" s="11"/>
      <c r="QM135" s="11"/>
      <c r="QN135" s="11"/>
      <c r="QO135" s="11"/>
      <c r="QP135" s="11"/>
      <c r="QQ135" s="11"/>
      <c r="QR135" s="11"/>
      <c r="QS135" s="11"/>
      <c r="QT135" s="11"/>
      <c r="QU135" s="11"/>
      <c r="QV135" s="11"/>
      <c r="QW135" s="11"/>
      <c r="QX135" s="11"/>
      <c r="QY135" s="11"/>
      <c r="QZ135" s="11"/>
      <c r="RA135" s="11"/>
      <c r="RB135" s="11"/>
      <c r="RC135" s="11"/>
      <c r="RD135" s="11"/>
      <c r="RE135" s="11"/>
      <c r="RF135" s="11"/>
      <c r="RG135" s="11"/>
      <c r="RH135" s="11"/>
      <c r="RI135" s="11"/>
      <c r="RJ135" s="11"/>
      <c r="RK135" s="11"/>
      <c r="RL135" s="11"/>
      <c r="RM135" s="11"/>
      <c r="RN135" s="11"/>
      <c r="RO135" s="11"/>
      <c r="RP135" s="11"/>
      <c r="RQ135" s="11"/>
      <c r="RR135" s="11"/>
      <c r="RS135" s="11"/>
      <c r="RT135" s="11"/>
      <c r="RU135" s="11"/>
      <c r="RV135" s="11"/>
      <c r="RW135" s="11"/>
      <c r="RX135" s="11"/>
      <c r="RY135" s="11"/>
      <c r="RZ135" s="11"/>
      <c r="SA135" s="11"/>
      <c r="SB135" s="11"/>
      <c r="SC135" s="11"/>
      <c r="SD135" s="11"/>
      <c r="SE135" s="11"/>
      <c r="SF135" s="11"/>
      <c r="SG135" s="11"/>
      <c r="SH135" s="11"/>
      <c r="SI135" s="11"/>
      <c r="SJ135" s="11"/>
      <c r="SK135" s="11"/>
      <c r="SL135" s="11"/>
      <c r="SM135" s="11"/>
      <c r="SN135" s="11"/>
      <c r="SO135" s="11"/>
      <c r="SP135" s="11"/>
      <c r="SQ135" s="11"/>
      <c r="SR135" s="11"/>
      <c r="SS135" s="11"/>
      <c r="ST135" s="11"/>
      <c r="SU135" s="11"/>
      <c r="SV135" s="11"/>
      <c r="SW135" s="11"/>
      <c r="SX135" s="11"/>
      <c r="SY135" s="11"/>
      <c r="SZ135" s="11"/>
      <c r="TA135" s="11"/>
      <c r="TB135" s="11"/>
      <c r="TC135" s="11"/>
      <c r="TD135" s="11"/>
      <c r="TE135" s="11"/>
      <c r="TF135" s="11"/>
      <c r="TG135" s="11"/>
      <c r="TH135" s="11"/>
      <c r="TI135" s="11"/>
      <c r="TJ135" s="11"/>
      <c r="TK135" s="11"/>
      <c r="TL135" s="11"/>
      <c r="TM135" s="11"/>
      <c r="TN135" s="11"/>
      <c r="TO135" s="11"/>
      <c r="TP135" s="11"/>
      <c r="TQ135" s="11"/>
      <c r="TR135" s="11"/>
      <c r="TS135" s="11"/>
      <c r="TT135" s="11"/>
      <c r="TU135" s="11"/>
      <c r="TV135" s="11"/>
      <c r="TW135" s="11"/>
      <c r="TX135" s="11"/>
      <c r="TY135" s="11"/>
      <c r="TZ135" s="11"/>
      <c r="UA135" s="11"/>
      <c r="UB135" s="11"/>
      <c r="UC135" s="11"/>
      <c r="UD135" s="11"/>
      <c r="UE135" s="11"/>
      <c r="UF135" s="11"/>
      <c r="UG135" s="11"/>
      <c r="UH135" s="11"/>
      <c r="UI135" s="11"/>
      <c r="UJ135" s="11"/>
      <c r="UK135" s="11"/>
      <c r="UL135" s="11"/>
      <c r="UM135" s="11"/>
      <c r="UN135" s="11"/>
      <c r="UO135" s="11"/>
      <c r="UP135" s="11"/>
      <c r="UQ135" s="11"/>
      <c r="UR135" s="11"/>
      <c r="US135" s="11"/>
      <c r="UT135" s="11"/>
      <c r="UU135" s="11"/>
      <c r="UV135" s="11"/>
      <c r="UW135" s="11"/>
      <c r="UX135" s="11"/>
      <c r="UY135" s="11"/>
      <c r="UZ135" s="11"/>
      <c r="VA135" s="11"/>
      <c r="VB135" s="11"/>
      <c r="VC135" s="11"/>
      <c r="VD135" s="11"/>
      <c r="VE135" s="11"/>
      <c r="VF135" s="11"/>
      <c r="VG135" s="11"/>
      <c r="VH135" s="11"/>
      <c r="VI135" s="11"/>
      <c r="VJ135" s="11"/>
      <c r="VK135" s="11"/>
      <c r="VL135" s="11"/>
      <c r="VM135" s="11"/>
      <c r="VN135" s="11"/>
      <c r="VO135" s="11"/>
      <c r="VP135" s="11"/>
      <c r="VQ135" s="11"/>
      <c r="VR135" s="11"/>
      <c r="VS135" s="11"/>
      <c r="VT135" s="11"/>
      <c r="VU135" s="11"/>
      <c r="VV135" s="11"/>
      <c r="VW135" s="11"/>
      <c r="VX135" s="11"/>
      <c r="VY135" s="11"/>
      <c r="VZ135" s="11"/>
      <c r="WA135" s="11"/>
      <c r="WB135" s="11"/>
      <c r="WC135" s="11"/>
      <c r="WD135" s="11"/>
      <c r="WE135" s="11"/>
      <c r="WF135" s="11"/>
      <c r="WG135" s="11"/>
      <c r="WH135" s="11"/>
      <c r="WI135" s="11"/>
      <c r="WJ135" s="11"/>
      <c r="WK135" s="11"/>
      <c r="WL135" s="11"/>
      <c r="WM135" s="11"/>
      <c r="WN135" s="11"/>
      <c r="WO135" s="11"/>
      <c r="WP135" s="11"/>
      <c r="WQ135" s="11"/>
      <c r="WR135" s="11"/>
      <c r="WS135" s="11"/>
      <c r="WT135" s="11"/>
      <c r="WU135" s="11"/>
      <c r="WV135" s="11"/>
      <c r="WW135" s="11"/>
      <c r="WX135" s="11"/>
      <c r="WY135" s="11"/>
      <c r="WZ135" s="11"/>
      <c r="XA135" s="11"/>
      <c r="XB135" s="11"/>
      <c r="XC135" s="11"/>
      <c r="XD135" s="11"/>
      <c r="XE135" s="11"/>
      <c r="XF135" s="11"/>
      <c r="XG135" s="11"/>
      <c r="XH135" s="11"/>
      <c r="XI135" s="11"/>
      <c r="XJ135" s="11"/>
      <c r="XK135" s="11"/>
      <c r="XL135" s="11"/>
      <c r="XM135" s="11"/>
      <c r="XN135" s="11"/>
      <c r="XO135" s="11"/>
      <c r="XP135" s="11"/>
      <c r="XQ135" s="11"/>
      <c r="XR135" s="11"/>
      <c r="XS135" s="11"/>
      <c r="XT135" s="11"/>
      <c r="XU135" s="11"/>
      <c r="XV135" s="11"/>
      <c r="XW135" s="11"/>
      <c r="XX135" s="11"/>
      <c r="XY135" s="11"/>
      <c r="XZ135" s="11"/>
      <c r="YA135" s="11"/>
      <c r="YB135" s="11"/>
      <c r="YC135" s="11"/>
      <c r="YD135" s="11"/>
      <c r="YE135" s="11"/>
      <c r="YF135" s="11"/>
      <c r="YG135" s="11"/>
      <c r="YH135" s="11"/>
      <c r="YI135" s="11"/>
      <c r="YJ135" s="11"/>
      <c r="YK135" s="11"/>
      <c r="YL135" s="11"/>
      <c r="YM135" s="11"/>
      <c r="YN135" s="11"/>
      <c r="YO135" s="11"/>
      <c r="YP135" s="11"/>
      <c r="YQ135" s="11"/>
      <c r="YR135" s="11"/>
      <c r="YS135" s="11"/>
      <c r="YT135" s="11"/>
      <c r="YU135" s="11"/>
      <c r="YV135" s="11"/>
      <c r="YW135" s="11"/>
      <c r="YX135" s="11"/>
      <c r="YY135" s="11"/>
      <c r="YZ135" s="11"/>
      <c r="ZA135" s="11"/>
      <c r="ZB135" s="11"/>
      <c r="ZC135" s="11"/>
      <c r="ZD135" s="11"/>
      <c r="ZE135" s="11"/>
      <c r="ZF135" s="11"/>
      <c r="ZG135" s="11"/>
      <c r="ZH135" s="11"/>
      <c r="ZI135" s="11"/>
      <c r="ZJ135" s="11"/>
      <c r="ZK135" s="11"/>
      <c r="ZL135" s="11"/>
      <c r="ZM135" s="11"/>
      <c r="ZN135" s="11"/>
      <c r="ZO135" s="11"/>
      <c r="ZP135" s="11"/>
      <c r="ZQ135" s="11"/>
      <c r="ZR135" s="11"/>
      <c r="ZS135" s="11"/>
      <c r="ZT135" s="11"/>
      <c r="ZU135" s="11"/>
      <c r="ZV135" s="11"/>
      <c r="ZW135" s="11"/>
      <c r="ZX135" s="11"/>
      <c r="ZY135" s="11"/>
      <c r="ZZ135" s="11"/>
      <c r="AAA135" s="11"/>
      <c r="AAB135" s="11"/>
      <c r="AAC135" s="11"/>
      <c r="AAD135" s="11"/>
      <c r="AAE135" s="11"/>
      <c r="AAF135" s="11"/>
      <c r="AAG135" s="11"/>
      <c r="AAH135" s="11"/>
      <c r="AAI135" s="11"/>
      <c r="AAJ135" s="11"/>
      <c r="AAK135" s="11"/>
      <c r="AAL135" s="11"/>
      <c r="AAM135" s="11"/>
      <c r="AAN135" s="11"/>
      <c r="AAO135" s="11"/>
      <c r="AAP135" s="11"/>
      <c r="AAQ135" s="11"/>
      <c r="AAR135" s="11"/>
      <c r="AAS135" s="11"/>
      <c r="AAT135" s="11"/>
      <c r="AAU135" s="11"/>
      <c r="AAV135" s="11"/>
      <c r="AAW135" s="11"/>
      <c r="AAX135" s="11"/>
      <c r="AAY135" s="11"/>
      <c r="AAZ135" s="11"/>
      <c r="ABA135" s="11"/>
      <c r="ABB135" s="11"/>
      <c r="ABC135" s="11"/>
      <c r="ABD135" s="11"/>
      <c r="ABE135" s="11"/>
      <c r="ABF135" s="11"/>
      <c r="ABG135" s="11"/>
      <c r="ABH135" s="11"/>
      <c r="ABI135" s="11"/>
      <c r="ABJ135" s="11"/>
      <c r="ABK135" s="11"/>
      <c r="ABL135" s="11"/>
      <c r="ABM135" s="11"/>
      <c r="ABN135" s="11"/>
      <c r="ABO135" s="11"/>
      <c r="ABP135" s="11"/>
      <c r="ABQ135" s="11"/>
      <c r="ABR135" s="11"/>
      <c r="ABS135" s="11"/>
      <c r="ABT135" s="11"/>
      <c r="ABU135" s="11"/>
      <c r="ABV135" s="11"/>
      <c r="ABW135" s="11"/>
      <c r="ABX135" s="11"/>
      <c r="ABY135" s="11"/>
      <c r="ABZ135" s="11"/>
      <c r="ACA135" s="11"/>
      <c r="ACB135" s="11"/>
      <c r="ACC135" s="11"/>
      <c r="ACD135" s="11"/>
      <c r="ACE135" s="11"/>
      <c r="ACF135" s="11"/>
      <c r="ACG135" s="11"/>
      <c r="ACH135" s="11"/>
      <c r="ACI135" s="11"/>
      <c r="ACJ135" s="11"/>
      <c r="ACK135" s="11"/>
      <c r="ACL135" s="11"/>
      <c r="ACM135" s="11"/>
      <c r="ACN135" s="11"/>
      <c r="ACO135" s="11"/>
      <c r="ACP135" s="11"/>
      <c r="ACQ135" s="11"/>
      <c r="ACR135" s="11"/>
      <c r="ACS135" s="11"/>
      <c r="ACT135" s="11"/>
      <c r="ACU135" s="11"/>
      <c r="ACV135" s="11"/>
      <c r="ACW135" s="11"/>
      <c r="ACX135" s="11"/>
      <c r="ACY135" s="11"/>
      <c r="ACZ135" s="11"/>
      <c r="ADA135" s="11"/>
      <c r="ADB135" s="11"/>
      <c r="ADC135" s="11"/>
      <c r="ADD135" s="11"/>
      <c r="ADE135" s="11"/>
      <c r="ADF135" s="11"/>
      <c r="ADG135" s="11"/>
      <c r="ADH135" s="11"/>
      <c r="ADI135" s="11"/>
      <c r="ADJ135" s="11"/>
      <c r="ADK135" s="11"/>
      <c r="ADL135" s="11"/>
      <c r="ADM135" s="11"/>
      <c r="ADN135" s="11"/>
      <c r="ADO135" s="11"/>
      <c r="ADP135" s="11"/>
      <c r="ADQ135" s="11"/>
      <c r="ADR135" s="11"/>
      <c r="ADS135" s="11"/>
      <c r="ADT135" s="11"/>
      <c r="ADU135" s="11"/>
      <c r="ADV135" s="11"/>
      <c r="ADW135" s="11"/>
      <c r="ADX135" s="11"/>
      <c r="ADY135" s="11"/>
      <c r="ADZ135" s="11"/>
      <c r="AEA135" s="11"/>
      <c r="AEB135" s="11"/>
      <c r="AEC135" s="11"/>
      <c r="AED135" s="11"/>
      <c r="AEE135" s="11"/>
      <c r="AEF135" s="11"/>
      <c r="AEG135" s="11"/>
      <c r="AEH135" s="11"/>
      <c r="AEI135" s="11"/>
      <c r="AEJ135" s="11"/>
      <c r="AEK135" s="11"/>
      <c r="AEL135" s="11"/>
      <c r="AEM135" s="11"/>
      <c r="AEN135" s="11"/>
      <c r="AEO135" s="11"/>
      <c r="AEP135" s="11"/>
      <c r="AEQ135" s="11"/>
      <c r="AER135" s="11"/>
      <c r="AES135" s="11"/>
      <c r="AET135" s="11"/>
      <c r="AEU135" s="11"/>
      <c r="AEV135" s="11"/>
      <c r="AEW135" s="11"/>
      <c r="AEX135" s="11"/>
      <c r="AEY135" s="11"/>
      <c r="AEZ135" s="11"/>
      <c r="AFA135" s="11"/>
      <c r="AFB135" s="11"/>
      <c r="AFC135" s="11"/>
      <c r="AFD135" s="11"/>
      <c r="AFE135" s="11"/>
      <c r="AFF135" s="11"/>
      <c r="AFG135" s="11"/>
      <c r="AFH135" s="11"/>
      <c r="AFI135" s="11"/>
    </row>
    <row r="136" spans="2:84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c r="IW136" s="11"/>
      <c r="IX136" s="11"/>
      <c r="IY136" s="11"/>
      <c r="IZ136" s="11"/>
      <c r="JA136" s="11"/>
      <c r="JB136" s="11"/>
      <c r="JC136" s="11"/>
      <c r="JD136" s="11"/>
      <c r="JE136" s="11"/>
      <c r="JF136" s="11"/>
      <c r="JG136" s="11"/>
      <c r="JH136" s="11"/>
      <c r="JI136" s="11"/>
      <c r="JJ136" s="11"/>
      <c r="JK136" s="11"/>
      <c r="JL136" s="11"/>
      <c r="JM136" s="11"/>
      <c r="JN136" s="11"/>
      <c r="JO136" s="11"/>
      <c r="JP136" s="11"/>
      <c r="JQ136" s="11"/>
      <c r="JR136" s="11"/>
      <c r="JS136" s="11"/>
      <c r="JT136" s="11"/>
      <c r="JU136" s="11"/>
      <c r="JV136" s="11"/>
      <c r="JW136" s="11"/>
      <c r="JX136" s="11"/>
      <c r="JY136" s="11"/>
      <c r="JZ136" s="11"/>
      <c r="KA136" s="11"/>
      <c r="KB136" s="11"/>
      <c r="KC136" s="11"/>
      <c r="KD136" s="11"/>
      <c r="KE136" s="11"/>
      <c r="KF136" s="11"/>
      <c r="KG136" s="11"/>
      <c r="KH136" s="11"/>
      <c r="KI136" s="11"/>
      <c r="KJ136" s="11"/>
      <c r="KK136" s="11"/>
      <c r="KL136" s="11"/>
      <c r="KM136" s="11"/>
      <c r="KN136" s="11"/>
      <c r="KO136" s="11"/>
      <c r="KP136" s="11"/>
      <c r="KQ136" s="11"/>
      <c r="KR136" s="11"/>
      <c r="KS136" s="11"/>
      <c r="KT136" s="11"/>
      <c r="KU136" s="11"/>
      <c r="KV136" s="11"/>
      <c r="KW136" s="11"/>
      <c r="KX136" s="11"/>
      <c r="KY136" s="11"/>
      <c r="KZ136" s="11"/>
      <c r="LA136" s="11"/>
      <c r="LB136" s="11"/>
      <c r="LC136" s="11"/>
      <c r="LD136" s="11"/>
      <c r="LE136" s="11"/>
      <c r="LF136" s="11"/>
      <c r="LG136" s="11"/>
      <c r="LH136" s="11"/>
      <c r="LI136" s="11"/>
      <c r="LJ136" s="11"/>
      <c r="LK136" s="11"/>
      <c r="LL136" s="11"/>
      <c r="LM136" s="11"/>
      <c r="LN136" s="11"/>
      <c r="LO136" s="11"/>
      <c r="LP136" s="11"/>
      <c r="LQ136" s="11"/>
      <c r="LR136" s="11"/>
      <c r="LS136" s="11"/>
      <c r="LT136" s="11"/>
      <c r="LU136" s="11"/>
      <c r="LV136" s="11"/>
      <c r="LW136" s="11"/>
      <c r="LX136" s="11"/>
      <c r="LY136" s="11"/>
      <c r="LZ136" s="11"/>
      <c r="MA136" s="11"/>
      <c r="MB136" s="11"/>
      <c r="MC136" s="11"/>
      <c r="MD136" s="11"/>
      <c r="ME136" s="11"/>
      <c r="MF136" s="11"/>
      <c r="MG136" s="11"/>
      <c r="MH136" s="11"/>
      <c r="MI136" s="11"/>
      <c r="MJ136" s="11"/>
      <c r="MK136" s="11"/>
      <c r="ML136" s="11"/>
      <c r="MM136" s="11"/>
      <c r="MN136" s="11"/>
      <c r="MO136" s="11"/>
      <c r="MP136" s="11"/>
      <c r="MQ136" s="11"/>
      <c r="MR136" s="11"/>
      <c r="MS136" s="11"/>
      <c r="MT136" s="11"/>
      <c r="MU136" s="11"/>
      <c r="MV136" s="11"/>
      <c r="MW136" s="11"/>
      <c r="MX136" s="11"/>
      <c r="MY136" s="11"/>
      <c r="MZ136" s="11"/>
      <c r="NA136" s="11"/>
      <c r="NB136" s="11"/>
      <c r="NC136" s="11"/>
      <c r="ND136" s="11"/>
      <c r="NE136" s="11"/>
      <c r="NF136" s="11"/>
      <c r="NG136" s="11"/>
      <c r="NH136" s="11"/>
      <c r="NI136" s="11"/>
      <c r="NJ136" s="11"/>
      <c r="NK136" s="11"/>
      <c r="NL136" s="11"/>
      <c r="NM136" s="11"/>
      <c r="NN136" s="11"/>
      <c r="NO136" s="11"/>
      <c r="NP136" s="11"/>
      <c r="NQ136" s="11"/>
      <c r="NR136" s="11"/>
      <c r="NS136" s="11"/>
      <c r="NT136" s="11"/>
      <c r="NU136" s="11"/>
      <c r="NV136" s="11"/>
      <c r="NW136" s="11"/>
      <c r="NX136" s="11"/>
      <c r="NY136" s="11"/>
      <c r="NZ136" s="11"/>
      <c r="OA136" s="11"/>
      <c r="OB136" s="11"/>
      <c r="OC136" s="11"/>
      <c r="OD136" s="11"/>
      <c r="OE136" s="11"/>
      <c r="OF136" s="11"/>
      <c r="OG136" s="11"/>
      <c r="OH136" s="11"/>
      <c r="OI136" s="11"/>
      <c r="OJ136" s="11"/>
      <c r="OK136" s="11"/>
      <c r="OL136" s="11"/>
      <c r="OM136" s="11"/>
      <c r="ON136" s="11"/>
      <c r="OO136" s="11"/>
      <c r="OP136" s="11"/>
      <c r="OQ136" s="11"/>
      <c r="OR136" s="11"/>
      <c r="OS136" s="11"/>
      <c r="OT136" s="11"/>
      <c r="OU136" s="11"/>
      <c r="OV136" s="11"/>
      <c r="OW136" s="11"/>
      <c r="OX136" s="11"/>
      <c r="OY136" s="11"/>
      <c r="OZ136" s="11"/>
      <c r="PA136" s="11"/>
      <c r="PB136" s="11"/>
      <c r="PC136" s="11"/>
      <c r="PD136" s="11"/>
      <c r="PE136" s="11"/>
      <c r="PF136" s="11"/>
      <c r="PG136" s="11"/>
      <c r="PH136" s="11"/>
      <c r="PI136" s="11"/>
      <c r="PJ136" s="11"/>
      <c r="PK136" s="11"/>
      <c r="PL136" s="11"/>
      <c r="PM136" s="11"/>
      <c r="PN136" s="11"/>
      <c r="PO136" s="11"/>
      <c r="PP136" s="11"/>
      <c r="PQ136" s="11"/>
      <c r="PR136" s="11"/>
      <c r="PS136" s="11"/>
      <c r="PT136" s="11"/>
      <c r="PU136" s="11"/>
      <c r="PV136" s="11"/>
      <c r="PW136" s="11"/>
      <c r="PX136" s="11"/>
      <c r="PY136" s="11"/>
      <c r="PZ136" s="11"/>
      <c r="QA136" s="11"/>
      <c r="QB136" s="11"/>
      <c r="QC136" s="11"/>
      <c r="QD136" s="11"/>
      <c r="QE136" s="11"/>
      <c r="QF136" s="11"/>
      <c r="QG136" s="11"/>
      <c r="QH136" s="11"/>
      <c r="QI136" s="11"/>
      <c r="QJ136" s="11"/>
      <c r="QK136" s="11"/>
      <c r="QL136" s="11"/>
      <c r="QM136" s="11"/>
      <c r="QN136" s="11"/>
      <c r="QO136" s="11"/>
      <c r="QP136" s="11"/>
      <c r="QQ136" s="11"/>
      <c r="QR136" s="11"/>
      <c r="QS136" s="11"/>
      <c r="QT136" s="11"/>
      <c r="QU136" s="11"/>
      <c r="QV136" s="11"/>
      <c r="QW136" s="11"/>
      <c r="QX136" s="11"/>
      <c r="QY136" s="11"/>
      <c r="QZ136" s="11"/>
      <c r="RA136" s="11"/>
      <c r="RB136" s="11"/>
      <c r="RC136" s="11"/>
      <c r="RD136" s="11"/>
      <c r="RE136" s="11"/>
      <c r="RF136" s="11"/>
      <c r="RG136" s="11"/>
      <c r="RH136" s="11"/>
      <c r="RI136" s="11"/>
      <c r="RJ136" s="11"/>
      <c r="RK136" s="11"/>
      <c r="RL136" s="11"/>
      <c r="RM136" s="11"/>
      <c r="RN136" s="11"/>
      <c r="RO136" s="11"/>
      <c r="RP136" s="11"/>
      <c r="RQ136" s="11"/>
      <c r="RR136" s="11"/>
      <c r="RS136" s="11"/>
      <c r="RT136" s="11"/>
      <c r="RU136" s="11"/>
      <c r="RV136" s="11"/>
      <c r="RW136" s="11"/>
      <c r="RX136" s="11"/>
      <c r="RY136" s="11"/>
      <c r="RZ136" s="11"/>
      <c r="SA136" s="11"/>
      <c r="SB136" s="11"/>
      <c r="SC136" s="11"/>
      <c r="SD136" s="11"/>
      <c r="SE136" s="11"/>
      <c r="SF136" s="11"/>
      <c r="SG136" s="11"/>
      <c r="SH136" s="11"/>
      <c r="SI136" s="11"/>
      <c r="SJ136" s="11"/>
      <c r="SK136" s="11"/>
      <c r="SL136" s="11"/>
      <c r="SM136" s="11"/>
      <c r="SN136" s="11"/>
      <c r="SO136" s="11"/>
      <c r="SP136" s="11"/>
      <c r="SQ136" s="11"/>
      <c r="SR136" s="11"/>
      <c r="SS136" s="11"/>
      <c r="ST136" s="11"/>
      <c r="SU136" s="11"/>
      <c r="SV136" s="11"/>
      <c r="SW136" s="11"/>
      <c r="SX136" s="11"/>
      <c r="SY136" s="11"/>
      <c r="SZ136" s="11"/>
      <c r="TA136" s="11"/>
      <c r="TB136" s="11"/>
      <c r="TC136" s="11"/>
      <c r="TD136" s="11"/>
      <c r="TE136" s="11"/>
      <c r="TF136" s="11"/>
      <c r="TG136" s="11"/>
      <c r="TH136" s="11"/>
      <c r="TI136" s="11"/>
      <c r="TJ136" s="11"/>
      <c r="TK136" s="11"/>
      <c r="TL136" s="11"/>
      <c r="TM136" s="11"/>
      <c r="TN136" s="11"/>
      <c r="TO136" s="11"/>
      <c r="TP136" s="11"/>
      <c r="TQ136" s="11"/>
      <c r="TR136" s="11"/>
      <c r="TS136" s="11"/>
      <c r="TT136" s="11"/>
      <c r="TU136" s="11"/>
      <c r="TV136" s="11"/>
      <c r="TW136" s="11"/>
      <c r="TX136" s="11"/>
      <c r="TY136" s="11"/>
      <c r="TZ136" s="11"/>
      <c r="UA136" s="11"/>
      <c r="UB136" s="11"/>
      <c r="UC136" s="11"/>
      <c r="UD136" s="11"/>
      <c r="UE136" s="11"/>
      <c r="UF136" s="11"/>
      <c r="UG136" s="11"/>
      <c r="UH136" s="11"/>
      <c r="UI136" s="11"/>
      <c r="UJ136" s="11"/>
      <c r="UK136" s="11"/>
      <c r="UL136" s="11"/>
      <c r="UM136" s="11"/>
      <c r="UN136" s="11"/>
      <c r="UO136" s="11"/>
      <c r="UP136" s="11"/>
      <c r="UQ136" s="11"/>
      <c r="UR136" s="11"/>
      <c r="US136" s="11"/>
      <c r="UT136" s="11"/>
      <c r="UU136" s="11"/>
      <c r="UV136" s="11"/>
      <c r="UW136" s="11"/>
      <c r="UX136" s="11"/>
      <c r="UY136" s="11"/>
      <c r="UZ136" s="11"/>
      <c r="VA136" s="11"/>
      <c r="VB136" s="11"/>
      <c r="VC136" s="11"/>
      <c r="VD136" s="11"/>
      <c r="VE136" s="11"/>
      <c r="VF136" s="11"/>
      <c r="VG136" s="11"/>
      <c r="VH136" s="11"/>
      <c r="VI136" s="11"/>
      <c r="VJ136" s="11"/>
      <c r="VK136" s="11"/>
      <c r="VL136" s="11"/>
      <c r="VM136" s="11"/>
      <c r="VN136" s="11"/>
      <c r="VO136" s="11"/>
      <c r="VP136" s="11"/>
      <c r="VQ136" s="11"/>
      <c r="VR136" s="11"/>
      <c r="VS136" s="11"/>
      <c r="VT136" s="11"/>
      <c r="VU136" s="11"/>
      <c r="VV136" s="11"/>
      <c r="VW136" s="11"/>
      <c r="VX136" s="11"/>
      <c r="VY136" s="11"/>
      <c r="VZ136" s="11"/>
      <c r="WA136" s="11"/>
      <c r="WB136" s="11"/>
      <c r="WC136" s="11"/>
      <c r="WD136" s="11"/>
      <c r="WE136" s="11"/>
      <c r="WF136" s="11"/>
      <c r="WG136" s="11"/>
      <c r="WH136" s="11"/>
      <c r="WI136" s="11"/>
      <c r="WJ136" s="11"/>
      <c r="WK136" s="11"/>
      <c r="WL136" s="11"/>
      <c r="WM136" s="11"/>
      <c r="WN136" s="11"/>
      <c r="WO136" s="11"/>
      <c r="WP136" s="11"/>
      <c r="WQ136" s="11"/>
      <c r="WR136" s="11"/>
      <c r="WS136" s="11"/>
      <c r="WT136" s="11"/>
      <c r="WU136" s="11"/>
      <c r="WV136" s="11"/>
      <c r="WW136" s="11"/>
      <c r="WX136" s="11"/>
      <c r="WY136" s="11"/>
      <c r="WZ136" s="11"/>
      <c r="XA136" s="11"/>
      <c r="XB136" s="11"/>
      <c r="XC136" s="11"/>
      <c r="XD136" s="11"/>
      <c r="XE136" s="11"/>
      <c r="XF136" s="11"/>
      <c r="XG136" s="11"/>
      <c r="XH136" s="11"/>
      <c r="XI136" s="11"/>
      <c r="XJ136" s="11"/>
      <c r="XK136" s="11"/>
      <c r="XL136" s="11"/>
      <c r="XM136" s="11"/>
      <c r="XN136" s="11"/>
      <c r="XO136" s="11"/>
      <c r="XP136" s="11"/>
      <c r="XQ136" s="11"/>
      <c r="XR136" s="11"/>
      <c r="XS136" s="11"/>
      <c r="XT136" s="11"/>
      <c r="XU136" s="11"/>
      <c r="XV136" s="11"/>
      <c r="XW136" s="11"/>
      <c r="XX136" s="11"/>
      <c r="XY136" s="11"/>
      <c r="XZ136" s="11"/>
      <c r="YA136" s="11"/>
      <c r="YB136" s="11"/>
      <c r="YC136" s="11"/>
      <c r="YD136" s="11"/>
      <c r="YE136" s="11"/>
      <c r="YF136" s="11"/>
      <c r="YG136" s="11"/>
      <c r="YH136" s="11"/>
      <c r="YI136" s="11"/>
      <c r="YJ136" s="11"/>
      <c r="YK136" s="11"/>
      <c r="YL136" s="11"/>
      <c r="YM136" s="11"/>
      <c r="YN136" s="11"/>
      <c r="YO136" s="11"/>
      <c r="YP136" s="11"/>
      <c r="YQ136" s="11"/>
      <c r="YR136" s="11"/>
      <c r="YS136" s="11"/>
      <c r="YT136" s="11"/>
      <c r="YU136" s="11"/>
      <c r="YV136" s="11"/>
      <c r="YW136" s="11"/>
      <c r="YX136" s="11"/>
      <c r="YY136" s="11"/>
      <c r="YZ136" s="11"/>
      <c r="ZA136" s="11"/>
      <c r="ZB136" s="11"/>
      <c r="ZC136" s="11"/>
      <c r="ZD136" s="11"/>
      <c r="ZE136" s="11"/>
      <c r="ZF136" s="11"/>
      <c r="ZG136" s="11"/>
      <c r="ZH136" s="11"/>
      <c r="ZI136" s="11"/>
      <c r="ZJ136" s="11"/>
      <c r="ZK136" s="11"/>
      <c r="ZL136" s="11"/>
      <c r="ZM136" s="11"/>
      <c r="ZN136" s="11"/>
      <c r="ZO136" s="11"/>
      <c r="ZP136" s="11"/>
      <c r="ZQ136" s="11"/>
      <c r="ZR136" s="11"/>
      <c r="ZS136" s="11"/>
      <c r="ZT136" s="11"/>
      <c r="ZU136" s="11"/>
      <c r="ZV136" s="11"/>
      <c r="ZW136" s="11"/>
      <c r="ZX136" s="11"/>
      <c r="ZY136" s="11"/>
      <c r="ZZ136" s="11"/>
      <c r="AAA136" s="11"/>
      <c r="AAB136" s="11"/>
      <c r="AAC136" s="11"/>
      <c r="AAD136" s="11"/>
      <c r="AAE136" s="11"/>
      <c r="AAF136" s="11"/>
      <c r="AAG136" s="11"/>
      <c r="AAH136" s="11"/>
      <c r="AAI136" s="11"/>
      <c r="AAJ136" s="11"/>
      <c r="AAK136" s="11"/>
      <c r="AAL136" s="11"/>
      <c r="AAM136" s="11"/>
      <c r="AAN136" s="11"/>
      <c r="AAO136" s="11"/>
      <c r="AAP136" s="11"/>
      <c r="AAQ136" s="11"/>
      <c r="AAR136" s="11"/>
      <c r="AAS136" s="11"/>
      <c r="AAT136" s="11"/>
      <c r="AAU136" s="11"/>
      <c r="AAV136" s="11"/>
      <c r="AAW136" s="11"/>
      <c r="AAX136" s="11"/>
      <c r="AAY136" s="11"/>
      <c r="AAZ136" s="11"/>
      <c r="ABA136" s="11"/>
      <c r="ABB136" s="11"/>
      <c r="ABC136" s="11"/>
      <c r="ABD136" s="11"/>
      <c r="ABE136" s="11"/>
      <c r="ABF136" s="11"/>
      <c r="ABG136" s="11"/>
      <c r="ABH136" s="11"/>
      <c r="ABI136" s="11"/>
      <c r="ABJ136" s="11"/>
      <c r="ABK136" s="11"/>
      <c r="ABL136" s="11"/>
      <c r="ABM136" s="11"/>
      <c r="ABN136" s="11"/>
      <c r="ABO136" s="11"/>
      <c r="ABP136" s="11"/>
      <c r="ABQ136" s="11"/>
      <c r="ABR136" s="11"/>
      <c r="ABS136" s="11"/>
      <c r="ABT136" s="11"/>
      <c r="ABU136" s="11"/>
      <c r="ABV136" s="11"/>
      <c r="ABW136" s="11"/>
      <c r="ABX136" s="11"/>
      <c r="ABY136" s="11"/>
      <c r="ABZ136" s="11"/>
      <c r="ACA136" s="11"/>
      <c r="ACB136" s="11"/>
      <c r="ACC136" s="11"/>
      <c r="ACD136" s="11"/>
      <c r="ACE136" s="11"/>
      <c r="ACF136" s="11"/>
      <c r="ACG136" s="11"/>
      <c r="ACH136" s="11"/>
      <c r="ACI136" s="11"/>
      <c r="ACJ136" s="11"/>
      <c r="ACK136" s="11"/>
      <c r="ACL136" s="11"/>
      <c r="ACM136" s="11"/>
      <c r="ACN136" s="11"/>
      <c r="ACO136" s="11"/>
      <c r="ACP136" s="11"/>
      <c r="ACQ136" s="11"/>
      <c r="ACR136" s="11"/>
      <c r="ACS136" s="11"/>
      <c r="ACT136" s="11"/>
      <c r="ACU136" s="11"/>
      <c r="ACV136" s="11"/>
      <c r="ACW136" s="11"/>
      <c r="ACX136" s="11"/>
      <c r="ACY136" s="11"/>
      <c r="ACZ136" s="11"/>
      <c r="ADA136" s="11"/>
      <c r="ADB136" s="11"/>
      <c r="ADC136" s="11"/>
      <c r="ADD136" s="11"/>
      <c r="ADE136" s="11"/>
      <c r="ADF136" s="11"/>
      <c r="ADG136" s="11"/>
      <c r="ADH136" s="11"/>
      <c r="ADI136" s="11"/>
      <c r="ADJ136" s="11"/>
      <c r="ADK136" s="11"/>
      <c r="ADL136" s="11"/>
      <c r="ADM136" s="11"/>
      <c r="ADN136" s="11"/>
      <c r="ADO136" s="11"/>
      <c r="ADP136" s="11"/>
      <c r="ADQ136" s="11"/>
      <c r="ADR136" s="11"/>
      <c r="ADS136" s="11"/>
      <c r="ADT136" s="11"/>
      <c r="ADU136" s="11"/>
      <c r="ADV136" s="11"/>
      <c r="ADW136" s="11"/>
      <c r="ADX136" s="11"/>
      <c r="ADY136" s="11"/>
      <c r="ADZ136" s="11"/>
      <c r="AEA136" s="11"/>
      <c r="AEB136" s="11"/>
      <c r="AEC136" s="11"/>
      <c r="AED136" s="11"/>
      <c r="AEE136" s="11"/>
      <c r="AEF136" s="11"/>
      <c r="AEG136" s="11"/>
      <c r="AEH136" s="11"/>
      <c r="AEI136" s="11"/>
      <c r="AEJ136" s="11"/>
      <c r="AEK136" s="11"/>
      <c r="AEL136" s="11"/>
      <c r="AEM136" s="11"/>
      <c r="AEN136" s="11"/>
      <c r="AEO136" s="11"/>
      <c r="AEP136" s="11"/>
      <c r="AEQ136" s="11"/>
      <c r="AER136" s="11"/>
      <c r="AES136" s="11"/>
      <c r="AET136" s="11"/>
      <c r="AEU136" s="11"/>
      <c r="AEV136" s="11"/>
      <c r="AEW136" s="11"/>
      <c r="AEX136" s="11"/>
      <c r="AEY136" s="11"/>
      <c r="AEZ136" s="11"/>
      <c r="AFA136" s="11"/>
      <c r="AFB136" s="11"/>
      <c r="AFC136" s="11"/>
      <c r="AFD136" s="11"/>
      <c r="AFE136" s="11"/>
      <c r="AFF136" s="11"/>
      <c r="AFG136" s="11"/>
      <c r="AFH136" s="11"/>
      <c r="AFI136" s="11"/>
    </row>
    <row r="137" spans="2:84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c r="IW137" s="11"/>
      <c r="IX137" s="11"/>
      <c r="IY137" s="11"/>
      <c r="IZ137" s="11"/>
      <c r="JA137" s="11"/>
      <c r="JB137" s="11"/>
      <c r="JC137" s="11"/>
      <c r="JD137" s="11"/>
      <c r="JE137" s="11"/>
      <c r="JF137" s="11"/>
      <c r="JG137" s="11"/>
      <c r="JH137" s="11"/>
      <c r="JI137" s="11"/>
      <c r="JJ137" s="11"/>
      <c r="JK137" s="11"/>
      <c r="JL137" s="11"/>
      <c r="JM137" s="11"/>
      <c r="JN137" s="11"/>
      <c r="JO137" s="11"/>
      <c r="JP137" s="11"/>
      <c r="JQ137" s="11"/>
      <c r="JR137" s="11"/>
      <c r="JS137" s="11"/>
      <c r="JT137" s="11"/>
      <c r="JU137" s="11"/>
      <c r="JV137" s="11"/>
      <c r="JW137" s="11"/>
      <c r="JX137" s="11"/>
      <c r="JY137" s="11"/>
      <c r="JZ137" s="11"/>
      <c r="KA137" s="11"/>
      <c r="KB137" s="11"/>
      <c r="KC137" s="11"/>
      <c r="KD137" s="11"/>
      <c r="KE137" s="11"/>
      <c r="KF137" s="11"/>
      <c r="KG137" s="11"/>
      <c r="KH137" s="11"/>
      <c r="KI137" s="11"/>
      <c r="KJ137" s="11"/>
      <c r="KK137" s="11"/>
      <c r="KL137" s="11"/>
      <c r="KM137" s="11"/>
      <c r="KN137" s="11"/>
      <c r="KO137" s="11"/>
      <c r="KP137" s="11"/>
      <c r="KQ137" s="11"/>
      <c r="KR137" s="11"/>
      <c r="KS137" s="11"/>
      <c r="KT137" s="11"/>
      <c r="KU137" s="11"/>
      <c r="KV137" s="11"/>
      <c r="KW137" s="11"/>
      <c r="KX137" s="11"/>
      <c r="KY137" s="11"/>
      <c r="KZ137" s="11"/>
      <c r="LA137" s="11"/>
      <c r="LB137" s="11"/>
      <c r="LC137" s="11"/>
      <c r="LD137" s="11"/>
      <c r="LE137" s="11"/>
      <c r="LF137" s="11"/>
      <c r="LG137" s="11"/>
      <c r="LH137" s="11"/>
      <c r="LI137" s="11"/>
      <c r="LJ137" s="11"/>
      <c r="LK137" s="11"/>
      <c r="LL137" s="11"/>
      <c r="LM137" s="11"/>
      <c r="LN137" s="11"/>
      <c r="LO137" s="11"/>
      <c r="LP137" s="11"/>
      <c r="LQ137" s="11"/>
      <c r="LR137" s="11"/>
      <c r="LS137" s="11"/>
      <c r="LT137" s="11"/>
      <c r="LU137" s="11"/>
      <c r="LV137" s="11"/>
      <c r="LW137" s="11"/>
      <c r="LX137" s="11"/>
      <c r="LY137" s="11"/>
      <c r="LZ137" s="11"/>
      <c r="MA137" s="11"/>
      <c r="MB137" s="11"/>
      <c r="MC137" s="11"/>
      <c r="MD137" s="11"/>
      <c r="ME137" s="11"/>
      <c r="MF137" s="11"/>
      <c r="MG137" s="11"/>
      <c r="MH137" s="11"/>
      <c r="MI137" s="11"/>
      <c r="MJ137" s="11"/>
      <c r="MK137" s="11"/>
      <c r="ML137" s="11"/>
      <c r="MM137" s="11"/>
      <c r="MN137" s="11"/>
      <c r="MO137" s="11"/>
      <c r="MP137" s="11"/>
      <c r="MQ137" s="11"/>
      <c r="MR137" s="11"/>
      <c r="MS137" s="11"/>
      <c r="MT137" s="11"/>
      <c r="MU137" s="11"/>
      <c r="MV137" s="11"/>
      <c r="MW137" s="11"/>
      <c r="MX137" s="11"/>
      <c r="MY137" s="11"/>
      <c r="MZ137" s="11"/>
      <c r="NA137" s="11"/>
      <c r="NB137" s="11"/>
      <c r="NC137" s="11"/>
      <c r="ND137" s="11"/>
      <c r="NE137" s="11"/>
      <c r="NF137" s="11"/>
      <c r="NG137" s="11"/>
      <c r="NH137" s="11"/>
      <c r="NI137" s="11"/>
      <c r="NJ137" s="11"/>
      <c r="NK137" s="11"/>
      <c r="NL137" s="11"/>
      <c r="NM137" s="11"/>
      <c r="NN137" s="11"/>
      <c r="NO137" s="11"/>
      <c r="NP137" s="11"/>
      <c r="NQ137" s="11"/>
      <c r="NR137" s="11"/>
      <c r="NS137" s="11"/>
      <c r="NT137" s="11"/>
      <c r="NU137" s="11"/>
      <c r="NV137" s="11"/>
      <c r="NW137" s="11"/>
      <c r="NX137" s="11"/>
      <c r="NY137" s="11"/>
      <c r="NZ137" s="11"/>
      <c r="OA137" s="11"/>
      <c r="OB137" s="11"/>
      <c r="OC137" s="11"/>
      <c r="OD137" s="11"/>
      <c r="OE137" s="11"/>
      <c r="OF137" s="11"/>
      <c r="OG137" s="11"/>
      <c r="OH137" s="11"/>
      <c r="OI137" s="11"/>
      <c r="OJ137" s="11"/>
      <c r="OK137" s="11"/>
      <c r="OL137" s="11"/>
      <c r="OM137" s="11"/>
      <c r="ON137" s="11"/>
      <c r="OO137" s="11"/>
      <c r="OP137" s="11"/>
      <c r="OQ137" s="11"/>
      <c r="OR137" s="11"/>
      <c r="OS137" s="11"/>
      <c r="OT137" s="11"/>
      <c r="OU137" s="11"/>
      <c r="OV137" s="11"/>
      <c r="OW137" s="11"/>
      <c r="OX137" s="11"/>
      <c r="OY137" s="11"/>
      <c r="OZ137" s="11"/>
      <c r="PA137" s="11"/>
      <c r="PB137" s="11"/>
      <c r="PC137" s="11"/>
      <c r="PD137" s="11"/>
      <c r="PE137" s="11"/>
      <c r="PF137" s="11"/>
      <c r="PG137" s="11"/>
      <c r="PH137" s="11"/>
      <c r="PI137" s="11"/>
      <c r="PJ137" s="11"/>
      <c r="PK137" s="11"/>
      <c r="PL137" s="11"/>
      <c r="PM137" s="11"/>
      <c r="PN137" s="11"/>
      <c r="PO137" s="11"/>
      <c r="PP137" s="11"/>
      <c r="PQ137" s="11"/>
      <c r="PR137" s="11"/>
      <c r="PS137" s="11"/>
      <c r="PT137" s="11"/>
      <c r="PU137" s="11"/>
      <c r="PV137" s="11"/>
      <c r="PW137" s="11"/>
      <c r="PX137" s="11"/>
      <c r="PY137" s="11"/>
      <c r="PZ137" s="11"/>
      <c r="QA137" s="11"/>
      <c r="QB137" s="11"/>
      <c r="QC137" s="11"/>
      <c r="QD137" s="11"/>
      <c r="QE137" s="11"/>
      <c r="QF137" s="11"/>
      <c r="QG137" s="11"/>
      <c r="QH137" s="11"/>
      <c r="QI137" s="11"/>
      <c r="QJ137" s="11"/>
      <c r="QK137" s="11"/>
      <c r="QL137" s="11"/>
      <c r="QM137" s="11"/>
      <c r="QN137" s="11"/>
      <c r="QO137" s="11"/>
      <c r="QP137" s="11"/>
      <c r="QQ137" s="11"/>
      <c r="QR137" s="11"/>
      <c r="QS137" s="11"/>
      <c r="QT137" s="11"/>
      <c r="QU137" s="11"/>
      <c r="QV137" s="11"/>
      <c r="QW137" s="11"/>
      <c r="QX137" s="11"/>
      <c r="QY137" s="11"/>
      <c r="QZ137" s="11"/>
      <c r="RA137" s="11"/>
      <c r="RB137" s="11"/>
      <c r="RC137" s="11"/>
      <c r="RD137" s="11"/>
      <c r="RE137" s="11"/>
      <c r="RF137" s="11"/>
      <c r="RG137" s="11"/>
      <c r="RH137" s="11"/>
      <c r="RI137" s="11"/>
      <c r="RJ137" s="11"/>
      <c r="RK137" s="11"/>
      <c r="RL137" s="11"/>
      <c r="RM137" s="11"/>
      <c r="RN137" s="11"/>
      <c r="RO137" s="11"/>
      <c r="RP137" s="11"/>
      <c r="RQ137" s="11"/>
      <c r="RR137" s="11"/>
      <c r="RS137" s="11"/>
      <c r="RT137" s="11"/>
      <c r="RU137" s="11"/>
      <c r="RV137" s="11"/>
      <c r="RW137" s="11"/>
      <c r="RX137" s="11"/>
      <c r="RY137" s="11"/>
      <c r="RZ137" s="11"/>
      <c r="SA137" s="11"/>
      <c r="SB137" s="11"/>
      <c r="SC137" s="11"/>
      <c r="SD137" s="11"/>
      <c r="SE137" s="11"/>
      <c r="SF137" s="11"/>
      <c r="SG137" s="11"/>
      <c r="SH137" s="11"/>
      <c r="SI137" s="11"/>
      <c r="SJ137" s="11"/>
      <c r="SK137" s="11"/>
      <c r="SL137" s="11"/>
      <c r="SM137" s="11"/>
      <c r="SN137" s="11"/>
      <c r="SO137" s="11"/>
      <c r="SP137" s="11"/>
      <c r="SQ137" s="11"/>
      <c r="SR137" s="11"/>
      <c r="SS137" s="11"/>
      <c r="ST137" s="11"/>
      <c r="SU137" s="11"/>
      <c r="SV137" s="11"/>
      <c r="SW137" s="11"/>
      <c r="SX137" s="11"/>
      <c r="SY137" s="11"/>
      <c r="SZ137" s="11"/>
      <c r="TA137" s="11"/>
      <c r="TB137" s="11"/>
      <c r="TC137" s="11"/>
      <c r="TD137" s="11"/>
      <c r="TE137" s="11"/>
      <c r="TF137" s="11"/>
      <c r="TG137" s="11"/>
      <c r="TH137" s="11"/>
      <c r="TI137" s="11"/>
      <c r="TJ137" s="11"/>
      <c r="TK137" s="11"/>
      <c r="TL137" s="11"/>
      <c r="TM137" s="11"/>
      <c r="TN137" s="11"/>
      <c r="TO137" s="11"/>
      <c r="TP137" s="11"/>
      <c r="TQ137" s="11"/>
      <c r="TR137" s="11"/>
      <c r="TS137" s="11"/>
      <c r="TT137" s="11"/>
      <c r="TU137" s="11"/>
      <c r="TV137" s="11"/>
      <c r="TW137" s="11"/>
      <c r="TX137" s="11"/>
      <c r="TY137" s="11"/>
      <c r="TZ137" s="11"/>
      <c r="UA137" s="11"/>
      <c r="UB137" s="11"/>
      <c r="UC137" s="11"/>
      <c r="UD137" s="11"/>
      <c r="UE137" s="11"/>
      <c r="UF137" s="11"/>
      <c r="UG137" s="11"/>
      <c r="UH137" s="11"/>
      <c r="UI137" s="11"/>
      <c r="UJ137" s="11"/>
      <c r="UK137" s="11"/>
      <c r="UL137" s="11"/>
      <c r="UM137" s="11"/>
      <c r="UN137" s="11"/>
      <c r="UO137" s="11"/>
      <c r="UP137" s="11"/>
      <c r="UQ137" s="11"/>
      <c r="UR137" s="11"/>
      <c r="US137" s="11"/>
      <c r="UT137" s="11"/>
      <c r="UU137" s="11"/>
      <c r="UV137" s="11"/>
      <c r="UW137" s="11"/>
      <c r="UX137" s="11"/>
      <c r="UY137" s="11"/>
      <c r="UZ137" s="11"/>
      <c r="VA137" s="11"/>
      <c r="VB137" s="11"/>
      <c r="VC137" s="11"/>
      <c r="VD137" s="11"/>
      <c r="VE137" s="11"/>
      <c r="VF137" s="11"/>
      <c r="VG137" s="11"/>
      <c r="VH137" s="11"/>
      <c r="VI137" s="11"/>
      <c r="VJ137" s="11"/>
      <c r="VK137" s="11"/>
      <c r="VL137" s="11"/>
      <c r="VM137" s="11"/>
      <c r="VN137" s="11"/>
      <c r="VO137" s="11"/>
      <c r="VP137" s="11"/>
      <c r="VQ137" s="11"/>
      <c r="VR137" s="11"/>
      <c r="VS137" s="11"/>
      <c r="VT137" s="11"/>
      <c r="VU137" s="11"/>
      <c r="VV137" s="11"/>
      <c r="VW137" s="11"/>
      <c r="VX137" s="11"/>
      <c r="VY137" s="11"/>
      <c r="VZ137" s="11"/>
      <c r="WA137" s="11"/>
      <c r="WB137" s="11"/>
      <c r="WC137" s="11"/>
      <c r="WD137" s="11"/>
      <c r="WE137" s="11"/>
      <c r="WF137" s="11"/>
      <c r="WG137" s="11"/>
      <c r="WH137" s="11"/>
      <c r="WI137" s="11"/>
      <c r="WJ137" s="11"/>
      <c r="WK137" s="11"/>
      <c r="WL137" s="11"/>
      <c r="WM137" s="11"/>
      <c r="WN137" s="11"/>
      <c r="WO137" s="11"/>
      <c r="WP137" s="11"/>
      <c r="WQ137" s="11"/>
      <c r="WR137" s="11"/>
      <c r="WS137" s="11"/>
      <c r="WT137" s="11"/>
      <c r="WU137" s="11"/>
      <c r="WV137" s="11"/>
      <c r="WW137" s="11"/>
      <c r="WX137" s="11"/>
      <c r="WY137" s="11"/>
      <c r="WZ137" s="11"/>
      <c r="XA137" s="11"/>
      <c r="XB137" s="11"/>
      <c r="XC137" s="11"/>
      <c r="XD137" s="11"/>
      <c r="XE137" s="11"/>
      <c r="XF137" s="11"/>
      <c r="XG137" s="11"/>
      <c r="XH137" s="11"/>
      <c r="XI137" s="11"/>
      <c r="XJ137" s="11"/>
      <c r="XK137" s="11"/>
      <c r="XL137" s="11"/>
      <c r="XM137" s="11"/>
      <c r="XN137" s="11"/>
      <c r="XO137" s="11"/>
      <c r="XP137" s="11"/>
      <c r="XQ137" s="11"/>
      <c r="XR137" s="11"/>
      <c r="XS137" s="11"/>
      <c r="XT137" s="11"/>
      <c r="XU137" s="11"/>
      <c r="XV137" s="11"/>
      <c r="XW137" s="11"/>
      <c r="XX137" s="11"/>
      <c r="XY137" s="11"/>
      <c r="XZ137" s="11"/>
      <c r="YA137" s="11"/>
      <c r="YB137" s="11"/>
      <c r="YC137" s="11"/>
      <c r="YD137" s="11"/>
      <c r="YE137" s="11"/>
      <c r="YF137" s="11"/>
      <c r="YG137" s="11"/>
      <c r="YH137" s="11"/>
      <c r="YI137" s="11"/>
      <c r="YJ137" s="11"/>
      <c r="YK137" s="11"/>
      <c r="YL137" s="11"/>
      <c r="YM137" s="11"/>
      <c r="YN137" s="11"/>
      <c r="YO137" s="11"/>
      <c r="YP137" s="11"/>
      <c r="YQ137" s="11"/>
      <c r="YR137" s="11"/>
      <c r="YS137" s="11"/>
      <c r="YT137" s="11"/>
      <c r="YU137" s="11"/>
      <c r="YV137" s="11"/>
      <c r="YW137" s="11"/>
      <c r="YX137" s="11"/>
      <c r="YY137" s="11"/>
      <c r="YZ137" s="11"/>
      <c r="ZA137" s="11"/>
      <c r="ZB137" s="11"/>
      <c r="ZC137" s="11"/>
      <c r="ZD137" s="11"/>
      <c r="ZE137" s="11"/>
      <c r="ZF137" s="11"/>
      <c r="ZG137" s="11"/>
      <c r="ZH137" s="11"/>
      <c r="ZI137" s="11"/>
      <c r="ZJ137" s="11"/>
      <c r="ZK137" s="11"/>
      <c r="ZL137" s="11"/>
      <c r="ZM137" s="11"/>
      <c r="ZN137" s="11"/>
      <c r="ZO137" s="11"/>
      <c r="ZP137" s="11"/>
      <c r="ZQ137" s="11"/>
      <c r="ZR137" s="11"/>
      <c r="ZS137" s="11"/>
      <c r="ZT137" s="11"/>
      <c r="ZU137" s="11"/>
      <c r="ZV137" s="11"/>
      <c r="ZW137" s="11"/>
      <c r="ZX137" s="11"/>
      <c r="ZY137" s="11"/>
      <c r="ZZ137" s="11"/>
      <c r="AAA137" s="11"/>
      <c r="AAB137" s="11"/>
      <c r="AAC137" s="11"/>
      <c r="AAD137" s="11"/>
      <c r="AAE137" s="11"/>
      <c r="AAF137" s="11"/>
      <c r="AAG137" s="11"/>
      <c r="AAH137" s="11"/>
      <c r="AAI137" s="11"/>
      <c r="AAJ137" s="11"/>
      <c r="AAK137" s="11"/>
      <c r="AAL137" s="11"/>
      <c r="AAM137" s="11"/>
      <c r="AAN137" s="11"/>
      <c r="AAO137" s="11"/>
      <c r="AAP137" s="11"/>
      <c r="AAQ137" s="11"/>
      <c r="AAR137" s="11"/>
      <c r="AAS137" s="11"/>
      <c r="AAT137" s="11"/>
      <c r="AAU137" s="11"/>
      <c r="AAV137" s="11"/>
      <c r="AAW137" s="11"/>
      <c r="AAX137" s="11"/>
      <c r="AAY137" s="11"/>
      <c r="AAZ137" s="11"/>
      <c r="ABA137" s="11"/>
      <c r="ABB137" s="11"/>
      <c r="ABC137" s="11"/>
      <c r="ABD137" s="11"/>
      <c r="ABE137" s="11"/>
      <c r="ABF137" s="11"/>
      <c r="ABG137" s="11"/>
      <c r="ABH137" s="11"/>
      <c r="ABI137" s="11"/>
      <c r="ABJ137" s="11"/>
      <c r="ABK137" s="11"/>
      <c r="ABL137" s="11"/>
      <c r="ABM137" s="11"/>
      <c r="ABN137" s="11"/>
      <c r="ABO137" s="11"/>
      <c r="ABP137" s="11"/>
      <c r="ABQ137" s="11"/>
      <c r="ABR137" s="11"/>
      <c r="ABS137" s="11"/>
      <c r="ABT137" s="11"/>
      <c r="ABU137" s="11"/>
      <c r="ABV137" s="11"/>
      <c r="ABW137" s="11"/>
      <c r="ABX137" s="11"/>
      <c r="ABY137" s="11"/>
      <c r="ABZ137" s="11"/>
      <c r="ACA137" s="11"/>
      <c r="ACB137" s="11"/>
      <c r="ACC137" s="11"/>
      <c r="ACD137" s="11"/>
      <c r="ACE137" s="11"/>
      <c r="ACF137" s="11"/>
      <c r="ACG137" s="11"/>
      <c r="ACH137" s="11"/>
      <c r="ACI137" s="11"/>
      <c r="ACJ137" s="11"/>
      <c r="ACK137" s="11"/>
      <c r="ACL137" s="11"/>
      <c r="ACM137" s="11"/>
      <c r="ACN137" s="11"/>
      <c r="ACO137" s="11"/>
      <c r="ACP137" s="11"/>
      <c r="ACQ137" s="11"/>
      <c r="ACR137" s="11"/>
      <c r="ACS137" s="11"/>
      <c r="ACT137" s="11"/>
      <c r="ACU137" s="11"/>
      <c r="ACV137" s="11"/>
      <c r="ACW137" s="11"/>
      <c r="ACX137" s="11"/>
      <c r="ACY137" s="11"/>
      <c r="ACZ137" s="11"/>
      <c r="ADA137" s="11"/>
      <c r="ADB137" s="11"/>
      <c r="ADC137" s="11"/>
      <c r="ADD137" s="11"/>
      <c r="ADE137" s="11"/>
      <c r="ADF137" s="11"/>
      <c r="ADG137" s="11"/>
      <c r="ADH137" s="11"/>
      <c r="ADI137" s="11"/>
      <c r="ADJ137" s="11"/>
      <c r="ADK137" s="11"/>
      <c r="ADL137" s="11"/>
      <c r="ADM137" s="11"/>
      <c r="ADN137" s="11"/>
      <c r="ADO137" s="11"/>
      <c r="ADP137" s="11"/>
      <c r="ADQ137" s="11"/>
      <c r="ADR137" s="11"/>
      <c r="ADS137" s="11"/>
      <c r="ADT137" s="11"/>
      <c r="ADU137" s="11"/>
      <c r="ADV137" s="11"/>
      <c r="ADW137" s="11"/>
      <c r="ADX137" s="11"/>
      <c r="ADY137" s="11"/>
      <c r="ADZ137" s="11"/>
      <c r="AEA137" s="11"/>
      <c r="AEB137" s="11"/>
      <c r="AEC137" s="11"/>
      <c r="AED137" s="11"/>
      <c r="AEE137" s="11"/>
      <c r="AEF137" s="11"/>
      <c r="AEG137" s="11"/>
      <c r="AEH137" s="11"/>
      <c r="AEI137" s="11"/>
      <c r="AEJ137" s="11"/>
      <c r="AEK137" s="11"/>
      <c r="AEL137" s="11"/>
      <c r="AEM137" s="11"/>
      <c r="AEN137" s="11"/>
      <c r="AEO137" s="11"/>
      <c r="AEP137" s="11"/>
      <c r="AEQ137" s="11"/>
      <c r="AER137" s="11"/>
      <c r="AES137" s="11"/>
      <c r="AET137" s="11"/>
      <c r="AEU137" s="11"/>
      <c r="AEV137" s="11"/>
      <c r="AEW137" s="11"/>
      <c r="AEX137" s="11"/>
      <c r="AEY137" s="11"/>
      <c r="AEZ137" s="11"/>
      <c r="AFA137" s="11"/>
      <c r="AFB137" s="11"/>
      <c r="AFC137" s="11"/>
      <c r="AFD137" s="11"/>
      <c r="AFE137" s="11"/>
      <c r="AFF137" s="11"/>
      <c r="AFG137" s="11"/>
      <c r="AFH137" s="11"/>
      <c r="AFI137" s="11"/>
    </row>
    <row r="138" spans="2:84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c r="IW138" s="11"/>
      <c r="IX138" s="11"/>
      <c r="IY138" s="11"/>
      <c r="IZ138" s="11"/>
      <c r="JA138" s="11"/>
      <c r="JB138" s="11"/>
      <c r="JC138" s="11"/>
      <c r="JD138" s="11"/>
      <c r="JE138" s="11"/>
      <c r="JF138" s="11"/>
      <c r="JG138" s="11"/>
      <c r="JH138" s="11"/>
      <c r="JI138" s="11"/>
      <c r="JJ138" s="11"/>
      <c r="JK138" s="11"/>
      <c r="JL138" s="11"/>
      <c r="JM138" s="11"/>
      <c r="JN138" s="11"/>
      <c r="JO138" s="11"/>
      <c r="JP138" s="11"/>
      <c r="JQ138" s="11"/>
      <c r="JR138" s="11"/>
      <c r="JS138" s="11"/>
      <c r="JT138" s="11"/>
      <c r="JU138" s="11"/>
      <c r="JV138" s="11"/>
      <c r="JW138" s="11"/>
      <c r="JX138" s="11"/>
      <c r="JY138" s="11"/>
      <c r="JZ138" s="11"/>
      <c r="KA138" s="11"/>
      <c r="KB138" s="11"/>
      <c r="KC138" s="11"/>
      <c r="KD138" s="11"/>
      <c r="KE138" s="11"/>
      <c r="KF138" s="11"/>
      <c r="KG138" s="11"/>
      <c r="KH138" s="11"/>
      <c r="KI138" s="11"/>
      <c r="KJ138" s="11"/>
      <c r="KK138" s="11"/>
      <c r="KL138" s="11"/>
      <c r="KM138" s="11"/>
      <c r="KN138" s="11"/>
      <c r="KO138" s="11"/>
      <c r="KP138" s="11"/>
      <c r="KQ138" s="11"/>
      <c r="KR138" s="11"/>
      <c r="KS138" s="11"/>
      <c r="KT138" s="11"/>
      <c r="KU138" s="11"/>
      <c r="KV138" s="11"/>
      <c r="KW138" s="11"/>
      <c r="KX138" s="11"/>
      <c r="KY138" s="11"/>
      <c r="KZ138" s="11"/>
      <c r="LA138" s="11"/>
      <c r="LB138" s="11"/>
      <c r="LC138" s="11"/>
      <c r="LD138" s="11"/>
      <c r="LE138" s="11"/>
      <c r="LF138" s="11"/>
      <c r="LG138" s="11"/>
      <c r="LH138" s="11"/>
      <c r="LI138" s="11"/>
      <c r="LJ138" s="11"/>
      <c r="LK138" s="11"/>
      <c r="LL138" s="11"/>
      <c r="LM138" s="11"/>
      <c r="LN138" s="11"/>
      <c r="LO138" s="11"/>
      <c r="LP138" s="11"/>
      <c r="LQ138" s="11"/>
      <c r="LR138" s="11"/>
      <c r="LS138" s="11"/>
      <c r="LT138" s="11"/>
      <c r="LU138" s="11"/>
      <c r="LV138" s="11"/>
      <c r="LW138" s="11"/>
      <c r="LX138" s="11"/>
      <c r="LY138" s="11"/>
      <c r="LZ138" s="11"/>
      <c r="MA138" s="11"/>
      <c r="MB138" s="11"/>
      <c r="MC138" s="11"/>
      <c r="MD138" s="11"/>
      <c r="ME138" s="11"/>
      <c r="MF138" s="11"/>
      <c r="MG138" s="11"/>
      <c r="MH138" s="11"/>
      <c r="MI138" s="11"/>
      <c r="MJ138" s="11"/>
      <c r="MK138" s="11"/>
      <c r="ML138" s="11"/>
      <c r="MM138" s="11"/>
      <c r="MN138" s="11"/>
      <c r="MO138" s="11"/>
      <c r="MP138" s="11"/>
      <c r="MQ138" s="11"/>
      <c r="MR138" s="11"/>
      <c r="MS138" s="11"/>
      <c r="MT138" s="11"/>
      <c r="MU138" s="11"/>
      <c r="MV138" s="11"/>
      <c r="MW138" s="11"/>
      <c r="MX138" s="11"/>
      <c r="MY138" s="11"/>
      <c r="MZ138" s="11"/>
      <c r="NA138" s="11"/>
      <c r="NB138" s="11"/>
      <c r="NC138" s="11"/>
      <c r="ND138" s="11"/>
      <c r="NE138" s="11"/>
      <c r="NF138" s="11"/>
      <c r="NG138" s="11"/>
      <c r="NH138" s="11"/>
      <c r="NI138" s="11"/>
      <c r="NJ138" s="11"/>
      <c r="NK138" s="11"/>
      <c r="NL138" s="11"/>
      <c r="NM138" s="11"/>
      <c r="NN138" s="11"/>
      <c r="NO138" s="11"/>
      <c r="NP138" s="11"/>
      <c r="NQ138" s="11"/>
      <c r="NR138" s="11"/>
      <c r="NS138" s="11"/>
      <c r="NT138" s="11"/>
      <c r="NU138" s="11"/>
      <c r="NV138" s="11"/>
      <c r="NW138" s="11"/>
      <c r="NX138" s="11"/>
      <c r="NY138" s="11"/>
      <c r="NZ138" s="11"/>
      <c r="OA138" s="11"/>
      <c r="OB138" s="11"/>
      <c r="OC138" s="11"/>
      <c r="OD138" s="11"/>
      <c r="OE138" s="11"/>
      <c r="OF138" s="11"/>
      <c r="OG138" s="11"/>
      <c r="OH138" s="11"/>
      <c r="OI138" s="11"/>
      <c r="OJ138" s="11"/>
      <c r="OK138" s="11"/>
      <c r="OL138" s="11"/>
      <c r="OM138" s="11"/>
      <c r="ON138" s="11"/>
      <c r="OO138" s="11"/>
      <c r="OP138" s="11"/>
      <c r="OQ138" s="11"/>
      <c r="OR138" s="11"/>
      <c r="OS138" s="11"/>
      <c r="OT138" s="11"/>
      <c r="OU138" s="11"/>
      <c r="OV138" s="11"/>
      <c r="OW138" s="11"/>
      <c r="OX138" s="11"/>
      <c r="OY138" s="11"/>
      <c r="OZ138" s="11"/>
      <c r="PA138" s="11"/>
      <c r="PB138" s="11"/>
      <c r="PC138" s="11"/>
      <c r="PD138" s="11"/>
      <c r="PE138" s="11"/>
      <c r="PF138" s="11"/>
      <c r="PG138" s="11"/>
      <c r="PH138" s="11"/>
      <c r="PI138" s="11"/>
      <c r="PJ138" s="11"/>
      <c r="PK138" s="11"/>
      <c r="PL138" s="11"/>
      <c r="PM138" s="11"/>
      <c r="PN138" s="11"/>
      <c r="PO138" s="11"/>
      <c r="PP138" s="11"/>
      <c r="PQ138" s="11"/>
      <c r="PR138" s="11"/>
      <c r="PS138" s="11"/>
      <c r="PT138" s="11"/>
      <c r="PU138" s="11"/>
      <c r="PV138" s="11"/>
      <c r="PW138" s="11"/>
      <c r="PX138" s="11"/>
      <c r="PY138" s="11"/>
      <c r="PZ138" s="11"/>
      <c r="QA138" s="11"/>
      <c r="QB138" s="11"/>
      <c r="QC138" s="11"/>
      <c r="QD138" s="11"/>
      <c r="QE138" s="11"/>
      <c r="QF138" s="11"/>
      <c r="QG138" s="11"/>
      <c r="QH138" s="11"/>
      <c r="QI138" s="11"/>
      <c r="QJ138" s="11"/>
      <c r="QK138" s="11"/>
      <c r="QL138" s="11"/>
      <c r="QM138" s="11"/>
      <c r="QN138" s="11"/>
      <c r="QO138" s="11"/>
      <c r="QP138" s="11"/>
      <c r="QQ138" s="11"/>
      <c r="QR138" s="11"/>
      <c r="QS138" s="11"/>
      <c r="QT138" s="11"/>
      <c r="QU138" s="11"/>
      <c r="QV138" s="11"/>
      <c r="QW138" s="11"/>
      <c r="QX138" s="11"/>
      <c r="QY138" s="11"/>
      <c r="QZ138" s="11"/>
      <c r="RA138" s="11"/>
      <c r="RB138" s="11"/>
      <c r="RC138" s="11"/>
      <c r="RD138" s="11"/>
      <c r="RE138" s="11"/>
      <c r="RF138" s="11"/>
      <c r="RG138" s="11"/>
      <c r="RH138" s="11"/>
      <c r="RI138" s="11"/>
      <c r="RJ138" s="11"/>
      <c r="RK138" s="11"/>
      <c r="RL138" s="11"/>
      <c r="RM138" s="11"/>
      <c r="RN138" s="11"/>
      <c r="RO138" s="11"/>
      <c r="RP138" s="11"/>
      <c r="RQ138" s="11"/>
      <c r="RR138" s="11"/>
      <c r="RS138" s="11"/>
      <c r="RT138" s="11"/>
      <c r="RU138" s="11"/>
      <c r="RV138" s="11"/>
      <c r="RW138" s="11"/>
      <c r="RX138" s="11"/>
      <c r="RY138" s="11"/>
      <c r="RZ138" s="11"/>
      <c r="SA138" s="11"/>
      <c r="SB138" s="11"/>
      <c r="SC138" s="11"/>
      <c r="SD138" s="11"/>
      <c r="SE138" s="11"/>
      <c r="SF138" s="11"/>
      <c r="SG138" s="11"/>
      <c r="SH138" s="11"/>
      <c r="SI138" s="11"/>
      <c r="SJ138" s="11"/>
      <c r="SK138" s="11"/>
      <c r="SL138" s="11"/>
      <c r="SM138" s="11"/>
      <c r="SN138" s="11"/>
      <c r="SO138" s="11"/>
      <c r="SP138" s="11"/>
      <c r="SQ138" s="11"/>
      <c r="SR138" s="11"/>
      <c r="SS138" s="11"/>
      <c r="ST138" s="11"/>
      <c r="SU138" s="11"/>
      <c r="SV138" s="11"/>
      <c r="SW138" s="11"/>
      <c r="SX138" s="11"/>
      <c r="SY138" s="11"/>
      <c r="SZ138" s="11"/>
      <c r="TA138" s="11"/>
      <c r="TB138" s="11"/>
      <c r="TC138" s="11"/>
      <c r="TD138" s="11"/>
      <c r="TE138" s="11"/>
      <c r="TF138" s="11"/>
      <c r="TG138" s="11"/>
      <c r="TH138" s="11"/>
      <c r="TI138" s="11"/>
      <c r="TJ138" s="11"/>
      <c r="TK138" s="11"/>
      <c r="TL138" s="11"/>
      <c r="TM138" s="11"/>
      <c r="TN138" s="11"/>
      <c r="TO138" s="11"/>
      <c r="TP138" s="11"/>
      <c r="TQ138" s="11"/>
      <c r="TR138" s="11"/>
      <c r="TS138" s="11"/>
      <c r="TT138" s="11"/>
      <c r="TU138" s="11"/>
      <c r="TV138" s="11"/>
      <c r="TW138" s="11"/>
      <c r="TX138" s="11"/>
      <c r="TY138" s="11"/>
      <c r="TZ138" s="11"/>
      <c r="UA138" s="11"/>
      <c r="UB138" s="11"/>
      <c r="UC138" s="11"/>
      <c r="UD138" s="11"/>
      <c r="UE138" s="11"/>
      <c r="UF138" s="11"/>
      <c r="UG138" s="11"/>
      <c r="UH138" s="11"/>
      <c r="UI138" s="11"/>
      <c r="UJ138" s="11"/>
      <c r="UK138" s="11"/>
      <c r="UL138" s="11"/>
      <c r="UM138" s="11"/>
      <c r="UN138" s="11"/>
      <c r="UO138" s="11"/>
      <c r="UP138" s="11"/>
      <c r="UQ138" s="11"/>
      <c r="UR138" s="11"/>
      <c r="US138" s="11"/>
      <c r="UT138" s="11"/>
      <c r="UU138" s="11"/>
      <c r="UV138" s="11"/>
      <c r="UW138" s="11"/>
      <c r="UX138" s="11"/>
      <c r="UY138" s="11"/>
      <c r="UZ138" s="11"/>
      <c r="VA138" s="11"/>
      <c r="VB138" s="11"/>
      <c r="VC138" s="11"/>
      <c r="VD138" s="11"/>
      <c r="VE138" s="11"/>
      <c r="VF138" s="11"/>
      <c r="VG138" s="11"/>
      <c r="VH138" s="11"/>
      <c r="VI138" s="11"/>
      <c r="VJ138" s="11"/>
      <c r="VK138" s="11"/>
      <c r="VL138" s="11"/>
      <c r="VM138" s="11"/>
      <c r="VN138" s="11"/>
      <c r="VO138" s="11"/>
      <c r="VP138" s="11"/>
      <c r="VQ138" s="11"/>
      <c r="VR138" s="11"/>
      <c r="VS138" s="11"/>
      <c r="VT138" s="11"/>
      <c r="VU138" s="11"/>
      <c r="VV138" s="11"/>
      <c r="VW138" s="11"/>
      <c r="VX138" s="11"/>
      <c r="VY138" s="11"/>
      <c r="VZ138" s="11"/>
      <c r="WA138" s="11"/>
      <c r="WB138" s="11"/>
      <c r="WC138" s="11"/>
      <c r="WD138" s="11"/>
      <c r="WE138" s="11"/>
      <c r="WF138" s="11"/>
      <c r="WG138" s="11"/>
      <c r="WH138" s="11"/>
      <c r="WI138" s="11"/>
      <c r="WJ138" s="11"/>
      <c r="WK138" s="11"/>
      <c r="WL138" s="11"/>
      <c r="WM138" s="11"/>
      <c r="WN138" s="11"/>
      <c r="WO138" s="11"/>
      <c r="WP138" s="11"/>
      <c r="WQ138" s="11"/>
      <c r="WR138" s="11"/>
      <c r="WS138" s="11"/>
      <c r="WT138" s="11"/>
      <c r="WU138" s="11"/>
      <c r="WV138" s="11"/>
      <c r="WW138" s="11"/>
      <c r="WX138" s="11"/>
      <c r="WY138" s="11"/>
      <c r="WZ138" s="11"/>
      <c r="XA138" s="11"/>
      <c r="XB138" s="11"/>
      <c r="XC138" s="11"/>
      <c r="XD138" s="11"/>
      <c r="XE138" s="11"/>
      <c r="XF138" s="11"/>
      <c r="XG138" s="11"/>
      <c r="XH138" s="11"/>
      <c r="XI138" s="11"/>
      <c r="XJ138" s="11"/>
      <c r="XK138" s="11"/>
      <c r="XL138" s="11"/>
      <c r="XM138" s="11"/>
      <c r="XN138" s="11"/>
      <c r="XO138" s="11"/>
      <c r="XP138" s="11"/>
      <c r="XQ138" s="11"/>
      <c r="XR138" s="11"/>
      <c r="XS138" s="11"/>
      <c r="XT138" s="11"/>
      <c r="XU138" s="11"/>
      <c r="XV138" s="11"/>
      <c r="XW138" s="11"/>
      <c r="XX138" s="11"/>
      <c r="XY138" s="11"/>
      <c r="XZ138" s="11"/>
      <c r="YA138" s="11"/>
      <c r="YB138" s="11"/>
      <c r="YC138" s="11"/>
      <c r="YD138" s="11"/>
      <c r="YE138" s="11"/>
      <c r="YF138" s="11"/>
      <c r="YG138" s="11"/>
      <c r="YH138" s="11"/>
      <c r="YI138" s="11"/>
      <c r="YJ138" s="11"/>
      <c r="YK138" s="11"/>
      <c r="YL138" s="11"/>
      <c r="YM138" s="11"/>
      <c r="YN138" s="11"/>
      <c r="YO138" s="11"/>
      <c r="YP138" s="11"/>
      <c r="YQ138" s="11"/>
      <c r="YR138" s="11"/>
      <c r="YS138" s="11"/>
      <c r="YT138" s="11"/>
      <c r="YU138" s="11"/>
      <c r="YV138" s="11"/>
      <c r="YW138" s="11"/>
      <c r="YX138" s="11"/>
      <c r="YY138" s="11"/>
      <c r="YZ138" s="11"/>
      <c r="ZA138" s="11"/>
      <c r="ZB138" s="11"/>
      <c r="ZC138" s="11"/>
      <c r="ZD138" s="11"/>
      <c r="ZE138" s="11"/>
      <c r="ZF138" s="11"/>
      <c r="ZG138" s="11"/>
      <c r="ZH138" s="11"/>
      <c r="ZI138" s="11"/>
      <c r="ZJ138" s="11"/>
      <c r="ZK138" s="11"/>
      <c r="ZL138" s="11"/>
      <c r="ZM138" s="11"/>
      <c r="ZN138" s="11"/>
      <c r="ZO138" s="11"/>
      <c r="ZP138" s="11"/>
      <c r="ZQ138" s="11"/>
      <c r="ZR138" s="11"/>
      <c r="ZS138" s="11"/>
      <c r="ZT138" s="11"/>
      <c r="ZU138" s="11"/>
      <c r="ZV138" s="11"/>
      <c r="ZW138" s="11"/>
      <c r="ZX138" s="11"/>
      <c r="ZY138" s="11"/>
      <c r="ZZ138" s="11"/>
      <c r="AAA138" s="11"/>
      <c r="AAB138" s="11"/>
      <c r="AAC138" s="11"/>
      <c r="AAD138" s="11"/>
      <c r="AAE138" s="11"/>
      <c r="AAF138" s="11"/>
      <c r="AAG138" s="11"/>
      <c r="AAH138" s="11"/>
      <c r="AAI138" s="11"/>
      <c r="AAJ138" s="11"/>
      <c r="AAK138" s="11"/>
      <c r="AAL138" s="11"/>
      <c r="AAM138" s="11"/>
      <c r="AAN138" s="11"/>
      <c r="AAO138" s="11"/>
      <c r="AAP138" s="11"/>
      <c r="AAQ138" s="11"/>
      <c r="AAR138" s="11"/>
      <c r="AAS138" s="11"/>
      <c r="AAT138" s="11"/>
      <c r="AAU138" s="11"/>
      <c r="AAV138" s="11"/>
      <c r="AAW138" s="11"/>
      <c r="AAX138" s="11"/>
      <c r="AAY138" s="11"/>
      <c r="AAZ138" s="11"/>
      <c r="ABA138" s="11"/>
      <c r="ABB138" s="11"/>
      <c r="ABC138" s="11"/>
      <c r="ABD138" s="11"/>
      <c r="ABE138" s="11"/>
      <c r="ABF138" s="11"/>
      <c r="ABG138" s="11"/>
      <c r="ABH138" s="11"/>
      <c r="ABI138" s="11"/>
      <c r="ABJ138" s="11"/>
      <c r="ABK138" s="11"/>
      <c r="ABL138" s="11"/>
      <c r="ABM138" s="11"/>
      <c r="ABN138" s="11"/>
      <c r="ABO138" s="11"/>
      <c r="ABP138" s="11"/>
      <c r="ABQ138" s="11"/>
      <c r="ABR138" s="11"/>
      <c r="ABS138" s="11"/>
      <c r="ABT138" s="11"/>
      <c r="ABU138" s="11"/>
      <c r="ABV138" s="11"/>
      <c r="ABW138" s="11"/>
      <c r="ABX138" s="11"/>
      <c r="ABY138" s="11"/>
      <c r="ABZ138" s="11"/>
      <c r="ACA138" s="11"/>
      <c r="ACB138" s="11"/>
      <c r="ACC138" s="11"/>
      <c r="ACD138" s="11"/>
      <c r="ACE138" s="11"/>
      <c r="ACF138" s="11"/>
      <c r="ACG138" s="11"/>
      <c r="ACH138" s="11"/>
      <c r="ACI138" s="11"/>
      <c r="ACJ138" s="11"/>
      <c r="ACK138" s="11"/>
      <c r="ACL138" s="11"/>
      <c r="ACM138" s="11"/>
      <c r="ACN138" s="11"/>
      <c r="ACO138" s="11"/>
      <c r="ACP138" s="11"/>
      <c r="ACQ138" s="11"/>
      <c r="ACR138" s="11"/>
      <c r="ACS138" s="11"/>
      <c r="ACT138" s="11"/>
      <c r="ACU138" s="11"/>
      <c r="ACV138" s="11"/>
      <c r="ACW138" s="11"/>
      <c r="ACX138" s="11"/>
      <c r="ACY138" s="11"/>
      <c r="ACZ138" s="11"/>
      <c r="ADA138" s="11"/>
      <c r="ADB138" s="11"/>
      <c r="ADC138" s="11"/>
      <c r="ADD138" s="11"/>
      <c r="ADE138" s="11"/>
      <c r="ADF138" s="11"/>
      <c r="ADG138" s="11"/>
      <c r="ADH138" s="11"/>
      <c r="ADI138" s="11"/>
      <c r="ADJ138" s="11"/>
      <c r="ADK138" s="11"/>
      <c r="ADL138" s="11"/>
      <c r="ADM138" s="11"/>
      <c r="ADN138" s="11"/>
      <c r="ADO138" s="11"/>
      <c r="ADP138" s="11"/>
      <c r="ADQ138" s="11"/>
      <c r="ADR138" s="11"/>
      <c r="ADS138" s="11"/>
      <c r="ADT138" s="11"/>
      <c r="ADU138" s="11"/>
      <c r="ADV138" s="11"/>
      <c r="ADW138" s="11"/>
      <c r="ADX138" s="11"/>
      <c r="ADY138" s="11"/>
      <c r="ADZ138" s="11"/>
      <c r="AEA138" s="11"/>
      <c r="AEB138" s="11"/>
      <c r="AEC138" s="11"/>
      <c r="AED138" s="11"/>
      <c r="AEE138" s="11"/>
      <c r="AEF138" s="11"/>
      <c r="AEG138" s="11"/>
      <c r="AEH138" s="11"/>
      <c r="AEI138" s="11"/>
      <c r="AEJ138" s="11"/>
      <c r="AEK138" s="11"/>
      <c r="AEL138" s="11"/>
      <c r="AEM138" s="11"/>
      <c r="AEN138" s="11"/>
      <c r="AEO138" s="11"/>
      <c r="AEP138" s="11"/>
      <c r="AEQ138" s="11"/>
      <c r="AER138" s="11"/>
      <c r="AES138" s="11"/>
      <c r="AET138" s="11"/>
      <c r="AEU138" s="11"/>
      <c r="AEV138" s="11"/>
      <c r="AEW138" s="11"/>
      <c r="AEX138" s="11"/>
      <c r="AEY138" s="11"/>
      <c r="AEZ138" s="11"/>
      <c r="AFA138" s="11"/>
      <c r="AFB138" s="11"/>
      <c r="AFC138" s="11"/>
      <c r="AFD138" s="11"/>
      <c r="AFE138" s="11"/>
      <c r="AFF138" s="11"/>
      <c r="AFG138" s="11"/>
      <c r="AFH138" s="11"/>
      <c r="AFI138" s="11"/>
    </row>
    <row r="139" spans="2:84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c r="IW139" s="11"/>
      <c r="IX139" s="11"/>
      <c r="IY139" s="11"/>
      <c r="IZ139" s="11"/>
      <c r="JA139" s="11"/>
      <c r="JB139" s="11"/>
      <c r="JC139" s="11"/>
      <c r="JD139" s="11"/>
      <c r="JE139" s="11"/>
      <c r="JF139" s="11"/>
      <c r="JG139" s="11"/>
      <c r="JH139" s="11"/>
      <c r="JI139" s="11"/>
      <c r="JJ139" s="11"/>
      <c r="JK139" s="11"/>
      <c r="JL139" s="11"/>
      <c r="JM139" s="11"/>
      <c r="JN139" s="11"/>
      <c r="JO139" s="11"/>
      <c r="JP139" s="11"/>
      <c r="JQ139" s="11"/>
      <c r="JR139" s="11"/>
      <c r="JS139" s="11"/>
      <c r="JT139" s="11"/>
      <c r="JU139" s="11"/>
      <c r="JV139" s="11"/>
      <c r="JW139" s="11"/>
      <c r="JX139" s="11"/>
      <c r="JY139" s="11"/>
      <c r="JZ139" s="11"/>
      <c r="KA139" s="11"/>
      <c r="KB139" s="11"/>
      <c r="KC139" s="11"/>
      <c r="KD139" s="11"/>
      <c r="KE139" s="11"/>
      <c r="KF139" s="11"/>
      <c r="KG139" s="11"/>
      <c r="KH139" s="11"/>
      <c r="KI139" s="11"/>
      <c r="KJ139" s="11"/>
      <c r="KK139" s="11"/>
      <c r="KL139" s="11"/>
      <c r="KM139" s="11"/>
      <c r="KN139" s="11"/>
      <c r="KO139" s="11"/>
      <c r="KP139" s="11"/>
      <c r="KQ139" s="11"/>
      <c r="KR139" s="11"/>
      <c r="KS139" s="11"/>
      <c r="KT139" s="11"/>
      <c r="KU139" s="11"/>
      <c r="KV139" s="11"/>
      <c r="KW139" s="11"/>
      <c r="KX139" s="11"/>
      <c r="KY139" s="11"/>
      <c r="KZ139" s="11"/>
      <c r="LA139" s="11"/>
      <c r="LB139" s="11"/>
      <c r="LC139" s="11"/>
      <c r="LD139" s="11"/>
      <c r="LE139" s="11"/>
      <c r="LF139" s="11"/>
      <c r="LG139" s="11"/>
      <c r="LH139" s="11"/>
      <c r="LI139" s="11"/>
      <c r="LJ139" s="11"/>
      <c r="LK139" s="11"/>
      <c r="LL139" s="11"/>
      <c r="LM139" s="11"/>
      <c r="LN139" s="11"/>
      <c r="LO139" s="11"/>
      <c r="LP139" s="11"/>
      <c r="LQ139" s="11"/>
      <c r="LR139" s="11"/>
      <c r="LS139" s="11"/>
      <c r="LT139" s="11"/>
      <c r="LU139" s="11"/>
      <c r="LV139" s="11"/>
      <c r="LW139" s="11"/>
      <c r="LX139" s="11"/>
      <c r="LY139" s="11"/>
      <c r="LZ139" s="11"/>
      <c r="MA139" s="11"/>
      <c r="MB139" s="11"/>
      <c r="MC139" s="11"/>
      <c r="MD139" s="11"/>
      <c r="ME139" s="11"/>
      <c r="MF139" s="11"/>
      <c r="MG139" s="11"/>
      <c r="MH139" s="11"/>
      <c r="MI139" s="11"/>
      <c r="MJ139" s="11"/>
      <c r="MK139" s="11"/>
      <c r="ML139" s="11"/>
      <c r="MM139" s="11"/>
      <c r="MN139" s="11"/>
      <c r="MO139" s="11"/>
      <c r="MP139" s="11"/>
      <c r="MQ139" s="11"/>
      <c r="MR139" s="11"/>
      <c r="MS139" s="11"/>
      <c r="MT139" s="11"/>
      <c r="MU139" s="11"/>
      <c r="MV139" s="11"/>
      <c r="MW139" s="11"/>
      <c r="MX139" s="11"/>
      <c r="MY139" s="11"/>
      <c r="MZ139" s="11"/>
      <c r="NA139" s="11"/>
      <c r="NB139" s="11"/>
      <c r="NC139" s="11"/>
      <c r="ND139" s="11"/>
      <c r="NE139" s="11"/>
      <c r="NF139" s="11"/>
      <c r="NG139" s="11"/>
      <c r="NH139" s="11"/>
      <c r="NI139" s="11"/>
      <c r="NJ139" s="11"/>
      <c r="NK139" s="11"/>
      <c r="NL139" s="11"/>
      <c r="NM139" s="11"/>
      <c r="NN139" s="11"/>
      <c r="NO139" s="11"/>
      <c r="NP139" s="11"/>
      <c r="NQ139" s="11"/>
      <c r="NR139" s="11"/>
      <c r="NS139" s="11"/>
      <c r="NT139" s="11"/>
      <c r="NU139" s="11"/>
      <c r="NV139" s="11"/>
      <c r="NW139" s="11"/>
      <c r="NX139" s="11"/>
      <c r="NY139" s="11"/>
      <c r="NZ139" s="11"/>
      <c r="OA139" s="11"/>
      <c r="OB139" s="11"/>
      <c r="OC139" s="11"/>
      <c r="OD139" s="11"/>
      <c r="OE139" s="11"/>
      <c r="OF139" s="11"/>
      <c r="OG139" s="11"/>
      <c r="OH139" s="11"/>
      <c r="OI139" s="11"/>
      <c r="OJ139" s="11"/>
      <c r="OK139" s="11"/>
      <c r="OL139" s="11"/>
      <c r="OM139" s="11"/>
      <c r="ON139" s="11"/>
      <c r="OO139" s="11"/>
      <c r="OP139" s="11"/>
      <c r="OQ139" s="11"/>
      <c r="OR139" s="11"/>
      <c r="OS139" s="11"/>
      <c r="OT139" s="11"/>
      <c r="OU139" s="11"/>
      <c r="OV139" s="11"/>
      <c r="OW139" s="11"/>
      <c r="OX139" s="11"/>
      <c r="OY139" s="11"/>
      <c r="OZ139" s="11"/>
      <c r="PA139" s="11"/>
      <c r="PB139" s="11"/>
      <c r="PC139" s="11"/>
      <c r="PD139" s="11"/>
      <c r="PE139" s="11"/>
      <c r="PF139" s="11"/>
      <c r="PG139" s="11"/>
      <c r="PH139" s="11"/>
      <c r="PI139" s="11"/>
      <c r="PJ139" s="11"/>
      <c r="PK139" s="11"/>
      <c r="PL139" s="11"/>
      <c r="PM139" s="11"/>
      <c r="PN139" s="11"/>
      <c r="PO139" s="11"/>
      <c r="PP139" s="11"/>
      <c r="PQ139" s="11"/>
      <c r="PR139" s="11"/>
      <c r="PS139" s="11"/>
      <c r="PT139" s="11"/>
      <c r="PU139" s="11"/>
      <c r="PV139" s="11"/>
      <c r="PW139" s="11"/>
      <c r="PX139" s="11"/>
      <c r="PY139" s="11"/>
      <c r="PZ139" s="11"/>
      <c r="QA139" s="11"/>
      <c r="QB139" s="11"/>
      <c r="QC139" s="11"/>
      <c r="QD139" s="11"/>
      <c r="QE139" s="11"/>
      <c r="QF139" s="11"/>
      <c r="QG139" s="11"/>
      <c r="QH139" s="11"/>
      <c r="QI139" s="11"/>
      <c r="QJ139" s="11"/>
      <c r="QK139" s="11"/>
      <c r="QL139" s="11"/>
      <c r="QM139" s="11"/>
      <c r="QN139" s="11"/>
      <c r="QO139" s="11"/>
      <c r="QP139" s="11"/>
      <c r="QQ139" s="11"/>
      <c r="QR139" s="11"/>
      <c r="QS139" s="11"/>
      <c r="QT139" s="11"/>
      <c r="QU139" s="11"/>
      <c r="QV139" s="11"/>
      <c r="QW139" s="11"/>
      <c r="QX139" s="11"/>
      <c r="QY139" s="11"/>
      <c r="QZ139" s="11"/>
      <c r="RA139" s="11"/>
      <c r="RB139" s="11"/>
      <c r="RC139" s="11"/>
      <c r="RD139" s="11"/>
      <c r="RE139" s="11"/>
      <c r="RF139" s="11"/>
      <c r="RG139" s="11"/>
      <c r="RH139" s="11"/>
      <c r="RI139" s="11"/>
      <c r="RJ139" s="11"/>
      <c r="RK139" s="11"/>
      <c r="RL139" s="11"/>
      <c r="RM139" s="11"/>
      <c r="RN139" s="11"/>
      <c r="RO139" s="11"/>
      <c r="RP139" s="11"/>
      <c r="RQ139" s="11"/>
      <c r="RR139" s="11"/>
      <c r="RS139" s="11"/>
      <c r="RT139" s="11"/>
      <c r="RU139" s="11"/>
      <c r="RV139" s="11"/>
      <c r="RW139" s="11"/>
      <c r="RX139" s="11"/>
      <c r="RY139" s="11"/>
      <c r="RZ139" s="11"/>
      <c r="SA139" s="11"/>
      <c r="SB139" s="11"/>
      <c r="SC139" s="11"/>
      <c r="SD139" s="11"/>
      <c r="SE139" s="11"/>
      <c r="SF139" s="11"/>
      <c r="SG139" s="11"/>
      <c r="SH139" s="11"/>
      <c r="SI139" s="11"/>
      <c r="SJ139" s="11"/>
      <c r="SK139" s="11"/>
      <c r="SL139" s="11"/>
      <c r="SM139" s="11"/>
      <c r="SN139" s="11"/>
      <c r="SO139" s="11"/>
      <c r="SP139" s="11"/>
      <c r="SQ139" s="11"/>
      <c r="SR139" s="11"/>
      <c r="SS139" s="11"/>
      <c r="ST139" s="11"/>
      <c r="SU139" s="11"/>
      <c r="SV139" s="11"/>
      <c r="SW139" s="11"/>
      <c r="SX139" s="11"/>
      <c r="SY139" s="11"/>
      <c r="SZ139" s="11"/>
      <c r="TA139" s="11"/>
      <c r="TB139" s="11"/>
      <c r="TC139" s="11"/>
      <c r="TD139" s="11"/>
      <c r="TE139" s="11"/>
      <c r="TF139" s="11"/>
      <c r="TG139" s="11"/>
      <c r="TH139" s="11"/>
      <c r="TI139" s="11"/>
      <c r="TJ139" s="11"/>
      <c r="TK139" s="11"/>
      <c r="TL139" s="11"/>
      <c r="TM139" s="11"/>
      <c r="TN139" s="11"/>
      <c r="TO139" s="11"/>
      <c r="TP139" s="11"/>
      <c r="TQ139" s="11"/>
      <c r="TR139" s="11"/>
      <c r="TS139" s="11"/>
      <c r="TT139" s="11"/>
      <c r="TU139" s="11"/>
      <c r="TV139" s="11"/>
      <c r="TW139" s="11"/>
      <c r="TX139" s="11"/>
      <c r="TY139" s="11"/>
      <c r="TZ139" s="11"/>
      <c r="UA139" s="11"/>
      <c r="UB139" s="11"/>
      <c r="UC139" s="11"/>
      <c r="UD139" s="11"/>
      <c r="UE139" s="11"/>
      <c r="UF139" s="11"/>
      <c r="UG139" s="11"/>
      <c r="UH139" s="11"/>
      <c r="UI139" s="11"/>
      <c r="UJ139" s="11"/>
      <c r="UK139" s="11"/>
      <c r="UL139" s="11"/>
      <c r="UM139" s="11"/>
      <c r="UN139" s="11"/>
      <c r="UO139" s="11"/>
      <c r="UP139" s="11"/>
      <c r="UQ139" s="11"/>
      <c r="UR139" s="11"/>
      <c r="US139" s="11"/>
      <c r="UT139" s="11"/>
      <c r="UU139" s="11"/>
      <c r="UV139" s="11"/>
      <c r="UW139" s="11"/>
      <c r="UX139" s="11"/>
      <c r="UY139" s="11"/>
      <c r="UZ139" s="11"/>
      <c r="VA139" s="11"/>
      <c r="VB139" s="11"/>
      <c r="VC139" s="11"/>
      <c r="VD139" s="11"/>
      <c r="VE139" s="11"/>
      <c r="VF139" s="11"/>
      <c r="VG139" s="11"/>
      <c r="VH139" s="11"/>
      <c r="VI139" s="11"/>
      <c r="VJ139" s="11"/>
      <c r="VK139" s="11"/>
      <c r="VL139" s="11"/>
      <c r="VM139" s="11"/>
      <c r="VN139" s="11"/>
      <c r="VO139" s="11"/>
      <c r="VP139" s="11"/>
      <c r="VQ139" s="11"/>
      <c r="VR139" s="11"/>
      <c r="VS139" s="11"/>
      <c r="VT139" s="11"/>
      <c r="VU139" s="11"/>
      <c r="VV139" s="11"/>
      <c r="VW139" s="11"/>
      <c r="VX139" s="11"/>
      <c r="VY139" s="11"/>
      <c r="VZ139" s="11"/>
      <c r="WA139" s="11"/>
      <c r="WB139" s="11"/>
      <c r="WC139" s="11"/>
      <c r="WD139" s="11"/>
      <c r="WE139" s="11"/>
      <c r="WF139" s="11"/>
      <c r="WG139" s="11"/>
      <c r="WH139" s="11"/>
      <c r="WI139" s="11"/>
      <c r="WJ139" s="11"/>
      <c r="WK139" s="11"/>
      <c r="WL139" s="11"/>
      <c r="WM139" s="11"/>
      <c r="WN139" s="11"/>
      <c r="WO139" s="11"/>
      <c r="WP139" s="11"/>
      <c r="WQ139" s="11"/>
      <c r="WR139" s="11"/>
      <c r="WS139" s="11"/>
      <c r="WT139" s="11"/>
      <c r="WU139" s="11"/>
      <c r="WV139" s="11"/>
      <c r="WW139" s="11"/>
      <c r="WX139" s="11"/>
      <c r="WY139" s="11"/>
      <c r="WZ139" s="11"/>
      <c r="XA139" s="11"/>
      <c r="XB139" s="11"/>
      <c r="XC139" s="11"/>
      <c r="XD139" s="11"/>
      <c r="XE139" s="11"/>
      <c r="XF139" s="11"/>
      <c r="XG139" s="11"/>
      <c r="XH139" s="11"/>
      <c r="XI139" s="11"/>
      <c r="XJ139" s="11"/>
      <c r="XK139" s="11"/>
      <c r="XL139" s="11"/>
      <c r="XM139" s="11"/>
      <c r="XN139" s="11"/>
      <c r="XO139" s="11"/>
      <c r="XP139" s="11"/>
      <c r="XQ139" s="11"/>
      <c r="XR139" s="11"/>
      <c r="XS139" s="11"/>
      <c r="XT139" s="11"/>
      <c r="XU139" s="11"/>
      <c r="XV139" s="11"/>
      <c r="XW139" s="11"/>
      <c r="XX139" s="11"/>
      <c r="XY139" s="11"/>
      <c r="XZ139" s="11"/>
      <c r="YA139" s="11"/>
      <c r="YB139" s="11"/>
      <c r="YC139" s="11"/>
      <c r="YD139" s="11"/>
      <c r="YE139" s="11"/>
      <c r="YF139" s="11"/>
      <c r="YG139" s="11"/>
      <c r="YH139" s="11"/>
      <c r="YI139" s="11"/>
      <c r="YJ139" s="11"/>
      <c r="YK139" s="11"/>
      <c r="YL139" s="11"/>
      <c r="YM139" s="11"/>
      <c r="YN139" s="11"/>
      <c r="YO139" s="11"/>
      <c r="YP139" s="11"/>
      <c r="YQ139" s="11"/>
      <c r="YR139" s="11"/>
      <c r="YS139" s="11"/>
      <c r="YT139" s="11"/>
      <c r="YU139" s="11"/>
      <c r="YV139" s="11"/>
      <c r="YW139" s="11"/>
      <c r="YX139" s="11"/>
      <c r="YY139" s="11"/>
      <c r="YZ139" s="11"/>
      <c r="ZA139" s="11"/>
      <c r="ZB139" s="11"/>
      <c r="ZC139" s="11"/>
      <c r="ZD139" s="11"/>
      <c r="ZE139" s="11"/>
      <c r="ZF139" s="11"/>
      <c r="ZG139" s="11"/>
      <c r="ZH139" s="11"/>
      <c r="ZI139" s="11"/>
      <c r="ZJ139" s="11"/>
      <c r="ZK139" s="11"/>
      <c r="ZL139" s="11"/>
      <c r="ZM139" s="11"/>
      <c r="ZN139" s="11"/>
      <c r="ZO139" s="11"/>
      <c r="ZP139" s="11"/>
      <c r="ZQ139" s="11"/>
      <c r="ZR139" s="11"/>
      <c r="ZS139" s="11"/>
      <c r="ZT139" s="11"/>
      <c r="ZU139" s="11"/>
      <c r="ZV139" s="11"/>
      <c r="ZW139" s="11"/>
      <c r="ZX139" s="11"/>
      <c r="ZY139" s="11"/>
      <c r="ZZ139" s="11"/>
      <c r="AAA139" s="11"/>
      <c r="AAB139" s="11"/>
      <c r="AAC139" s="11"/>
      <c r="AAD139" s="11"/>
      <c r="AAE139" s="11"/>
      <c r="AAF139" s="11"/>
      <c r="AAG139" s="11"/>
      <c r="AAH139" s="11"/>
      <c r="AAI139" s="11"/>
      <c r="AAJ139" s="11"/>
      <c r="AAK139" s="11"/>
      <c r="AAL139" s="11"/>
      <c r="AAM139" s="11"/>
      <c r="AAN139" s="11"/>
      <c r="AAO139" s="11"/>
      <c r="AAP139" s="11"/>
      <c r="AAQ139" s="11"/>
      <c r="AAR139" s="11"/>
      <c r="AAS139" s="11"/>
      <c r="AAT139" s="11"/>
      <c r="AAU139" s="11"/>
      <c r="AAV139" s="11"/>
      <c r="AAW139" s="11"/>
      <c r="AAX139" s="11"/>
      <c r="AAY139" s="11"/>
      <c r="AAZ139" s="11"/>
      <c r="ABA139" s="11"/>
      <c r="ABB139" s="11"/>
      <c r="ABC139" s="11"/>
      <c r="ABD139" s="11"/>
      <c r="ABE139" s="11"/>
      <c r="ABF139" s="11"/>
      <c r="ABG139" s="11"/>
      <c r="ABH139" s="11"/>
      <c r="ABI139" s="11"/>
      <c r="ABJ139" s="11"/>
      <c r="ABK139" s="11"/>
      <c r="ABL139" s="11"/>
      <c r="ABM139" s="11"/>
      <c r="ABN139" s="11"/>
      <c r="ABO139" s="11"/>
      <c r="ABP139" s="11"/>
      <c r="ABQ139" s="11"/>
      <c r="ABR139" s="11"/>
      <c r="ABS139" s="11"/>
      <c r="ABT139" s="11"/>
      <c r="ABU139" s="11"/>
      <c r="ABV139" s="11"/>
      <c r="ABW139" s="11"/>
      <c r="ABX139" s="11"/>
      <c r="ABY139" s="11"/>
      <c r="ABZ139" s="11"/>
      <c r="ACA139" s="11"/>
      <c r="ACB139" s="11"/>
      <c r="ACC139" s="11"/>
      <c r="ACD139" s="11"/>
      <c r="ACE139" s="11"/>
      <c r="ACF139" s="11"/>
      <c r="ACG139" s="11"/>
      <c r="ACH139" s="11"/>
      <c r="ACI139" s="11"/>
      <c r="ACJ139" s="11"/>
      <c r="ACK139" s="11"/>
      <c r="ACL139" s="11"/>
      <c r="ACM139" s="11"/>
      <c r="ACN139" s="11"/>
      <c r="ACO139" s="11"/>
      <c r="ACP139" s="11"/>
      <c r="ACQ139" s="11"/>
      <c r="ACR139" s="11"/>
      <c r="ACS139" s="11"/>
      <c r="ACT139" s="11"/>
      <c r="ACU139" s="11"/>
      <c r="ACV139" s="11"/>
      <c r="ACW139" s="11"/>
      <c r="ACX139" s="11"/>
      <c r="ACY139" s="11"/>
      <c r="ACZ139" s="11"/>
      <c r="ADA139" s="11"/>
      <c r="ADB139" s="11"/>
      <c r="ADC139" s="11"/>
      <c r="ADD139" s="11"/>
      <c r="ADE139" s="11"/>
      <c r="ADF139" s="11"/>
      <c r="ADG139" s="11"/>
      <c r="ADH139" s="11"/>
      <c r="ADI139" s="11"/>
      <c r="ADJ139" s="11"/>
      <c r="ADK139" s="11"/>
      <c r="ADL139" s="11"/>
      <c r="ADM139" s="11"/>
      <c r="ADN139" s="11"/>
      <c r="ADO139" s="11"/>
      <c r="ADP139" s="11"/>
      <c r="ADQ139" s="11"/>
      <c r="ADR139" s="11"/>
      <c r="ADS139" s="11"/>
      <c r="ADT139" s="11"/>
      <c r="ADU139" s="11"/>
      <c r="ADV139" s="11"/>
      <c r="ADW139" s="11"/>
      <c r="ADX139" s="11"/>
      <c r="ADY139" s="11"/>
      <c r="ADZ139" s="11"/>
      <c r="AEA139" s="11"/>
      <c r="AEB139" s="11"/>
      <c r="AEC139" s="11"/>
      <c r="AED139" s="11"/>
      <c r="AEE139" s="11"/>
      <c r="AEF139" s="11"/>
      <c r="AEG139" s="11"/>
      <c r="AEH139" s="11"/>
      <c r="AEI139" s="11"/>
      <c r="AEJ139" s="11"/>
      <c r="AEK139" s="11"/>
      <c r="AEL139" s="11"/>
      <c r="AEM139" s="11"/>
      <c r="AEN139" s="11"/>
      <c r="AEO139" s="11"/>
      <c r="AEP139" s="11"/>
      <c r="AEQ139" s="11"/>
      <c r="AER139" s="11"/>
      <c r="AES139" s="11"/>
      <c r="AET139" s="11"/>
      <c r="AEU139" s="11"/>
      <c r="AEV139" s="11"/>
      <c r="AEW139" s="11"/>
      <c r="AEX139" s="11"/>
      <c r="AEY139" s="11"/>
      <c r="AEZ139" s="11"/>
      <c r="AFA139" s="11"/>
      <c r="AFB139" s="11"/>
      <c r="AFC139" s="11"/>
      <c r="AFD139" s="11"/>
      <c r="AFE139" s="11"/>
      <c r="AFF139" s="11"/>
      <c r="AFG139" s="11"/>
      <c r="AFH139" s="11"/>
      <c r="AFI139" s="11"/>
    </row>
    <row r="140" spans="2:84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c r="IW140" s="11"/>
      <c r="IX140" s="11"/>
      <c r="IY140" s="11"/>
      <c r="IZ140" s="11"/>
      <c r="JA140" s="11"/>
      <c r="JB140" s="11"/>
      <c r="JC140" s="11"/>
      <c r="JD140" s="11"/>
      <c r="JE140" s="11"/>
      <c r="JF140" s="11"/>
      <c r="JG140" s="11"/>
      <c r="JH140" s="11"/>
      <c r="JI140" s="11"/>
      <c r="JJ140" s="11"/>
      <c r="JK140" s="11"/>
      <c r="JL140" s="11"/>
      <c r="JM140" s="11"/>
      <c r="JN140" s="11"/>
      <c r="JO140" s="11"/>
      <c r="JP140" s="11"/>
      <c r="JQ140" s="11"/>
      <c r="JR140" s="11"/>
      <c r="JS140" s="11"/>
      <c r="JT140" s="11"/>
      <c r="JU140" s="11"/>
      <c r="JV140" s="11"/>
      <c r="JW140" s="11"/>
      <c r="JX140" s="11"/>
      <c r="JY140" s="11"/>
      <c r="JZ140" s="11"/>
      <c r="KA140" s="11"/>
      <c r="KB140" s="11"/>
      <c r="KC140" s="11"/>
      <c r="KD140" s="11"/>
      <c r="KE140" s="11"/>
      <c r="KF140" s="11"/>
      <c r="KG140" s="11"/>
      <c r="KH140" s="11"/>
      <c r="KI140" s="11"/>
      <c r="KJ140" s="11"/>
      <c r="KK140" s="11"/>
      <c r="KL140" s="11"/>
      <c r="KM140" s="11"/>
      <c r="KN140" s="11"/>
      <c r="KO140" s="11"/>
      <c r="KP140" s="11"/>
      <c r="KQ140" s="11"/>
      <c r="KR140" s="11"/>
      <c r="KS140" s="11"/>
      <c r="KT140" s="11"/>
      <c r="KU140" s="11"/>
      <c r="KV140" s="11"/>
      <c r="KW140" s="11"/>
      <c r="KX140" s="11"/>
      <c r="KY140" s="11"/>
      <c r="KZ140" s="11"/>
      <c r="LA140" s="11"/>
      <c r="LB140" s="11"/>
      <c r="LC140" s="11"/>
      <c r="LD140" s="11"/>
      <c r="LE140" s="11"/>
      <c r="LF140" s="11"/>
      <c r="LG140" s="11"/>
      <c r="LH140" s="11"/>
      <c r="LI140" s="11"/>
      <c r="LJ140" s="11"/>
      <c r="LK140" s="11"/>
      <c r="LL140" s="11"/>
      <c r="LM140" s="11"/>
      <c r="LN140" s="11"/>
      <c r="LO140" s="11"/>
      <c r="LP140" s="11"/>
      <c r="LQ140" s="11"/>
      <c r="LR140" s="11"/>
      <c r="LS140" s="11"/>
      <c r="LT140" s="11"/>
      <c r="LU140" s="11"/>
      <c r="LV140" s="11"/>
      <c r="LW140" s="11"/>
      <c r="LX140" s="11"/>
      <c r="LY140" s="11"/>
      <c r="LZ140" s="11"/>
      <c r="MA140" s="11"/>
      <c r="MB140" s="11"/>
      <c r="MC140" s="11"/>
      <c r="MD140" s="11"/>
      <c r="ME140" s="11"/>
      <c r="MF140" s="11"/>
      <c r="MG140" s="11"/>
      <c r="MH140" s="11"/>
      <c r="MI140" s="11"/>
      <c r="MJ140" s="11"/>
      <c r="MK140" s="11"/>
      <c r="ML140" s="11"/>
      <c r="MM140" s="11"/>
      <c r="MN140" s="11"/>
      <c r="MO140" s="11"/>
      <c r="MP140" s="11"/>
      <c r="MQ140" s="11"/>
      <c r="MR140" s="11"/>
      <c r="MS140" s="11"/>
      <c r="MT140" s="11"/>
      <c r="MU140" s="11"/>
      <c r="MV140" s="11"/>
      <c r="MW140" s="11"/>
      <c r="MX140" s="11"/>
      <c r="MY140" s="11"/>
      <c r="MZ140" s="11"/>
      <c r="NA140" s="11"/>
      <c r="NB140" s="11"/>
      <c r="NC140" s="11"/>
      <c r="ND140" s="11"/>
      <c r="NE140" s="11"/>
      <c r="NF140" s="11"/>
      <c r="NG140" s="11"/>
      <c r="NH140" s="11"/>
      <c r="NI140" s="11"/>
      <c r="NJ140" s="11"/>
      <c r="NK140" s="11"/>
      <c r="NL140" s="11"/>
      <c r="NM140" s="11"/>
      <c r="NN140" s="11"/>
      <c r="NO140" s="11"/>
      <c r="NP140" s="11"/>
      <c r="NQ140" s="11"/>
      <c r="NR140" s="11"/>
      <c r="NS140" s="11"/>
      <c r="NT140" s="11"/>
      <c r="NU140" s="11"/>
      <c r="NV140" s="11"/>
      <c r="NW140" s="11"/>
      <c r="NX140" s="11"/>
      <c r="NY140" s="11"/>
      <c r="NZ140" s="11"/>
      <c r="OA140" s="11"/>
      <c r="OB140" s="11"/>
      <c r="OC140" s="11"/>
      <c r="OD140" s="11"/>
      <c r="OE140" s="11"/>
      <c r="OF140" s="11"/>
      <c r="OG140" s="11"/>
      <c r="OH140" s="11"/>
      <c r="OI140" s="11"/>
      <c r="OJ140" s="11"/>
      <c r="OK140" s="11"/>
      <c r="OL140" s="11"/>
      <c r="OM140" s="11"/>
      <c r="ON140" s="11"/>
      <c r="OO140" s="11"/>
      <c r="OP140" s="11"/>
      <c r="OQ140" s="11"/>
      <c r="OR140" s="11"/>
      <c r="OS140" s="11"/>
      <c r="OT140" s="11"/>
      <c r="OU140" s="11"/>
      <c r="OV140" s="11"/>
      <c r="OW140" s="11"/>
      <c r="OX140" s="11"/>
      <c r="OY140" s="11"/>
      <c r="OZ140" s="11"/>
      <c r="PA140" s="11"/>
      <c r="PB140" s="11"/>
      <c r="PC140" s="11"/>
      <c r="PD140" s="11"/>
      <c r="PE140" s="11"/>
      <c r="PF140" s="11"/>
      <c r="PG140" s="11"/>
      <c r="PH140" s="11"/>
      <c r="PI140" s="11"/>
      <c r="PJ140" s="11"/>
      <c r="PK140" s="11"/>
      <c r="PL140" s="11"/>
      <c r="PM140" s="11"/>
      <c r="PN140" s="11"/>
      <c r="PO140" s="11"/>
      <c r="PP140" s="11"/>
      <c r="PQ140" s="11"/>
      <c r="PR140" s="11"/>
      <c r="PS140" s="11"/>
      <c r="PT140" s="11"/>
      <c r="PU140" s="11"/>
      <c r="PV140" s="11"/>
      <c r="PW140" s="11"/>
      <c r="PX140" s="11"/>
      <c r="PY140" s="11"/>
      <c r="PZ140" s="11"/>
      <c r="QA140" s="11"/>
      <c r="QB140" s="11"/>
      <c r="QC140" s="11"/>
      <c r="QD140" s="11"/>
      <c r="QE140" s="11"/>
      <c r="QF140" s="11"/>
      <c r="QG140" s="11"/>
      <c r="QH140" s="11"/>
      <c r="QI140" s="11"/>
      <c r="QJ140" s="11"/>
      <c r="QK140" s="11"/>
      <c r="QL140" s="11"/>
      <c r="QM140" s="11"/>
      <c r="QN140" s="11"/>
      <c r="QO140" s="11"/>
      <c r="QP140" s="11"/>
      <c r="QQ140" s="11"/>
      <c r="QR140" s="11"/>
      <c r="QS140" s="11"/>
      <c r="QT140" s="11"/>
      <c r="QU140" s="11"/>
      <c r="QV140" s="11"/>
      <c r="QW140" s="11"/>
      <c r="QX140" s="11"/>
      <c r="QY140" s="11"/>
      <c r="QZ140" s="11"/>
      <c r="RA140" s="11"/>
      <c r="RB140" s="11"/>
      <c r="RC140" s="11"/>
      <c r="RD140" s="11"/>
      <c r="RE140" s="11"/>
      <c r="RF140" s="11"/>
      <c r="RG140" s="11"/>
      <c r="RH140" s="11"/>
      <c r="RI140" s="11"/>
      <c r="RJ140" s="11"/>
      <c r="RK140" s="11"/>
      <c r="RL140" s="11"/>
      <c r="RM140" s="11"/>
      <c r="RN140" s="11"/>
      <c r="RO140" s="11"/>
      <c r="RP140" s="11"/>
      <c r="RQ140" s="11"/>
      <c r="RR140" s="11"/>
      <c r="RS140" s="11"/>
      <c r="RT140" s="11"/>
      <c r="RU140" s="11"/>
      <c r="RV140" s="11"/>
      <c r="RW140" s="11"/>
      <c r="RX140" s="11"/>
      <c r="RY140" s="11"/>
      <c r="RZ140" s="11"/>
      <c r="SA140" s="11"/>
      <c r="SB140" s="11"/>
      <c r="SC140" s="11"/>
      <c r="SD140" s="11"/>
      <c r="SE140" s="11"/>
      <c r="SF140" s="11"/>
      <c r="SG140" s="11"/>
      <c r="SH140" s="11"/>
      <c r="SI140" s="11"/>
      <c r="SJ140" s="11"/>
      <c r="SK140" s="11"/>
      <c r="SL140" s="11"/>
      <c r="SM140" s="11"/>
      <c r="SN140" s="11"/>
      <c r="SO140" s="11"/>
      <c r="SP140" s="11"/>
      <c r="SQ140" s="11"/>
      <c r="SR140" s="11"/>
      <c r="SS140" s="11"/>
      <c r="ST140" s="11"/>
      <c r="SU140" s="11"/>
      <c r="SV140" s="11"/>
      <c r="SW140" s="11"/>
      <c r="SX140" s="11"/>
      <c r="SY140" s="11"/>
      <c r="SZ140" s="11"/>
      <c r="TA140" s="11"/>
      <c r="TB140" s="11"/>
      <c r="TC140" s="11"/>
      <c r="TD140" s="11"/>
      <c r="TE140" s="11"/>
      <c r="TF140" s="11"/>
      <c r="TG140" s="11"/>
      <c r="TH140" s="11"/>
      <c r="TI140" s="11"/>
      <c r="TJ140" s="11"/>
      <c r="TK140" s="11"/>
      <c r="TL140" s="11"/>
      <c r="TM140" s="11"/>
      <c r="TN140" s="11"/>
      <c r="TO140" s="11"/>
      <c r="TP140" s="11"/>
      <c r="TQ140" s="11"/>
      <c r="TR140" s="11"/>
      <c r="TS140" s="11"/>
      <c r="TT140" s="11"/>
      <c r="TU140" s="11"/>
      <c r="TV140" s="11"/>
      <c r="TW140" s="11"/>
      <c r="TX140" s="11"/>
      <c r="TY140" s="11"/>
      <c r="TZ140" s="11"/>
      <c r="UA140" s="11"/>
      <c r="UB140" s="11"/>
      <c r="UC140" s="11"/>
      <c r="UD140" s="11"/>
      <c r="UE140" s="11"/>
      <c r="UF140" s="11"/>
      <c r="UG140" s="11"/>
      <c r="UH140" s="11"/>
      <c r="UI140" s="11"/>
      <c r="UJ140" s="11"/>
      <c r="UK140" s="11"/>
      <c r="UL140" s="11"/>
      <c r="UM140" s="11"/>
      <c r="UN140" s="11"/>
      <c r="UO140" s="11"/>
      <c r="UP140" s="11"/>
      <c r="UQ140" s="11"/>
      <c r="UR140" s="11"/>
      <c r="US140" s="11"/>
      <c r="UT140" s="11"/>
      <c r="UU140" s="11"/>
      <c r="UV140" s="11"/>
      <c r="UW140" s="11"/>
      <c r="UX140" s="11"/>
      <c r="UY140" s="11"/>
      <c r="UZ140" s="11"/>
      <c r="VA140" s="11"/>
      <c r="VB140" s="11"/>
      <c r="VC140" s="11"/>
      <c r="VD140" s="11"/>
      <c r="VE140" s="11"/>
      <c r="VF140" s="11"/>
      <c r="VG140" s="11"/>
      <c r="VH140" s="11"/>
      <c r="VI140" s="11"/>
      <c r="VJ140" s="11"/>
      <c r="VK140" s="11"/>
      <c r="VL140" s="11"/>
      <c r="VM140" s="11"/>
      <c r="VN140" s="11"/>
      <c r="VO140" s="11"/>
      <c r="VP140" s="11"/>
      <c r="VQ140" s="11"/>
      <c r="VR140" s="11"/>
      <c r="VS140" s="11"/>
      <c r="VT140" s="11"/>
      <c r="VU140" s="11"/>
      <c r="VV140" s="11"/>
      <c r="VW140" s="11"/>
      <c r="VX140" s="11"/>
      <c r="VY140" s="11"/>
      <c r="VZ140" s="11"/>
      <c r="WA140" s="11"/>
      <c r="WB140" s="11"/>
      <c r="WC140" s="11"/>
      <c r="WD140" s="11"/>
      <c r="WE140" s="11"/>
      <c r="WF140" s="11"/>
      <c r="WG140" s="11"/>
      <c r="WH140" s="11"/>
      <c r="WI140" s="11"/>
      <c r="WJ140" s="11"/>
      <c r="WK140" s="11"/>
      <c r="WL140" s="11"/>
      <c r="WM140" s="11"/>
      <c r="WN140" s="11"/>
      <c r="WO140" s="11"/>
      <c r="WP140" s="11"/>
      <c r="WQ140" s="11"/>
      <c r="WR140" s="11"/>
      <c r="WS140" s="11"/>
      <c r="WT140" s="11"/>
      <c r="WU140" s="11"/>
      <c r="WV140" s="11"/>
      <c r="WW140" s="11"/>
      <c r="WX140" s="11"/>
      <c r="WY140" s="11"/>
      <c r="WZ140" s="11"/>
      <c r="XA140" s="11"/>
      <c r="XB140" s="11"/>
      <c r="XC140" s="11"/>
      <c r="XD140" s="11"/>
      <c r="XE140" s="11"/>
      <c r="XF140" s="11"/>
      <c r="XG140" s="11"/>
      <c r="XH140" s="11"/>
      <c r="XI140" s="11"/>
      <c r="XJ140" s="11"/>
      <c r="XK140" s="11"/>
      <c r="XL140" s="11"/>
      <c r="XM140" s="11"/>
      <c r="XN140" s="11"/>
      <c r="XO140" s="11"/>
      <c r="XP140" s="11"/>
      <c r="XQ140" s="11"/>
      <c r="XR140" s="11"/>
      <c r="XS140" s="11"/>
      <c r="XT140" s="11"/>
      <c r="XU140" s="11"/>
      <c r="XV140" s="11"/>
      <c r="XW140" s="11"/>
      <c r="XX140" s="11"/>
      <c r="XY140" s="11"/>
      <c r="XZ140" s="11"/>
      <c r="YA140" s="11"/>
      <c r="YB140" s="11"/>
      <c r="YC140" s="11"/>
      <c r="YD140" s="11"/>
      <c r="YE140" s="11"/>
      <c r="YF140" s="11"/>
      <c r="YG140" s="11"/>
      <c r="YH140" s="11"/>
      <c r="YI140" s="11"/>
      <c r="YJ140" s="11"/>
      <c r="YK140" s="11"/>
      <c r="YL140" s="11"/>
      <c r="YM140" s="11"/>
      <c r="YN140" s="11"/>
      <c r="YO140" s="11"/>
      <c r="YP140" s="11"/>
      <c r="YQ140" s="11"/>
      <c r="YR140" s="11"/>
      <c r="YS140" s="11"/>
      <c r="YT140" s="11"/>
      <c r="YU140" s="11"/>
      <c r="YV140" s="11"/>
      <c r="YW140" s="11"/>
      <c r="YX140" s="11"/>
      <c r="YY140" s="11"/>
      <c r="YZ140" s="11"/>
      <c r="ZA140" s="11"/>
      <c r="ZB140" s="11"/>
      <c r="ZC140" s="11"/>
      <c r="ZD140" s="11"/>
      <c r="ZE140" s="11"/>
      <c r="ZF140" s="11"/>
      <c r="ZG140" s="11"/>
      <c r="ZH140" s="11"/>
      <c r="ZI140" s="11"/>
      <c r="ZJ140" s="11"/>
      <c r="ZK140" s="11"/>
      <c r="ZL140" s="11"/>
      <c r="ZM140" s="11"/>
      <c r="ZN140" s="11"/>
      <c r="ZO140" s="11"/>
      <c r="ZP140" s="11"/>
      <c r="ZQ140" s="11"/>
      <c r="ZR140" s="11"/>
      <c r="ZS140" s="11"/>
      <c r="ZT140" s="11"/>
      <c r="ZU140" s="11"/>
      <c r="ZV140" s="11"/>
      <c r="ZW140" s="11"/>
      <c r="ZX140" s="11"/>
      <c r="ZY140" s="11"/>
      <c r="ZZ140" s="11"/>
      <c r="AAA140" s="11"/>
      <c r="AAB140" s="11"/>
      <c r="AAC140" s="11"/>
      <c r="AAD140" s="11"/>
      <c r="AAE140" s="11"/>
      <c r="AAF140" s="11"/>
      <c r="AAG140" s="11"/>
      <c r="AAH140" s="11"/>
      <c r="AAI140" s="11"/>
      <c r="AAJ140" s="11"/>
      <c r="AAK140" s="11"/>
      <c r="AAL140" s="11"/>
      <c r="AAM140" s="11"/>
      <c r="AAN140" s="11"/>
      <c r="AAO140" s="11"/>
      <c r="AAP140" s="11"/>
      <c r="AAQ140" s="11"/>
      <c r="AAR140" s="11"/>
      <c r="AAS140" s="11"/>
      <c r="AAT140" s="11"/>
      <c r="AAU140" s="11"/>
      <c r="AAV140" s="11"/>
      <c r="AAW140" s="11"/>
      <c r="AAX140" s="11"/>
      <c r="AAY140" s="11"/>
      <c r="AAZ140" s="11"/>
      <c r="ABA140" s="11"/>
      <c r="ABB140" s="11"/>
      <c r="ABC140" s="11"/>
      <c r="ABD140" s="11"/>
      <c r="ABE140" s="11"/>
      <c r="ABF140" s="11"/>
      <c r="ABG140" s="11"/>
      <c r="ABH140" s="11"/>
      <c r="ABI140" s="11"/>
      <c r="ABJ140" s="11"/>
      <c r="ABK140" s="11"/>
      <c r="ABL140" s="11"/>
      <c r="ABM140" s="11"/>
      <c r="ABN140" s="11"/>
      <c r="ABO140" s="11"/>
      <c r="ABP140" s="11"/>
      <c r="ABQ140" s="11"/>
      <c r="ABR140" s="11"/>
      <c r="ABS140" s="11"/>
      <c r="ABT140" s="11"/>
      <c r="ABU140" s="11"/>
      <c r="ABV140" s="11"/>
      <c r="ABW140" s="11"/>
      <c r="ABX140" s="11"/>
      <c r="ABY140" s="11"/>
      <c r="ABZ140" s="11"/>
      <c r="ACA140" s="11"/>
      <c r="ACB140" s="11"/>
      <c r="ACC140" s="11"/>
      <c r="ACD140" s="11"/>
      <c r="ACE140" s="11"/>
      <c r="ACF140" s="11"/>
      <c r="ACG140" s="11"/>
      <c r="ACH140" s="11"/>
      <c r="ACI140" s="11"/>
      <c r="ACJ140" s="11"/>
      <c r="ACK140" s="11"/>
      <c r="ACL140" s="11"/>
      <c r="ACM140" s="11"/>
      <c r="ACN140" s="11"/>
      <c r="ACO140" s="11"/>
      <c r="ACP140" s="11"/>
      <c r="ACQ140" s="11"/>
      <c r="ACR140" s="11"/>
      <c r="ACS140" s="11"/>
      <c r="ACT140" s="11"/>
      <c r="ACU140" s="11"/>
      <c r="ACV140" s="11"/>
      <c r="ACW140" s="11"/>
      <c r="ACX140" s="11"/>
      <c r="ACY140" s="11"/>
      <c r="ACZ140" s="11"/>
      <c r="ADA140" s="11"/>
      <c r="ADB140" s="11"/>
      <c r="ADC140" s="11"/>
      <c r="ADD140" s="11"/>
      <c r="ADE140" s="11"/>
      <c r="ADF140" s="11"/>
      <c r="ADG140" s="11"/>
      <c r="ADH140" s="11"/>
      <c r="ADI140" s="11"/>
      <c r="ADJ140" s="11"/>
      <c r="ADK140" s="11"/>
      <c r="ADL140" s="11"/>
      <c r="ADM140" s="11"/>
      <c r="ADN140" s="11"/>
      <c r="ADO140" s="11"/>
      <c r="ADP140" s="11"/>
      <c r="ADQ140" s="11"/>
      <c r="ADR140" s="11"/>
      <c r="ADS140" s="11"/>
      <c r="ADT140" s="11"/>
      <c r="ADU140" s="11"/>
      <c r="ADV140" s="11"/>
      <c r="ADW140" s="11"/>
      <c r="ADX140" s="11"/>
      <c r="ADY140" s="11"/>
      <c r="ADZ140" s="11"/>
      <c r="AEA140" s="11"/>
      <c r="AEB140" s="11"/>
      <c r="AEC140" s="11"/>
      <c r="AED140" s="11"/>
      <c r="AEE140" s="11"/>
      <c r="AEF140" s="11"/>
      <c r="AEG140" s="11"/>
      <c r="AEH140" s="11"/>
      <c r="AEI140" s="11"/>
      <c r="AEJ140" s="11"/>
      <c r="AEK140" s="11"/>
      <c r="AEL140" s="11"/>
      <c r="AEM140" s="11"/>
      <c r="AEN140" s="11"/>
      <c r="AEO140" s="11"/>
      <c r="AEP140" s="11"/>
      <c r="AEQ140" s="11"/>
      <c r="AER140" s="11"/>
      <c r="AES140" s="11"/>
      <c r="AET140" s="11"/>
      <c r="AEU140" s="11"/>
      <c r="AEV140" s="11"/>
      <c r="AEW140" s="11"/>
      <c r="AEX140" s="11"/>
      <c r="AEY140" s="11"/>
      <c r="AEZ140" s="11"/>
      <c r="AFA140" s="11"/>
      <c r="AFB140" s="11"/>
      <c r="AFC140" s="11"/>
      <c r="AFD140" s="11"/>
      <c r="AFE140" s="11"/>
      <c r="AFF140" s="11"/>
      <c r="AFG140" s="11"/>
      <c r="AFH140" s="11"/>
      <c r="AFI140" s="11"/>
    </row>
    <row r="141" spans="2:84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c r="IW141" s="11"/>
      <c r="IX141" s="11"/>
      <c r="IY141" s="11"/>
      <c r="IZ141" s="11"/>
      <c r="JA141" s="11"/>
      <c r="JB141" s="11"/>
      <c r="JC141" s="11"/>
      <c r="JD141" s="11"/>
      <c r="JE141" s="11"/>
      <c r="JF141" s="11"/>
      <c r="JG141" s="11"/>
      <c r="JH141" s="11"/>
      <c r="JI141" s="11"/>
      <c r="JJ141" s="11"/>
      <c r="JK141" s="11"/>
      <c r="JL141" s="11"/>
      <c r="JM141" s="11"/>
      <c r="JN141" s="11"/>
      <c r="JO141" s="11"/>
      <c r="JP141" s="11"/>
      <c r="JQ141" s="11"/>
      <c r="JR141" s="11"/>
      <c r="JS141" s="11"/>
      <c r="JT141" s="11"/>
      <c r="JU141" s="11"/>
      <c r="JV141" s="11"/>
      <c r="JW141" s="11"/>
      <c r="JX141" s="11"/>
      <c r="JY141" s="11"/>
      <c r="JZ141" s="11"/>
      <c r="KA141" s="11"/>
      <c r="KB141" s="11"/>
      <c r="KC141" s="11"/>
      <c r="KD141" s="11"/>
      <c r="KE141" s="11"/>
      <c r="KF141" s="11"/>
      <c r="KG141" s="11"/>
      <c r="KH141" s="11"/>
      <c r="KI141" s="11"/>
      <c r="KJ141" s="11"/>
      <c r="KK141" s="11"/>
      <c r="KL141" s="11"/>
      <c r="KM141" s="11"/>
      <c r="KN141" s="11"/>
      <c r="KO141" s="11"/>
      <c r="KP141" s="11"/>
      <c r="KQ141" s="11"/>
      <c r="KR141" s="11"/>
      <c r="KS141" s="11"/>
      <c r="KT141" s="11"/>
      <c r="KU141" s="11"/>
      <c r="KV141" s="11"/>
      <c r="KW141" s="11"/>
      <c r="KX141" s="11"/>
      <c r="KY141" s="11"/>
      <c r="KZ141" s="11"/>
      <c r="LA141" s="11"/>
      <c r="LB141" s="11"/>
      <c r="LC141" s="11"/>
      <c r="LD141" s="11"/>
      <c r="LE141" s="11"/>
      <c r="LF141" s="11"/>
      <c r="LG141" s="11"/>
      <c r="LH141" s="11"/>
      <c r="LI141" s="11"/>
      <c r="LJ141" s="11"/>
      <c r="LK141" s="11"/>
      <c r="LL141" s="11"/>
      <c r="LM141" s="11"/>
      <c r="LN141" s="11"/>
      <c r="LO141" s="11"/>
      <c r="LP141" s="11"/>
      <c r="LQ141" s="11"/>
      <c r="LR141" s="11"/>
      <c r="LS141" s="11"/>
      <c r="LT141" s="11"/>
      <c r="LU141" s="11"/>
      <c r="LV141" s="11"/>
      <c r="LW141" s="11"/>
      <c r="LX141" s="11"/>
      <c r="LY141" s="11"/>
      <c r="LZ141" s="11"/>
      <c r="MA141" s="11"/>
      <c r="MB141" s="11"/>
      <c r="MC141" s="11"/>
      <c r="MD141" s="11"/>
      <c r="ME141" s="11"/>
      <c r="MF141" s="11"/>
      <c r="MG141" s="11"/>
      <c r="MH141" s="11"/>
      <c r="MI141" s="11"/>
      <c r="MJ141" s="11"/>
      <c r="MK141" s="11"/>
      <c r="ML141" s="11"/>
      <c r="MM141" s="11"/>
      <c r="MN141" s="11"/>
      <c r="MO141" s="11"/>
      <c r="MP141" s="11"/>
      <c r="MQ141" s="11"/>
      <c r="MR141" s="11"/>
      <c r="MS141" s="11"/>
      <c r="MT141" s="11"/>
      <c r="MU141" s="11"/>
      <c r="MV141" s="11"/>
      <c r="MW141" s="11"/>
      <c r="MX141" s="11"/>
      <c r="MY141" s="11"/>
      <c r="MZ141" s="11"/>
      <c r="NA141" s="11"/>
      <c r="NB141" s="11"/>
      <c r="NC141" s="11"/>
      <c r="ND141" s="11"/>
      <c r="NE141" s="11"/>
      <c r="NF141" s="11"/>
      <c r="NG141" s="11"/>
      <c r="NH141" s="11"/>
      <c r="NI141" s="11"/>
      <c r="NJ141" s="11"/>
      <c r="NK141" s="11"/>
      <c r="NL141" s="11"/>
      <c r="NM141" s="11"/>
      <c r="NN141" s="11"/>
      <c r="NO141" s="11"/>
      <c r="NP141" s="11"/>
      <c r="NQ141" s="11"/>
      <c r="NR141" s="11"/>
      <c r="NS141" s="11"/>
      <c r="NT141" s="11"/>
      <c r="NU141" s="11"/>
      <c r="NV141" s="11"/>
      <c r="NW141" s="11"/>
      <c r="NX141" s="11"/>
      <c r="NY141" s="11"/>
      <c r="NZ141" s="11"/>
      <c r="OA141" s="11"/>
      <c r="OB141" s="11"/>
      <c r="OC141" s="11"/>
      <c r="OD141" s="11"/>
      <c r="OE141" s="11"/>
      <c r="OF141" s="11"/>
      <c r="OG141" s="11"/>
      <c r="OH141" s="11"/>
      <c r="OI141" s="11"/>
      <c r="OJ141" s="11"/>
      <c r="OK141" s="11"/>
      <c r="OL141" s="11"/>
      <c r="OM141" s="11"/>
      <c r="ON141" s="11"/>
      <c r="OO141" s="11"/>
      <c r="OP141" s="11"/>
      <c r="OQ141" s="11"/>
      <c r="OR141" s="11"/>
      <c r="OS141" s="11"/>
      <c r="OT141" s="11"/>
      <c r="OU141" s="11"/>
      <c r="OV141" s="11"/>
      <c r="OW141" s="11"/>
      <c r="OX141" s="11"/>
      <c r="OY141" s="11"/>
      <c r="OZ141" s="11"/>
      <c r="PA141" s="11"/>
      <c r="PB141" s="11"/>
      <c r="PC141" s="11"/>
      <c r="PD141" s="11"/>
      <c r="PE141" s="11"/>
      <c r="PF141" s="11"/>
      <c r="PG141" s="11"/>
      <c r="PH141" s="11"/>
      <c r="PI141" s="11"/>
      <c r="PJ141" s="11"/>
      <c r="PK141" s="11"/>
      <c r="PL141" s="11"/>
      <c r="PM141" s="11"/>
      <c r="PN141" s="11"/>
      <c r="PO141" s="11"/>
      <c r="PP141" s="11"/>
      <c r="PQ141" s="11"/>
      <c r="PR141" s="11"/>
      <c r="PS141" s="11"/>
      <c r="PT141" s="11"/>
      <c r="PU141" s="11"/>
      <c r="PV141" s="11"/>
      <c r="PW141" s="11"/>
      <c r="PX141" s="11"/>
      <c r="PY141" s="11"/>
      <c r="PZ141" s="11"/>
      <c r="QA141" s="11"/>
      <c r="QB141" s="11"/>
      <c r="QC141" s="11"/>
      <c r="QD141" s="11"/>
      <c r="QE141" s="11"/>
      <c r="QF141" s="11"/>
      <c r="QG141" s="11"/>
      <c r="QH141" s="11"/>
      <c r="QI141" s="11"/>
      <c r="QJ141" s="11"/>
      <c r="QK141" s="11"/>
      <c r="QL141" s="11"/>
      <c r="QM141" s="11"/>
      <c r="QN141" s="11"/>
      <c r="QO141" s="11"/>
      <c r="QP141" s="11"/>
      <c r="QQ141" s="11"/>
      <c r="QR141" s="11"/>
      <c r="QS141" s="11"/>
      <c r="QT141" s="11"/>
      <c r="QU141" s="11"/>
      <c r="QV141" s="11"/>
      <c r="QW141" s="11"/>
      <c r="QX141" s="11"/>
      <c r="QY141" s="11"/>
      <c r="QZ141" s="11"/>
      <c r="RA141" s="11"/>
      <c r="RB141" s="11"/>
      <c r="RC141" s="11"/>
      <c r="RD141" s="11"/>
      <c r="RE141" s="11"/>
      <c r="RF141" s="11"/>
      <c r="RG141" s="11"/>
      <c r="RH141" s="11"/>
      <c r="RI141" s="11"/>
      <c r="RJ141" s="11"/>
      <c r="RK141" s="11"/>
      <c r="RL141" s="11"/>
      <c r="RM141" s="11"/>
      <c r="RN141" s="11"/>
      <c r="RO141" s="11"/>
      <c r="RP141" s="11"/>
      <c r="RQ141" s="11"/>
      <c r="RR141" s="11"/>
      <c r="RS141" s="11"/>
      <c r="RT141" s="11"/>
      <c r="RU141" s="11"/>
      <c r="RV141" s="11"/>
      <c r="RW141" s="11"/>
      <c r="RX141" s="11"/>
      <c r="RY141" s="11"/>
      <c r="RZ141" s="11"/>
      <c r="SA141" s="11"/>
      <c r="SB141" s="11"/>
      <c r="SC141" s="11"/>
      <c r="SD141" s="11"/>
      <c r="SE141" s="11"/>
      <c r="SF141" s="11"/>
      <c r="SG141" s="11"/>
      <c r="SH141" s="11"/>
      <c r="SI141" s="11"/>
      <c r="SJ141" s="11"/>
      <c r="SK141" s="11"/>
      <c r="SL141" s="11"/>
      <c r="SM141" s="11"/>
      <c r="SN141" s="11"/>
      <c r="SO141" s="11"/>
      <c r="SP141" s="11"/>
      <c r="SQ141" s="11"/>
      <c r="SR141" s="11"/>
      <c r="SS141" s="11"/>
      <c r="ST141" s="11"/>
      <c r="SU141" s="11"/>
      <c r="SV141" s="11"/>
      <c r="SW141" s="11"/>
      <c r="SX141" s="11"/>
      <c r="SY141" s="11"/>
      <c r="SZ141" s="11"/>
      <c r="TA141" s="11"/>
      <c r="TB141" s="11"/>
      <c r="TC141" s="11"/>
      <c r="TD141" s="11"/>
      <c r="TE141" s="11"/>
      <c r="TF141" s="11"/>
      <c r="TG141" s="11"/>
      <c r="TH141" s="11"/>
      <c r="TI141" s="11"/>
      <c r="TJ141" s="11"/>
      <c r="TK141" s="11"/>
      <c r="TL141" s="11"/>
      <c r="TM141" s="11"/>
      <c r="TN141" s="11"/>
      <c r="TO141" s="11"/>
      <c r="TP141" s="11"/>
      <c r="TQ141" s="11"/>
      <c r="TR141" s="11"/>
      <c r="TS141" s="11"/>
      <c r="TT141" s="11"/>
      <c r="TU141" s="11"/>
      <c r="TV141" s="11"/>
      <c r="TW141" s="11"/>
      <c r="TX141" s="11"/>
      <c r="TY141" s="11"/>
      <c r="TZ141" s="11"/>
      <c r="UA141" s="11"/>
      <c r="UB141" s="11"/>
      <c r="UC141" s="11"/>
      <c r="UD141" s="11"/>
      <c r="UE141" s="11"/>
      <c r="UF141" s="11"/>
      <c r="UG141" s="11"/>
      <c r="UH141" s="11"/>
      <c r="UI141" s="11"/>
      <c r="UJ141" s="11"/>
      <c r="UK141" s="11"/>
      <c r="UL141" s="11"/>
      <c r="UM141" s="11"/>
      <c r="UN141" s="11"/>
      <c r="UO141" s="11"/>
      <c r="UP141" s="11"/>
      <c r="UQ141" s="11"/>
      <c r="UR141" s="11"/>
      <c r="US141" s="11"/>
      <c r="UT141" s="11"/>
      <c r="UU141" s="11"/>
      <c r="UV141" s="11"/>
      <c r="UW141" s="11"/>
      <c r="UX141" s="11"/>
      <c r="UY141" s="11"/>
      <c r="UZ141" s="11"/>
      <c r="VA141" s="11"/>
      <c r="VB141" s="11"/>
      <c r="VC141" s="11"/>
      <c r="VD141" s="11"/>
      <c r="VE141" s="11"/>
      <c r="VF141" s="11"/>
      <c r="VG141" s="11"/>
      <c r="VH141" s="11"/>
      <c r="VI141" s="11"/>
      <c r="VJ141" s="11"/>
      <c r="VK141" s="11"/>
      <c r="VL141" s="11"/>
      <c r="VM141" s="11"/>
      <c r="VN141" s="11"/>
      <c r="VO141" s="11"/>
      <c r="VP141" s="11"/>
      <c r="VQ141" s="11"/>
      <c r="VR141" s="11"/>
      <c r="VS141" s="11"/>
      <c r="VT141" s="11"/>
      <c r="VU141" s="11"/>
      <c r="VV141" s="11"/>
      <c r="VW141" s="11"/>
      <c r="VX141" s="11"/>
      <c r="VY141" s="11"/>
      <c r="VZ141" s="11"/>
      <c r="WA141" s="11"/>
      <c r="WB141" s="11"/>
      <c r="WC141" s="11"/>
      <c r="WD141" s="11"/>
      <c r="WE141" s="11"/>
      <c r="WF141" s="11"/>
      <c r="WG141" s="11"/>
      <c r="WH141" s="11"/>
      <c r="WI141" s="11"/>
      <c r="WJ141" s="11"/>
      <c r="WK141" s="11"/>
      <c r="WL141" s="11"/>
      <c r="WM141" s="11"/>
      <c r="WN141" s="11"/>
      <c r="WO141" s="11"/>
      <c r="WP141" s="11"/>
      <c r="WQ141" s="11"/>
      <c r="WR141" s="11"/>
      <c r="WS141" s="11"/>
      <c r="WT141" s="11"/>
      <c r="WU141" s="11"/>
      <c r="WV141" s="11"/>
      <c r="WW141" s="11"/>
      <c r="WX141" s="11"/>
      <c r="WY141" s="11"/>
      <c r="WZ141" s="11"/>
      <c r="XA141" s="11"/>
      <c r="XB141" s="11"/>
      <c r="XC141" s="11"/>
      <c r="XD141" s="11"/>
      <c r="XE141" s="11"/>
      <c r="XF141" s="11"/>
      <c r="XG141" s="11"/>
      <c r="XH141" s="11"/>
      <c r="XI141" s="11"/>
      <c r="XJ141" s="11"/>
      <c r="XK141" s="11"/>
      <c r="XL141" s="11"/>
      <c r="XM141" s="11"/>
      <c r="XN141" s="11"/>
      <c r="XO141" s="11"/>
      <c r="XP141" s="11"/>
      <c r="XQ141" s="11"/>
      <c r="XR141" s="11"/>
      <c r="XS141" s="11"/>
      <c r="XT141" s="11"/>
      <c r="XU141" s="11"/>
      <c r="XV141" s="11"/>
      <c r="XW141" s="11"/>
      <c r="XX141" s="11"/>
      <c r="XY141" s="11"/>
      <c r="XZ141" s="11"/>
      <c r="YA141" s="11"/>
      <c r="YB141" s="11"/>
      <c r="YC141" s="11"/>
      <c r="YD141" s="11"/>
      <c r="YE141" s="11"/>
      <c r="YF141" s="11"/>
      <c r="YG141" s="11"/>
      <c r="YH141" s="11"/>
      <c r="YI141" s="11"/>
      <c r="YJ141" s="11"/>
      <c r="YK141" s="11"/>
      <c r="YL141" s="11"/>
      <c r="YM141" s="11"/>
      <c r="YN141" s="11"/>
      <c r="YO141" s="11"/>
      <c r="YP141" s="11"/>
      <c r="YQ141" s="11"/>
      <c r="YR141" s="11"/>
      <c r="YS141" s="11"/>
      <c r="YT141" s="11"/>
      <c r="YU141" s="11"/>
      <c r="YV141" s="11"/>
      <c r="YW141" s="11"/>
      <c r="YX141" s="11"/>
      <c r="YY141" s="11"/>
      <c r="YZ141" s="11"/>
      <c r="ZA141" s="11"/>
      <c r="ZB141" s="11"/>
      <c r="ZC141" s="11"/>
      <c r="ZD141" s="11"/>
      <c r="ZE141" s="11"/>
      <c r="ZF141" s="11"/>
      <c r="ZG141" s="11"/>
      <c r="ZH141" s="11"/>
      <c r="ZI141" s="11"/>
      <c r="ZJ141" s="11"/>
      <c r="ZK141" s="11"/>
      <c r="ZL141" s="11"/>
      <c r="ZM141" s="11"/>
      <c r="ZN141" s="11"/>
      <c r="ZO141" s="11"/>
      <c r="ZP141" s="11"/>
      <c r="ZQ141" s="11"/>
      <c r="ZR141" s="11"/>
      <c r="ZS141" s="11"/>
      <c r="ZT141" s="11"/>
      <c r="ZU141" s="11"/>
      <c r="ZV141" s="11"/>
      <c r="ZW141" s="11"/>
      <c r="ZX141" s="11"/>
      <c r="ZY141" s="11"/>
      <c r="ZZ141" s="11"/>
      <c r="AAA141" s="11"/>
      <c r="AAB141" s="11"/>
      <c r="AAC141" s="11"/>
      <c r="AAD141" s="11"/>
      <c r="AAE141" s="11"/>
      <c r="AAF141" s="11"/>
      <c r="AAG141" s="11"/>
      <c r="AAH141" s="11"/>
      <c r="AAI141" s="11"/>
      <c r="AAJ141" s="11"/>
      <c r="AAK141" s="11"/>
      <c r="AAL141" s="11"/>
      <c r="AAM141" s="11"/>
      <c r="AAN141" s="11"/>
      <c r="AAO141" s="11"/>
      <c r="AAP141" s="11"/>
      <c r="AAQ141" s="11"/>
      <c r="AAR141" s="11"/>
      <c r="AAS141" s="11"/>
      <c r="AAT141" s="11"/>
      <c r="AAU141" s="11"/>
      <c r="AAV141" s="11"/>
      <c r="AAW141" s="11"/>
      <c r="AAX141" s="11"/>
      <c r="AAY141" s="11"/>
      <c r="AAZ141" s="11"/>
      <c r="ABA141" s="11"/>
      <c r="ABB141" s="11"/>
      <c r="ABC141" s="11"/>
      <c r="ABD141" s="11"/>
      <c r="ABE141" s="11"/>
      <c r="ABF141" s="11"/>
      <c r="ABG141" s="11"/>
      <c r="ABH141" s="11"/>
      <c r="ABI141" s="11"/>
      <c r="ABJ141" s="11"/>
      <c r="ABK141" s="11"/>
      <c r="ABL141" s="11"/>
      <c r="ABM141" s="11"/>
      <c r="ABN141" s="11"/>
      <c r="ABO141" s="11"/>
      <c r="ABP141" s="11"/>
      <c r="ABQ141" s="11"/>
      <c r="ABR141" s="11"/>
      <c r="ABS141" s="11"/>
      <c r="ABT141" s="11"/>
      <c r="ABU141" s="11"/>
      <c r="ABV141" s="11"/>
      <c r="ABW141" s="11"/>
      <c r="ABX141" s="11"/>
      <c r="ABY141" s="11"/>
      <c r="ABZ141" s="11"/>
      <c r="ACA141" s="11"/>
      <c r="ACB141" s="11"/>
      <c r="ACC141" s="11"/>
      <c r="ACD141" s="11"/>
      <c r="ACE141" s="11"/>
      <c r="ACF141" s="11"/>
      <c r="ACG141" s="11"/>
      <c r="ACH141" s="11"/>
      <c r="ACI141" s="11"/>
      <c r="ACJ141" s="11"/>
      <c r="ACK141" s="11"/>
      <c r="ACL141" s="11"/>
      <c r="ACM141" s="11"/>
      <c r="ACN141" s="11"/>
      <c r="ACO141" s="11"/>
      <c r="ACP141" s="11"/>
      <c r="ACQ141" s="11"/>
      <c r="ACR141" s="11"/>
      <c r="ACS141" s="11"/>
      <c r="ACT141" s="11"/>
      <c r="ACU141" s="11"/>
      <c r="ACV141" s="11"/>
      <c r="ACW141" s="11"/>
      <c r="ACX141" s="11"/>
      <c r="ACY141" s="11"/>
      <c r="ACZ141" s="11"/>
      <c r="ADA141" s="11"/>
      <c r="ADB141" s="11"/>
      <c r="ADC141" s="11"/>
      <c r="ADD141" s="11"/>
      <c r="ADE141" s="11"/>
      <c r="ADF141" s="11"/>
      <c r="ADG141" s="11"/>
      <c r="ADH141" s="11"/>
      <c r="ADI141" s="11"/>
      <c r="ADJ141" s="11"/>
      <c r="ADK141" s="11"/>
      <c r="ADL141" s="11"/>
      <c r="ADM141" s="11"/>
      <c r="ADN141" s="11"/>
      <c r="ADO141" s="11"/>
      <c r="ADP141" s="11"/>
      <c r="ADQ141" s="11"/>
      <c r="ADR141" s="11"/>
      <c r="ADS141" s="11"/>
      <c r="ADT141" s="11"/>
      <c r="ADU141" s="11"/>
      <c r="ADV141" s="11"/>
      <c r="ADW141" s="11"/>
      <c r="ADX141" s="11"/>
      <c r="ADY141" s="11"/>
      <c r="ADZ141" s="11"/>
      <c r="AEA141" s="11"/>
      <c r="AEB141" s="11"/>
      <c r="AEC141" s="11"/>
      <c r="AED141" s="11"/>
      <c r="AEE141" s="11"/>
      <c r="AEF141" s="11"/>
      <c r="AEG141" s="11"/>
      <c r="AEH141" s="11"/>
      <c r="AEI141" s="11"/>
      <c r="AEJ141" s="11"/>
      <c r="AEK141" s="11"/>
      <c r="AEL141" s="11"/>
      <c r="AEM141" s="11"/>
      <c r="AEN141" s="11"/>
      <c r="AEO141" s="11"/>
      <c r="AEP141" s="11"/>
      <c r="AEQ141" s="11"/>
      <c r="AER141" s="11"/>
      <c r="AES141" s="11"/>
      <c r="AET141" s="11"/>
      <c r="AEU141" s="11"/>
      <c r="AEV141" s="11"/>
      <c r="AEW141" s="11"/>
      <c r="AEX141" s="11"/>
      <c r="AEY141" s="11"/>
      <c r="AEZ141" s="11"/>
      <c r="AFA141" s="11"/>
      <c r="AFB141" s="11"/>
      <c r="AFC141" s="11"/>
      <c r="AFD141" s="11"/>
      <c r="AFE141" s="11"/>
      <c r="AFF141" s="11"/>
      <c r="AFG141" s="11"/>
      <c r="AFH141" s="11"/>
      <c r="AFI141" s="11"/>
    </row>
    <row r="142" spans="2:84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c r="IW142" s="11"/>
      <c r="IX142" s="11"/>
      <c r="IY142" s="11"/>
      <c r="IZ142" s="11"/>
      <c r="JA142" s="11"/>
      <c r="JB142" s="11"/>
      <c r="JC142" s="11"/>
      <c r="JD142" s="11"/>
      <c r="JE142" s="11"/>
      <c r="JF142" s="11"/>
      <c r="JG142" s="11"/>
      <c r="JH142" s="11"/>
      <c r="JI142" s="11"/>
      <c r="JJ142" s="11"/>
      <c r="JK142" s="11"/>
      <c r="JL142" s="11"/>
      <c r="JM142" s="11"/>
      <c r="JN142" s="11"/>
      <c r="JO142" s="11"/>
      <c r="JP142" s="11"/>
      <c r="JQ142" s="11"/>
      <c r="JR142" s="11"/>
      <c r="JS142" s="11"/>
      <c r="JT142" s="11"/>
      <c r="JU142" s="11"/>
      <c r="JV142" s="11"/>
      <c r="JW142" s="11"/>
      <c r="JX142" s="11"/>
      <c r="JY142" s="11"/>
      <c r="JZ142" s="11"/>
      <c r="KA142" s="11"/>
      <c r="KB142" s="11"/>
      <c r="KC142" s="11"/>
      <c r="KD142" s="11"/>
      <c r="KE142" s="11"/>
      <c r="KF142" s="11"/>
      <c r="KG142" s="11"/>
      <c r="KH142" s="11"/>
      <c r="KI142" s="11"/>
      <c r="KJ142" s="11"/>
      <c r="KK142" s="11"/>
      <c r="KL142" s="11"/>
      <c r="KM142" s="11"/>
      <c r="KN142" s="11"/>
      <c r="KO142" s="11"/>
      <c r="KP142" s="11"/>
      <c r="KQ142" s="11"/>
      <c r="KR142" s="11"/>
      <c r="KS142" s="11"/>
      <c r="KT142" s="11"/>
      <c r="KU142" s="11"/>
      <c r="KV142" s="11"/>
      <c r="KW142" s="11"/>
      <c r="KX142" s="11"/>
      <c r="KY142" s="11"/>
      <c r="KZ142" s="11"/>
      <c r="LA142" s="11"/>
      <c r="LB142" s="11"/>
      <c r="LC142" s="11"/>
      <c r="LD142" s="11"/>
      <c r="LE142" s="11"/>
      <c r="LF142" s="11"/>
      <c r="LG142" s="11"/>
      <c r="LH142" s="11"/>
      <c r="LI142" s="11"/>
      <c r="LJ142" s="11"/>
      <c r="LK142" s="11"/>
      <c r="LL142" s="11"/>
      <c r="LM142" s="11"/>
      <c r="LN142" s="11"/>
      <c r="LO142" s="11"/>
      <c r="LP142" s="11"/>
      <c r="LQ142" s="11"/>
      <c r="LR142" s="11"/>
      <c r="LS142" s="11"/>
      <c r="LT142" s="11"/>
      <c r="LU142" s="11"/>
      <c r="LV142" s="11"/>
      <c r="LW142" s="11"/>
      <c r="LX142" s="11"/>
      <c r="LY142" s="11"/>
      <c r="LZ142" s="11"/>
      <c r="MA142" s="11"/>
      <c r="MB142" s="11"/>
      <c r="MC142" s="11"/>
      <c r="MD142" s="11"/>
      <c r="ME142" s="11"/>
      <c r="MF142" s="11"/>
      <c r="MG142" s="11"/>
      <c r="MH142" s="11"/>
      <c r="MI142" s="11"/>
      <c r="MJ142" s="11"/>
      <c r="MK142" s="11"/>
      <c r="ML142" s="11"/>
      <c r="MM142" s="11"/>
      <c r="MN142" s="11"/>
      <c r="MO142" s="11"/>
      <c r="MP142" s="11"/>
      <c r="MQ142" s="11"/>
      <c r="MR142" s="11"/>
      <c r="MS142" s="11"/>
      <c r="MT142" s="11"/>
      <c r="MU142" s="11"/>
      <c r="MV142" s="11"/>
      <c r="MW142" s="11"/>
      <c r="MX142" s="11"/>
      <c r="MY142" s="11"/>
      <c r="MZ142" s="11"/>
      <c r="NA142" s="11"/>
      <c r="NB142" s="11"/>
      <c r="NC142" s="11"/>
      <c r="ND142" s="11"/>
      <c r="NE142" s="11"/>
      <c r="NF142" s="11"/>
      <c r="NG142" s="11"/>
      <c r="NH142" s="11"/>
      <c r="NI142" s="11"/>
      <c r="NJ142" s="11"/>
      <c r="NK142" s="11"/>
      <c r="NL142" s="11"/>
      <c r="NM142" s="11"/>
      <c r="NN142" s="11"/>
      <c r="NO142" s="11"/>
      <c r="NP142" s="11"/>
      <c r="NQ142" s="11"/>
      <c r="NR142" s="11"/>
      <c r="NS142" s="11"/>
      <c r="NT142" s="11"/>
      <c r="NU142" s="11"/>
      <c r="NV142" s="11"/>
      <c r="NW142" s="11"/>
      <c r="NX142" s="11"/>
      <c r="NY142" s="11"/>
      <c r="NZ142" s="11"/>
      <c r="OA142" s="11"/>
      <c r="OB142" s="11"/>
      <c r="OC142" s="11"/>
      <c r="OD142" s="11"/>
      <c r="OE142" s="11"/>
      <c r="OF142" s="11"/>
      <c r="OG142" s="11"/>
      <c r="OH142" s="11"/>
      <c r="OI142" s="11"/>
      <c r="OJ142" s="11"/>
      <c r="OK142" s="11"/>
      <c r="OL142" s="11"/>
      <c r="OM142" s="11"/>
      <c r="ON142" s="11"/>
      <c r="OO142" s="11"/>
      <c r="OP142" s="11"/>
      <c r="OQ142" s="11"/>
      <c r="OR142" s="11"/>
      <c r="OS142" s="11"/>
      <c r="OT142" s="11"/>
      <c r="OU142" s="11"/>
      <c r="OV142" s="11"/>
      <c r="OW142" s="11"/>
      <c r="OX142" s="11"/>
      <c r="OY142" s="11"/>
      <c r="OZ142" s="11"/>
      <c r="PA142" s="11"/>
      <c r="PB142" s="11"/>
      <c r="PC142" s="11"/>
      <c r="PD142" s="11"/>
      <c r="PE142" s="11"/>
      <c r="PF142" s="11"/>
      <c r="PG142" s="11"/>
      <c r="PH142" s="11"/>
      <c r="PI142" s="11"/>
      <c r="PJ142" s="11"/>
      <c r="PK142" s="11"/>
      <c r="PL142" s="11"/>
      <c r="PM142" s="11"/>
      <c r="PN142" s="11"/>
      <c r="PO142" s="11"/>
      <c r="PP142" s="11"/>
      <c r="PQ142" s="11"/>
      <c r="PR142" s="11"/>
      <c r="PS142" s="11"/>
      <c r="PT142" s="11"/>
      <c r="PU142" s="11"/>
      <c r="PV142" s="11"/>
      <c r="PW142" s="11"/>
      <c r="PX142" s="11"/>
      <c r="PY142" s="11"/>
      <c r="PZ142" s="11"/>
      <c r="QA142" s="11"/>
      <c r="QB142" s="11"/>
      <c r="QC142" s="11"/>
      <c r="QD142" s="11"/>
      <c r="QE142" s="11"/>
      <c r="QF142" s="11"/>
      <c r="QG142" s="11"/>
      <c r="QH142" s="11"/>
      <c r="QI142" s="11"/>
      <c r="QJ142" s="11"/>
      <c r="QK142" s="11"/>
      <c r="QL142" s="11"/>
      <c r="QM142" s="11"/>
      <c r="QN142" s="11"/>
      <c r="QO142" s="11"/>
      <c r="QP142" s="11"/>
      <c r="QQ142" s="11"/>
      <c r="QR142" s="11"/>
      <c r="QS142" s="11"/>
      <c r="QT142" s="11"/>
      <c r="QU142" s="11"/>
      <c r="QV142" s="11"/>
      <c r="QW142" s="11"/>
      <c r="QX142" s="11"/>
      <c r="QY142" s="11"/>
      <c r="QZ142" s="11"/>
      <c r="RA142" s="11"/>
      <c r="RB142" s="11"/>
      <c r="RC142" s="11"/>
      <c r="RD142" s="11"/>
      <c r="RE142" s="11"/>
      <c r="RF142" s="11"/>
      <c r="RG142" s="11"/>
      <c r="RH142" s="11"/>
      <c r="RI142" s="11"/>
      <c r="RJ142" s="11"/>
      <c r="RK142" s="11"/>
      <c r="RL142" s="11"/>
      <c r="RM142" s="11"/>
      <c r="RN142" s="11"/>
      <c r="RO142" s="11"/>
      <c r="RP142" s="11"/>
      <c r="RQ142" s="11"/>
      <c r="RR142" s="11"/>
      <c r="RS142" s="11"/>
      <c r="RT142" s="11"/>
      <c r="RU142" s="11"/>
      <c r="RV142" s="11"/>
      <c r="RW142" s="11"/>
      <c r="RX142" s="11"/>
      <c r="RY142" s="11"/>
      <c r="RZ142" s="11"/>
      <c r="SA142" s="11"/>
      <c r="SB142" s="11"/>
      <c r="SC142" s="11"/>
      <c r="SD142" s="11"/>
      <c r="SE142" s="11"/>
      <c r="SF142" s="11"/>
      <c r="SG142" s="11"/>
      <c r="SH142" s="11"/>
      <c r="SI142" s="11"/>
      <c r="SJ142" s="11"/>
      <c r="SK142" s="11"/>
      <c r="SL142" s="11"/>
      <c r="SM142" s="11"/>
      <c r="SN142" s="11"/>
      <c r="SO142" s="11"/>
      <c r="SP142" s="11"/>
      <c r="SQ142" s="11"/>
      <c r="SR142" s="11"/>
      <c r="SS142" s="11"/>
      <c r="ST142" s="11"/>
      <c r="SU142" s="11"/>
      <c r="SV142" s="11"/>
      <c r="SW142" s="11"/>
      <c r="SX142" s="11"/>
      <c r="SY142" s="11"/>
      <c r="SZ142" s="11"/>
      <c r="TA142" s="11"/>
      <c r="TB142" s="11"/>
      <c r="TC142" s="11"/>
      <c r="TD142" s="11"/>
      <c r="TE142" s="11"/>
      <c r="TF142" s="11"/>
      <c r="TG142" s="11"/>
      <c r="TH142" s="11"/>
      <c r="TI142" s="11"/>
      <c r="TJ142" s="11"/>
      <c r="TK142" s="11"/>
      <c r="TL142" s="11"/>
      <c r="TM142" s="11"/>
      <c r="TN142" s="11"/>
      <c r="TO142" s="11"/>
      <c r="TP142" s="11"/>
      <c r="TQ142" s="11"/>
      <c r="TR142" s="11"/>
      <c r="TS142" s="11"/>
      <c r="TT142" s="11"/>
      <c r="TU142" s="11"/>
      <c r="TV142" s="11"/>
      <c r="TW142" s="11"/>
      <c r="TX142" s="11"/>
      <c r="TY142" s="11"/>
      <c r="TZ142" s="11"/>
      <c r="UA142" s="11"/>
      <c r="UB142" s="11"/>
      <c r="UC142" s="11"/>
      <c r="UD142" s="11"/>
      <c r="UE142" s="11"/>
      <c r="UF142" s="11"/>
      <c r="UG142" s="11"/>
      <c r="UH142" s="11"/>
      <c r="UI142" s="11"/>
      <c r="UJ142" s="11"/>
      <c r="UK142" s="11"/>
      <c r="UL142" s="11"/>
      <c r="UM142" s="11"/>
      <c r="UN142" s="11"/>
      <c r="UO142" s="11"/>
      <c r="UP142" s="11"/>
      <c r="UQ142" s="11"/>
      <c r="UR142" s="11"/>
      <c r="US142" s="11"/>
      <c r="UT142" s="11"/>
      <c r="UU142" s="11"/>
      <c r="UV142" s="11"/>
      <c r="UW142" s="11"/>
      <c r="UX142" s="11"/>
      <c r="UY142" s="11"/>
      <c r="UZ142" s="11"/>
      <c r="VA142" s="11"/>
      <c r="VB142" s="11"/>
      <c r="VC142" s="11"/>
      <c r="VD142" s="11"/>
      <c r="VE142" s="11"/>
      <c r="VF142" s="11"/>
      <c r="VG142" s="11"/>
      <c r="VH142" s="11"/>
      <c r="VI142" s="11"/>
      <c r="VJ142" s="11"/>
      <c r="VK142" s="11"/>
      <c r="VL142" s="11"/>
      <c r="VM142" s="11"/>
      <c r="VN142" s="11"/>
      <c r="VO142" s="11"/>
      <c r="VP142" s="11"/>
      <c r="VQ142" s="11"/>
      <c r="VR142" s="11"/>
      <c r="VS142" s="11"/>
      <c r="VT142" s="11"/>
      <c r="VU142" s="11"/>
      <c r="VV142" s="11"/>
      <c r="VW142" s="11"/>
      <c r="VX142" s="11"/>
      <c r="VY142" s="11"/>
      <c r="VZ142" s="11"/>
      <c r="WA142" s="11"/>
      <c r="WB142" s="11"/>
      <c r="WC142" s="11"/>
      <c r="WD142" s="11"/>
      <c r="WE142" s="11"/>
      <c r="WF142" s="11"/>
      <c r="WG142" s="11"/>
      <c r="WH142" s="11"/>
      <c r="WI142" s="11"/>
      <c r="WJ142" s="11"/>
      <c r="WK142" s="11"/>
      <c r="WL142" s="11"/>
      <c r="WM142" s="11"/>
      <c r="WN142" s="11"/>
      <c r="WO142" s="11"/>
      <c r="WP142" s="11"/>
      <c r="WQ142" s="11"/>
      <c r="WR142" s="11"/>
      <c r="WS142" s="11"/>
      <c r="WT142" s="11"/>
      <c r="WU142" s="11"/>
      <c r="WV142" s="11"/>
      <c r="WW142" s="11"/>
      <c r="WX142" s="11"/>
      <c r="WY142" s="11"/>
      <c r="WZ142" s="11"/>
      <c r="XA142" s="11"/>
      <c r="XB142" s="11"/>
      <c r="XC142" s="11"/>
      <c r="XD142" s="11"/>
      <c r="XE142" s="11"/>
      <c r="XF142" s="11"/>
      <c r="XG142" s="11"/>
      <c r="XH142" s="11"/>
      <c r="XI142" s="11"/>
      <c r="XJ142" s="11"/>
      <c r="XK142" s="11"/>
      <c r="XL142" s="11"/>
      <c r="XM142" s="11"/>
      <c r="XN142" s="11"/>
      <c r="XO142" s="11"/>
      <c r="XP142" s="11"/>
      <c r="XQ142" s="11"/>
      <c r="XR142" s="11"/>
      <c r="XS142" s="11"/>
      <c r="XT142" s="11"/>
      <c r="XU142" s="11"/>
      <c r="XV142" s="11"/>
      <c r="XW142" s="11"/>
      <c r="XX142" s="11"/>
      <c r="XY142" s="11"/>
      <c r="XZ142" s="11"/>
      <c r="YA142" s="11"/>
      <c r="YB142" s="11"/>
      <c r="YC142" s="11"/>
      <c r="YD142" s="11"/>
      <c r="YE142" s="11"/>
      <c r="YF142" s="11"/>
      <c r="YG142" s="11"/>
      <c r="YH142" s="11"/>
      <c r="YI142" s="11"/>
      <c r="YJ142" s="11"/>
      <c r="YK142" s="11"/>
      <c r="YL142" s="11"/>
      <c r="YM142" s="11"/>
      <c r="YN142" s="11"/>
      <c r="YO142" s="11"/>
      <c r="YP142" s="11"/>
      <c r="YQ142" s="11"/>
      <c r="YR142" s="11"/>
      <c r="YS142" s="11"/>
      <c r="YT142" s="11"/>
      <c r="YU142" s="11"/>
      <c r="YV142" s="11"/>
      <c r="YW142" s="11"/>
      <c r="YX142" s="11"/>
      <c r="YY142" s="11"/>
      <c r="YZ142" s="11"/>
      <c r="ZA142" s="11"/>
      <c r="ZB142" s="11"/>
      <c r="ZC142" s="11"/>
      <c r="ZD142" s="11"/>
      <c r="ZE142" s="11"/>
      <c r="ZF142" s="11"/>
      <c r="ZG142" s="11"/>
      <c r="ZH142" s="11"/>
      <c r="ZI142" s="11"/>
      <c r="ZJ142" s="11"/>
      <c r="ZK142" s="11"/>
      <c r="ZL142" s="11"/>
      <c r="ZM142" s="11"/>
      <c r="ZN142" s="11"/>
      <c r="ZO142" s="11"/>
      <c r="ZP142" s="11"/>
      <c r="ZQ142" s="11"/>
      <c r="ZR142" s="11"/>
      <c r="ZS142" s="11"/>
      <c r="ZT142" s="11"/>
      <c r="ZU142" s="11"/>
      <c r="ZV142" s="11"/>
      <c r="ZW142" s="11"/>
      <c r="ZX142" s="11"/>
      <c r="ZY142" s="11"/>
      <c r="ZZ142" s="11"/>
      <c r="AAA142" s="11"/>
      <c r="AAB142" s="11"/>
      <c r="AAC142" s="11"/>
      <c r="AAD142" s="11"/>
      <c r="AAE142" s="11"/>
      <c r="AAF142" s="11"/>
      <c r="AAG142" s="11"/>
      <c r="AAH142" s="11"/>
      <c r="AAI142" s="11"/>
      <c r="AAJ142" s="11"/>
      <c r="AAK142" s="11"/>
      <c r="AAL142" s="11"/>
      <c r="AAM142" s="11"/>
      <c r="AAN142" s="11"/>
      <c r="AAO142" s="11"/>
      <c r="AAP142" s="11"/>
      <c r="AAQ142" s="11"/>
      <c r="AAR142" s="11"/>
      <c r="AAS142" s="11"/>
      <c r="AAT142" s="11"/>
      <c r="AAU142" s="11"/>
      <c r="AAV142" s="11"/>
      <c r="AAW142" s="11"/>
      <c r="AAX142" s="11"/>
      <c r="AAY142" s="11"/>
      <c r="AAZ142" s="11"/>
      <c r="ABA142" s="11"/>
      <c r="ABB142" s="11"/>
      <c r="ABC142" s="11"/>
      <c r="ABD142" s="11"/>
      <c r="ABE142" s="11"/>
      <c r="ABF142" s="11"/>
      <c r="ABG142" s="11"/>
      <c r="ABH142" s="11"/>
      <c r="ABI142" s="11"/>
      <c r="ABJ142" s="11"/>
      <c r="ABK142" s="11"/>
      <c r="ABL142" s="11"/>
      <c r="ABM142" s="11"/>
      <c r="ABN142" s="11"/>
      <c r="ABO142" s="11"/>
      <c r="ABP142" s="11"/>
      <c r="ABQ142" s="11"/>
      <c r="ABR142" s="11"/>
      <c r="ABS142" s="11"/>
      <c r="ABT142" s="11"/>
      <c r="ABU142" s="11"/>
      <c r="ABV142" s="11"/>
      <c r="ABW142" s="11"/>
      <c r="ABX142" s="11"/>
      <c r="ABY142" s="11"/>
      <c r="ABZ142" s="11"/>
      <c r="ACA142" s="11"/>
      <c r="ACB142" s="11"/>
      <c r="ACC142" s="11"/>
      <c r="ACD142" s="11"/>
      <c r="ACE142" s="11"/>
      <c r="ACF142" s="11"/>
      <c r="ACG142" s="11"/>
      <c r="ACH142" s="11"/>
      <c r="ACI142" s="11"/>
      <c r="ACJ142" s="11"/>
      <c r="ACK142" s="11"/>
      <c r="ACL142" s="11"/>
      <c r="ACM142" s="11"/>
      <c r="ACN142" s="11"/>
      <c r="ACO142" s="11"/>
      <c r="ACP142" s="11"/>
      <c r="ACQ142" s="11"/>
      <c r="ACR142" s="11"/>
      <c r="ACS142" s="11"/>
      <c r="ACT142" s="11"/>
      <c r="ACU142" s="11"/>
      <c r="ACV142" s="11"/>
      <c r="ACW142" s="11"/>
      <c r="ACX142" s="11"/>
      <c r="ACY142" s="11"/>
      <c r="ACZ142" s="11"/>
      <c r="ADA142" s="11"/>
      <c r="ADB142" s="11"/>
      <c r="ADC142" s="11"/>
      <c r="ADD142" s="11"/>
      <c r="ADE142" s="11"/>
      <c r="ADF142" s="11"/>
      <c r="ADG142" s="11"/>
      <c r="ADH142" s="11"/>
      <c r="ADI142" s="11"/>
      <c r="ADJ142" s="11"/>
      <c r="ADK142" s="11"/>
      <c r="ADL142" s="11"/>
      <c r="ADM142" s="11"/>
      <c r="ADN142" s="11"/>
      <c r="ADO142" s="11"/>
      <c r="ADP142" s="11"/>
      <c r="ADQ142" s="11"/>
      <c r="ADR142" s="11"/>
      <c r="ADS142" s="11"/>
      <c r="ADT142" s="11"/>
      <c r="ADU142" s="11"/>
      <c r="ADV142" s="11"/>
      <c r="ADW142" s="11"/>
      <c r="ADX142" s="11"/>
      <c r="ADY142" s="11"/>
      <c r="ADZ142" s="11"/>
      <c r="AEA142" s="11"/>
      <c r="AEB142" s="11"/>
      <c r="AEC142" s="11"/>
      <c r="AED142" s="11"/>
      <c r="AEE142" s="11"/>
      <c r="AEF142" s="11"/>
      <c r="AEG142" s="11"/>
      <c r="AEH142" s="11"/>
      <c r="AEI142" s="11"/>
      <c r="AEJ142" s="11"/>
      <c r="AEK142" s="11"/>
      <c r="AEL142" s="11"/>
      <c r="AEM142" s="11"/>
      <c r="AEN142" s="11"/>
      <c r="AEO142" s="11"/>
      <c r="AEP142" s="11"/>
      <c r="AEQ142" s="11"/>
      <c r="AER142" s="11"/>
      <c r="AES142" s="11"/>
      <c r="AET142" s="11"/>
      <c r="AEU142" s="11"/>
      <c r="AEV142" s="11"/>
      <c r="AEW142" s="11"/>
      <c r="AEX142" s="11"/>
      <c r="AEY142" s="11"/>
      <c r="AEZ142" s="11"/>
      <c r="AFA142" s="11"/>
      <c r="AFB142" s="11"/>
      <c r="AFC142" s="11"/>
      <c r="AFD142" s="11"/>
      <c r="AFE142" s="11"/>
      <c r="AFF142" s="11"/>
      <c r="AFG142" s="11"/>
      <c r="AFH142" s="11"/>
      <c r="AFI142" s="11"/>
    </row>
    <row r="143" spans="2:84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c r="IW143" s="11"/>
      <c r="IX143" s="11"/>
      <c r="IY143" s="11"/>
      <c r="IZ143" s="11"/>
      <c r="JA143" s="11"/>
      <c r="JB143" s="11"/>
      <c r="JC143" s="11"/>
      <c r="JD143" s="11"/>
      <c r="JE143" s="11"/>
      <c r="JF143" s="11"/>
      <c r="JG143" s="11"/>
      <c r="JH143" s="11"/>
      <c r="JI143" s="11"/>
      <c r="JJ143" s="11"/>
      <c r="JK143" s="11"/>
      <c r="JL143" s="11"/>
      <c r="JM143" s="11"/>
      <c r="JN143" s="11"/>
      <c r="JO143" s="11"/>
      <c r="JP143" s="11"/>
      <c r="JQ143" s="11"/>
      <c r="JR143" s="11"/>
      <c r="JS143" s="11"/>
      <c r="JT143" s="11"/>
      <c r="JU143" s="11"/>
      <c r="JV143" s="11"/>
      <c r="JW143" s="11"/>
      <c r="JX143" s="11"/>
      <c r="JY143" s="11"/>
      <c r="JZ143" s="11"/>
      <c r="KA143" s="11"/>
      <c r="KB143" s="11"/>
      <c r="KC143" s="11"/>
      <c r="KD143" s="11"/>
      <c r="KE143" s="11"/>
      <c r="KF143" s="11"/>
      <c r="KG143" s="11"/>
      <c r="KH143" s="11"/>
      <c r="KI143" s="11"/>
      <c r="KJ143" s="11"/>
      <c r="KK143" s="11"/>
      <c r="KL143" s="11"/>
      <c r="KM143" s="11"/>
      <c r="KN143" s="11"/>
      <c r="KO143" s="11"/>
      <c r="KP143" s="11"/>
      <c r="KQ143" s="11"/>
      <c r="KR143" s="11"/>
      <c r="KS143" s="11"/>
      <c r="KT143" s="11"/>
      <c r="KU143" s="11"/>
      <c r="KV143" s="11"/>
      <c r="KW143" s="11"/>
      <c r="KX143" s="11"/>
      <c r="KY143" s="11"/>
      <c r="KZ143" s="11"/>
      <c r="LA143" s="11"/>
      <c r="LB143" s="11"/>
      <c r="LC143" s="11"/>
      <c r="LD143" s="11"/>
      <c r="LE143" s="11"/>
      <c r="LF143" s="11"/>
      <c r="LG143" s="11"/>
      <c r="LH143" s="11"/>
      <c r="LI143" s="11"/>
      <c r="LJ143" s="11"/>
      <c r="LK143" s="11"/>
      <c r="LL143" s="11"/>
      <c r="LM143" s="11"/>
      <c r="LN143" s="11"/>
      <c r="LO143" s="11"/>
      <c r="LP143" s="11"/>
      <c r="LQ143" s="11"/>
      <c r="LR143" s="11"/>
      <c r="LS143" s="11"/>
      <c r="LT143" s="11"/>
      <c r="LU143" s="11"/>
      <c r="LV143" s="11"/>
      <c r="LW143" s="11"/>
      <c r="LX143" s="11"/>
      <c r="LY143" s="11"/>
      <c r="LZ143" s="11"/>
      <c r="MA143" s="11"/>
      <c r="MB143" s="11"/>
      <c r="MC143" s="11"/>
      <c r="MD143" s="11"/>
      <c r="ME143" s="11"/>
      <c r="MF143" s="11"/>
      <c r="MG143" s="11"/>
      <c r="MH143" s="11"/>
      <c r="MI143" s="11"/>
      <c r="MJ143" s="11"/>
      <c r="MK143" s="11"/>
      <c r="ML143" s="11"/>
      <c r="MM143" s="11"/>
      <c r="MN143" s="11"/>
      <c r="MO143" s="11"/>
      <c r="MP143" s="11"/>
      <c r="MQ143" s="11"/>
      <c r="MR143" s="11"/>
      <c r="MS143" s="11"/>
      <c r="MT143" s="11"/>
      <c r="MU143" s="11"/>
      <c r="MV143" s="11"/>
      <c r="MW143" s="11"/>
      <c r="MX143" s="11"/>
      <c r="MY143" s="11"/>
      <c r="MZ143" s="11"/>
      <c r="NA143" s="11"/>
      <c r="NB143" s="11"/>
      <c r="NC143" s="11"/>
      <c r="ND143" s="11"/>
      <c r="NE143" s="11"/>
      <c r="NF143" s="11"/>
      <c r="NG143" s="11"/>
      <c r="NH143" s="11"/>
      <c r="NI143" s="11"/>
      <c r="NJ143" s="11"/>
      <c r="NK143" s="11"/>
      <c r="NL143" s="11"/>
      <c r="NM143" s="11"/>
      <c r="NN143" s="11"/>
      <c r="NO143" s="11"/>
      <c r="NP143" s="11"/>
      <c r="NQ143" s="11"/>
      <c r="NR143" s="11"/>
      <c r="NS143" s="11"/>
      <c r="NT143" s="11"/>
      <c r="NU143" s="11"/>
      <c r="NV143" s="11"/>
      <c r="NW143" s="11"/>
      <c r="NX143" s="11"/>
      <c r="NY143" s="11"/>
      <c r="NZ143" s="11"/>
      <c r="OA143" s="11"/>
      <c r="OB143" s="11"/>
      <c r="OC143" s="11"/>
      <c r="OD143" s="11"/>
      <c r="OE143" s="11"/>
      <c r="OF143" s="11"/>
      <c r="OG143" s="11"/>
      <c r="OH143" s="11"/>
      <c r="OI143" s="11"/>
      <c r="OJ143" s="11"/>
      <c r="OK143" s="11"/>
      <c r="OL143" s="11"/>
      <c r="OM143" s="11"/>
      <c r="ON143" s="11"/>
      <c r="OO143" s="11"/>
      <c r="OP143" s="11"/>
      <c r="OQ143" s="11"/>
      <c r="OR143" s="11"/>
      <c r="OS143" s="11"/>
      <c r="OT143" s="11"/>
      <c r="OU143" s="11"/>
      <c r="OV143" s="11"/>
      <c r="OW143" s="11"/>
      <c r="OX143" s="11"/>
      <c r="OY143" s="11"/>
      <c r="OZ143" s="11"/>
      <c r="PA143" s="11"/>
      <c r="PB143" s="11"/>
      <c r="PC143" s="11"/>
      <c r="PD143" s="11"/>
      <c r="PE143" s="11"/>
      <c r="PF143" s="11"/>
      <c r="PG143" s="11"/>
      <c r="PH143" s="11"/>
      <c r="PI143" s="11"/>
      <c r="PJ143" s="11"/>
      <c r="PK143" s="11"/>
      <c r="PL143" s="11"/>
      <c r="PM143" s="11"/>
      <c r="PN143" s="11"/>
      <c r="PO143" s="11"/>
      <c r="PP143" s="11"/>
      <c r="PQ143" s="11"/>
      <c r="PR143" s="11"/>
      <c r="PS143" s="11"/>
      <c r="PT143" s="11"/>
      <c r="PU143" s="11"/>
      <c r="PV143" s="11"/>
      <c r="PW143" s="11"/>
      <c r="PX143" s="11"/>
      <c r="PY143" s="11"/>
      <c r="PZ143" s="11"/>
      <c r="QA143" s="11"/>
      <c r="QB143" s="11"/>
      <c r="QC143" s="11"/>
      <c r="QD143" s="11"/>
      <c r="QE143" s="11"/>
      <c r="QF143" s="11"/>
      <c r="QG143" s="11"/>
      <c r="QH143" s="11"/>
      <c r="QI143" s="11"/>
      <c r="QJ143" s="11"/>
      <c r="QK143" s="11"/>
      <c r="QL143" s="11"/>
      <c r="QM143" s="11"/>
      <c r="QN143" s="11"/>
      <c r="QO143" s="11"/>
      <c r="QP143" s="11"/>
      <c r="QQ143" s="11"/>
      <c r="QR143" s="11"/>
      <c r="QS143" s="11"/>
      <c r="QT143" s="11"/>
      <c r="QU143" s="11"/>
      <c r="QV143" s="11"/>
      <c r="QW143" s="11"/>
      <c r="QX143" s="11"/>
      <c r="QY143" s="11"/>
      <c r="QZ143" s="11"/>
      <c r="RA143" s="11"/>
      <c r="RB143" s="11"/>
      <c r="RC143" s="11"/>
      <c r="RD143" s="11"/>
      <c r="RE143" s="11"/>
      <c r="RF143" s="11"/>
      <c r="RG143" s="11"/>
      <c r="RH143" s="11"/>
      <c r="RI143" s="11"/>
      <c r="RJ143" s="11"/>
      <c r="RK143" s="11"/>
      <c r="RL143" s="11"/>
      <c r="RM143" s="11"/>
      <c r="RN143" s="11"/>
      <c r="RO143" s="11"/>
      <c r="RP143" s="11"/>
      <c r="RQ143" s="11"/>
      <c r="RR143" s="11"/>
      <c r="RS143" s="11"/>
      <c r="RT143" s="11"/>
      <c r="RU143" s="11"/>
      <c r="RV143" s="11"/>
      <c r="RW143" s="11"/>
      <c r="RX143" s="11"/>
      <c r="RY143" s="11"/>
      <c r="RZ143" s="11"/>
      <c r="SA143" s="11"/>
      <c r="SB143" s="11"/>
      <c r="SC143" s="11"/>
      <c r="SD143" s="11"/>
      <c r="SE143" s="11"/>
      <c r="SF143" s="11"/>
      <c r="SG143" s="11"/>
      <c r="SH143" s="11"/>
      <c r="SI143" s="11"/>
      <c r="SJ143" s="11"/>
      <c r="SK143" s="11"/>
      <c r="SL143" s="11"/>
      <c r="SM143" s="11"/>
      <c r="SN143" s="11"/>
      <c r="SO143" s="11"/>
      <c r="SP143" s="11"/>
      <c r="SQ143" s="11"/>
      <c r="SR143" s="11"/>
      <c r="SS143" s="11"/>
      <c r="ST143" s="11"/>
      <c r="SU143" s="11"/>
      <c r="SV143" s="11"/>
      <c r="SW143" s="11"/>
      <c r="SX143" s="11"/>
      <c r="SY143" s="11"/>
      <c r="SZ143" s="11"/>
      <c r="TA143" s="11"/>
      <c r="TB143" s="11"/>
      <c r="TC143" s="11"/>
      <c r="TD143" s="11"/>
      <c r="TE143" s="11"/>
      <c r="TF143" s="11"/>
      <c r="TG143" s="11"/>
      <c r="TH143" s="11"/>
      <c r="TI143" s="11"/>
      <c r="TJ143" s="11"/>
      <c r="TK143" s="11"/>
      <c r="TL143" s="11"/>
      <c r="TM143" s="11"/>
      <c r="TN143" s="11"/>
      <c r="TO143" s="11"/>
      <c r="TP143" s="11"/>
      <c r="TQ143" s="11"/>
      <c r="TR143" s="11"/>
      <c r="TS143" s="11"/>
      <c r="TT143" s="11"/>
      <c r="TU143" s="11"/>
      <c r="TV143" s="11"/>
      <c r="TW143" s="11"/>
      <c r="TX143" s="11"/>
      <c r="TY143" s="11"/>
      <c r="TZ143" s="11"/>
      <c r="UA143" s="11"/>
      <c r="UB143" s="11"/>
      <c r="UC143" s="11"/>
      <c r="UD143" s="11"/>
      <c r="UE143" s="11"/>
      <c r="UF143" s="11"/>
      <c r="UG143" s="11"/>
      <c r="UH143" s="11"/>
      <c r="UI143" s="11"/>
      <c r="UJ143" s="11"/>
      <c r="UK143" s="11"/>
      <c r="UL143" s="11"/>
      <c r="UM143" s="11"/>
      <c r="UN143" s="11"/>
      <c r="UO143" s="11"/>
      <c r="UP143" s="11"/>
      <c r="UQ143" s="11"/>
      <c r="UR143" s="11"/>
      <c r="US143" s="11"/>
      <c r="UT143" s="11"/>
      <c r="UU143" s="11"/>
      <c r="UV143" s="11"/>
      <c r="UW143" s="11"/>
      <c r="UX143" s="11"/>
      <c r="UY143" s="11"/>
      <c r="UZ143" s="11"/>
      <c r="VA143" s="11"/>
      <c r="VB143" s="11"/>
      <c r="VC143" s="11"/>
      <c r="VD143" s="11"/>
      <c r="VE143" s="11"/>
      <c r="VF143" s="11"/>
      <c r="VG143" s="11"/>
      <c r="VH143" s="11"/>
      <c r="VI143" s="11"/>
      <c r="VJ143" s="11"/>
      <c r="VK143" s="11"/>
      <c r="VL143" s="11"/>
      <c r="VM143" s="11"/>
      <c r="VN143" s="11"/>
      <c r="VO143" s="11"/>
      <c r="VP143" s="11"/>
      <c r="VQ143" s="11"/>
      <c r="VR143" s="11"/>
      <c r="VS143" s="11"/>
      <c r="VT143" s="11"/>
      <c r="VU143" s="11"/>
      <c r="VV143" s="11"/>
      <c r="VW143" s="11"/>
      <c r="VX143" s="11"/>
      <c r="VY143" s="11"/>
      <c r="VZ143" s="11"/>
      <c r="WA143" s="11"/>
      <c r="WB143" s="11"/>
      <c r="WC143" s="11"/>
      <c r="WD143" s="11"/>
      <c r="WE143" s="11"/>
      <c r="WF143" s="11"/>
      <c r="WG143" s="11"/>
      <c r="WH143" s="11"/>
      <c r="WI143" s="11"/>
      <c r="WJ143" s="11"/>
      <c r="WK143" s="11"/>
      <c r="WL143" s="11"/>
      <c r="WM143" s="11"/>
      <c r="WN143" s="11"/>
      <c r="WO143" s="11"/>
      <c r="WP143" s="11"/>
      <c r="WQ143" s="11"/>
      <c r="WR143" s="11"/>
      <c r="WS143" s="11"/>
      <c r="WT143" s="11"/>
      <c r="WU143" s="11"/>
      <c r="WV143" s="11"/>
      <c r="WW143" s="11"/>
      <c r="WX143" s="11"/>
      <c r="WY143" s="11"/>
      <c r="WZ143" s="11"/>
      <c r="XA143" s="11"/>
      <c r="XB143" s="11"/>
      <c r="XC143" s="11"/>
      <c r="XD143" s="11"/>
      <c r="XE143" s="11"/>
      <c r="XF143" s="11"/>
      <c r="XG143" s="11"/>
      <c r="XH143" s="11"/>
      <c r="XI143" s="11"/>
      <c r="XJ143" s="11"/>
      <c r="XK143" s="11"/>
      <c r="XL143" s="11"/>
      <c r="XM143" s="11"/>
      <c r="XN143" s="11"/>
      <c r="XO143" s="11"/>
      <c r="XP143" s="11"/>
      <c r="XQ143" s="11"/>
      <c r="XR143" s="11"/>
      <c r="XS143" s="11"/>
      <c r="XT143" s="11"/>
      <c r="XU143" s="11"/>
      <c r="XV143" s="11"/>
      <c r="XW143" s="11"/>
      <c r="XX143" s="11"/>
      <c r="XY143" s="11"/>
      <c r="XZ143" s="11"/>
      <c r="YA143" s="11"/>
      <c r="YB143" s="11"/>
      <c r="YC143" s="11"/>
      <c r="YD143" s="11"/>
      <c r="YE143" s="11"/>
      <c r="YF143" s="11"/>
      <c r="YG143" s="11"/>
      <c r="YH143" s="11"/>
      <c r="YI143" s="11"/>
      <c r="YJ143" s="11"/>
      <c r="YK143" s="11"/>
      <c r="YL143" s="11"/>
      <c r="YM143" s="11"/>
      <c r="YN143" s="11"/>
      <c r="YO143" s="11"/>
      <c r="YP143" s="11"/>
      <c r="YQ143" s="11"/>
      <c r="YR143" s="11"/>
      <c r="YS143" s="11"/>
      <c r="YT143" s="11"/>
      <c r="YU143" s="11"/>
      <c r="YV143" s="11"/>
      <c r="YW143" s="11"/>
      <c r="YX143" s="11"/>
      <c r="YY143" s="11"/>
      <c r="YZ143" s="11"/>
      <c r="ZA143" s="11"/>
      <c r="ZB143" s="11"/>
      <c r="ZC143" s="11"/>
      <c r="ZD143" s="11"/>
      <c r="ZE143" s="11"/>
      <c r="ZF143" s="11"/>
      <c r="ZG143" s="11"/>
      <c r="ZH143" s="11"/>
      <c r="ZI143" s="11"/>
      <c r="ZJ143" s="11"/>
      <c r="ZK143" s="11"/>
      <c r="ZL143" s="11"/>
      <c r="ZM143" s="11"/>
      <c r="ZN143" s="11"/>
      <c r="ZO143" s="11"/>
      <c r="ZP143" s="11"/>
      <c r="ZQ143" s="11"/>
      <c r="ZR143" s="11"/>
      <c r="ZS143" s="11"/>
      <c r="ZT143" s="11"/>
      <c r="ZU143" s="11"/>
      <c r="ZV143" s="11"/>
      <c r="ZW143" s="11"/>
      <c r="ZX143" s="11"/>
      <c r="ZY143" s="11"/>
      <c r="ZZ143" s="11"/>
      <c r="AAA143" s="11"/>
      <c r="AAB143" s="11"/>
      <c r="AAC143" s="11"/>
      <c r="AAD143" s="11"/>
      <c r="AAE143" s="11"/>
      <c r="AAF143" s="11"/>
      <c r="AAG143" s="11"/>
      <c r="AAH143" s="11"/>
      <c r="AAI143" s="11"/>
      <c r="AAJ143" s="11"/>
      <c r="AAK143" s="11"/>
      <c r="AAL143" s="11"/>
      <c r="AAM143" s="11"/>
      <c r="AAN143" s="11"/>
      <c r="AAO143" s="11"/>
      <c r="AAP143" s="11"/>
      <c r="AAQ143" s="11"/>
      <c r="AAR143" s="11"/>
      <c r="AAS143" s="11"/>
      <c r="AAT143" s="11"/>
      <c r="AAU143" s="11"/>
      <c r="AAV143" s="11"/>
      <c r="AAW143" s="11"/>
      <c r="AAX143" s="11"/>
      <c r="AAY143" s="11"/>
      <c r="AAZ143" s="11"/>
      <c r="ABA143" s="11"/>
      <c r="ABB143" s="11"/>
      <c r="ABC143" s="11"/>
      <c r="ABD143" s="11"/>
      <c r="ABE143" s="11"/>
      <c r="ABF143" s="11"/>
      <c r="ABG143" s="11"/>
      <c r="ABH143" s="11"/>
      <c r="ABI143" s="11"/>
      <c r="ABJ143" s="11"/>
      <c r="ABK143" s="11"/>
      <c r="ABL143" s="11"/>
      <c r="ABM143" s="11"/>
      <c r="ABN143" s="11"/>
      <c r="ABO143" s="11"/>
      <c r="ABP143" s="11"/>
      <c r="ABQ143" s="11"/>
      <c r="ABR143" s="11"/>
      <c r="ABS143" s="11"/>
      <c r="ABT143" s="11"/>
      <c r="ABU143" s="11"/>
      <c r="ABV143" s="11"/>
      <c r="ABW143" s="11"/>
      <c r="ABX143" s="11"/>
      <c r="ABY143" s="11"/>
      <c r="ABZ143" s="11"/>
      <c r="ACA143" s="11"/>
      <c r="ACB143" s="11"/>
      <c r="ACC143" s="11"/>
      <c r="ACD143" s="11"/>
      <c r="ACE143" s="11"/>
      <c r="ACF143" s="11"/>
      <c r="ACG143" s="11"/>
      <c r="ACH143" s="11"/>
      <c r="ACI143" s="11"/>
      <c r="ACJ143" s="11"/>
      <c r="ACK143" s="11"/>
      <c r="ACL143" s="11"/>
      <c r="ACM143" s="11"/>
      <c r="ACN143" s="11"/>
      <c r="ACO143" s="11"/>
      <c r="ACP143" s="11"/>
      <c r="ACQ143" s="11"/>
      <c r="ACR143" s="11"/>
      <c r="ACS143" s="11"/>
      <c r="ACT143" s="11"/>
      <c r="ACU143" s="11"/>
      <c r="ACV143" s="11"/>
      <c r="ACW143" s="11"/>
      <c r="ACX143" s="11"/>
      <c r="ACY143" s="11"/>
      <c r="ACZ143" s="11"/>
      <c r="ADA143" s="11"/>
      <c r="ADB143" s="11"/>
      <c r="ADC143" s="11"/>
      <c r="ADD143" s="11"/>
      <c r="ADE143" s="11"/>
      <c r="ADF143" s="11"/>
      <c r="ADG143" s="11"/>
      <c r="ADH143" s="11"/>
      <c r="ADI143" s="11"/>
      <c r="ADJ143" s="11"/>
      <c r="ADK143" s="11"/>
      <c r="ADL143" s="11"/>
      <c r="ADM143" s="11"/>
      <c r="ADN143" s="11"/>
      <c r="ADO143" s="11"/>
      <c r="ADP143" s="11"/>
      <c r="ADQ143" s="11"/>
      <c r="ADR143" s="11"/>
      <c r="ADS143" s="11"/>
      <c r="ADT143" s="11"/>
      <c r="ADU143" s="11"/>
      <c r="ADV143" s="11"/>
      <c r="ADW143" s="11"/>
      <c r="ADX143" s="11"/>
      <c r="ADY143" s="11"/>
      <c r="ADZ143" s="11"/>
      <c r="AEA143" s="11"/>
      <c r="AEB143" s="11"/>
      <c r="AEC143" s="11"/>
      <c r="AED143" s="11"/>
      <c r="AEE143" s="11"/>
      <c r="AEF143" s="11"/>
      <c r="AEG143" s="11"/>
      <c r="AEH143" s="11"/>
      <c r="AEI143" s="11"/>
      <c r="AEJ143" s="11"/>
      <c r="AEK143" s="11"/>
      <c r="AEL143" s="11"/>
      <c r="AEM143" s="11"/>
      <c r="AEN143" s="11"/>
      <c r="AEO143" s="11"/>
      <c r="AEP143" s="11"/>
      <c r="AEQ143" s="11"/>
      <c r="AER143" s="11"/>
      <c r="AES143" s="11"/>
      <c r="AET143" s="11"/>
      <c r="AEU143" s="11"/>
      <c r="AEV143" s="11"/>
      <c r="AEW143" s="11"/>
      <c r="AEX143" s="11"/>
      <c r="AEY143" s="11"/>
      <c r="AEZ143" s="11"/>
      <c r="AFA143" s="11"/>
      <c r="AFB143" s="11"/>
      <c r="AFC143" s="11"/>
      <c r="AFD143" s="11"/>
      <c r="AFE143" s="11"/>
      <c r="AFF143" s="11"/>
      <c r="AFG143" s="11"/>
      <c r="AFH143" s="11"/>
      <c r="AFI143" s="11"/>
    </row>
    <row r="144" spans="2:84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c r="IW144" s="11"/>
      <c r="IX144" s="11"/>
      <c r="IY144" s="11"/>
      <c r="IZ144" s="11"/>
      <c r="JA144" s="11"/>
      <c r="JB144" s="11"/>
      <c r="JC144" s="11"/>
      <c r="JD144" s="11"/>
      <c r="JE144" s="11"/>
      <c r="JF144" s="11"/>
      <c r="JG144" s="11"/>
      <c r="JH144" s="11"/>
      <c r="JI144" s="11"/>
      <c r="JJ144" s="11"/>
      <c r="JK144" s="11"/>
      <c r="JL144" s="11"/>
      <c r="JM144" s="11"/>
      <c r="JN144" s="11"/>
      <c r="JO144" s="11"/>
      <c r="JP144" s="11"/>
      <c r="JQ144" s="11"/>
      <c r="JR144" s="11"/>
      <c r="JS144" s="11"/>
      <c r="JT144" s="11"/>
      <c r="JU144" s="11"/>
      <c r="JV144" s="11"/>
      <c r="JW144" s="11"/>
      <c r="JX144" s="11"/>
      <c r="JY144" s="11"/>
      <c r="JZ144" s="11"/>
      <c r="KA144" s="11"/>
      <c r="KB144" s="11"/>
      <c r="KC144" s="11"/>
      <c r="KD144" s="11"/>
      <c r="KE144" s="11"/>
      <c r="KF144" s="11"/>
      <c r="KG144" s="11"/>
      <c r="KH144" s="11"/>
      <c r="KI144" s="11"/>
      <c r="KJ144" s="11"/>
      <c r="KK144" s="11"/>
      <c r="KL144" s="11"/>
      <c r="KM144" s="11"/>
      <c r="KN144" s="11"/>
      <c r="KO144" s="11"/>
      <c r="KP144" s="11"/>
      <c r="KQ144" s="11"/>
      <c r="KR144" s="11"/>
      <c r="KS144" s="11"/>
      <c r="KT144" s="11"/>
      <c r="KU144" s="11"/>
      <c r="KV144" s="11"/>
      <c r="KW144" s="11"/>
      <c r="KX144" s="11"/>
      <c r="KY144" s="11"/>
      <c r="KZ144" s="11"/>
      <c r="LA144" s="11"/>
      <c r="LB144" s="11"/>
      <c r="LC144" s="11"/>
      <c r="LD144" s="11"/>
      <c r="LE144" s="11"/>
      <c r="LF144" s="11"/>
      <c r="LG144" s="11"/>
      <c r="LH144" s="11"/>
      <c r="LI144" s="11"/>
      <c r="LJ144" s="11"/>
      <c r="LK144" s="11"/>
      <c r="LL144" s="11"/>
      <c r="LM144" s="11"/>
      <c r="LN144" s="11"/>
      <c r="LO144" s="11"/>
      <c r="LP144" s="11"/>
      <c r="LQ144" s="11"/>
      <c r="LR144" s="11"/>
      <c r="LS144" s="11"/>
      <c r="LT144" s="11"/>
      <c r="LU144" s="11"/>
      <c r="LV144" s="11"/>
      <c r="LW144" s="11"/>
      <c r="LX144" s="11"/>
      <c r="LY144" s="11"/>
      <c r="LZ144" s="11"/>
      <c r="MA144" s="11"/>
      <c r="MB144" s="11"/>
      <c r="MC144" s="11"/>
      <c r="MD144" s="11"/>
      <c r="ME144" s="11"/>
      <c r="MF144" s="11"/>
      <c r="MG144" s="11"/>
      <c r="MH144" s="11"/>
      <c r="MI144" s="11"/>
      <c r="MJ144" s="11"/>
      <c r="MK144" s="11"/>
      <c r="ML144" s="11"/>
      <c r="MM144" s="11"/>
      <c r="MN144" s="11"/>
      <c r="MO144" s="11"/>
      <c r="MP144" s="11"/>
      <c r="MQ144" s="11"/>
      <c r="MR144" s="11"/>
      <c r="MS144" s="11"/>
      <c r="MT144" s="11"/>
      <c r="MU144" s="11"/>
      <c r="MV144" s="11"/>
      <c r="MW144" s="11"/>
      <c r="MX144" s="11"/>
      <c r="MY144" s="11"/>
      <c r="MZ144" s="11"/>
      <c r="NA144" s="11"/>
      <c r="NB144" s="11"/>
      <c r="NC144" s="11"/>
      <c r="ND144" s="11"/>
      <c r="NE144" s="11"/>
      <c r="NF144" s="11"/>
      <c r="NG144" s="11"/>
      <c r="NH144" s="11"/>
      <c r="NI144" s="11"/>
      <c r="NJ144" s="11"/>
      <c r="NK144" s="11"/>
      <c r="NL144" s="11"/>
      <c r="NM144" s="11"/>
      <c r="NN144" s="11"/>
      <c r="NO144" s="11"/>
      <c r="NP144" s="11"/>
      <c r="NQ144" s="11"/>
      <c r="NR144" s="11"/>
      <c r="NS144" s="11"/>
      <c r="NT144" s="11"/>
      <c r="NU144" s="11"/>
      <c r="NV144" s="11"/>
      <c r="NW144" s="11"/>
      <c r="NX144" s="11"/>
      <c r="NY144" s="11"/>
      <c r="NZ144" s="11"/>
      <c r="OA144" s="11"/>
      <c r="OB144" s="11"/>
      <c r="OC144" s="11"/>
      <c r="OD144" s="11"/>
      <c r="OE144" s="11"/>
      <c r="OF144" s="11"/>
      <c r="OG144" s="11"/>
      <c r="OH144" s="11"/>
      <c r="OI144" s="11"/>
      <c r="OJ144" s="11"/>
      <c r="OK144" s="11"/>
      <c r="OL144" s="11"/>
      <c r="OM144" s="11"/>
      <c r="ON144" s="11"/>
      <c r="OO144" s="11"/>
      <c r="OP144" s="11"/>
      <c r="OQ144" s="11"/>
      <c r="OR144" s="11"/>
      <c r="OS144" s="11"/>
      <c r="OT144" s="11"/>
      <c r="OU144" s="11"/>
      <c r="OV144" s="11"/>
      <c r="OW144" s="11"/>
      <c r="OX144" s="11"/>
      <c r="OY144" s="11"/>
      <c r="OZ144" s="11"/>
      <c r="PA144" s="11"/>
      <c r="PB144" s="11"/>
      <c r="PC144" s="11"/>
      <c r="PD144" s="11"/>
      <c r="PE144" s="11"/>
      <c r="PF144" s="11"/>
      <c r="PG144" s="11"/>
      <c r="PH144" s="11"/>
      <c r="PI144" s="11"/>
      <c r="PJ144" s="11"/>
      <c r="PK144" s="11"/>
      <c r="PL144" s="11"/>
      <c r="PM144" s="11"/>
      <c r="PN144" s="11"/>
      <c r="PO144" s="11"/>
      <c r="PP144" s="11"/>
      <c r="PQ144" s="11"/>
      <c r="PR144" s="11"/>
      <c r="PS144" s="11"/>
      <c r="PT144" s="11"/>
      <c r="PU144" s="11"/>
      <c r="PV144" s="11"/>
      <c r="PW144" s="11"/>
      <c r="PX144" s="11"/>
      <c r="PY144" s="11"/>
      <c r="PZ144" s="11"/>
      <c r="QA144" s="11"/>
      <c r="QB144" s="11"/>
      <c r="QC144" s="11"/>
      <c r="QD144" s="11"/>
      <c r="QE144" s="11"/>
      <c r="QF144" s="11"/>
      <c r="QG144" s="11"/>
      <c r="QH144" s="11"/>
      <c r="QI144" s="11"/>
      <c r="QJ144" s="11"/>
      <c r="QK144" s="11"/>
      <c r="QL144" s="11"/>
      <c r="QM144" s="11"/>
      <c r="QN144" s="11"/>
      <c r="QO144" s="11"/>
      <c r="QP144" s="11"/>
      <c r="QQ144" s="11"/>
      <c r="QR144" s="11"/>
      <c r="QS144" s="11"/>
      <c r="QT144" s="11"/>
      <c r="QU144" s="11"/>
      <c r="QV144" s="11"/>
      <c r="QW144" s="11"/>
      <c r="QX144" s="11"/>
      <c r="QY144" s="11"/>
      <c r="QZ144" s="11"/>
      <c r="RA144" s="11"/>
      <c r="RB144" s="11"/>
      <c r="RC144" s="11"/>
      <c r="RD144" s="11"/>
      <c r="RE144" s="11"/>
      <c r="RF144" s="11"/>
      <c r="RG144" s="11"/>
      <c r="RH144" s="11"/>
      <c r="RI144" s="11"/>
      <c r="RJ144" s="11"/>
      <c r="RK144" s="11"/>
      <c r="RL144" s="11"/>
      <c r="RM144" s="11"/>
      <c r="RN144" s="11"/>
      <c r="RO144" s="11"/>
      <c r="RP144" s="11"/>
      <c r="RQ144" s="11"/>
      <c r="RR144" s="11"/>
      <c r="RS144" s="11"/>
      <c r="RT144" s="11"/>
      <c r="RU144" s="11"/>
      <c r="RV144" s="11"/>
      <c r="RW144" s="11"/>
      <c r="RX144" s="11"/>
      <c r="RY144" s="11"/>
      <c r="RZ144" s="11"/>
      <c r="SA144" s="11"/>
      <c r="SB144" s="11"/>
      <c r="SC144" s="11"/>
      <c r="SD144" s="11"/>
      <c r="SE144" s="11"/>
      <c r="SF144" s="11"/>
      <c r="SG144" s="11"/>
      <c r="SH144" s="11"/>
      <c r="SI144" s="11"/>
      <c r="SJ144" s="11"/>
      <c r="SK144" s="11"/>
      <c r="SL144" s="11"/>
      <c r="SM144" s="11"/>
      <c r="SN144" s="11"/>
      <c r="SO144" s="11"/>
      <c r="SP144" s="11"/>
      <c r="SQ144" s="11"/>
      <c r="SR144" s="11"/>
      <c r="SS144" s="11"/>
      <c r="ST144" s="11"/>
      <c r="SU144" s="11"/>
      <c r="SV144" s="11"/>
      <c r="SW144" s="11"/>
      <c r="SX144" s="11"/>
      <c r="SY144" s="11"/>
      <c r="SZ144" s="11"/>
      <c r="TA144" s="11"/>
      <c r="TB144" s="11"/>
      <c r="TC144" s="11"/>
      <c r="TD144" s="11"/>
      <c r="TE144" s="11"/>
      <c r="TF144" s="11"/>
      <c r="TG144" s="11"/>
      <c r="TH144" s="11"/>
      <c r="TI144" s="11"/>
      <c r="TJ144" s="11"/>
      <c r="TK144" s="11"/>
      <c r="TL144" s="11"/>
      <c r="TM144" s="11"/>
      <c r="TN144" s="11"/>
      <c r="TO144" s="11"/>
      <c r="TP144" s="11"/>
      <c r="TQ144" s="11"/>
      <c r="TR144" s="11"/>
      <c r="TS144" s="11"/>
      <c r="TT144" s="11"/>
      <c r="TU144" s="11"/>
      <c r="TV144" s="11"/>
      <c r="TW144" s="11"/>
      <c r="TX144" s="11"/>
      <c r="TY144" s="11"/>
      <c r="TZ144" s="11"/>
      <c r="UA144" s="11"/>
      <c r="UB144" s="11"/>
      <c r="UC144" s="11"/>
      <c r="UD144" s="11"/>
      <c r="UE144" s="11"/>
      <c r="UF144" s="11"/>
      <c r="UG144" s="11"/>
      <c r="UH144" s="11"/>
      <c r="UI144" s="11"/>
      <c r="UJ144" s="11"/>
      <c r="UK144" s="11"/>
      <c r="UL144" s="11"/>
      <c r="UM144" s="11"/>
      <c r="UN144" s="11"/>
      <c r="UO144" s="11"/>
      <c r="UP144" s="11"/>
      <c r="UQ144" s="11"/>
      <c r="UR144" s="11"/>
      <c r="US144" s="11"/>
      <c r="UT144" s="11"/>
      <c r="UU144" s="11"/>
      <c r="UV144" s="11"/>
      <c r="UW144" s="11"/>
      <c r="UX144" s="11"/>
      <c r="UY144" s="11"/>
      <c r="UZ144" s="11"/>
      <c r="VA144" s="11"/>
      <c r="VB144" s="11"/>
      <c r="VC144" s="11"/>
      <c r="VD144" s="11"/>
      <c r="VE144" s="11"/>
      <c r="VF144" s="11"/>
      <c r="VG144" s="11"/>
      <c r="VH144" s="11"/>
      <c r="VI144" s="11"/>
      <c r="VJ144" s="11"/>
      <c r="VK144" s="11"/>
      <c r="VL144" s="11"/>
      <c r="VM144" s="11"/>
      <c r="VN144" s="11"/>
      <c r="VO144" s="11"/>
      <c r="VP144" s="11"/>
      <c r="VQ144" s="11"/>
      <c r="VR144" s="11"/>
      <c r="VS144" s="11"/>
      <c r="VT144" s="11"/>
      <c r="VU144" s="11"/>
      <c r="VV144" s="11"/>
      <c r="VW144" s="11"/>
      <c r="VX144" s="11"/>
      <c r="VY144" s="11"/>
      <c r="VZ144" s="11"/>
      <c r="WA144" s="11"/>
      <c r="WB144" s="11"/>
      <c r="WC144" s="11"/>
      <c r="WD144" s="11"/>
      <c r="WE144" s="11"/>
      <c r="WF144" s="11"/>
      <c r="WG144" s="11"/>
      <c r="WH144" s="11"/>
      <c r="WI144" s="11"/>
      <c r="WJ144" s="11"/>
      <c r="WK144" s="11"/>
      <c r="WL144" s="11"/>
      <c r="WM144" s="11"/>
      <c r="WN144" s="11"/>
      <c r="WO144" s="11"/>
      <c r="WP144" s="11"/>
      <c r="WQ144" s="11"/>
      <c r="WR144" s="11"/>
      <c r="WS144" s="11"/>
      <c r="WT144" s="11"/>
      <c r="WU144" s="11"/>
      <c r="WV144" s="11"/>
      <c r="WW144" s="11"/>
      <c r="WX144" s="11"/>
      <c r="WY144" s="11"/>
      <c r="WZ144" s="11"/>
      <c r="XA144" s="11"/>
      <c r="XB144" s="11"/>
      <c r="XC144" s="11"/>
      <c r="XD144" s="11"/>
      <c r="XE144" s="11"/>
      <c r="XF144" s="11"/>
      <c r="XG144" s="11"/>
      <c r="XH144" s="11"/>
      <c r="XI144" s="11"/>
      <c r="XJ144" s="11"/>
      <c r="XK144" s="11"/>
      <c r="XL144" s="11"/>
      <c r="XM144" s="11"/>
      <c r="XN144" s="11"/>
      <c r="XO144" s="11"/>
      <c r="XP144" s="11"/>
      <c r="XQ144" s="11"/>
      <c r="XR144" s="11"/>
      <c r="XS144" s="11"/>
      <c r="XT144" s="11"/>
      <c r="XU144" s="11"/>
      <c r="XV144" s="11"/>
      <c r="XW144" s="11"/>
      <c r="XX144" s="11"/>
      <c r="XY144" s="11"/>
      <c r="XZ144" s="11"/>
      <c r="YA144" s="11"/>
      <c r="YB144" s="11"/>
      <c r="YC144" s="11"/>
      <c r="YD144" s="11"/>
      <c r="YE144" s="11"/>
      <c r="YF144" s="11"/>
      <c r="YG144" s="11"/>
      <c r="YH144" s="11"/>
      <c r="YI144" s="11"/>
      <c r="YJ144" s="11"/>
      <c r="YK144" s="11"/>
      <c r="YL144" s="11"/>
      <c r="YM144" s="11"/>
      <c r="YN144" s="11"/>
      <c r="YO144" s="11"/>
      <c r="YP144" s="11"/>
      <c r="YQ144" s="11"/>
      <c r="YR144" s="11"/>
      <c r="YS144" s="11"/>
      <c r="YT144" s="11"/>
      <c r="YU144" s="11"/>
      <c r="YV144" s="11"/>
      <c r="YW144" s="11"/>
      <c r="YX144" s="11"/>
      <c r="YY144" s="11"/>
      <c r="YZ144" s="11"/>
      <c r="ZA144" s="11"/>
      <c r="ZB144" s="11"/>
      <c r="ZC144" s="11"/>
      <c r="ZD144" s="11"/>
      <c r="ZE144" s="11"/>
      <c r="ZF144" s="11"/>
      <c r="ZG144" s="11"/>
      <c r="ZH144" s="11"/>
      <c r="ZI144" s="11"/>
      <c r="ZJ144" s="11"/>
      <c r="ZK144" s="11"/>
      <c r="ZL144" s="11"/>
      <c r="ZM144" s="11"/>
      <c r="ZN144" s="11"/>
      <c r="ZO144" s="11"/>
      <c r="ZP144" s="11"/>
      <c r="ZQ144" s="11"/>
      <c r="ZR144" s="11"/>
      <c r="ZS144" s="11"/>
      <c r="ZT144" s="11"/>
      <c r="ZU144" s="11"/>
      <c r="ZV144" s="11"/>
      <c r="ZW144" s="11"/>
      <c r="ZX144" s="11"/>
      <c r="ZY144" s="11"/>
      <c r="ZZ144" s="11"/>
      <c r="AAA144" s="11"/>
      <c r="AAB144" s="11"/>
      <c r="AAC144" s="11"/>
      <c r="AAD144" s="11"/>
      <c r="AAE144" s="11"/>
      <c r="AAF144" s="11"/>
      <c r="AAG144" s="11"/>
      <c r="AAH144" s="11"/>
      <c r="AAI144" s="11"/>
      <c r="AAJ144" s="11"/>
      <c r="AAK144" s="11"/>
      <c r="AAL144" s="11"/>
      <c r="AAM144" s="11"/>
      <c r="AAN144" s="11"/>
      <c r="AAO144" s="11"/>
      <c r="AAP144" s="11"/>
      <c r="AAQ144" s="11"/>
      <c r="AAR144" s="11"/>
      <c r="AAS144" s="11"/>
      <c r="AAT144" s="11"/>
      <c r="AAU144" s="11"/>
      <c r="AAV144" s="11"/>
      <c r="AAW144" s="11"/>
      <c r="AAX144" s="11"/>
      <c r="AAY144" s="11"/>
      <c r="AAZ144" s="11"/>
      <c r="ABA144" s="11"/>
      <c r="ABB144" s="11"/>
      <c r="ABC144" s="11"/>
      <c r="ABD144" s="11"/>
      <c r="ABE144" s="11"/>
      <c r="ABF144" s="11"/>
      <c r="ABG144" s="11"/>
      <c r="ABH144" s="11"/>
      <c r="ABI144" s="11"/>
      <c r="ABJ144" s="11"/>
      <c r="ABK144" s="11"/>
      <c r="ABL144" s="11"/>
      <c r="ABM144" s="11"/>
      <c r="ABN144" s="11"/>
      <c r="ABO144" s="11"/>
      <c r="ABP144" s="11"/>
      <c r="ABQ144" s="11"/>
      <c r="ABR144" s="11"/>
      <c r="ABS144" s="11"/>
      <c r="ABT144" s="11"/>
      <c r="ABU144" s="11"/>
      <c r="ABV144" s="11"/>
      <c r="ABW144" s="11"/>
      <c r="ABX144" s="11"/>
      <c r="ABY144" s="11"/>
      <c r="ABZ144" s="11"/>
      <c r="ACA144" s="11"/>
      <c r="ACB144" s="11"/>
      <c r="ACC144" s="11"/>
      <c r="ACD144" s="11"/>
      <c r="ACE144" s="11"/>
      <c r="ACF144" s="11"/>
      <c r="ACG144" s="11"/>
      <c r="ACH144" s="11"/>
      <c r="ACI144" s="11"/>
      <c r="ACJ144" s="11"/>
      <c r="ACK144" s="11"/>
      <c r="ACL144" s="11"/>
      <c r="ACM144" s="11"/>
      <c r="ACN144" s="11"/>
      <c r="ACO144" s="11"/>
      <c r="ACP144" s="11"/>
      <c r="ACQ144" s="11"/>
      <c r="ACR144" s="11"/>
      <c r="ACS144" s="11"/>
      <c r="ACT144" s="11"/>
      <c r="ACU144" s="11"/>
      <c r="ACV144" s="11"/>
      <c r="ACW144" s="11"/>
      <c r="ACX144" s="11"/>
      <c r="ACY144" s="11"/>
      <c r="ACZ144" s="11"/>
      <c r="ADA144" s="11"/>
      <c r="ADB144" s="11"/>
      <c r="ADC144" s="11"/>
      <c r="ADD144" s="11"/>
      <c r="ADE144" s="11"/>
      <c r="ADF144" s="11"/>
      <c r="ADG144" s="11"/>
      <c r="ADH144" s="11"/>
      <c r="ADI144" s="11"/>
      <c r="ADJ144" s="11"/>
      <c r="ADK144" s="11"/>
      <c r="ADL144" s="11"/>
      <c r="ADM144" s="11"/>
      <c r="ADN144" s="11"/>
      <c r="ADO144" s="11"/>
      <c r="ADP144" s="11"/>
      <c r="ADQ144" s="11"/>
      <c r="ADR144" s="11"/>
      <c r="ADS144" s="11"/>
      <c r="ADT144" s="11"/>
      <c r="ADU144" s="11"/>
      <c r="ADV144" s="11"/>
      <c r="ADW144" s="11"/>
      <c r="ADX144" s="11"/>
      <c r="ADY144" s="11"/>
      <c r="ADZ144" s="11"/>
      <c r="AEA144" s="11"/>
      <c r="AEB144" s="11"/>
      <c r="AEC144" s="11"/>
      <c r="AED144" s="11"/>
      <c r="AEE144" s="11"/>
      <c r="AEF144" s="11"/>
      <c r="AEG144" s="11"/>
      <c r="AEH144" s="11"/>
      <c r="AEI144" s="11"/>
      <c r="AEJ144" s="11"/>
      <c r="AEK144" s="11"/>
      <c r="AEL144" s="11"/>
      <c r="AEM144" s="11"/>
      <c r="AEN144" s="11"/>
      <c r="AEO144" s="11"/>
      <c r="AEP144" s="11"/>
      <c r="AEQ144" s="11"/>
      <c r="AER144" s="11"/>
      <c r="AES144" s="11"/>
      <c r="AET144" s="11"/>
      <c r="AEU144" s="11"/>
      <c r="AEV144" s="11"/>
      <c r="AEW144" s="11"/>
      <c r="AEX144" s="11"/>
      <c r="AEY144" s="11"/>
      <c r="AEZ144" s="11"/>
      <c r="AFA144" s="11"/>
      <c r="AFB144" s="11"/>
      <c r="AFC144" s="11"/>
      <c r="AFD144" s="11"/>
      <c r="AFE144" s="11"/>
      <c r="AFF144" s="11"/>
      <c r="AFG144" s="11"/>
      <c r="AFH144" s="11"/>
      <c r="AFI144" s="11"/>
    </row>
    <row r="145" spans="2:84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c r="IW145" s="11"/>
      <c r="IX145" s="11"/>
      <c r="IY145" s="11"/>
      <c r="IZ145" s="11"/>
      <c r="JA145" s="11"/>
      <c r="JB145" s="11"/>
      <c r="JC145" s="11"/>
      <c r="JD145" s="11"/>
      <c r="JE145" s="11"/>
      <c r="JF145" s="11"/>
      <c r="JG145" s="11"/>
      <c r="JH145" s="11"/>
      <c r="JI145" s="11"/>
      <c r="JJ145" s="11"/>
      <c r="JK145" s="11"/>
      <c r="JL145" s="11"/>
      <c r="JM145" s="11"/>
      <c r="JN145" s="11"/>
      <c r="JO145" s="11"/>
      <c r="JP145" s="11"/>
      <c r="JQ145" s="11"/>
      <c r="JR145" s="11"/>
      <c r="JS145" s="11"/>
      <c r="JT145" s="11"/>
      <c r="JU145" s="11"/>
      <c r="JV145" s="11"/>
      <c r="JW145" s="11"/>
      <c r="JX145" s="11"/>
      <c r="JY145" s="11"/>
      <c r="JZ145" s="11"/>
      <c r="KA145" s="11"/>
      <c r="KB145" s="11"/>
      <c r="KC145" s="11"/>
      <c r="KD145" s="11"/>
      <c r="KE145" s="11"/>
      <c r="KF145" s="11"/>
      <c r="KG145" s="11"/>
      <c r="KH145" s="11"/>
      <c r="KI145" s="11"/>
      <c r="KJ145" s="11"/>
      <c r="KK145" s="11"/>
      <c r="KL145" s="11"/>
      <c r="KM145" s="11"/>
      <c r="KN145" s="11"/>
      <c r="KO145" s="11"/>
      <c r="KP145" s="11"/>
      <c r="KQ145" s="11"/>
      <c r="KR145" s="11"/>
      <c r="KS145" s="11"/>
      <c r="KT145" s="11"/>
      <c r="KU145" s="11"/>
      <c r="KV145" s="11"/>
      <c r="KW145" s="11"/>
      <c r="KX145" s="11"/>
      <c r="KY145" s="11"/>
      <c r="KZ145" s="11"/>
      <c r="LA145" s="11"/>
      <c r="LB145" s="11"/>
      <c r="LC145" s="11"/>
      <c r="LD145" s="11"/>
      <c r="LE145" s="11"/>
      <c r="LF145" s="11"/>
      <c r="LG145" s="11"/>
      <c r="LH145" s="11"/>
      <c r="LI145" s="11"/>
      <c r="LJ145" s="11"/>
      <c r="LK145" s="11"/>
      <c r="LL145" s="11"/>
      <c r="LM145" s="11"/>
      <c r="LN145" s="11"/>
      <c r="LO145" s="11"/>
      <c r="LP145" s="11"/>
      <c r="LQ145" s="11"/>
      <c r="LR145" s="11"/>
      <c r="LS145" s="11"/>
      <c r="LT145" s="11"/>
      <c r="LU145" s="11"/>
      <c r="LV145" s="11"/>
      <c r="LW145" s="11"/>
      <c r="LX145" s="11"/>
      <c r="LY145" s="11"/>
      <c r="LZ145" s="11"/>
      <c r="MA145" s="11"/>
      <c r="MB145" s="11"/>
      <c r="MC145" s="11"/>
      <c r="MD145" s="11"/>
      <c r="ME145" s="11"/>
      <c r="MF145" s="11"/>
      <c r="MG145" s="11"/>
      <c r="MH145" s="11"/>
      <c r="MI145" s="11"/>
      <c r="MJ145" s="11"/>
      <c r="MK145" s="11"/>
      <c r="ML145" s="11"/>
      <c r="MM145" s="11"/>
      <c r="MN145" s="11"/>
      <c r="MO145" s="11"/>
      <c r="MP145" s="11"/>
      <c r="MQ145" s="11"/>
      <c r="MR145" s="11"/>
      <c r="MS145" s="11"/>
      <c r="MT145" s="11"/>
      <c r="MU145" s="11"/>
      <c r="MV145" s="11"/>
      <c r="MW145" s="11"/>
      <c r="MX145" s="11"/>
      <c r="MY145" s="11"/>
      <c r="MZ145" s="11"/>
      <c r="NA145" s="11"/>
      <c r="NB145" s="11"/>
      <c r="NC145" s="11"/>
      <c r="ND145" s="11"/>
      <c r="NE145" s="11"/>
      <c r="NF145" s="11"/>
      <c r="NG145" s="11"/>
      <c r="NH145" s="11"/>
      <c r="NI145" s="11"/>
      <c r="NJ145" s="11"/>
      <c r="NK145" s="11"/>
      <c r="NL145" s="11"/>
      <c r="NM145" s="11"/>
      <c r="NN145" s="11"/>
      <c r="NO145" s="11"/>
      <c r="NP145" s="11"/>
      <c r="NQ145" s="11"/>
      <c r="NR145" s="11"/>
      <c r="NS145" s="11"/>
      <c r="NT145" s="11"/>
      <c r="NU145" s="11"/>
      <c r="NV145" s="11"/>
      <c r="NW145" s="11"/>
      <c r="NX145" s="11"/>
      <c r="NY145" s="11"/>
      <c r="NZ145" s="11"/>
      <c r="OA145" s="11"/>
      <c r="OB145" s="11"/>
      <c r="OC145" s="11"/>
      <c r="OD145" s="11"/>
      <c r="OE145" s="11"/>
      <c r="OF145" s="11"/>
      <c r="OG145" s="11"/>
      <c r="OH145" s="11"/>
      <c r="OI145" s="11"/>
      <c r="OJ145" s="11"/>
      <c r="OK145" s="11"/>
      <c r="OL145" s="11"/>
      <c r="OM145" s="11"/>
      <c r="ON145" s="11"/>
      <c r="OO145" s="11"/>
      <c r="OP145" s="11"/>
      <c r="OQ145" s="11"/>
      <c r="OR145" s="11"/>
      <c r="OS145" s="11"/>
      <c r="OT145" s="11"/>
      <c r="OU145" s="11"/>
      <c r="OV145" s="11"/>
      <c r="OW145" s="11"/>
      <c r="OX145" s="11"/>
      <c r="OY145" s="11"/>
      <c r="OZ145" s="11"/>
      <c r="PA145" s="11"/>
      <c r="PB145" s="11"/>
      <c r="PC145" s="11"/>
      <c r="PD145" s="11"/>
      <c r="PE145" s="11"/>
      <c r="PF145" s="11"/>
      <c r="PG145" s="11"/>
      <c r="PH145" s="11"/>
      <c r="PI145" s="11"/>
      <c r="PJ145" s="11"/>
      <c r="PK145" s="11"/>
      <c r="PL145" s="11"/>
      <c r="PM145" s="11"/>
      <c r="PN145" s="11"/>
      <c r="PO145" s="11"/>
      <c r="PP145" s="11"/>
      <c r="PQ145" s="11"/>
      <c r="PR145" s="11"/>
      <c r="PS145" s="11"/>
      <c r="PT145" s="11"/>
      <c r="PU145" s="11"/>
      <c r="PV145" s="11"/>
      <c r="PW145" s="11"/>
      <c r="PX145" s="11"/>
      <c r="PY145" s="11"/>
      <c r="PZ145" s="11"/>
      <c r="QA145" s="11"/>
      <c r="QB145" s="11"/>
      <c r="QC145" s="11"/>
      <c r="QD145" s="11"/>
      <c r="QE145" s="11"/>
      <c r="QF145" s="11"/>
      <c r="QG145" s="11"/>
      <c r="QH145" s="11"/>
      <c r="QI145" s="11"/>
      <c r="QJ145" s="11"/>
      <c r="QK145" s="11"/>
      <c r="QL145" s="11"/>
      <c r="QM145" s="11"/>
      <c r="QN145" s="11"/>
      <c r="QO145" s="11"/>
      <c r="QP145" s="11"/>
      <c r="QQ145" s="11"/>
      <c r="QR145" s="11"/>
      <c r="QS145" s="11"/>
      <c r="QT145" s="11"/>
      <c r="QU145" s="11"/>
      <c r="QV145" s="11"/>
      <c r="QW145" s="11"/>
      <c r="QX145" s="11"/>
      <c r="QY145" s="11"/>
      <c r="QZ145" s="11"/>
      <c r="RA145" s="11"/>
      <c r="RB145" s="11"/>
      <c r="RC145" s="11"/>
      <c r="RD145" s="11"/>
      <c r="RE145" s="11"/>
      <c r="RF145" s="11"/>
      <c r="RG145" s="11"/>
      <c r="RH145" s="11"/>
      <c r="RI145" s="11"/>
      <c r="RJ145" s="11"/>
      <c r="RK145" s="11"/>
      <c r="RL145" s="11"/>
      <c r="RM145" s="11"/>
      <c r="RN145" s="11"/>
      <c r="RO145" s="11"/>
      <c r="RP145" s="11"/>
      <c r="RQ145" s="11"/>
      <c r="RR145" s="11"/>
      <c r="RS145" s="11"/>
      <c r="RT145" s="11"/>
      <c r="RU145" s="11"/>
      <c r="RV145" s="11"/>
      <c r="RW145" s="11"/>
      <c r="RX145" s="11"/>
      <c r="RY145" s="11"/>
      <c r="RZ145" s="11"/>
      <c r="SA145" s="11"/>
      <c r="SB145" s="11"/>
      <c r="SC145" s="11"/>
      <c r="SD145" s="11"/>
      <c r="SE145" s="11"/>
      <c r="SF145" s="11"/>
      <c r="SG145" s="11"/>
      <c r="SH145" s="11"/>
      <c r="SI145" s="11"/>
      <c r="SJ145" s="11"/>
      <c r="SK145" s="11"/>
      <c r="SL145" s="11"/>
      <c r="SM145" s="11"/>
      <c r="SN145" s="11"/>
      <c r="SO145" s="11"/>
      <c r="SP145" s="11"/>
      <c r="SQ145" s="11"/>
      <c r="SR145" s="11"/>
      <c r="SS145" s="11"/>
      <c r="ST145" s="11"/>
      <c r="SU145" s="11"/>
      <c r="SV145" s="11"/>
      <c r="SW145" s="11"/>
      <c r="SX145" s="11"/>
      <c r="SY145" s="11"/>
      <c r="SZ145" s="11"/>
      <c r="TA145" s="11"/>
      <c r="TB145" s="11"/>
      <c r="TC145" s="11"/>
      <c r="TD145" s="11"/>
      <c r="TE145" s="11"/>
      <c r="TF145" s="11"/>
      <c r="TG145" s="11"/>
      <c r="TH145" s="11"/>
      <c r="TI145" s="11"/>
      <c r="TJ145" s="11"/>
      <c r="TK145" s="11"/>
      <c r="TL145" s="11"/>
      <c r="TM145" s="11"/>
      <c r="TN145" s="11"/>
      <c r="TO145" s="11"/>
      <c r="TP145" s="11"/>
      <c r="TQ145" s="11"/>
      <c r="TR145" s="11"/>
      <c r="TS145" s="11"/>
      <c r="TT145" s="11"/>
      <c r="TU145" s="11"/>
      <c r="TV145" s="11"/>
      <c r="TW145" s="11"/>
      <c r="TX145" s="11"/>
      <c r="TY145" s="11"/>
      <c r="TZ145" s="11"/>
      <c r="UA145" s="11"/>
      <c r="UB145" s="11"/>
      <c r="UC145" s="11"/>
      <c r="UD145" s="11"/>
      <c r="UE145" s="11"/>
      <c r="UF145" s="11"/>
      <c r="UG145" s="11"/>
      <c r="UH145" s="11"/>
      <c r="UI145" s="11"/>
      <c r="UJ145" s="11"/>
      <c r="UK145" s="11"/>
      <c r="UL145" s="11"/>
      <c r="UM145" s="11"/>
      <c r="UN145" s="11"/>
      <c r="UO145" s="11"/>
      <c r="UP145" s="11"/>
      <c r="UQ145" s="11"/>
      <c r="UR145" s="11"/>
      <c r="US145" s="11"/>
      <c r="UT145" s="11"/>
      <c r="UU145" s="11"/>
      <c r="UV145" s="11"/>
      <c r="UW145" s="11"/>
      <c r="UX145" s="11"/>
      <c r="UY145" s="11"/>
      <c r="UZ145" s="11"/>
      <c r="VA145" s="11"/>
      <c r="VB145" s="11"/>
      <c r="VC145" s="11"/>
      <c r="VD145" s="11"/>
      <c r="VE145" s="11"/>
      <c r="VF145" s="11"/>
      <c r="VG145" s="11"/>
      <c r="VH145" s="11"/>
      <c r="VI145" s="11"/>
      <c r="VJ145" s="11"/>
      <c r="VK145" s="11"/>
      <c r="VL145" s="11"/>
      <c r="VM145" s="11"/>
      <c r="VN145" s="11"/>
      <c r="VO145" s="11"/>
      <c r="VP145" s="11"/>
      <c r="VQ145" s="11"/>
      <c r="VR145" s="11"/>
      <c r="VS145" s="11"/>
      <c r="VT145" s="11"/>
      <c r="VU145" s="11"/>
      <c r="VV145" s="11"/>
      <c r="VW145" s="11"/>
      <c r="VX145" s="11"/>
      <c r="VY145" s="11"/>
      <c r="VZ145" s="11"/>
      <c r="WA145" s="11"/>
      <c r="WB145" s="11"/>
      <c r="WC145" s="11"/>
      <c r="WD145" s="11"/>
      <c r="WE145" s="11"/>
      <c r="WF145" s="11"/>
      <c r="WG145" s="11"/>
      <c r="WH145" s="11"/>
      <c r="WI145" s="11"/>
      <c r="WJ145" s="11"/>
      <c r="WK145" s="11"/>
      <c r="WL145" s="11"/>
      <c r="WM145" s="11"/>
      <c r="WN145" s="11"/>
      <c r="WO145" s="11"/>
      <c r="WP145" s="11"/>
      <c r="WQ145" s="11"/>
      <c r="WR145" s="11"/>
      <c r="WS145" s="11"/>
      <c r="WT145" s="11"/>
      <c r="WU145" s="11"/>
      <c r="WV145" s="11"/>
      <c r="WW145" s="11"/>
      <c r="WX145" s="11"/>
      <c r="WY145" s="11"/>
      <c r="WZ145" s="11"/>
      <c r="XA145" s="11"/>
      <c r="XB145" s="11"/>
      <c r="XC145" s="11"/>
      <c r="XD145" s="11"/>
      <c r="XE145" s="11"/>
      <c r="XF145" s="11"/>
      <c r="XG145" s="11"/>
      <c r="XH145" s="11"/>
      <c r="XI145" s="11"/>
      <c r="XJ145" s="11"/>
      <c r="XK145" s="11"/>
      <c r="XL145" s="11"/>
      <c r="XM145" s="11"/>
      <c r="XN145" s="11"/>
      <c r="XO145" s="11"/>
      <c r="XP145" s="11"/>
      <c r="XQ145" s="11"/>
      <c r="XR145" s="11"/>
      <c r="XS145" s="11"/>
      <c r="XT145" s="11"/>
      <c r="XU145" s="11"/>
      <c r="XV145" s="11"/>
      <c r="XW145" s="11"/>
      <c r="XX145" s="11"/>
      <c r="XY145" s="11"/>
      <c r="XZ145" s="11"/>
      <c r="YA145" s="11"/>
      <c r="YB145" s="11"/>
      <c r="YC145" s="11"/>
      <c r="YD145" s="11"/>
      <c r="YE145" s="11"/>
      <c r="YF145" s="11"/>
      <c r="YG145" s="11"/>
      <c r="YH145" s="11"/>
      <c r="YI145" s="11"/>
      <c r="YJ145" s="11"/>
      <c r="YK145" s="11"/>
      <c r="YL145" s="11"/>
      <c r="YM145" s="11"/>
      <c r="YN145" s="11"/>
      <c r="YO145" s="11"/>
      <c r="YP145" s="11"/>
      <c r="YQ145" s="11"/>
      <c r="YR145" s="11"/>
      <c r="YS145" s="11"/>
      <c r="YT145" s="11"/>
      <c r="YU145" s="11"/>
      <c r="YV145" s="11"/>
      <c r="YW145" s="11"/>
      <c r="YX145" s="11"/>
      <c r="YY145" s="11"/>
      <c r="YZ145" s="11"/>
      <c r="ZA145" s="11"/>
      <c r="ZB145" s="11"/>
      <c r="ZC145" s="11"/>
      <c r="ZD145" s="11"/>
      <c r="ZE145" s="11"/>
      <c r="ZF145" s="11"/>
      <c r="ZG145" s="11"/>
      <c r="ZH145" s="11"/>
      <c r="ZI145" s="11"/>
      <c r="ZJ145" s="11"/>
      <c r="ZK145" s="11"/>
      <c r="ZL145" s="11"/>
      <c r="ZM145" s="11"/>
      <c r="ZN145" s="11"/>
      <c r="ZO145" s="11"/>
      <c r="ZP145" s="11"/>
      <c r="ZQ145" s="11"/>
      <c r="ZR145" s="11"/>
      <c r="ZS145" s="11"/>
      <c r="ZT145" s="11"/>
      <c r="ZU145" s="11"/>
      <c r="ZV145" s="11"/>
      <c r="ZW145" s="11"/>
      <c r="ZX145" s="11"/>
      <c r="ZY145" s="11"/>
      <c r="ZZ145" s="11"/>
      <c r="AAA145" s="11"/>
      <c r="AAB145" s="11"/>
      <c r="AAC145" s="11"/>
      <c r="AAD145" s="11"/>
      <c r="AAE145" s="11"/>
      <c r="AAF145" s="11"/>
      <c r="AAG145" s="11"/>
      <c r="AAH145" s="11"/>
      <c r="AAI145" s="11"/>
      <c r="AAJ145" s="11"/>
      <c r="AAK145" s="11"/>
      <c r="AAL145" s="11"/>
      <c r="AAM145" s="11"/>
      <c r="AAN145" s="11"/>
      <c r="AAO145" s="11"/>
      <c r="AAP145" s="11"/>
      <c r="AAQ145" s="11"/>
      <c r="AAR145" s="11"/>
      <c r="AAS145" s="11"/>
      <c r="AAT145" s="11"/>
      <c r="AAU145" s="11"/>
      <c r="AAV145" s="11"/>
      <c r="AAW145" s="11"/>
      <c r="AAX145" s="11"/>
      <c r="AAY145" s="11"/>
      <c r="AAZ145" s="11"/>
      <c r="ABA145" s="11"/>
      <c r="ABB145" s="11"/>
      <c r="ABC145" s="11"/>
      <c r="ABD145" s="11"/>
      <c r="ABE145" s="11"/>
      <c r="ABF145" s="11"/>
      <c r="ABG145" s="11"/>
      <c r="ABH145" s="11"/>
      <c r="ABI145" s="11"/>
      <c r="ABJ145" s="11"/>
      <c r="ABK145" s="11"/>
      <c r="ABL145" s="11"/>
      <c r="ABM145" s="11"/>
      <c r="ABN145" s="11"/>
      <c r="ABO145" s="11"/>
      <c r="ABP145" s="11"/>
      <c r="ABQ145" s="11"/>
      <c r="ABR145" s="11"/>
      <c r="ABS145" s="11"/>
      <c r="ABT145" s="11"/>
      <c r="ABU145" s="11"/>
      <c r="ABV145" s="11"/>
      <c r="ABW145" s="11"/>
      <c r="ABX145" s="11"/>
      <c r="ABY145" s="11"/>
      <c r="ABZ145" s="11"/>
      <c r="ACA145" s="11"/>
      <c r="ACB145" s="11"/>
      <c r="ACC145" s="11"/>
      <c r="ACD145" s="11"/>
      <c r="ACE145" s="11"/>
      <c r="ACF145" s="11"/>
      <c r="ACG145" s="11"/>
      <c r="ACH145" s="11"/>
      <c r="ACI145" s="11"/>
      <c r="ACJ145" s="11"/>
      <c r="ACK145" s="11"/>
      <c r="ACL145" s="11"/>
      <c r="ACM145" s="11"/>
      <c r="ACN145" s="11"/>
      <c r="ACO145" s="11"/>
      <c r="ACP145" s="11"/>
      <c r="ACQ145" s="11"/>
      <c r="ACR145" s="11"/>
      <c r="ACS145" s="11"/>
      <c r="ACT145" s="11"/>
      <c r="ACU145" s="11"/>
      <c r="ACV145" s="11"/>
      <c r="ACW145" s="11"/>
      <c r="ACX145" s="11"/>
      <c r="ACY145" s="11"/>
      <c r="ACZ145" s="11"/>
      <c r="ADA145" s="11"/>
      <c r="ADB145" s="11"/>
      <c r="ADC145" s="11"/>
      <c r="ADD145" s="11"/>
      <c r="ADE145" s="11"/>
      <c r="ADF145" s="11"/>
      <c r="ADG145" s="11"/>
      <c r="ADH145" s="11"/>
      <c r="ADI145" s="11"/>
      <c r="ADJ145" s="11"/>
      <c r="ADK145" s="11"/>
      <c r="ADL145" s="11"/>
      <c r="ADM145" s="11"/>
      <c r="ADN145" s="11"/>
      <c r="ADO145" s="11"/>
      <c r="ADP145" s="11"/>
      <c r="ADQ145" s="11"/>
      <c r="ADR145" s="11"/>
      <c r="ADS145" s="11"/>
      <c r="ADT145" s="11"/>
      <c r="ADU145" s="11"/>
      <c r="ADV145" s="11"/>
      <c r="ADW145" s="11"/>
      <c r="ADX145" s="11"/>
      <c r="ADY145" s="11"/>
      <c r="ADZ145" s="11"/>
      <c r="AEA145" s="11"/>
      <c r="AEB145" s="11"/>
      <c r="AEC145" s="11"/>
      <c r="AED145" s="11"/>
      <c r="AEE145" s="11"/>
      <c r="AEF145" s="11"/>
      <c r="AEG145" s="11"/>
      <c r="AEH145" s="11"/>
      <c r="AEI145" s="11"/>
      <c r="AEJ145" s="11"/>
      <c r="AEK145" s="11"/>
      <c r="AEL145" s="11"/>
      <c r="AEM145" s="11"/>
      <c r="AEN145" s="11"/>
      <c r="AEO145" s="11"/>
      <c r="AEP145" s="11"/>
      <c r="AEQ145" s="11"/>
      <c r="AER145" s="11"/>
      <c r="AES145" s="11"/>
      <c r="AET145" s="11"/>
      <c r="AEU145" s="11"/>
      <c r="AEV145" s="11"/>
      <c r="AEW145" s="11"/>
      <c r="AEX145" s="11"/>
      <c r="AEY145" s="11"/>
      <c r="AEZ145" s="11"/>
      <c r="AFA145" s="11"/>
      <c r="AFB145" s="11"/>
      <c r="AFC145" s="11"/>
      <c r="AFD145" s="11"/>
      <c r="AFE145" s="11"/>
      <c r="AFF145" s="11"/>
      <c r="AFG145" s="11"/>
      <c r="AFH145" s="11"/>
      <c r="AFI145" s="11"/>
    </row>
    <row r="146" spans="2:84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c r="IW146" s="11"/>
      <c r="IX146" s="11"/>
      <c r="IY146" s="11"/>
      <c r="IZ146" s="11"/>
      <c r="JA146" s="11"/>
      <c r="JB146" s="11"/>
      <c r="JC146" s="11"/>
      <c r="JD146" s="11"/>
      <c r="JE146" s="11"/>
      <c r="JF146" s="11"/>
      <c r="JG146" s="11"/>
      <c r="JH146" s="11"/>
      <c r="JI146" s="11"/>
      <c r="JJ146" s="11"/>
      <c r="JK146" s="11"/>
      <c r="JL146" s="11"/>
      <c r="JM146" s="11"/>
      <c r="JN146" s="11"/>
      <c r="JO146" s="11"/>
      <c r="JP146" s="11"/>
      <c r="JQ146" s="11"/>
      <c r="JR146" s="11"/>
      <c r="JS146" s="11"/>
      <c r="JT146" s="11"/>
      <c r="JU146" s="11"/>
      <c r="JV146" s="11"/>
      <c r="JW146" s="11"/>
      <c r="JX146" s="11"/>
      <c r="JY146" s="11"/>
      <c r="JZ146" s="11"/>
      <c r="KA146" s="11"/>
      <c r="KB146" s="11"/>
      <c r="KC146" s="11"/>
      <c r="KD146" s="11"/>
      <c r="KE146" s="11"/>
      <c r="KF146" s="11"/>
      <c r="KG146" s="11"/>
      <c r="KH146" s="11"/>
      <c r="KI146" s="11"/>
      <c r="KJ146" s="11"/>
      <c r="KK146" s="11"/>
      <c r="KL146" s="11"/>
      <c r="KM146" s="11"/>
      <c r="KN146" s="11"/>
      <c r="KO146" s="11"/>
      <c r="KP146" s="11"/>
      <c r="KQ146" s="11"/>
      <c r="KR146" s="11"/>
      <c r="KS146" s="11"/>
      <c r="KT146" s="11"/>
      <c r="KU146" s="11"/>
      <c r="KV146" s="11"/>
      <c r="KW146" s="11"/>
      <c r="KX146" s="11"/>
      <c r="KY146" s="11"/>
      <c r="KZ146" s="11"/>
      <c r="LA146" s="11"/>
      <c r="LB146" s="11"/>
      <c r="LC146" s="11"/>
      <c r="LD146" s="11"/>
      <c r="LE146" s="11"/>
      <c r="LF146" s="11"/>
      <c r="LG146" s="11"/>
      <c r="LH146" s="11"/>
      <c r="LI146" s="11"/>
      <c r="LJ146" s="11"/>
      <c r="LK146" s="11"/>
      <c r="LL146" s="11"/>
      <c r="LM146" s="11"/>
      <c r="LN146" s="11"/>
      <c r="LO146" s="11"/>
      <c r="LP146" s="11"/>
      <c r="LQ146" s="11"/>
      <c r="LR146" s="11"/>
      <c r="LS146" s="11"/>
      <c r="LT146" s="11"/>
      <c r="LU146" s="11"/>
      <c r="LV146" s="11"/>
      <c r="LW146" s="11"/>
      <c r="LX146" s="11"/>
      <c r="LY146" s="11"/>
      <c r="LZ146" s="11"/>
      <c r="MA146" s="11"/>
      <c r="MB146" s="11"/>
      <c r="MC146" s="11"/>
      <c r="MD146" s="11"/>
      <c r="ME146" s="11"/>
      <c r="MF146" s="11"/>
      <c r="MG146" s="11"/>
      <c r="MH146" s="11"/>
      <c r="MI146" s="11"/>
      <c r="MJ146" s="11"/>
      <c r="MK146" s="11"/>
      <c r="ML146" s="11"/>
      <c r="MM146" s="11"/>
      <c r="MN146" s="11"/>
      <c r="MO146" s="11"/>
      <c r="MP146" s="11"/>
      <c r="MQ146" s="11"/>
      <c r="MR146" s="11"/>
      <c r="MS146" s="11"/>
      <c r="MT146" s="11"/>
      <c r="MU146" s="11"/>
      <c r="MV146" s="11"/>
      <c r="MW146" s="11"/>
      <c r="MX146" s="11"/>
      <c r="MY146" s="11"/>
      <c r="MZ146" s="11"/>
      <c r="NA146" s="11"/>
      <c r="NB146" s="11"/>
      <c r="NC146" s="11"/>
      <c r="ND146" s="11"/>
      <c r="NE146" s="11"/>
      <c r="NF146" s="11"/>
      <c r="NG146" s="11"/>
      <c r="NH146" s="11"/>
      <c r="NI146" s="11"/>
      <c r="NJ146" s="11"/>
      <c r="NK146" s="11"/>
      <c r="NL146" s="11"/>
      <c r="NM146" s="11"/>
      <c r="NN146" s="11"/>
      <c r="NO146" s="11"/>
      <c r="NP146" s="11"/>
      <c r="NQ146" s="11"/>
      <c r="NR146" s="11"/>
      <c r="NS146" s="11"/>
      <c r="NT146" s="11"/>
      <c r="NU146" s="11"/>
      <c r="NV146" s="11"/>
      <c r="NW146" s="11"/>
      <c r="NX146" s="11"/>
      <c r="NY146" s="11"/>
      <c r="NZ146" s="11"/>
      <c r="OA146" s="11"/>
      <c r="OB146" s="11"/>
      <c r="OC146" s="11"/>
      <c r="OD146" s="11"/>
      <c r="OE146" s="11"/>
      <c r="OF146" s="11"/>
      <c r="OG146" s="11"/>
      <c r="OH146" s="11"/>
      <c r="OI146" s="11"/>
      <c r="OJ146" s="11"/>
      <c r="OK146" s="11"/>
      <c r="OL146" s="11"/>
      <c r="OM146" s="11"/>
      <c r="ON146" s="11"/>
      <c r="OO146" s="11"/>
      <c r="OP146" s="11"/>
      <c r="OQ146" s="11"/>
      <c r="OR146" s="11"/>
      <c r="OS146" s="11"/>
      <c r="OT146" s="11"/>
      <c r="OU146" s="11"/>
      <c r="OV146" s="11"/>
      <c r="OW146" s="11"/>
      <c r="OX146" s="11"/>
      <c r="OY146" s="11"/>
      <c r="OZ146" s="11"/>
      <c r="PA146" s="11"/>
      <c r="PB146" s="11"/>
      <c r="PC146" s="11"/>
      <c r="PD146" s="11"/>
      <c r="PE146" s="11"/>
      <c r="PF146" s="11"/>
      <c r="PG146" s="11"/>
      <c r="PH146" s="11"/>
      <c r="PI146" s="11"/>
      <c r="PJ146" s="11"/>
      <c r="PK146" s="11"/>
      <c r="PL146" s="11"/>
      <c r="PM146" s="11"/>
      <c r="PN146" s="11"/>
      <c r="PO146" s="11"/>
      <c r="PP146" s="11"/>
      <c r="PQ146" s="11"/>
      <c r="PR146" s="11"/>
      <c r="PS146" s="11"/>
      <c r="PT146" s="11"/>
      <c r="PU146" s="11"/>
      <c r="PV146" s="11"/>
      <c r="PW146" s="11"/>
      <c r="PX146" s="11"/>
      <c r="PY146" s="11"/>
      <c r="PZ146" s="11"/>
      <c r="QA146" s="11"/>
      <c r="QB146" s="11"/>
      <c r="QC146" s="11"/>
      <c r="QD146" s="11"/>
      <c r="QE146" s="11"/>
      <c r="QF146" s="11"/>
      <c r="QG146" s="11"/>
      <c r="QH146" s="11"/>
      <c r="QI146" s="11"/>
      <c r="QJ146" s="11"/>
      <c r="QK146" s="11"/>
      <c r="QL146" s="11"/>
      <c r="QM146" s="11"/>
      <c r="QN146" s="11"/>
      <c r="QO146" s="11"/>
      <c r="QP146" s="11"/>
      <c r="QQ146" s="11"/>
      <c r="QR146" s="11"/>
      <c r="QS146" s="11"/>
      <c r="QT146" s="11"/>
      <c r="QU146" s="11"/>
      <c r="QV146" s="11"/>
      <c r="QW146" s="11"/>
      <c r="QX146" s="11"/>
      <c r="QY146" s="11"/>
      <c r="QZ146" s="11"/>
      <c r="RA146" s="11"/>
      <c r="RB146" s="11"/>
      <c r="RC146" s="11"/>
      <c r="RD146" s="11"/>
      <c r="RE146" s="11"/>
      <c r="RF146" s="11"/>
      <c r="RG146" s="11"/>
      <c r="RH146" s="11"/>
      <c r="RI146" s="11"/>
      <c r="RJ146" s="11"/>
      <c r="RK146" s="11"/>
      <c r="RL146" s="11"/>
      <c r="RM146" s="11"/>
      <c r="RN146" s="11"/>
      <c r="RO146" s="11"/>
      <c r="RP146" s="11"/>
      <c r="RQ146" s="11"/>
      <c r="RR146" s="11"/>
      <c r="RS146" s="11"/>
      <c r="RT146" s="11"/>
      <c r="RU146" s="11"/>
      <c r="RV146" s="11"/>
      <c r="RW146" s="11"/>
      <c r="RX146" s="11"/>
      <c r="RY146" s="11"/>
      <c r="RZ146" s="11"/>
      <c r="SA146" s="11"/>
      <c r="SB146" s="11"/>
      <c r="SC146" s="11"/>
      <c r="SD146" s="11"/>
      <c r="SE146" s="11"/>
      <c r="SF146" s="11"/>
      <c r="SG146" s="11"/>
      <c r="SH146" s="11"/>
      <c r="SI146" s="11"/>
      <c r="SJ146" s="11"/>
      <c r="SK146" s="11"/>
      <c r="SL146" s="11"/>
      <c r="SM146" s="11"/>
      <c r="SN146" s="11"/>
      <c r="SO146" s="11"/>
      <c r="SP146" s="11"/>
      <c r="SQ146" s="11"/>
      <c r="SR146" s="11"/>
      <c r="SS146" s="11"/>
      <c r="ST146" s="11"/>
      <c r="SU146" s="11"/>
      <c r="SV146" s="11"/>
      <c r="SW146" s="11"/>
      <c r="SX146" s="11"/>
      <c r="SY146" s="11"/>
      <c r="SZ146" s="11"/>
      <c r="TA146" s="11"/>
      <c r="TB146" s="11"/>
      <c r="TC146" s="11"/>
      <c r="TD146" s="11"/>
      <c r="TE146" s="11"/>
      <c r="TF146" s="11"/>
      <c r="TG146" s="11"/>
      <c r="TH146" s="11"/>
      <c r="TI146" s="11"/>
      <c r="TJ146" s="11"/>
      <c r="TK146" s="11"/>
      <c r="TL146" s="11"/>
      <c r="TM146" s="11"/>
      <c r="TN146" s="11"/>
      <c r="TO146" s="11"/>
      <c r="TP146" s="11"/>
      <c r="TQ146" s="11"/>
      <c r="TR146" s="11"/>
      <c r="TS146" s="11"/>
      <c r="TT146" s="11"/>
      <c r="TU146" s="11"/>
      <c r="TV146" s="11"/>
      <c r="TW146" s="11"/>
      <c r="TX146" s="11"/>
      <c r="TY146" s="11"/>
      <c r="TZ146" s="11"/>
      <c r="UA146" s="11"/>
      <c r="UB146" s="11"/>
      <c r="UC146" s="11"/>
      <c r="UD146" s="11"/>
      <c r="UE146" s="11"/>
      <c r="UF146" s="11"/>
      <c r="UG146" s="11"/>
      <c r="UH146" s="11"/>
      <c r="UI146" s="11"/>
      <c r="UJ146" s="11"/>
      <c r="UK146" s="11"/>
      <c r="UL146" s="11"/>
      <c r="UM146" s="11"/>
      <c r="UN146" s="11"/>
      <c r="UO146" s="11"/>
      <c r="UP146" s="11"/>
      <c r="UQ146" s="11"/>
      <c r="UR146" s="11"/>
      <c r="US146" s="11"/>
      <c r="UT146" s="11"/>
      <c r="UU146" s="11"/>
      <c r="UV146" s="11"/>
      <c r="UW146" s="11"/>
      <c r="UX146" s="11"/>
      <c r="UY146" s="11"/>
      <c r="UZ146" s="11"/>
      <c r="VA146" s="11"/>
      <c r="VB146" s="11"/>
      <c r="VC146" s="11"/>
      <c r="VD146" s="11"/>
      <c r="VE146" s="11"/>
      <c r="VF146" s="11"/>
      <c r="VG146" s="11"/>
      <c r="VH146" s="11"/>
      <c r="VI146" s="11"/>
      <c r="VJ146" s="11"/>
      <c r="VK146" s="11"/>
      <c r="VL146" s="11"/>
      <c r="VM146" s="11"/>
      <c r="VN146" s="11"/>
      <c r="VO146" s="11"/>
      <c r="VP146" s="11"/>
      <c r="VQ146" s="11"/>
      <c r="VR146" s="11"/>
      <c r="VS146" s="11"/>
      <c r="VT146" s="11"/>
      <c r="VU146" s="11"/>
      <c r="VV146" s="11"/>
      <c r="VW146" s="11"/>
      <c r="VX146" s="11"/>
      <c r="VY146" s="11"/>
      <c r="VZ146" s="11"/>
      <c r="WA146" s="11"/>
      <c r="WB146" s="11"/>
      <c r="WC146" s="11"/>
      <c r="WD146" s="11"/>
      <c r="WE146" s="11"/>
      <c r="WF146" s="11"/>
      <c r="WG146" s="11"/>
      <c r="WH146" s="11"/>
      <c r="WI146" s="11"/>
      <c r="WJ146" s="11"/>
      <c r="WK146" s="11"/>
      <c r="WL146" s="11"/>
      <c r="WM146" s="11"/>
      <c r="WN146" s="11"/>
      <c r="WO146" s="11"/>
      <c r="WP146" s="11"/>
      <c r="WQ146" s="11"/>
      <c r="WR146" s="11"/>
      <c r="WS146" s="11"/>
      <c r="WT146" s="11"/>
      <c r="WU146" s="11"/>
      <c r="WV146" s="11"/>
      <c r="WW146" s="11"/>
      <c r="WX146" s="11"/>
      <c r="WY146" s="11"/>
      <c r="WZ146" s="11"/>
      <c r="XA146" s="11"/>
      <c r="XB146" s="11"/>
      <c r="XC146" s="11"/>
      <c r="XD146" s="11"/>
      <c r="XE146" s="11"/>
      <c r="XF146" s="11"/>
      <c r="XG146" s="11"/>
      <c r="XH146" s="11"/>
      <c r="XI146" s="11"/>
      <c r="XJ146" s="11"/>
      <c r="XK146" s="11"/>
      <c r="XL146" s="11"/>
      <c r="XM146" s="11"/>
      <c r="XN146" s="11"/>
      <c r="XO146" s="11"/>
      <c r="XP146" s="11"/>
      <c r="XQ146" s="11"/>
      <c r="XR146" s="11"/>
      <c r="XS146" s="11"/>
      <c r="XT146" s="11"/>
      <c r="XU146" s="11"/>
      <c r="XV146" s="11"/>
      <c r="XW146" s="11"/>
      <c r="XX146" s="11"/>
      <c r="XY146" s="11"/>
      <c r="XZ146" s="11"/>
      <c r="YA146" s="11"/>
      <c r="YB146" s="11"/>
      <c r="YC146" s="11"/>
      <c r="YD146" s="11"/>
      <c r="YE146" s="11"/>
      <c r="YF146" s="11"/>
      <c r="YG146" s="11"/>
      <c r="YH146" s="11"/>
      <c r="YI146" s="11"/>
      <c r="YJ146" s="11"/>
      <c r="YK146" s="11"/>
      <c r="YL146" s="11"/>
      <c r="YM146" s="11"/>
      <c r="YN146" s="11"/>
      <c r="YO146" s="11"/>
      <c r="YP146" s="11"/>
      <c r="YQ146" s="11"/>
      <c r="YR146" s="11"/>
      <c r="YS146" s="11"/>
      <c r="YT146" s="11"/>
      <c r="YU146" s="11"/>
      <c r="YV146" s="11"/>
      <c r="YW146" s="11"/>
      <c r="YX146" s="11"/>
      <c r="YY146" s="11"/>
      <c r="YZ146" s="11"/>
      <c r="ZA146" s="11"/>
      <c r="ZB146" s="11"/>
      <c r="ZC146" s="11"/>
      <c r="ZD146" s="11"/>
      <c r="ZE146" s="11"/>
      <c r="ZF146" s="11"/>
      <c r="ZG146" s="11"/>
      <c r="ZH146" s="11"/>
      <c r="ZI146" s="11"/>
      <c r="ZJ146" s="11"/>
      <c r="ZK146" s="11"/>
      <c r="ZL146" s="11"/>
      <c r="ZM146" s="11"/>
      <c r="ZN146" s="11"/>
      <c r="ZO146" s="11"/>
      <c r="ZP146" s="11"/>
      <c r="ZQ146" s="11"/>
      <c r="ZR146" s="11"/>
      <c r="ZS146" s="11"/>
      <c r="ZT146" s="11"/>
      <c r="ZU146" s="11"/>
      <c r="ZV146" s="11"/>
      <c r="ZW146" s="11"/>
      <c r="ZX146" s="11"/>
      <c r="ZY146" s="11"/>
      <c r="ZZ146" s="11"/>
      <c r="AAA146" s="11"/>
      <c r="AAB146" s="11"/>
      <c r="AAC146" s="11"/>
      <c r="AAD146" s="11"/>
      <c r="AAE146" s="11"/>
      <c r="AAF146" s="11"/>
      <c r="AAG146" s="11"/>
      <c r="AAH146" s="11"/>
      <c r="AAI146" s="11"/>
      <c r="AAJ146" s="11"/>
      <c r="AAK146" s="11"/>
      <c r="AAL146" s="11"/>
      <c r="AAM146" s="11"/>
      <c r="AAN146" s="11"/>
      <c r="AAO146" s="11"/>
      <c r="AAP146" s="11"/>
      <c r="AAQ146" s="11"/>
      <c r="AAR146" s="11"/>
      <c r="AAS146" s="11"/>
      <c r="AAT146" s="11"/>
      <c r="AAU146" s="11"/>
      <c r="AAV146" s="11"/>
      <c r="AAW146" s="11"/>
      <c r="AAX146" s="11"/>
      <c r="AAY146" s="11"/>
      <c r="AAZ146" s="11"/>
      <c r="ABA146" s="11"/>
      <c r="ABB146" s="11"/>
      <c r="ABC146" s="11"/>
      <c r="ABD146" s="11"/>
      <c r="ABE146" s="11"/>
      <c r="ABF146" s="11"/>
      <c r="ABG146" s="11"/>
      <c r="ABH146" s="11"/>
      <c r="ABI146" s="11"/>
      <c r="ABJ146" s="11"/>
      <c r="ABK146" s="11"/>
      <c r="ABL146" s="11"/>
      <c r="ABM146" s="11"/>
      <c r="ABN146" s="11"/>
      <c r="ABO146" s="11"/>
      <c r="ABP146" s="11"/>
      <c r="ABQ146" s="11"/>
      <c r="ABR146" s="11"/>
      <c r="ABS146" s="11"/>
      <c r="ABT146" s="11"/>
      <c r="ABU146" s="11"/>
      <c r="ABV146" s="11"/>
      <c r="ABW146" s="11"/>
      <c r="ABX146" s="11"/>
      <c r="ABY146" s="11"/>
      <c r="ABZ146" s="11"/>
      <c r="ACA146" s="11"/>
      <c r="ACB146" s="11"/>
      <c r="ACC146" s="11"/>
      <c r="ACD146" s="11"/>
      <c r="ACE146" s="11"/>
      <c r="ACF146" s="11"/>
      <c r="ACG146" s="11"/>
      <c r="ACH146" s="11"/>
      <c r="ACI146" s="11"/>
      <c r="ACJ146" s="11"/>
      <c r="ACK146" s="11"/>
      <c r="ACL146" s="11"/>
      <c r="ACM146" s="11"/>
      <c r="ACN146" s="11"/>
      <c r="ACO146" s="11"/>
      <c r="ACP146" s="11"/>
      <c r="ACQ146" s="11"/>
      <c r="ACR146" s="11"/>
      <c r="ACS146" s="11"/>
      <c r="ACT146" s="11"/>
      <c r="ACU146" s="11"/>
      <c r="ACV146" s="11"/>
      <c r="ACW146" s="11"/>
      <c r="ACX146" s="11"/>
      <c r="ACY146" s="11"/>
      <c r="ACZ146" s="11"/>
      <c r="ADA146" s="11"/>
      <c r="ADB146" s="11"/>
      <c r="ADC146" s="11"/>
      <c r="ADD146" s="11"/>
      <c r="ADE146" s="11"/>
      <c r="ADF146" s="11"/>
      <c r="ADG146" s="11"/>
      <c r="ADH146" s="11"/>
      <c r="ADI146" s="11"/>
      <c r="ADJ146" s="11"/>
      <c r="ADK146" s="11"/>
      <c r="ADL146" s="11"/>
      <c r="ADM146" s="11"/>
      <c r="ADN146" s="11"/>
      <c r="ADO146" s="11"/>
      <c r="ADP146" s="11"/>
      <c r="ADQ146" s="11"/>
      <c r="ADR146" s="11"/>
      <c r="ADS146" s="11"/>
      <c r="ADT146" s="11"/>
      <c r="ADU146" s="11"/>
      <c r="ADV146" s="11"/>
      <c r="ADW146" s="11"/>
      <c r="ADX146" s="11"/>
      <c r="ADY146" s="11"/>
      <c r="ADZ146" s="11"/>
      <c r="AEA146" s="11"/>
      <c r="AEB146" s="11"/>
      <c r="AEC146" s="11"/>
      <c r="AED146" s="11"/>
      <c r="AEE146" s="11"/>
      <c r="AEF146" s="11"/>
      <c r="AEG146" s="11"/>
      <c r="AEH146" s="11"/>
      <c r="AEI146" s="11"/>
      <c r="AEJ146" s="11"/>
      <c r="AEK146" s="11"/>
      <c r="AEL146" s="11"/>
      <c r="AEM146" s="11"/>
      <c r="AEN146" s="11"/>
      <c r="AEO146" s="11"/>
      <c r="AEP146" s="11"/>
      <c r="AEQ146" s="11"/>
      <c r="AER146" s="11"/>
      <c r="AES146" s="11"/>
      <c r="AET146" s="11"/>
      <c r="AEU146" s="11"/>
      <c r="AEV146" s="11"/>
      <c r="AEW146" s="11"/>
      <c r="AEX146" s="11"/>
      <c r="AEY146" s="11"/>
      <c r="AEZ146" s="11"/>
      <c r="AFA146" s="11"/>
      <c r="AFB146" s="11"/>
      <c r="AFC146" s="11"/>
      <c r="AFD146" s="11"/>
      <c r="AFE146" s="11"/>
      <c r="AFF146" s="11"/>
      <c r="AFG146" s="11"/>
      <c r="AFH146" s="11"/>
      <c r="AFI146" s="11"/>
    </row>
    <row r="147" spans="2:84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c r="PU147" s="11"/>
      <c r="PV147" s="11"/>
      <c r="PW147" s="11"/>
      <c r="PX147" s="11"/>
      <c r="PY147" s="11"/>
      <c r="PZ147" s="11"/>
      <c r="QA147" s="11"/>
      <c r="QB147" s="11"/>
      <c r="QC147" s="11"/>
      <c r="QD147" s="11"/>
      <c r="QE147" s="11"/>
      <c r="QF147" s="11"/>
      <c r="QG147" s="11"/>
      <c r="QH147" s="11"/>
      <c r="QI147" s="11"/>
      <c r="QJ147" s="11"/>
      <c r="QK147" s="11"/>
      <c r="QL147" s="11"/>
      <c r="QM147" s="11"/>
      <c r="QN147" s="11"/>
      <c r="QO147" s="11"/>
      <c r="QP147" s="11"/>
      <c r="QQ147" s="11"/>
      <c r="QR147" s="11"/>
      <c r="QS147" s="11"/>
      <c r="QT147" s="11"/>
      <c r="QU147" s="11"/>
      <c r="QV147" s="11"/>
      <c r="QW147" s="11"/>
      <c r="QX147" s="11"/>
      <c r="QY147" s="11"/>
      <c r="QZ147" s="11"/>
      <c r="RA147" s="11"/>
      <c r="RB147" s="11"/>
      <c r="RC147" s="11"/>
      <c r="RD147" s="11"/>
      <c r="RE147" s="11"/>
      <c r="RF147" s="11"/>
      <c r="RG147" s="11"/>
      <c r="RH147" s="11"/>
      <c r="RI147" s="11"/>
      <c r="RJ147" s="11"/>
      <c r="RK147" s="11"/>
      <c r="RL147" s="11"/>
      <c r="RM147" s="11"/>
      <c r="RN147" s="11"/>
      <c r="RO147" s="11"/>
      <c r="RP147" s="11"/>
      <c r="RQ147" s="11"/>
      <c r="RR147" s="11"/>
      <c r="RS147" s="11"/>
      <c r="RT147" s="11"/>
      <c r="RU147" s="11"/>
      <c r="RV147" s="11"/>
      <c r="RW147" s="11"/>
      <c r="RX147" s="11"/>
      <c r="RY147" s="11"/>
      <c r="RZ147" s="11"/>
      <c r="SA147" s="11"/>
      <c r="SB147" s="11"/>
      <c r="SC147" s="11"/>
      <c r="SD147" s="11"/>
      <c r="SE147" s="11"/>
      <c r="SF147" s="11"/>
      <c r="SG147" s="11"/>
      <c r="SH147" s="11"/>
      <c r="SI147" s="11"/>
      <c r="SJ147" s="11"/>
      <c r="SK147" s="11"/>
      <c r="SL147" s="11"/>
      <c r="SM147" s="11"/>
      <c r="SN147" s="11"/>
      <c r="SO147" s="11"/>
      <c r="SP147" s="11"/>
      <c r="SQ147" s="11"/>
      <c r="SR147" s="11"/>
      <c r="SS147" s="11"/>
      <c r="ST147" s="11"/>
      <c r="SU147" s="11"/>
      <c r="SV147" s="11"/>
      <c r="SW147" s="11"/>
      <c r="SX147" s="11"/>
      <c r="SY147" s="11"/>
      <c r="SZ147" s="11"/>
      <c r="TA147" s="11"/>
      <c r="TB147" s="11"/>
      <c r="TC147" s="11"/>
      <c r="TD147" s="11"/>
      <c r="TE147" s="11"/>
      <c r="TF147" s="11"/>
      <c r="TG147" s="11"/>
      <c r="TH147" s="11"/>
      <c r="TI147" s="11"/>
      <c r="TJ147" s="11"/>
      <c r="TK147" s="11"/>
      <c r="TL147" s="11"/>
      <c r="TM147" s="11"/>
      <c r="TN147" s="11"/>
      <c r="TO147" s="11"/>
      <c r="TP147" s="11"/>
      <c r="TQ147" s="11"/>
      <c r="TR147" s="11"/>
      <c r="TS147" s="11"/>
      <c r="TT147" s="11"/>
      <c r="TU147" s="11"/>
      <c r="TV147" s="11"/>
      <c r="TW147" s="11"/>
      <c r="TX147" s="11"/>
      <c r="TY147" s="11"/>
      <c r="TZ147" s="11"/>
      <c r="UA147" s="11"/>
      <c r="UB147" s="11"/>
      <c r="UC147" s="11"/>
      <c r="UD147" s="11"/>
      <c r="UE147" s="11"/>
      <c r="UF147" s="11"/>
      <c r="UG147" s="11"/>
      <c r="UH147" s="11"/>
      <c r="UI147" s="11"/>
      <c r="UJ147" s="11"/>
      <c r="UK147" s="11"/>
      <c r="UL147" s="11"/>
      <c r="UM147" s="11"/>
      <c r="UN147" s="11"/>
      <c r="UO147" s="11"/>
      <c r="UP147" s="11"/>
      <c r="UQ147" s="11"/>
      <c r="UR147" s="11"/>
      <c r="US147" s="11"/>
      <c r="UT147" s="11"/>
      <c r="UU147" s="11"/>
      <c r="UV147" s="11"/>
      <c r="UW147" s="11"/>
      <c r="UX147" s="11"/>
      <c r="UY147" s="11"/>
      <c r="UZ147" s="11"/>
      <c r="VA147" s="11"/>
      <c r="VB147" s="11"/>
      <c r="VC147" s="11"/>
      <c r="VD147" s="11"/>
      <c r="VE147" s="11"/>
      <c r="VF147" s="11"/>
      <c r="VG147" s="11"/>
      <c r="VH147" s="11"/>
      <c r="VI147" s="11"/>
      <c r="VJ147" s="11"/>
      <c r="VK147" s="11"/>
      <c r="VL147" s="11"/>
      <c r="VM147" s="11"/>
      <c r="VN147" s="11"/>
      <c r="VO147" s="11"/>
      <c r="VP147" s="11"/>
      <c r="VQ147" s="11"/>
      <c r="VR147" s="11"/>
      <c r="VS147" s="11"/>
      <c r="VT147" s="11"/>
      <c r="VU147" s="11"/>
      <c r="VV147" s="11"/>
      <c r="VW147" s="11"/>
      <c r="VX147" s="11"/>
      <c r="VY147" s="11"/>
      <c r="VZ147" s="11"/>
      <c r="WA147" s="11"/>
      <c r="WB147" s="11"/>
      <c r="WC147" s="11"/>
      <c r="WD147" s="11"/>
      <c r="WE147" s="11"/>
      <c r="WF147" s="11"/>
      <c r="WG147" s="11"/>
      <c r="WH147" s="11"/>
      <c r="WI147" s="11"/>
      <c r="WJ147" s="11"/>
      <c r="WK147" s="11"/>
      <c r="WL147" s="11"/>
      <c r="WM147" s="11"/>
      <c r="WN147" s="11"/>
      <c r="WO147" s="11"/>
      <c r="WP147" s="11"/>
      <c r="WQ147" s="11"/>
      <c r="WR147" s="11"/>
      <c r="WS147" s="11"/>
      <c r="WT147" s="11"/>
      <c r="WU147" s="11"/>
      <c r="WV147" s="11"/>
      <c r="WW147" s="11"/>
      <c r="WX147" s="11"/>
      <c r="WY147" s="11"/>
      <c r="WZ147" s="11"/>
      <c r="XA147" s="11"/>
      <c r="XB147" s="11"/>
      <c r="XC147" s="11"/>
      <c r="XD147" s="11"/>
      <c r="XE147" s="11"/>
      <c r="XF147" s="11"/>
      <c r="XG147" s="11"/>
      <c r="XH147" s="11"/>
      <c r="XI147" s="11"/>
      <c r="XJ147" s="11"/>
      <c r="XK147" s="11"/>
      <c r="XL147" s="11"/>
      <c r="XM147" s="11"/>
      <c r="XN147" s="11"/>
      <c r="XO147" s="11"/>
      <c r="XP147" s="11"/>
      <c r="XQ147" s="11"/>
      <c r="XR147" s="11"/>
      <c r="XS147" s="11"/>
      <c r="XT147" s="11"/>
      <c r="XU147" s="11"/>
      <c r="XV147" s="11"/>
      <c r="XW147" s="11"/>
      <c r="XX147" s="11"/>
      <c r="XY147" s="11"/>
      <c r="XZ147" s="11"/>
      <c r="YA147" s="11"/>
      <c r="YB147" s="11"/>
      <c r="YC147" s="11"/>
      <c r="YD147" s="11"/>
      <c r="YE147" s="11"/>
      <c r="YF147" s="11"/>
      <c r="YG147" s="11"/>
      <c r="YH147" s="11"/>
      <c r="YI147" s="11"/>
      <c r="YJ147" s="11"/>
      <c r="YK147" s="11"/>
      <c r="YL147" s="11"/>
      <c r="YM147" s="11"/>
      <c r="YN147" s="11"/>
      <c r="YO147" s="11"/>
      <c r="YP147" s="11"/>
      <c r="YQ147" s="11"/>
      <c r="YR147" s="11"/>
      <c r="YS147" s="11"/>
      <c r="YT147" s="11"/>
      <c r="YU147" s="11"/>
      <c r="YV147" s="11"/>
      <c r="YW147" s="11"/>
      <c r="YX147" s="11"/>
      <c r="YY147" s="11"/>
      <c r="YZ147" s="11"/>
      <c r="ZA147" s="11"/>
      <c r="ZB147" s="11"/>
      <c r="ZC147" s="11"/>
      <c r="ZD147" s="11"/>
      <c r="ZE147" s="11"/>
      <c r="ZF147" s="11"/>
      <c r="ZG147" s="11"/>
      <c r="ZH147" s="11"/>
      <c r="ZI147" s="11"/>
      <c r="ZJ147" s="11"/>
      <c r="ZK147" s="11"/>
      <c r="ZL147" s="11"/>
      <c r="ZM147" s="11"/>
      <c r="ZN147" s="11"/>
      <c r="ZO147" s="11"/>
      <c r="ZP147" s="11"/>
      <c r="ZQ147" s="11"/>
      <c r="ZR147" s="11"/>
      <c r="ZS147" s="11"/>
      <c r="ZT147" s="11"/>
      <c r="ZU147" s="11"/>
      <c r="ZV147" s="11"/>
      <c r="ZW147" s="11"/>
      <c r="ZX147" s="11"/>
      <c r="ZY147" s="11"/>
      <c r="ZZ147" s="11"/>
      <c r="AAA147" s="11"/>
      <c r="AAB147" s="11"/>
      <c r="AAC147" s="11"/>
      <c r="AAD147" s="11"/>
      <c r="AAE147" s="11"/>
      <c r="AAF147" s="11"/>
      <c r="AAG147" s="11"/>
      <c r="AAH147" s="11"/>
      <c r="AAI147" s="11"/>
      <c r="AAJ147" s="11"/>
      <c r="AAK147" s="11"/>
      <c r="AAL147" s="11"/>
      <c r="AAM147" s="11"/>
      <c r="AAN147" s="11"/>
      <c r="AAO147" s="11"/>
      <c r="AAP147" s="11"/>
      <c r="AAQ147" s="11"/>
      <c r="AAR147" s="11"/>
      <c r="AAS147" s="11"/>
      <c r="AAT147" s="11"/>
      <c r="AAU147" s="11"/>
      <c r="AAV147" s="11"/>
      <c r="AAW147" s="11"/>
      <c r="AAX147" s="11"/>
      <c r="AAY147" s="11"/>
      <c r="AAZ147" s="11"/>
      <c r="ABA147" s="11"/>
      <c r="ABB147" s="11"/>
      <c r="ABC147" s="11"/>
      <c r="ABD147" s="11"/>
      <c r="ABE147" s="11"/>
      <c r="ABF147" s="11"/>
      <c r="ABG147" s="11"/>
      <c r="ABH147" s="11"/>
      <c r="ABI147" s="11"/>
      <c r="ABJ147" s="11"/>
      <c r="ABK147" s="11"/>
      <c r="ABL147" s="11"/>
      <c r="ABM147" s="11"/>
      <c r="ABN147" s="11"/>
      <c r="ABO147" s="11"/>
      <c r="ABP147" s="11"/>
      <c r="ABQ147" s="11"/>
      <c r="ABR147" s="11"/>
      <c r="ABS147" s="11"/>
      <c r="ABT147" s="11"/>
      <c r="ABU147" s="11"/>
      <c r="ABV147" s="11"/>
      <c r="ABW147" s="11"/>
      <c r="ABX147" s="11"/>
      <c r="ABY147" s="11"/>
      <c r="ABZ147" s="11"/>
      <c r="ACA147" s="11"/>
      <c r="ACB147" s="11"/>
      <c r="ACC147" s="11"/>
      <c r="ACD147" s="11"/>
      <c r="ACE147" s="11"/>
      <c r="ACF147" s="11"/>
      <c r="ACG147" s="11"/>
      <c r="ACH147" s="11"/>
      <c r="ACI147" s="11"/>
      <c r="ACJ147" s="11"/>
      <c r="ACK147" s="11"/>
      <c r="ACL147" s="11"/>
      <c r="ACM147" s="11"/>
      <c r="ACN147" s="11"/>
      <c r="ACO147" s="11"/>
      <c r="ACP147" s="11"/>
      <c r="ACQ147" s="11"/>
      <c r="ACR147" s="11"/>
      <c r="ACS147" s="11"/>
      <c r="ACT147" s="11"/>
      <c r="ACU147" s="11"/>
      <c r="ACV147" s="11"/>
      <c r="ACW147" s="11"/>
      <c r="ACX147" s="11"/>
      <c r="ACY147" s="11"/>
      <c r="ACZ147" s="11"/>
      <c r="ADA147" s="11"/>
      <c r="ADB147" s="11"/>
      <c r="ADC147" s="11"/>
      <c r="ADD147" s="11"/>
      <c r="ADE147" s="11"/>
      <c r="ADF147" s="11"/>
      <c r="ADG147" s="11"/>
      <c r="ADH147" s="11"/>
      <c r="ADI147" s="11"/>
      <c r="ADJ147" s="11"/>
      <c r="ADK147" s="11"/>
      <c r="ADL147" s="11"/>
      <c r="ADM147" s="11"/>
      <c r="ADN147" s="11"/>
      <c r="ADO147" s="11"/>
      <c r="ADP147" s="11"/>
      <c r="ADQ147" s="11"/>
      <c r="ADR147" s="11"/>
      <c r="ADS147" s="11"/>
      <c r="ADT147" s="11"/>
      <c r="ADU147" s="11"/>
      <c r="ADV147" s="11"/>
      <c r="ADW147" s="11"/>
      <c r="ADX147" s="11"/>
      <c r="ADY147" s="11"/>
      <c r="ADZ147" s="11"/>
      <c r="AEA147" s="11"/>
      <c r="AEB147" s="11"/>
      <c r="AEC147" s="11"/>
      <c r="AED147" s="11"/>
      <c r="AEE147" s="11"/>
      <c r="AEF147" s="11"/>
      <c r="AEG147" s="11"/>
      <c r="AEH147" s="11"/>
      <c r="AEI147" s="11"/>
      <c r="AEJ147" s="11"/>
      <c r="AEK147" s="11"/>
      <c r="AEL147" s="11"/>
      <c r="AEM147" s="11"/>
      <c r="AEN147" s="11"/>
      <c r="AEO147" s="11"/>
      <c r="AEP147" s="11"/>
      <c r="AEQ147" s="11"/>
      <c r="AER147" s="11"/>
      <c r="AES147" s="11"/>
      <c r="AET147" s="11"/>
      <c r="AEU147" s="11"/>
      <c r="AEV147" s="11"/>
      <c r="AEW147" s="11"/>
      <c r="AEX147" s="11"/>
      <c r="AEY147" s="11"/>
      <c r="AEZ147" s="11"/>
      <c r="AFA147" s="11"/>
      <c r="AFB147" s="11"/>
      <c r="AFC147" s="11"/>
      <c r="AFD147" s="11"/>
      <c r="AFE147" s="11"/>
      <c r="AFF147" s="11"/>
      <c r="AFG147" s="11"/>
      <c r="AFH147" s="11"/>
      <c r="AFI147" s="11"/>
    </row>
    <row r="148" spans="2:84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row>
    <row r="149" spans="2:84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c r="XX149" s="11"/>
      <c r="XY149" s="11"/>
      <c r="XZ149" s="11"/>
      <c r="YA149" s="11"/>
      <c r="YB149" s="11"/>
      <c r="YC149" s="11"/>
      <c r="YD149" s="11"/>
      <c r="YE149" s="11"/>
      <c r="YF149" s="11"/>
      <c r="YG149" s="11"/>
      <c r="YH149" s="11"/>
      <c r="YI149" s="11"/>
      <c r="YJ149" s="11"/>
      <c r="YK149" s="11"/>
      <c r="YL149" s="11"/>
      <c r="YM149" s="11"/>
      <c r="YN149" s="11"/>
      <c r="YO149" s="11"/>
      <c r="YP149" s="11"/>
      <c r="YQ149" s="11"/>
      <c r="YR149" s="11"/>
      <c r="YS149" s="11"/>
      <c r="YT149" s="11"/>
      <c r="YU149" s="11"/>
      <c r="YV149" s="11"/>
      <c r="YW149" s="11"/>
      <c r="YX149" s="11"/>
      <c r="YY149" s="11"/>
      <c r="YZ149" s="11"/>
      <c r="ZA149" s="11"/>
      <c r="ZB149" s="11"/>
      <c r="ZC149" s="11"/>
      <c r="ZD149" s="11"/>
      <c r="ZE149" s="11"/>
      <c r="ZF149" s="11"/>
      <c r="ZG149" s="11"/>
      <c r="ZH149" s="11"/>
      <c r="ZI149" s="11"/>
      <c r="ZJ149" s="11"/>
      <c r="ZK149" s="11"/>
      <c r="ZL149" s="11"/>
      <c r="ZM149" s="11"/>
      <c r="ZN149" s="11"/>
      <c r="ZO149" s="11"/>
      <c r="ZP149" s="11"/>
      <c r="ZQ149" s="11"/>
      <c r="ZR149" s="11"/>
      <c r="ZS149" s="11"/>
      <c r="ZT149" s="11"/>
      <c r="ZU149" s="11"/>
      <c r="ZV149" s="11"/>
      <c r="ZW149" s="11"/>
      <c r="ZX149" s="11"/>
      <c r="ZY149" s="11"/>
      <c r="ZZ149" s="11"/>
      <c r="AAA149" s="11"/>
      <c r="AAB149" s="11"/>
      <c r="AAC149" s="11"/>
      <c r="AAD149" s="11"/>
      <c r="AAE149" s="11"/>
      <c r="AAF149" s="11"/>
      <c r="AAG149" s="11"/>
      <c r="AAH149" s="11"/>
      <c r="AAI149" s="11"/>
      <c r="AAJ149" s="11"/>
      <c r="AAK149" s="11"/>
      <c r="AAL149" s="11"/>
      <c r="AAM149" s="11"/>
      <c r="AAN149" s="11"/>
      <c r="AAO149" s="11"/>
      <c r="AAP149" s="11"/>
      <c r="AAQ149" s="11"/>
      <c r="AAR149" s="11"/>
      <c r="AAS149" s="11"/>
      <c r="AAT149" s="11"/>
      <c r="AAU149" s="11"/>
      <c r="AAV149" s="11"/>
      <c r="AAW149" s="11"/>
      <c r="AAX149" s="11"/>
      <c r="AAY149" s="11"/>
      <c r="AAZ149" s="11"/>
      <c r="ABA149" s="11"/>
      <c r="ABB149" s="11"/>
      <c r="ABC149" s="11"/>
      <c r="ABD149" s="11"/>
      <c r="ABE149" s="11"/>
      <c r="ABF149" s="11"/>
      <c r="ABG149" s="11"/>
      <c r="ABH149" s="11"/>
      <c r="ABI149" s="11"/>
      <c r="ABJ149" s="11"/>
      <c r="ABK149" s="11"/>
      <c r="ABL149" s="11"/>
      <c r="ABM149" s="11"/>
      <c r="ABN149" s="11"/>
      <c r="ABO149" s="11"/>
      <c r="ABP149" s="11"/>
      <c r="ABQ149" s="11"/>
      <c r="ABR149" s="11"/>
      <c r="ABS149" s="11"/>
      <c r="ABT149" s="11"/>
      <c r="ABU149" s="11"/>
      <c r="ABV149" s="11"/>
      <c r="ABW149" s="11"/>
      <c r="ABX149" s="11"/>
      <c r="ABY149" s="11"/>
      <c r="ABZ149" s="11"/>
      <c r="ACA149" s="11"/>
      <c r="ACB149" s="11"/>
      <c r="ACC149" s="11"/>
      <c r="ACD149" s="11"/>
      <c r="ACE149" s="11"/>
      <c r="ACF149" s="11"/>
      <c r="ACG149" s="11"/>
      <c r="ACH149" s="11"/>
      <c r="ACI149" s="11"/>
      <c r="ACJ149" s="11"/>
      <c r="ACK149" s="11"/>
      <c r="ACL149" s="11"/>
      <c r="ACM149" s="11"/>
      <c r="ACN149" s="11"/>
      <c r="ACO149" s="11"/>
      <c r="ACP149" s="11"/>
      <c r="ACQ149" s="11"/>
      <c r="ACR149" s="11"/>
      <c r="ACS149" s="11"/>
      <c r="ACT149" s="11"/>
      <c r="ACU149" s="11"/>
      <c r="ACV149" s="11"/>
      <c r="ACW149" s="11"/>
      <c r="ACX149" s="11"/>
      <c r="ACY149" s="11"/>
      <c r="ACZ149" s="11"/>
      <c r="ADA149" s="11"/>
      <c r="ADB149" s="11"/>
      <c r="ADC149" s="11"/>
      <c r="ADD149" s="11"/>
      <c r="ADE149" s="11"/>
      <c r="ADF149" s="11"/>
      <c r="ADG149" s="11"/>
      <c r="ADH149" s="11"/>
      <c r="ADI149" s="11"/>
      <c r="ADJ149" s="11"/>
      <c r="ADK149" s="11"/>
      <c r="ADL149" s="11"/>
      <c r="ADM149" s="11"/>
      <c r="ADN149" s="11"/>
      <c r="ADO149" s="11"/>
      <c r="ADP149" s="11"/>
      <c r="ADQ149" s="11"/>
      <c r="ADR149" s="11"/>
      <c r="ADS149" s="11"/>
      <c r="ADT149" s="11"/>
      <c r="ADU149" s="11"/>
      <c r="ADV149" s="11"/>
      <c r="ADW149" s="11"/>
      <c r="ADX149" s="11"/>
      <c r="ADY149" s="11"/>
      <c r="ADZ149" s="11"/>
      <c r="AEA149" s="11"/>
      <c r="AEB149" s="11"/>
      <c r="AEC149" s="11"/>
      <c r="AED149" s="11"/>
      <c r="AEE149" s="11"/>
      <c r="AEF149" s="11"/>
      <c r="AEG149" s="11"/>
      <c r="AEH149" s="11"/>
      <c r="AEI149" s="11"/>
      <c r="AEJ149" s="11"/>
      <c r="AEK149" s="11"/>
      <c r="AEL149" s="11"/>
      <c r="AEM149" s="11"/>
      <c r="AEN149" s="11"/>
      <c r="AEO149" s="11"/>
      <c r="AEP149" s="11"/>
      <c r="AEQ149" s="11"/>
      <c r="AER149" s="11"/>
      <c r="AES149" s="11"/>
      <c r="AET149" s="11"/>
      <c r="AEU149" s="11"/>
      <c r="AEV149" s="11"/>
      <c r="AEW149" s="11"/>
      <c r="AEX149" s="11"/>
      <c r="AEY149" s="11"/>
      <c r="AEZ149" s="11"/>
      <c r="AFA149" s="11"/>
      <c r="AFB149" s="11"/>
      <c r="AFC149" s="11"/>
      <c r="AFD149" s="11"/>
      <c r="AFE149" s="11"/>
      <c r="AFF149" s="11"/>
      <c r="AFG149" s="11"/>
      <c r="AFH149" s="11"/>
      <c r="AFI149" s="11"/>
    </row>
    <row r="150" spans="2:84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1"/>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row>
    <row r="151" spans="2:84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c r="XX151" s="11"/>
      <c r="XY151" s="11"/>
      <c r="XZ151" s="11"/>
      <c r="YA151" s="11"/>
      <c r="YB151" s="11"/>
      <c r="YC151" s="11"/>
      <c r="YD151" s="11"/>
      <c r="YE151" s="11"/>
      <c r="YF151" s="11"/>
      <c r="YG151" s="11"/>
      <c r="YH151" s="11"/>
      <c r="YI151" s="11"/>
      <c r="YJ151" s="11"/>
      <c r="YK151" s="11"/>
      <c r="YL151" s="11"/>
      <c r="YM151" s="11"/>
      <c r="YN151" s="11"/>
      <c r="YO151" s="11"/>
      <c r="YP151" s="11"/>
      <c r="YQ151" s="11"/>
      <c r="YR151" s="11"/>
      <c r="YS151" s="11"/>
      <c r="YT151" s="11"/>
      <c r="YU151" s="11"/>
      <c r="YV151" s="11"/>
      <c r="YW151" s="11"/>
      <c r="YX151" s="11"/>
      <c r="YY151" s="11"/>
      <c r="YZ151" s="11"/>
      <c r="ZA151" s="11"/>
      <c r="ZB151" s="11"/>
      <c r="ZC151" s="11"/>
      <c r="ZD151" s="11"/>
      <c r="ZE151" s="11"/>
      <c r="ZF151" s="11"/>
      <c r="ZG151" s="11"/>
      <c r="ZH151" s="11"/>
      <c r="ZI151" s="11"/>
      <c r="ZJ151" s="11"/>
      <c r="ZK151" s="11"/>
      <c r="ZL151" s="11"/>
      <c r="ZM151" s="11"/>
      <c r="ZN151" s="11"/>
      <c r="ZO151" s="11"/>
      <c r="ZP151" s="11"/>
      <c r="ZQ151" s="11"/>
      <c r="ZR151" s="11"/>
      <c r="ZS151" s="11"/>
      <c r="ZT151" s="11"/>
      <c r="ZU151" s="11"/>
      <c r="ZV151" s="11"/>
      <c r="ZW151" s="11"/>
      <c r="ZX151" s="11"/>
      <c r="ZY151" s="11"/>
      <c r="ZZ151" s="11"/>
      <c r="AAA151" s="11"/>
      <c r="AAB151" s="11"/>
      <c r="AAC151" s="11"/>
      <c r="AAD151" s="11"/>
      <c r="AAE151" s="11"/>
      <c r="AAF151" s="11"/>
      <c r="AAG151" s="11"/>
      <c r="AAH151" s="11"/>
      <c r="AAI151" s="11"/>
      <c r="AAJ151" s="11"/>
      <c r="AAK151" s="11"/>
      <c r="AAL151" s="11"/>
      <c r="AAM151" s="11"/>
      <c r="AAN151" s="11"/>
      <c r="AAO151" s="11"/>
      <c r="AAP151" s="11"/>
      <c r="AAQ151" s="11"/>
      <c r="AAR151" s="11"/>
      <c r="AAS151" s="11"/>
      <c r="AAT151" s="11"/>
      <c r="AAU151" s="11"/>
      <c r="AAV151" s="11"/>
      <c r="AAW151" s="11"/>
      <c r="AAX151" s="11"/>
      <c r="AAY151" s="11"/>
      <c r="AAZ151" s="11"/>
      <c r="ABA151" s="11"/>
      <c r="ABB151" s="11"/>
      <c r="ABC151" s="11"/>
      <c r="ABD151" s="11"/>
      <c r="ABE151" s="11"/>
      <c r="ABF151" s="11"/>
      <c r="ABG151" s="11"/>
      <c r="ABH151" s="11"/>
      <c r="ABI151" s="11"/>
      <c r="ABJ151" s="11"/>
      <c r="ABK151" s="11"/>
      <c r="ABL151" s="11"/>
      <c r="ABM151" s="11"/>
      <c r="ABN151" s="11"/>
      <c r="ABO151" s="11"/>
      <c r="ABP151" s="11"/>
      <c r="ABQ151" s="11"/>
      <c r="ABR151" s="11"/>
      <c r="ABS151" s="11"/>
      <c r="ABT151" s="11"/>
      <c r="ABU151" s="11"/>
      <c r="ABV151" s="11"/>
      <c r="ABW151" s="11"/>
      <c r="ABX151" s="11"/>
      <c r="ABY151" s="11"/>
      <c r="ABZ151" s="11"/>
      <c r="ACA151" s="11"/>
      <c r="ACB151" s="11"/>
      <c r="ACC151" s="11"/>
      <c r="ACD151" s="11"/>
      <c r="ACE151" s="11"/>
      <c r="ACF151" s="11"/>
      <c r="ACG151" s="11"/>
      <c r="ACH151" s="11"/>
      <c r="ACI151" s="11"/>
      <c r="ACJ151" s="11"/>
      <c r="ACK151" s="11"/>
      <c r="ACL151" s="11"/>
      <c r="ACM151" s="11"/>
      <c r="ACN151" s="11"/>
      <c r="ACO151" s="11"/>
      <c r="ACP151" s="11"/>
      <c r="ACQ151" s="11"/>
      <c r="ACR151" s="11"/>
      <c r="ACS151" s="11"/>
      <c r="ACT151" s="11"/>
      <c r="ACU151" s="11"/>
      <c r="ACV151" s="11"/>
      <c r="ACW151" s="11"/>
      <c r="ACX151" s="11"/>
      <c r="ACY151" s="11"/>
      <c r="ACZ151" s="11"/>
      <c r="ADA151" s="11"/>
      <c r="ADB151" s="11"/>
      <c r="ADC151" s="11"/>
      <c r="ADD151" s="11"/>
      <c r="ADE151" s="11"/>
      <c r="ADF151" s="11"/>
      <c r="ADG151" s="11"/>
      <c r="ADH151" s="11"/>
      <c r="ADI151" s="11"/>
      <c r="ADJ151" s="11"/>
      <c r="ADK151" s="11"/>
      <c r="ADL151" s="11"/>
      <c r="ADM151" s="11"/>
      <c r="ADN151" s="11"/>
      <c r="ADO151" s="11"/>
      <c r="ADP151" s="11"/>
      <c r="ADQ151" s="11"/>
      <c r="ADR151" s="11"/>
      <c r="ADS151" s="11"/>
      <c r="ADT151" s="11"/>
      <c r="ADU151" s="11"/>
      <c r="ADV151" s="11"/>
      <c r="ADW151" s="11"/>
      <c r="ADX151" s="11"/>
      <c r="ADY151" s="11"/>
      <c r="ADZ151" s="11"/>
      <c r="AEA151" s="11"/>
      <c r="AEB151" s="11"/>
      <c r="AEC151" s="11"/>
      <c r="AED151" s="11"/>
      <c r="AEE151" s="11"/>
      <c r="AEF151" s="11"/>
      <c r="AEG151" s="11"/>
      <c r="AEH151" s="11"/>
      <c r="AEI151" s="11"/>
      <c r="AEJ151" s="11"/>
      <c r="AEK151" s="11"/>
      <c r="AEL151" s="11"/>
      <c r="AEM151" s="11"/>
      <c r="AEN151" s="11"/>
      <c r="AEO151" s="11"/>
      <c r="AEP151" s="11"/>
      <c r="AEQ151" s="11"/>
      <c r="AER151" s="11"/>
      <c r="AES151" s="11"/>
      <c r="AET151" s="11"/>
      <c r="AEU151" s="11"/>
      <c r="AEV151" s="11"/>
      <c r="AEW151" s="11"/>
      <c r="AEX151" s="11"/>
      <c r="AEY151" s="11"/>
      <c r="AEZ151" s="11"/>
      <c r="AFA151" s="11"/>
      <c r="AFB151" s="11"/>
      <c r="AFC151" s="11"/>
      <c r="AFD151" s="11"/>
      <c r="AFE151" s="11"/>
      <c r="AFF151" s="11"/>
      <c r="AFG151" s="11"/>
      <c r="AFH151" s="11"/>
      <c r="AFI151" s="11"/>
    </row>
    <row r="152" spans="2:84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1"/>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row>
    <row r="153" spans="2:84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c r="XX153" s="11"/>
      <c r="XY153" s="11"/>
      <c r="XZ153" s="11"/>
      <c r="YA153" s="11"/>
      <c r="YB153" s="11"/>
      <c r="YC153" s="11"/>
      <c r="YD153" s="11"/>
      <c r="YE153" s="11"/>
      <c r="YF153" s="11"/>
      <c r="YG153" s="11"/>
      <c r="YH153" s="11"/>
      <c r="YI153" s="11"/>
      <c r="YJ153" s="11"/>
      <c r="YK153" s="11"/>
      <c r="YL153" s="11"/>
      <c r="YM153" s="11"/>
      <c r="YN153" s="11"/>
      <c r="YO153" s="11"/>
      <c r="YP153" s="11"/>
      <c r="YQ153" s="11"/>
      <c r="YR153" s="11"/>
      <c r="YS153" s="11"/>
      <c r="YT153" s="11"/>
      <c r="YU153" s="11"/>
      <c r="YV153" s="11"/>
      <c r="YW153" s="11"/>
      <c r="YX153" s="11"/>
      <c r="YY153" s="11"/>
      <c r="YZ153" s="11"/>
      <c r="ZA153" s="11"/>
      <c r="ZB153" s="11"/>
      <c r="ZC153" s="11"/>
      <c r="ZD153" s="11"/>
      <c r="ZE153" s="11"/>
      <c r="ZF153" s="11"/>
      <c r="ZG153" s="11"/>
      <c r="ZH153" s="11"/>
      <c r="ZI153" s="11"/>
      <c r="ZJ153" s="11"/>
      <c r="ZK153" s="11"/>
      <c r="ZL153" s="11"/>
      <c r="ZM153" s="11"/>
      <c r="ZN153" s="11"/>
      <c r="ZO153" s="11"/>
      <c r="ZP153" s="11"/>
      <c r="ZQ153" s="11"/>
      <c r="ZR153" s="11"/>
      <c r="ZS153" s="11"/>
      <c r="ZT153" s="11"/>
      <c r="ZU153" s="11"/>
      <c r="ZV153" s="11"/>
      <c r="ZW153" s="11"/>
      <c r="ZX153" s="11"/>
      <c r="ZY153" s="11"/>
      <c r="ZZ153" s="11"/>
      <c r="AAA153" s="11"/>
      <c r="AAB153" s="11"/>
      <c r="AAC153" s="11"/>
      <c r="AAD153" s="11"/>
      <c r="AAE153" s="11"/>
      <c r="AAF153" s="11"/>
      <c r="AAG153" s="11"/>
      <c r="AAH153" s="11"/>
      <c r="AAI153" s="11"/>
      <c r="AAJ153" s="11"/>
      <c r="AAK153" s="11"/>
      <c r="AAL153" s="11"/>
      <c r="AAM153" s="11"/>
      <c r="AAN153" s="11"/>
      <c r="AAO153" s="11"/>
      <c r="AAP153" s="11"/>
      <c r="AAQ153" s="11"/>
      <c r="AAR153" s="11"/>
      <c r="AAS153" s="11"/>
      <c r="AAT153" s="11"/>
      <c r="AAU153" s="11"/>
      <c r="AAV153" s="11"/>
      <c r="AAW153" s="11"/>
      <c r="AAX153" s="11"/>
      <c r="AAY153" s="11"/>
      <c r="AAZ153" s="11"/>
      <c r="ABA153" s="11"/>
      <c r="ABB153" s="11"/>
      <c r="ABC153" s="11"/>
      <c r="ABD153" s="11"/>
      <c r="ABE153" s="11"/>
      <c r="ABF153" s="11"/>
      <c r="ABG153" s="11"/>
      <c r="ABH153" s="11"/>
      <c r="ABI153" s="11"/>
      <c r="ABJ153" s="11"/>
      <c r="ABK153" s="11"/>
      <c r="ABL153" s="11"/>
      <c r="ABM153" s="11"/>
      <c r="ABN153" s="11"/>
      <c r="ABO153" s="11"/>
      <c r="ABP153" s="11"/>
      <c r="ABQ153" s="11"/>
      <c r="ABR153" s="11"/>
      <c r="ABS153" s="11"/>
      <c r="ABT153" s="11"/>
      <c r="ABU153" s="11"/>
      <c r="ABV153" s="11"/>
      <c r="ABW153" s="11"/>
      <c r="ABX153" s="11"/>
      <c r="ABY153" s="11"/>
      <c r="ABZ153" s="11"/>
      <c r="ACA153" s="11"/>
      <c r="ACB153" s="11"/>
      <c r="ACC153" s="11"/>
      <c r="ACD153" s="11"/>
      <c r="ACE153" s="11"/>
      <c r="ACF153" s="11"/>
      <c r="ACG153" s="11"/>
      <c r="ACH153" s="11"/>
      <c r="ACI153" s="11"/>
      <c r="ACJ153" s="11"/>
      <c r="ACK153" s="11"/>
      <c r="ACL153" s="11"/>
      <c r="ACM153" s="11"/>
      <c r="ACN153" s="11"/>
      <c r="ACO153" s="11"/>
      <c r="ACP153" s="11"/>
      <c r="ACQ153" s="11"/>
      <c r="ACR153" s="11"/>
      <c r="ACS153" s="11"/>
      <c r="ACT153" s="11"/>
      <c r="ACU153" s="11"/>
      <c r="ACV153" s="11"/>
      <c r="ACW153" s="11"/>
      <c r="ACX153" s="11"/>
      <c r="ACY153" s="11"/>
      <c r="ACZ153" s="11"/>
      <c r="ADA153" s="11"/>
      <c r="ADB153" s="11"/>
      <c r="ADC153" s="11"/>
      <c r="ADD153" s="11"/>
      <c r="ADE153" s="11"/>
      <c r="ADF153" s="11"/>
      <c r="ADG153" s="11"/>
      <c r="ADH153" s="11"/>
      <c r="ADI153" s="11"/>
      <c r="ADJ153" s="11"/>
      <c r="ADK153" s="11"/>
      <c r="ADL153" s="11"/>
      <c r="ADM153" s="11"/>
      <c r="ADN153" s="11"/>
      <c r="ADO153" s="11"/>
      <c r="ADP153" s="11"/>
      <c r="ADQ153" s="11"/>
      <c r="ADR153" s="11"/>
      <c r="ADS153" s="11"/>
      <c r="ADT153" s="11"/>
      <c r="ADU153" s="11"/>
      <c r="ADV153" s="11"/>
      <c r="ADW153" s="11"/>
      <c r="ADX153" s="11"/>
      <c r="ADY153" s="11"/>
      <c r="ADZ153" s="11"/>
      <c r="AEA153" s="11"/>
      <c r="AEB153" s="11"/>
      <c r="AEC153" s="11"/>
      <c r="AED153" s="11"/>
      <c r="AEE153" s="11"/>
      <c r="AEF153" s="11"/>
      <c r="AEG153" s="11"/>
      <c r="AEH153" s="11"/>
      <c r="AEI153" s="11"/>
      <c r="AEJ153" s="11"/>
      <c r="AEK153" s="11"/>
      <c r="AEL153" s="11"/>
      <c r="AEM153" s="11"/>
      <c r="AEN153" s="11"/>
      <c r="AEO153" s="11"/>
      <c r="AEP153" s="11"/>
      <c r="AEQ153" s="11"/>
      <c r="AER153" s="11"/>
      <c r="AES153" s="11"/>
      <c r="AET153" s="11"/>
      <c r="AEU153" s="11"/>
      <c r="AEV153" s="11"/>
      <c r="AEW153" s="11"/>
      <c r="AEX153" s="11"/>
      <c r="AEY153" s="11"/>
      <c r="AEZ153" s="11"/>
      <c r="AFA153" s="11"/>
      <c r="AFB153" s="11"/>
      <c r="AFC153" s="11"/>
      <c r="AFD153" s="11"/>
      <c r="AFE153" s="11"/>
      <c r="AFF153" s="11"/>
      <c r="AFG153" s="11"/>
      <c r="AFH153" s="11"/>
      <c r="AFI153" s="11"/>
    </row>
    <row r="154" spans="2:84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1"/>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row>
    <row r="155" spans="2:84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c r="XX155" s="11"/>
      <c r="XY155" s="11"/>
      <c r="XZ155" s="11"/>
      <c r="YA155" s="11"/>
      <c r="YB155" s="11"/>
      <c r="YC155" s="11"/>
      <c r="YD155" s="11"/>
      <c r="YE155" s="11"/>
      <c r="YF155" s="11"/>
      <c r="YG155" s="11"/>
      <c r="YH155" s="11"/>
      <c r="YI155" s="11"/>
      <c r="YJ155" s="11"/>
      <c r="YK155" s="11"/>
      <c r="YL155" s="11"/>
      <c r="YM155" s="11"/>
      <c r="YN155" s="11"/>
      <c r="YO155" s="11"/>
      <c r="YP155" s="11"/>
      <c r="YQ155" s="11"/>
      <c r="YR155" s="11"/>
      <c r="YS155" s="11"/>
      <c r="YT155" s="11"/>
      <c r="YU155" s="11"/>
      <c r="YV155" s="11"/>
      <c r="YW155" s="11"/>
      <c r="YX155" s="11"/>
      <c r="YY155" s="11"/>
      <c r="YZ155" s="11"/>
      <c r="ZA155" s="11"/>
      <c r="ZB155" s="11"/>
      <c r="ZC155" s="11"/>
      <c r="ZD155" s="11"/>
      <c r="ZE155" s="11"/>
      <c r="ZF155" s="11"/>
      <c r="ZG155" s="11"/>
      <c r="ZH155" s="11"/>
      <c r="ZI155" s="11"/>
      <c r="ZJ155" s="11"/>
      <c r="ZK155" s="11"/>
      <c r="ZL155" s="11"/>
      <c r="ZM155" s="11"/>
      <c r="ZN155" s="11"/>
      <c r="ZO155" s="11"/>
      <c r="ZP155" s="11"/>
      <c r="ZQ155" s="11"/>
      <c r="ZR155" s="11"/>
      <c r="ZS155" s="11"/>
      <c r="ZT155" s="11"/>
      <c r="ZU155" s="11"/>
      <c r="ZV155" s="11"/>
      <c r="ZW155" s="11"/>
      <c r="ZX155" s="11"/>
      <c r="ZY155" s="11"/>
      <c r="ZZ155" s="11"/>
      <c r="AAA155" s="11"/>
      <c r="AAB155" s="11"/>
      <c r="AAC155" s="11"/>
      <c r="AAD155" s="11"/>
      <c r="AAE155" s="11"/>
      <c r="AAF155" s="11"/>
      <c r="AAG155" s="11"/>
      <c r="AAH155" s="11"/>
      <c r="AAI155" s="11"/>
      <c r="AAJ155" s="11"/>
      <c r="AAK155" s="11"/>
      <c r="AAL155" s="11"/>
      <c r="AAM155" s="11"/>
      <c r="AAN155" s="11"/>
      <c r="AAO155" s="11"/>
      <c r="AAP155" s="11"/>
      <c r="AAQ155" s="11"/>
      <c r="AAR155" s="11"/>
      <c r="AAS155" s="11"/>
      <c r="AAT155" s="11"/>
      <c r="AAU155" s="11"/>
      <c r="AAV155" s="11"/>
      <c r="AAW155" s="11"/>
      <c r="AAX155" s="11"/>
      <c r="AAY155" s="11"/>
      <c r="AAZ155" s="11"/>
      <c r="ABA155" s="11"/>
      <c r="ABB155" s="11"/>
      <c r="ABC155" s="11"/>
      <c r="ABD155" s="11"/>
      <c r="ABE155" s="11"/>
      <c r="ABF155" s="11"/>
      <c r="ABG155" s="11"/>
      <c r="ABH155" s="11"/>
      <c r="ABI155" s="11"/>
      <c r="ABJ155" s="11"/>
      <c r="ABK155" s="11"/>
      <c r="ABL155" s="11"/>
      <c r="ABM155" s="11"/>
      <c r="ABN155" s="11"/>
      <c r="ABO155" s="11"/>
      <c r="ABP155" s="11"/>
      <c r="ABQ155" s="11"/>
      <c r="ABR155" s="11"/>
      <c r="ABS155" s="11"/>
      <c r="ABT155" s="11"/>
      <c r="ABU155" s="11"/>
      <c r="ABV155" s="11"/>
      <c r="ABW155" s="11"/>
      <c r="ABX155" s="11"/>
      <c r="ABY155" s="11"/>
      <c r="ABZ155" s="11"/>
      <c r="ACA155" s="11"/>
      <c r="ACB155" s="11"/>
      <c r="ACC155" s="11"/>
      <c r="ACD155" s="11"/>
      <c r="ACE155" s="11"/>
      <c r="ACF155" s="11"/>
      <c r="ACG155" s="11"/>
      <c r="ACH155" s="11"/>
      <c r="ACI155" s="11"/>
      <c r="ACJ155" s="11"/>
      <c r="ACK155" s="11"/>
      <c r="ACL155" s="11"/>
      <c r="ACM155" s="11"/>
      <c r="ACN155" s="11"/>
      <c r="ACO155" s="11"/>
      <c r="ACP155" s="11"/>
      <c r="ACQ155" s="11"/>
      <c r="ACR155" s="11"/>
      <c r="ACS155" s="11"/>
      <c r="ACT155" s="11"/>
      <c r="ACU155" s="11"/>
      <c r="ACV155" s="11"/>
      <c r="ACW155" s="11"/>
      <c r="ACX155" s="11"/>
      <c r="ACY155" s="11"/>
      <c r="ACZ155" s="11"/>
      <c r="ADA155" s="11"/>
      <c r="ADB155" s="11"/>
      <c r="ADC155" s="11"/>
      <c r="ADD155" s="11"/>
      <c r="ADE155" s="11"/>
      <c r="ADF155" s="11"/>
      <c r="ADG155" s="11"/>
      <c r="ADH155" s="11"/>
      <c r="ADI155" s="11"/>
      <c r="ADJ155" s="11"/>
      <c r="ADK155" s="11"/>
      <c r="ADL155" s="11"/>
      <c r="ADM155" s="11"/>
      <c r="ADN155" s="11"/>
      <c r="ADO155" s="11"/>
      <c r="ADP155" s="11"/>
      <c r="ADQ155" s="11"/>
      <c r="ADR155" s="11"/>
      <c r="ADS155" s="11"/>
      <c r="ADT155" s="11"/>
      <c r="ADU155" s="11"/>
      <c r="ADV155" s="11"/>
      <c r="ADW155" s="11"/>
      <c r="ADX155" s="11"/>
      <c r="ADY155" s="11"/>
      <c r="ADZ155" s="11"/>
      <c r="AEA155" s="11"/>
      <c r="AEB155" s="11"/>
      <c r="AEC155" s="11"/>
      <c r="AED155" s="11"/>
      <c r="AEE155" s="11"/>
      <c r="AEF155" s="11"/>
      <c r="AEG155" s="11"/>
      <c r="AEH155" s="11"/>
      <c r="AEI155" s="11"/>
      <c r="AEJ155" s="11"/>
      <c r="AEK155" s="11"/>
      <c r="AEL155" s="11"/>
      <c r="AEM155" s="11"/>
      <c r="AEN155" s="11"/>
      <c r="AEO155" s="11"/>
      <c r="AEP155" s="11"/>
      <c r="AEQ155" s="11"/>
      <c r="AER155" s="11"/>
      <c r="AES155" s="11"/>
      <c r="AET155" s="11"/>
      <c r="AEU155" s="11"/>
      <c r="AEV155" s="11"/>
      <c r="AEW155" s="11"/>
      <c r="AEX155" s="11"/>
      <c r="AEY155" s="11"/>
      <c r="AEZ155" s="11"/>
      <c r="AFA155" s="11"/>
      <c r="AFB155" s="11"/>
      <c r="AFC155" s="11"/>
      <c r="AFD155" s="11"/>
      <c r="AFE155" s="11"/>
      <c r="AFF155" s="11"/>
      <c r="AFG155" s="11"/>
      <c r="AFH155" s="11"/>
      <c r="AFI155" s="11"/>
    </row>
    <row r="156" spans="2:84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1"/>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row>
    <row r="157" spans="2:84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row>
    <row r="158" spans="2:84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1"/>
      <c r="LV158" s="11"/>
      <c r="LW158" s="11"/>
      <c r="LX158" s="11"/>
      <c r="LY158" s="11"/>
      <c r="LZ158" s="11"/>
      <c r="MA158" s="11"/>
      <c r="MB158" s="11"/>
      <c r="MC158" s="11"/>
      <c r="MD158" s="11"/>
      <c r="ME158" s="11"/>
      <c r="MF158" s="11"/>
      <c r="MG158" s="11"/>
      <c r="MH158" s="11"/>
      <c r="MI158" s="11"/>
      <c r="MJ158" s="11"/>
      <c r="MK158" s="11"/>
      <c r="ML158" s="11"/>
      <c r="MM158" s="11"/>
      <c r="MN158" s="11"/>
      <c r="MO158" s="11"/>
      <c r="MP158" s="11"/>
      <c r="MQ158" s="11"/>
      <c r="MR158" s="11"/>
      <c r="MS158" s="11"/>
      <c r="MT158" s="11"/>
      <c r="MU158" s="11"/>
      <c r="MV158" s="11"/>
      <c r="MW158" s="11"/>
      <c r="MX158" s="11"/>
      <c r="MY158" s="11"/>
      <c r="MZ158" s="11"/>
      <c r="NA158" s="11"/>
      <c r="NB158" s="11"/>
      <c r="NC158" s="11"/>
      <c r="ND158" s="11"/>
      <c r="NE158" s="11"/>
      <c r="NF158" s="11"/>
      <c r="NG158" s="11"/>
      <c r="NH158" s="11"/>
      <c r="NI158" s="11"/>
      <c r="NJ158" s="11"/>
      <c r="NK158" s="11"/>
      <c r="NL158" s="11"/>
      <c r="NM158" s="11"/>
      <c r="NN158" s="11"/>
      <c r="NO158" s="11"/>
      <c r="NP158" s="11"/>
      <c r="NQ158" s="11"/>
      <c r="NR158" s="11"/>
      <c r="NS158" s="11"/>
      <c r="NT158" s="11"/>
      <c r="NU158" s="11"/>
      <c r="NV158" s="11"/>
      <c r="NW158" s="11"/>
      <c r="NX158" s="11"/>
      <c r="NY158" s="11"/>
      <c r="NZ158" s="11"/>
      <c r="OA158" s="11"/>
      <c r="OB158" s="11"/>
      <c r="OC158" s="11"/>
      <c r="OD158" s="11"/>
      <c r="OE158" s="11"/>
      <c r="OF158" s="11"/>
      <c r="OG158" s="11"/>
      <c r="OH158" s="11"/>
      <c r="OI158" s="11"/>
      <c r="OJ158" s="11"/>
      <c r="OK158" s="11"/>
      <c r="OL158" s="11"/>
      <c r="OM158" s="11"/>
      <c r="ON158" s="11"/>
      <c r="OO158" s="11"/>
      <c r="OP158" s="11"/>
      <c r="OQ158" s="11"/>
      <c r="OR158" s="11"/>
      <c r="OS158" s="11"/>
      <c r="OT158" s="11"/>
      <c r="OU158" s="11"/>
      <c r="OV158" s="11"/>
      <c r="OW158" s="11"/>
      <c r="OX158" s="11"/>
      <c r="OY158" s="11"/>
      <c r="OZ158" s="11"/>
      <c r="PA158" s="11"/>
      <c r="PB158" s="11"/>
      <c r="PC158" s="11"/>
      <c r="PD158" s="11"/>
      <c r="PE158" s="11"/>
      <c r="PF158" s="11"/>
      <c r="PG158" s="11"/>
      <c r="PH158" s="11"/>
      <c r="PI158" s="11"/>
      <c r="PJ158" s="11"/>
      <c r="PK158" s="11"/>
      <c r="PL158" s="11"/>
      <c r="PM158" s="11"/>
      <c r="PN158" s="11"/>
      <c r="PO158" s="11"/>
      <c r="PP158" s="11"/>
      <c r="PQ158" s="11"/>
      <c r="PR158" s="11"/>
      <c r="PS158" s="11"/>
      <c r="PT158" s="11"/>
      <c r="PU158" s="11"/>
      <c r="PV158" s="11"/>
      <c r="PW158" s="11"/>
      <c r="PX158" s="11"/>
      <c r="PY158" s="11"/>
      <c r="PZ158" s="11"/>
      <c r="QA158" s="11"/>
      <c r="QB158" s="11"/>
      <c r="QC158" s="11"/>
      <c r="QD158" s="11"/>
      <c r="QE158" s="11"/>
      <c r="QF158" s="11"/>
      <c r="QG158" s="11"/>
      <c r="QH158" s="11"/>
      <c r="QI158" s="11"/>
      <c r="QJ158" s="11"/>
      <c r="QK158" s="11"/>
      <c r="QL158" s="11"/>
      <c r="QM158" s="11"/>
      <c r="QN158" s="11"/>
      <c r="QO158" s="11"/>
      <c r="QP158" s="11"/>
      <c r="QQ158" s="11"/>
      <c r="QR158" s="11"/>
      <c r="QS158" s="11"/>
      <c r="QT158" s="11"/>
      <c r="QU158" s="11"/>
      <c r="QV158" s="11"/>
      <c r="QW158" s="11"/>
      <c r="QX158" s="11"/>
      <c r="QY158" s="11"/>
      <c r="QZ158" s="11"/>
      <c r="RA158" s="11"/>
      <c r="RB158" s="11"/>
      <c r="RC158" s="11"/>
      <c r="RD158" s="11"/>
      <c r="RE158" s="11"/>
      <c r="RF158" s="11"/>
      <c r="RG158" s="11"/>
      <c r="RH158" s="11"/>
      <c r="RI158" s="11"/>
      <c r="RJ158" s="11"/>
      <c r="RK158" s="11"/>
      <c r="RL158" s="11"/>
      <c r="RM158" s="11"/>
      <c r="RN158" s="11"/>
      <c r="RO158" s="11"/>
      <c r="RP158" s="11"/>
      <c r="RQ158" s="11"/>
      <c r="RR158" s="11"/>
      <c r="RS158" s="11"/>
      <c r="RT158" s="11"/>
      <c r="RU158" s="11"/>
      <c r="RV158" s="11"/>
      <c r="RW158" s="11"/>
      <c r="RX158" s="11"/>
      <c r="RY158" s="11"/>
      <c r="RZ158" s="11"/>
      <c r="SA158" s="11"/>
      <c r="SB158" s="11"/>
      <c r="SC158" s="11"/>
      <c r="SD158" s="11"/>
      <c r="SE158" s="11"/>
      <c r="SF158" s="11"/>
      <c r="SG158" s="11"/>
      <c r="SH158" s="11"/>
      <c r="SI158" s="11"/>
      <c r="SJ158" s="11"/>
      <c r="SK158" s="11"/>
      <c r="SL158" s="11"/>
      <c r="SM158" s="11"/>
      <c r="SN158" s="11"/>
      <c r="SO158" s="11"/>
      <c r="SP158" s="11"/>
      <c r="SQ158" s="11"/>
      <c r="SR158" s="11"/>
      <c r="SS158" s="11"/>
      <c r="ST158" s="11"/>
      <c r="SU158" s="11"/>
      <c r="SV158" s="11"/>
      <c r="SW158" s="11"/>
      <c r="SX158" s="11"/>
      <c r="SY158" s="11"/>
      <c r="SZ158" s="11"/>
      <c r="TA158" s="11"/>
      <c r="TB158" s="11"/>
      <c r="TC158" s="11"/>
      <c r="TD158" s="11"/>
      <c r="TE158" s="11"/>
      <c r="TF158" s="11"/>
      <c r="TG158" s="11"/>
      <c r="TH158" s="11"/>
      <c r="TI158" s="11"/>
      <c r="TJ158" s="11"/>
      <c r="TK158" s="11"/>
      <c r="TL158" s="11"/>
      <c r="TM158" s="11"/>
      <c r="TN158" s="11"/>
      <c r="TO158" s="11"/>
      <c r="TP158" s="11"/>
      <c r="TQ158" s="11"/>
      <c r="TR158" s="11"/>
      <c r="TS158" s="11"/>
      <c r="TT158" s="11"/>
      <c r="TU158" s="11"/>
      <c r="TV158" s="11"/>
      <c r="TW158" s="11"/>
      <c r="TX158" s="11"/>
      <c r="TY158" s="11"/>
      <c r="TZ158" s="11"/>
      <c r="UA158" s="11"/>
      <c r="UB158" s="11"/>
      <c r="UC158" s="11"/>
      <c r="UD158" s="11"/>
      <c r="UE158" s="11"/>
      <c r="UF158" s="11"/>
      <c r="UG158" s="11"/>
      <c r="UH158" s="11"/>
      <c r="UI158" s="11"/>
      <c r="UJ158" s="11"/>
      <c r="UK158" s="11"/>
      <c r="UL158" s="11"/>
      <c r="UM158" s="11"/>
      <c r="UN158" s="11"/>
      <c r="UO158" s="11"/>
      <c r="UP158" s="11"/>
      <c r="UQ158" s="11"/>
      <c r="UR158" s="11"/>
      <c r="US158" s="11"/>
      <c r="UT158" s="11"/>
      <c r="UU158" s="11"/>
      <c r="UV158" s="11"/>
      <c r="UW158" s="11"/>
      <c r="UX158" s="11"/>
      <c r="UY158" s="11"/>
      <c r="UZ158" s="11"/>
      <c r="VA158" s="11"/>
      <c r="VB158" s="11"/>
      <c r="VC158" s="11"/>
      <c r="VD158" s="11"/>
      <c r="VE158" s="11"/>
      <c r="VF158" s="11"/>
      <c r="VG158" s="11"/>
      <c r="VH158" s="11"/>
      <c r="VI158" s="11"/>
      <c r="VJ158" s="11"/>
      <c r="VK158" s="11"/>
      <c r="VL158" s="11"/>
      <c r="VM158" s="11"/>
      <c r="VN158" s="11"/>
      <c r="VO158" s="11"/>
      <c r="VP158" s="11"/>
      <c r="VQ158" s="11"/>
      <c r="VR158" s="11"/>
      <c r="VS158" s="11"/>
      <c r="VT158" s="11"/>
      <c r="VU158" s="11"/>
      <c r="VV158" s="11"/>
      <c r="VW158" s="11"/>
      <c r="VX158" s="11"/>
      <c r="VY158" s="11"/>
      <c r="VZ158" s="11"/>
      <c r="WA158" s="11"/>
      <c r="WB158" s="11"/>
      <c r="WC158" s="11"/>
      <c r="WD158" s="11"/>
      <c r="WE158" s="11"/>
      <c r="WF158" s="11"/>
      <c r="WG158" s="11"/>
      <c r="WH158" s="11"/>
      <c r="WI158" s="11"/>
      <c r="WJ158" s="11"/>
      <c r="WK158" s="11"/>
      <c r="WL158" s="11"/>
      <c r="WM158" s="11"/>
      <c r="WN158" s="11"/>
      <c r="WO158" s="11"/>
      <c r="WP158" s="11"/>
      <c r="WQ158" s="11"/>
      <c r="WR158" s="11"/>
      <c r="WS158" s="11"/>
      <c r="WT158" s="11"/>
      <c r="WU158" s="11"/>
      <c r="WV158" s="11"/>
      <c r="WW158" s="11"/>
      <c r="WX158" s="11"/>
      <c r="WY158" s="11"/>
      <c r="WZ158" s="11"/>
      <c r="XA158" s="11"/>
      <c r="XB158" s="11"/>
      <c r="XC158" s="11"/>
      <c r="XD158" s="11"/>
      <c r="XE158" s="11"/>
      <c r="XF158" s="11"/>
      <c r="XG158" s="11"/>
      <c r="XH158" s="11"/>
      <c r="XI158" s="11"/>
      <c r="XJ158" s="11"/>
      <c r="XK158" s="11"/>
      <c r="XL158" s="11"/>
      <c r="XM158" s="11"/>
      <c r="XN158" s="11"/>
      <c r="XO158" s="11"/>
      <c r="XP158" s="11"/>
      <c r="XQ158" s="11"/>
      <c r="XR158" s="11"/>
      <c r="XS158" s="11"/>
      <c r="XT158" s="11"/>
      <c r="XU158" s="11"/>
      <c r="XV158" s="11"/>
      <c r="XW158" s="11"/>
      <c r="XX158" s="11"/>
      <c r="XY158" s="11"/>
      <c r="XZ158" s="11"/>
      <c r="YA158" s="11"/>
      <c r="YB158" s="11"/>
      <c r="YC158" s="11"/>
      <c r="YD158" s="11"/>
      <c r="YE158" s="11"/>
      <c r="YF158" s="11"/>
      <c r="YG158" s="11"/>
      <c r="YH158" s="11"/>
      <c r="YI158" s="11"/>
      <c r="YJ158" s="11"/>
      <c r="YK158" s="11"/>
      <c r="YL158" s="11"/>
      <c r="YM158" s="11"/>
      <c r="YN158" s="11"/>
      <c r="YO158" s="11"/>
      <c r="YP158" s="11"/>
      <c r="YQ158" s="11"/>
      <c r="YR158" s="11"/>
      <c r="YS158" s="11"/>
      <c r="YT158" s="11"/>
      <c r="YU158" s="11"/>
      <c r="YV158" s="11"/>
      <c r="YW158" s="11"/>
      <c r="YX158" s="11"/>
      <c r="YY158" s="11"/>
      <c r="YZ158" s="11"/>
      <c r="ZA158" s="11"/>
      <c r="ZB158" s="11"/>
      <c r="ZC158" s="11"/>
      <c r="ZD158" s="11"/>
      <c r="ZE158" s="11"/>
      <c r="ZF158" s="11"/>
      <c r="ZG158" s="11"/>
      <c r="ZH158" s="11"/>
      <c r="ZI158" s="11"/>
      <c r="ZJ158" s="11"/>
      <c r="ZK158" s="11"/>
      <c r="ZL158" s="11"/>
      <c r="ZM158" s="11"/>
      <c r="ZN158" s="11"/>
      <c r="ZO158" s="11"/>
      <c r="ZP158" s="11"/>
      <c r="ZQ158" s="11"/>
      <c r="ZR158" s="11"/>
      <c r="ZS158" s="11"/>
      <c r="ZT158" s="11"/>
      <c r="ZU158" s="11"/>
      <c r="ZV158" s="11"/>
      <c r="ZW158" s="11"/>
      <c r="ZX158" s="11"/>
      <c r="ZY158" s="11"/>
      <c r="ZZ158" s="11"/>
      <c r="AAA158" s="11"/>
      <c r="AAB158" s="11"/>
      <c r="AAC158" s="11"/>
      <c r="AAD158" s="11"/>
      <c r="AAE158" s="11"/>
      <c r="AAF158" s="11"/>
      <c r="AAG158" s="11"/>
      <c r="AAH158" s="11"/>
      <c r="AAI158" s="11"/>
      <c r="AAJ158" s="11"/>
      <c r="AAK158" s="11"/>
      <c r="AAL158" s="11"/>
      <c r="AAM158" s="11"/>
      <c r="AAN158" s="11"/>
      <c r="AAO158" s="11"/>
      <c r="AAP158" s="11"/>
      <c r="AAQ158" s="11"/>
      <c r="AAR158" s="11"/>
      <c r="AAS158" s="11"/>
      <c r="AAT158" s="11"/>
      <c r="AAU158" s="11"/>
      <c r="AAV158" s="11"/>
      <c r="AAW158" s="11"/>
      <c r="AAX158" s="11"/>
      <c r="AAY158" s="11"/>
      <c r="AAZ158" s="11"/>
      <c r="ABA158" s="11"/>
      <c r="ABB158" s="11"/>
      <c r="ABC158" s="11"/>
      <c r="ABD158" s="11"/>
      <c r="ABE158" s="11"/>
      <c r="ABF158" s="11"/>
      <c r="ABG158" s="11"/>
      <c r="ABH158" s="11"/>
      <c r="ABI158" s="11"/>
      <c r="ABJ158" s="11"/>
      <c r="ABK158" s="11"/>
      <c r="ABL158" s="11"/>
      <c r="ABM158" s="11"/>
      <c r="ABN158" s="11"/>
      <c r="ABO158" s="11"/>
      <c r="ABP158" s="11"/>
      <c r="ABQ158" s="11"/>
      <c r="ABR158" s="11"/>
      <c r="ABS158" s="11"/>
      <c r="ABT158" s="11"/>
      <c r="ABU158" s="11"/>
      <c r="ABV158" s="11"/>
      <c r="ABW158" s="11"/>
      <c r="ABX158" s="11"/>
      <c r="ABY158" s="11"/>
      <c r="ABZ158" s="11"/>
      <c r="ACA158" s="11"/>
      <c r="ACB158" s="11"/>
      <c r="ACC158" s="11"/>
      <c r="ACD158" s="11"/>
      <c r="ACE158" s="11"/>
      <c r="ACF158" s="11"/>
      <c r="ACG158" s="11"/>
      <c r="ACH158" s="11"/>
      <c r="ACI158" s="11"/>
      <c r="ACJ158" s="11"/>
      <c r="ACK158" s="11"/>
      <c r="ACL158" s="11"/>
      <c r="ACM158" s="11"/>
      <c r="ACN158" s="11"/>
      <c r="ACO158" s="11"/>
      <c r="ACP158" s="11"/>
      <c r="ACQ158" s="11"/>
      <c r="ACR158" s="11"/>
      <c r="ACS158" s="11"/>
      <c r="ACT158" s="11"/>
      <c r="ACU158" s="11"/>
      <c r="ACV158" s="11"/>
      <c r="ACW158" s="11"/>
      <c r="ACX158" s="11"/>
      <c r="ACY158" s="11"/>
      <c r="ACZ158" s="11"/>
      <c r="ADA158" s="11"/>
      <c r="ADB158" s="11"/>
      <c r="ADC158" s="11"/>
      <c r="ADD158" s="11"/>
      <c r="ADE158" s="11"/>
      <c r="ADF158" s="11"/>
      <c r="ADG158" s="11"/>
      <c r="ADH158" s="11"/>
      <c r="ADI158" s="11"/>
      <c r="ADJ158" s="11"/>
      <c r="ADK158" s="11"/>
      <c r="ADL158" s="11"/>
      <c r="ADM158" s="11"/>
      <c r="ADN158" s="11"/>
      <c r="ADO158" s="11"/>
      <c r="ADP158" s="11"/>
      <c r="ADQ158" s="11"/>
      <c r="ADR158" s="11"/>
      <c r="ADS158" s="11"/>
      <c r="ADT158" s="11"/>
      <c r="ADU158" s="11"/>
      <c r="ADV158" s="11"/>
      <c r="ADW158" s="11"/>
      <c r="ADX158" s="11"/>
      <c r="ADY158" s="11"/>
      <c r="ADZ158" s="11"/>
      <c r="AEA158" s="11"/>
      <c r="AEB158" s="11"/>
      <c r="AEC158" s="11"/>
      <c r="AED158" s="11"/>
      <c r="AEE158" s="11"/>
      <c r="AEF158" s="11"/>
      <c r="AEG158" s="11"/>
      <c r="AEH158" s="11"/>
      <c r="AEI158" s="11"/>
      <c r="AEJ158" s="11"/>
      <c r="AEK158" s="11"/>
      <c r="AEL158" s="11"/>
      <c r="AEM158" s="11"/>
      <c r="AEN158" s="11"/>
      <c r="AEO158" s="11"/>
      <c r="AEP158" s="11"/>
      <c r="AEQ158" s="11"/>
      <c r="AER158" s="11"/>
      <c r="AES158" s="11"/>
      <c r="AET158" s="11"/>
      <c r="AEU158" s="11"/>
      <c r="AEV158" s="11"/>
      <c r="AEW158" s="11"/>
      <c r="AEX158" s="11"/>
      <c r="AEY158" s="11"/>
      <c r="AEZ158" s="11"/>
      <c r="AFA158" s="11"/>
      <c r="AFB158" s="11"/>
      <c r="AFC158" s="11"/>
      <c r="AFD158" s="11"/>
      <c r="AFE158" s="11"/>
      <c r="AFF158" s="11"/>
      <c r="AFG158" s="11"/>
      <c r="AFH158" s="11"/>
      <c r="AFI158" s="11"/>
    </row>
    <row r="159" spans="2:84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1"/>
      <c r="LV159" s="11"/>
      <c r="LW159" s="11"/>
      <c r="LX159" s="11"/>
      <c r="LY159" s="11"/>
      <c r="LZ159" s="11"/>
      <c r="MA159" s="11"/>
      <c r="MB159" s="11"/>
      <c r="MC159" s="11"/>
      <c r="MD159" s="11"/>
      <c r="ME159" s="11"/>
      <c r="MF159" s="11"/>
      <c r="MG159" s="11"/>
      <c r="MH159" s="11"/>
      <c r="MI159" s="11"/>
      <c r="MJ159" s="11"/>
      <c r="MK159" s="11"/>
      <c r="ML159" s="11"/>
      <c r="MM159" s="11"/>
      <c r="MN159" s="11"/>
      <c r="MO159" s="11"/>
      <c r="MP159" s="11"/>
      <c r="MQ159" s="11"/>
      <c r="MR159" s="11"/>
      <c r="MS159" s="11"/>
      <c r="MT159" s="11"/>
      <c r="MU159" s="11"/>
      <c r="MV159" s="11"/>
      <c r="MW159" s="11"/>
      <c r="MX159" s="11"/>
      <c r="MY159" s="11"/>
      <c r="MZ159" s="11"/>
      <c r="NA159" s="11"/>
      <c r="NB159" s="11"/>
      <c r="NC159" s="11"/>
      <c r="ND159" s="11"/>
      <c r="NE159" s="11"/>
      <c r="NF159" s="11"/>
      <c r="NG159" s="11"/>
      <c r="NH159" s="11"/>
      <c r="NI159" s="11"/>
      <c r="NJ159" s="11"/>
      <c r="NK159" s="11"/>
      <c r="NL159" s="11"/>
      <c r="NM159" s="11"/>
      <c r="NN159" s="11"/>
      <c r="NO159" s="11"/>
      <c r="NP159" s="11"/>
      <c r="NQ159" s="11"/>
      <c r="NR159" s="11"/>
      <c r="NS159" s="11"/>
      <c r="NT159" s="11"/>
      <c r="NU159" s="11"/>
      <c r="NV159" s="11"/>
      <c r="NW159" s="11"/>
      <c r="NX159" s="11"/>
      <c r="NY159" s="11"/>
      <c r="NZ159" s="11"/>
      <c r="OA159" s="11"/>
      <c r="OB159" s="11"/>
      <c r="OC159" s="11"/>
      <c r="OD159" s="11"/>
      <c r="OE159" s="11"/>
      <c r="OF159" s="11"/>
      <c r="OG159" s="11"/>
      <c r="OH159" s="11"/>
      <c r="OI159" s="11"/>
      <c r="OJ159" s="11"/>
      <c r="OK159" s="11"/>
      <c r="OL159" s="11"/>
      <c r="OM159" s="11"/>
      <c r="ON159" s="11"/>
      <c r="OO159" s="11"/>
      <c r="OP159" s="11"/>
      <c r="OQ159" s="11"/>
      <c r="OR159" s="11"/>
      <c r="OS159" s="11"/>
      <c r="OT159" s="11"/>
      <c r="OU159" s="11"/>
      <c r="OV159" s="11"/>
      <c r="OW159" s="11"/>
      <c r="OX159" s="11"/>
      <c r="OY159" s="11"/>
      <c r="OZ159" s="11"/>
      <c r="PA159" s="11"/>
      <c r="PB159" s="11"/>
      <c r="PC159" s="11"/>
      <c r="PD159" s="11"/>
      <c r="PE159" s="11"/>
      <c r="PF159" s="11"/>
      <c r="PG159" s="11"/>
      <c r="PH159" s="11"/>
      <c r="PI159" s="11"/>
      <c r="PJ159" s="11"/>
      <c r="PK159" s="11"/>
      <c r="PL159" s="11"/>
      <c r="PM159" s="11"/>
      <c r="PN159" s="11"/>
      <c r="PO159" s="11"/>
      <c r="PP159" s="11"/>
      <c r="PQ159" s="11"/>
      <c r="PR159" s="11"/>
      <c r="PS159" s="11"/>
      <c r="PT159" s="11"/>
      <c r="PU159" s="11"/>
      <c r="PV159" s="11"/>
      <c r="PW159" s="11"/>
      <c r="PX159" s="11"/>
      <c r="PY159" s="11"/>
      <c r="PZ159" s="11"/>
      <c r="QA159" s="11"/>
      <c r="QB159" s="11"/>
      <c r="QC159" s="11"/>
      <c r="QD159" s="11"/>
      <c r="QE159" s="11"/>
      <c r="QF159" s="11"/>
      <c r="QG159" s="11"/>
      <c r="QH159" s="11"/>
      <c r="QI159" s="11"/>
      <c r="QJ159" s="11"/>
      <c r="QK159" s="11"/>
      <c r="QL159" s="11"/>
      <c r="QM159" s="11"/>
      <c r="QN159" s="11"/>
      <c r="QO159" s="11"/>
      <c r="QP159" s="11"/>
      <c r="QQ159" s="11"/>
      <c r="QR159" s="11"/>
      <c r="QS159" s="11"/>
      <c r="QT159" s="11"/>
      <c r="QU159" s="11"/>
      <c r="QV159" s="11"/>
      <c r="QW159" s="11"/>
      <c r="QX159" s="11"/>
      <c r="QY159" s="11"/>
      <c r="QZ159" s="11"/>
      <c r="RA159" s="11"/>
      <c r="RB159" s="11"/>
      <c r="RC159" s="11"/>
      <c r="RD159" s="11"/>
      <c r="RE159" s="11"/>
      <c r="RF159" s="11"/>
      <c r="RG159" s="11"/>
      <c r="RH159" s="11"/>
      <c r="RI159" s="11"/>
      <c r="RJ159" s="11"/>
      <c r="RK159" s="11"/>
      <c r="RL159" s="11"/>
      <c r="RM159" s="11"/>
      <c r="RN159" s="11"/>
      <c r="RO159" s="11"/>
      <c r="RP159" s="11"/>
      <c r="RQ159" s="11"/>
      <c r="RR159" s="11"/>
      <c r="RS159" s="11"/>
      <c r="RT159" s="11"/>
      <c r="RU159" s="11"/>
      <c r="RV159" s="11"/>
      <c r="RW159" s="11"/>
      <c r="RX159" s="11"/>
      <c r="RY159" s="11"/>
      <c r="RZ159" s="11"/>
      <c r="SA159" s="11"/>
      <c r="SB159" s="11"/>
      <c r="SC159" s="11"/>
      <c r="SD159" s="11"/>
      <c r="SE159" s="11"/>
      <c r="SF159" s="11"/>
      <c r="SG159" s="11"/>
      <c r="SH159" s="11"/>
      <c r="SI159" s="11"/>
      <c r="SJ159" s="11"/>
      <c r="SK159" s="11"/>
      <c r="SL159" s="11"/>
      <c r="SM159" s="11"/>
      <c r="SN159" s="11"/>
      <c r="SO159" s="11"/>
      <c r="SP159" s="11"/>
      <c r="SQ159" s="11"/>
      <c r="SR159" s="11"/>
      <c r="SS159" s="11"/>
      <c r="ST159" s="11"/>
      <c r="SU159" s="11"/>
      <c r="SV159" s="11"/>
      <c r="SW159" s="11"/>
      <c r="SX159" s="11"/>
      <c r="SY159" s="11"/>
      <c r="SZ159" s="11"/>
      <c r="TA159" s="11"/>
      <c r="TB159" s="11"/>
      <c r="TC159" s="11"/>
      <c r="TD159" s="11"/>
      <c r="TE159" s="11"/>
      <c r="TF159" s="11"/>
      <c r="TG159" s="11"/>
      <c r="TH159" s="11"/>
      <c r="TI159" s="11"/>
      <c r="TJ159" s="11"/>
      <c r="TK159" s="11"/>
      <c r="TL159" s="11"/>
      <c r="TM159" s="11"/>
      <c r="TN159" s="11"/>
      <c r="TO159" s="11"/>
      <c r="TP159" s="11"/>
      <c r="TQ159" s="11"/>
      <c r="TR159" s="11"/>
      <c r="TS159" s="11"/>
      <c r="TT159" s="11"/>
      <c r="TU159" s="11"/>
      <c r="TV159" s="11"/>
      <c r="TW159" s="11"/>
      <c r="TX159" s="11"/>
      <c r="TY159" s="11"/>
      <c r="TZ159" s="11"/>
      <c r="UA159" s="11"/>
      <c r="UB159" s="11"/>
      <c r="UC159" s="11"/>
      <c r="UD159" s="11"/>
      <c r="UE159" s="11"/>
      <c r="UF159" s="11"/>
      <c r="UG159" s="11"/>
      <c r="UH159" s="11"/>
      <c r="UI159" s="11"/>
      <c r="UJ159" s="11"/>
      <c r="UK159" s="11"/>
      <c r="UL159" s="11"/>
      <c r="UM159" s="11"/>
      <c r="UN159" s="11"/>
      <c r="UO159" s="11"/>
      <c r="UP159" s="11"/>
      <c r="UQ159" s="11"/>
      <c r="UR159" s="11"/>
      <c r="US159" s="11"/>
      <c r="UT159" s="11"/>
      <c r="UU159" s="11"/>
      <c r="UV159" s="11"/>
      <c r="UW159" s="11"/>
      <c r="UX159" s="11"/>
      <c r="UY159" s="11"/>
      <c r="UZ159" s="11"/>
      <c r="VA159" s="11"/>
      <c r="VB159" s="11"/>
      <c r="VC159" s="11"/>
      <c r="VD159" s="11"/>
      <c r="VE159" s="11"/>
      <c r="VF159" s="11"/>
      <c r="VG159" s="11"/>
      <c r="VH159" s="11"/>
      <c r="VI159" s="11"/>
      <c r="VJ159" s="11"/>
      <c r="VK159" s="11"/>
      <c r="VL159" s="11"/>
      <c r="VM159" s="11"/>
      <c r="VN159" s="11"/>
      <c r="VO159" s="11"/>
      <c r="VP159" s="11"/>
      <c r="VQ159" s="11"/>
      <c r="VR159" s="11"/>
      <c r="VS159" s="11"/>
      <c r="VT159" s="11"/>
      <c r="VU159" s="11"/>
      <c r="VV159" s="11"/>
      <c r="VW159" s="11"/>
      <c r="VX159" s="11"/>
      <c r="VY159" s="11"/>
      <c r="VZ159" s="11"/>
      <c r="WA159" s="11"/>
      <c r="WB159" s="11"/>
      <c r="WC159" s="11"/>
      <c r="WD159" s="11"/>
      <c r="WE159" s="11"/>
      <c r="WF159" s="11"/>
      <c r="WG159" s="11"/>
      <c r="WH159" s="11"/>
      <c r="WI159" s="11"/>
      <c r="WJ159" s="11"/>
      <c r="WK159" s="11"/>
      <c r="WL159" s="11"/>
      <c r="WM159" s="11"/>
      <c r="WN159" s="11"/>
      <c r="WO159" s="11"/>
      <c r="WP159" s="11"/>
      <c r="WQ159" s="11"/>
      <c r="WR159" s="11"/>
      <c r="WS159" s="11"/>
      <c r="WT159" s="11"/>
      <c r="WU159" s="11"/>
      <c r="WV159" s="11"/>
      <c r="WW159" s="11"/>
      <c r="WX159" s="11"/>
      <c r="WY159" s="11"/>
      <c r="WZ159" s="11"/>
      <c r="XA159" s="11"/>
      <c r="XB159" s="11"/>
      <c r="XC159" s="11"/>
      <c r="XD159" s="11"/>
      <c r="XE159" s="11"/>
      <c r="XF159" s="11"/>
      <c r="XG159" s="11"/>
      <c r="XH159" s="11"/>
      <c r="XI159" s="11"/>
      <c r="XJ159" s="11"/>
      <c r="XK159" s="11"/>
      <c r="XL159" s="11"/>
      <c r="XM159" s="11"/>
      <c r="XN159" s="11"/>
      <c r="XO159" s="11"/>
      <c r="XP159" s="11"/>
      <c r="XQ159" s="11"/>
      <c r="XR159" s="11"/>
      <c r="XS159" s="11"/>
      <c r="XT159" s="11"/>
      <c r="XU159" s="11"/>
      <c r="XV159" s="11"/>
      <c r="XW159" s="11"/>
      <c r="XX159" s="11"/>
      <c r="XY159" s="11"/>
      <c r="XZ159" s="11"/>
      <c r="YA159" s="11"/>
      <c r="YB159" s="11"/>
      <c r="YC159" s="11"/>
      <c r="YD159" s="11"/>
      <c r="YE159" s="11"/>
      <c r="YF159" s="11"/>
      <c r="YG159" s="11"/>
      <c r="YH159" s="11"/>
      <c r="YI159" s="11"/>
      <c r="YJ159" s="11"/>
      <c r="YK159" s="11"/>
      <c r="YL159" s="11"/>
      <c r="YM159" s="11"/>
      <c r="YN159" s="11"/>
      <c r="YO159" s="11"/>
      <c r="YP159" s="11"/>
      <c r="YQ159" s="11"/>
      <c r="YR159" s="11"/>
      <c r="YS159" s="11"/>
      <c r="YT159" s="11"/>
      <c r="YU159" s="11"/>
      <c r="YV159" s="11"/>
      <c r="YW159" s="11"/>
      <c r="YX159" s="11"/>
      <c r="YY159" s="11"/>
      <c r="YZ159" s="11"/>
      <c r="ZA159" s="11"/>
      <c r="ZB159" s="11"/>
      <c r="ZC159" s="11"/>
      <c r="ZD159" s="11"/>
      <c r="ZE159" s="11"/>
      <c r="ZF159" s="11"/>
      <c r="ZG159" s="11"/>
      <c r="ZH159" s="11"/>
      <c r="ZI159" s="11"/>
      <c r="ZJ159" s="11"/>
      <c r="ZK159" s="11"/>
      <c r="ZL159" s="11"/>
      <c r="ZM159" s="11"/>
      <c r="ZN159" s="11"/>
      <c r="ZO159" s="11"/>
      <c r="ZP159" s="11"/>
      <c r="ZQ159" s="11"/>
      <c r="ZR159" s="11"/>
      <c r="ZS159" s="11"/>
      <c r="ZT159" s="11"/>
      <c r="ZU159" s="11"/>
      <c r="ZV159" s="11"/>
      <c r="ZW159" s="11"/>
      <c r="ZX159" s="11"/>
      <c r="ZY159" s="11"/>
      <c r="ZZ159" s="11"/>
      <c r="AAA159" s="11"/>
      <c r="AAB159" s="11"/>
      <c r="AAC159" s="11"/>
      <c r="AAD159" s="11"/>
      <c r="AAE159" s="11"/>
      <c r="AAF159" s="11"/>
      <c r="AAG159" s="11"/>
      <c r="AAH159" s="11"/>
      <c r="AAI159" s="11"/>
      <c r="AAJ159" s="11"/>
      <c r="AAK159" s="11"/>
      <c r="AAL159" s="11"/>
      <c r="AAM159" s="11"/>
      <c r="AAN159" s="11"/>
      <c r="AAO159" s="11"/>
      <c r="AAP159" s="11"/>
      <c r="AAQ159" s="11"/>
      <c r="AAR159" s="11"/>
      <c r="AAS159" s="11"/>
      <c r="AAT159" s="11"/>
      <c r="AAU159" s="11"/>
      <c r="AAV159" s="11"/>
      <c r="AAW159" s="11"/>
      <c r="AAX159" s="11"/>
      <c r="AAY159" s="11"/>
      <c r="AAZ159" s="11"/>
      <c r="ABA159" s="11"/>
      <c r="ABB159" s="11"/>
      <c r="ABC159" s="11"/>
      <c r="ABD159" s="11"/>
      <c r="ABE159" s="11"/>
      <c r="ABF159" s="11"/>
      <c r="ABG159" s="11"/>
      <c r="ABH159" s="11"/>
      <c r="ABI159" s="11"/>
      <c r="ABJ159" s="11"/>
      <c r="ABK159" s="11"/>
      <c r="ABL159" s="11"/>
      <c r="ABM159" s="11"/>
      <c r="ABN159" s="11"/>
      <c r="ABO159" s="11"/>
      <c r="ABP159" s="11"/>
      <c r="ABQ159" s="11"/>
      <c r="ABR159" s="11"/>
      <c r="ABS159" s="11"/>
      <c r="ABT159" s="11"/>
      <c r="ABU159" s="11"/>
      <c r="ABV159" s="11"/>
      <c r="ABW159" s="11"/>
      <c r="ABX159" s="11"/>
      <c r="ABY159" s="11"/>
      <c r="ABZ159" s="11"/>
      <c r="ACA159" s="11"/>
      <c r="ACB159" s="11"/>
      <c r="ACC159" s="11"/>
      <c r="ACD159" s="11"/>
      <c r="ACE159" s="11"/>
      <c r="ACF159" s="11"/>
      <c r="ACG159" s="11"/>
      <c r="ACH159" s="11"/>
      <c r="ACI159" s="11"/>
      <c r="ACJ159" s="11"/>
      <c r="ACK159" s="11"/>
      <c r="ACL159" s="11"/>
      <c r="ACM159" s="11"/>
      <c r="ACN159" s="11"/>
      <c r="ACO159" s="11"/>
      <c r="ACP159" s="11"/>
      <c r="ACQ159" s="11"/>
      <c r="ACR159" s="11"/>
      <c r="ACS159" s="11"/>
      <c r="ACT159" s="11"/>
      <c r="ACU159" s="11"/>
      <c r="ACV159" s="11"/>
      <c r="ACW159" s="11"/>
      <c r="ACX159" s="11"/>
      <c r="ACY159" s="11"/>
      <c r="ACZ159" s="11"/>
      <c r="ADA159" s="11"/>
      <c r="ADB159" s="11"/>
      <c r="ADC159" s="11"/>
      <c r="ADD159" s="11"/>
      <c r="ADE159" s="11"/>
      <c r="ADF159" s="11"/>
      <c r="ADG159" s="11"/>
      <c r="ADH159" s="11"/>
      <c r="ADI159" s="11"/>
      <c r="ADJ159" s="11"/>
      <c r="ADK159" s="11"/>
      <c r="ADL159" s="11"/>
      <c r="ADM159" s="11"/>
      <c r="ADN159" s="11"/>
      <c r="ADO159" s="11"/>
      <c r="ADP159" s="11"/>
      <c r="ADQ159" s="11"/>
      <c r="ADR159" s="11"/>
      <c r="ADS159" s="11"/>
      <c r="ADT159" s="11"/>
      <c r="ADU159" s="11"/>
      <c r="ADV159" s="11"/>
      <c r="ADW159" s="11"/>
      <c r="ADX159" s="11"/>
      <c r="ADY159" s="11"/>
      <c r="ADZ159" s="11"/>
      <c r="AEA159" s="11"/>
      <c r="AEB159" s="11"/>
      <c r="AEC159" s="11"/>
      <c r="AED159" s="11"/>
      <c r="AEE159" s="11"/>
      <c r="AEF159" s="11"/>
      <c r="AEG159" s="11"/>
      <c r="AEH159" s="11"/>
      <c r="AEI159" s="11"/>
      <c r="AEJ159" s="11"/>
      <c r="AEK159" s="11"/>
      <c r="AEL159" s="11"/>
      <c r="AEM159" s="11"/>
      <c r="AEN159" s="11"/>
      <c r="AEO159" s="11"/>
      <c r="AEP159" s="11"/>
      <c r="AEQ159" s="11"/>
      <c r="AER159" s="11"/>
      <c r="AES159" s="11"/>
      <c r="AET159" s="11"/>
      <c r="AEU159" s="11"/>
      <c r="AEV159" s="11"/>
      <c r="AEW159" s="11"/>
      <c r="AEX159" s="11"/>
      <c r="AEY159" s="11"/>
      <c r="AEZ159" s="11"/>
      <c r="AFA159" s="11"/>
      <c r="AFB159" s="11"/>
      <c r="AFC159" s="11"/>
      <c r="AFD159" s="11"/>
      <c r="AFE159" s="11"/>
      <c r="AFF159" s="11"/>
      <c r="AFG159" s="11"/>
      <c r="AFH159" s="11"/>
      <c r="AFI159" s="11"/>
    </row>
    <row r="160" spans="2:84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1"/>
      <c r="LV160" s="11"/>
      <c r="LW160" s="11"/>
      <c r="LX160" s="11"/>
      <c r="LY160" s="11"/>
      <c r="LZ160" s="11"/>
      <c r="MA160" s="11"/>
      <c r="MB160" s="11"/>
      <c r="MC160" s="11"/>
      <c r="MD160" s="11"/>
      <c r="ME160" s="11"/>
      <c r="MF160" s="11"/>
      <c r="MG160" s="11"/>
      <c r="MH160" s="11"/>
      <c r="MI160" s="11"/>
      <c r="MJ160" s="11"/>
      <c r="MK160" s="11"/>
      <c r="ML160" s="11"/>
      <c r="MM160" s="11"/>
      <c r="MN160" s="11"/>
      <c r="MO160" s="11"/>
      <c r="MP160" s="11"/>
      <c r="MQ160" s="11"/>
      <c r="MR160" s="11"/>
      <c r="MS160" s="11"/>
      <c r="MT160" s="11"/>
      <c r="MU160" s="11"/>
      <c r="MV160" s="11"/>
      <c r="MW160" s="11"/>
      <c r="MX160" s="11"/>
      <c r="MY160" s="11"/>
      <c r="MZ160" s="11"/>
      <c r="NA160" s="11"/>
      <c r="NB160" s="11"/>
      <c r="NC160" s="11"/>
      <c r="ND160" s="11"/>
      <c r="NE160" s="11"/>
      <c r="NF160" s="11"/>
      <c r="NG160" s="11"/>
      <c r="NH160" s="11"/>
      <c r="NI160" s="11"/>
      <c r="NJ160" s="11"/>
      <c r="NK160" s="11"/>
      <c r="NL160" s="11"/>
      <c r="NM160" s="11"/>
      <c r="NN160" s="11"/>
      <c r="NO160" s="11"/>
      <c r="NP160" s="11"/>
      <c r="NQ160" s="11"/>
      <c r="NR160" s="11"/>
      <c r="NS160" s="11"/>
      <c r="NT160" s="11"/>
      <c r="NU160" s="11"/>
      <c r="NV160" s="11"/>
      <c r="NW160" s="11"/>
      <c r="NX160" s="11"/>
      <c r="NY160" s="11"/>
      <c r="NZ160" s="11"/>
      <c r="OA160" s="11"/>
      <c r="OB160" s="11"/>
      <c r="OC160" s="11"/>
      <c r="OD160" s="11"/>
      <c r="OE160" s="11"/>
      <c r="OF160" s="11"/>
      <c r="OG160" s="11"/>
      <c r="OH160" s="11"/>
      <c r="OI160" s="11"/>
      <c r="OJ160" s="11"/>
      <c r="OK160" s="11"/>
      <c r="OL160" s="11"/>
      <c r="OM160" s="11"/>
      <c r="ON160" s="11"/>
      <c r="OO160" s="11"/>
      <c r="OP160" s="11"/>
      <c r="OQ160" s="11"/>
      <c r="OR160" s="11"/>
      <c r="OS160" s="11"/>
      <c r="OT160" s="11"/>
      <c r="OU160" s="11"/>
      <c r="OV160" s="11"/>
      <c r="OW160" s="11"/>
      <c r="OX160" s="11"/>
      <c r="OY160" s="11"/>
      <c r="OZ160" s="11"/>
      <c r="PA160" s="11"/>
      <c r="PB160" s="11"/>
      <c r="PC160" s="11"/>
      <c r="PD160" s="11"/>
      <c r="PE160" s="11"/>
      <c r="PF160" s="11"/>
      <c r="PG160" s="11"/>
      <c r="PH160" s="11"/>
      <c r="PI160" s="11"/>
      <c r="PJ160" s="11"/>
      <c r="PK160" s="11"/>
      <c r="PL160" s="11"/>
      <c r="PM160" s="11"/>
      <c r="PN160" s="11"/>
      <c r="PO160" s="11"/>
      <c r="PP160" s="11"/>
      <c r="PQ160" s="11"/>
      <c r="PR160" s="11"/>
      <c r="PS160" s="11"/>
      <c r="PT160" s="11"/>
      <c r="PU160" s="11"/>
      <c r="PV160" s="11"/>
      <c r="PW160" s="11"/>
      <c r="PX160" s="11"/>
      <c r="PY160" s="11"/>
      <c r="PZ160" s="11"/>
      <c r="QA160" s="11"/>
      <c r="QB160" s="11"/>
      <c r="QC160" s="11"/>
      <c r="QD160" s="11"/>
      <c r="QE160" s="11"/>
      <c r="QF160" s="11"/>
      <c r="QG160" s="11"/>
      <c r="QH160" s="11"/>
      <c r="QI160" s="11"/>
      <c r="QJ160" s="11"/>
      <c r="QK160" s="11"/>
      <c r="QL160" s="11"/>
      <c r="QM160" s="11"/>
      <c r="QN160" s="11"/>
      <c r="QO160" s="11"/>
      <c r="QP160" s="11"/>
      <c r="QQ160" s="11"/>
      <c r="QR160" s="11"/>
      <c r="QS160" s="11"/>
      <c r="QT160" s="11"/>
      <c r="QU160" s="11"/>
      <c r="QV160" s="11"/>
      <c r="QW160" s="11"/>
      <c r="QX160" s="11"/>
      <c r="QY160" s="11"/>
      <c r="QZ160" s="11"/>
      <c r="RA160" s="11"/>
      <c r="RB160" s="11"/>
      <c r="RC160" s="11"/>
      <c r="RD160" s="11"/>
      <c r="RE160" s="11"/>
      <c r="RF160" s="11"/>
      <c r="RG160" s="11"/>
      <c r="RH160" s="11"/>
      <c r="RI160" s="11"/>
      <c r="RJ160" s="11"/>
      <c r="RK160" s="11"/>
      <c r="RL160" s="11"/>
      <c r="RM160" s="11"/>
      <c r="RN160" s="11"/>
      <c r="RO160" s="11"/>
      <c r="RP160" s="11"/>
      <c r="RQ160" s="11"/>
      <c r="RR160" s="11"/>
      <c r="RS160" s="11"/>
      <c r="RT160" s="11"/>
      <c r="RU160" s="11"/>
      <c r="RV160" s="11"/>
      <c r="RW160" s="11"/>
      <c r="RX160" s="11"/>
      <c r="RY160" s="11"/>
      <c r="RZ160" s="11"/>
      <c r="SA160" s="11"/>
      <c r="SB160" s="11"/>
      <c r="SC160" s="11"/>
      <c r="SD160" s="11"/>
      <c r="SE160" s="11"/>
      <c r="SF160" s="11"/>
      <c r="SG160" s="11"/>
      <c r="SH160" s="11"/>
      <c r="SI160" s="11"/>
      <c r="SJ160" s="11"/>
      <c r="SK160" s="11"/>
      <c r="SL160" s="11"/>
      <c r="SM160" s="11"/>
      <c r="SN160" s="11"/>
      <c r="SO160" s="11"/>
      <c r="SP160" s="11"/>
      <c r="SQ160" s="11"/>
      <c r="SR160" s="11"/>
      <c r="SS160" s="11"/>
      <c r="ST160" s="11"/>
      <c r="SU160" s="11"/>
      <c r="SV160" s="11"/>
      <c r="SW160" s="11"/>
      <c r="SX160" s="11"/>
      <c r="SY160" s="11"/>
      <c r="SZ160" s="11"/>
      <c r="TA160" s="11"/>
      <c r="TB160" s="11"/>
      <c r="TC160" s="11"/>
      <c r="TD160" s="11"/>
      <c r="TE160" s="11"/>
      <c r="TF160" s="11"/>
      <c r="TG160" s="11"/>
      <c r="TH160" s="11"/>
      <c r="TI160" s="11"/>
      <c r="TJ160" s="11"/>
      <c r="TK160" s="11"/>
      <c r="TL160" s="11"/>
      <c r="TM160" s="11"/>
      <c r="TN160" s="11"/>
      <c r="TO160" s="11"/>
      <c r="TP160" s="11"/>
      <c r="TQ160" s="11"/>
      <c r="TR160" s="11"/>
      <c r="TS160" s="11"/>
      <c r="TT160" s="11"/>
      <c r="TU160" s="11"/>
      <c r="TV160" s="11"/>
      <c r="TW160" s="11"/>
      <c r="TX160" s="11"/>
      <c r="TY160" s="11"/>
      <c r="TZ160" s="11"/>
      <c r="UA160" s="11"/>
      <c r="UB160" s="11"/>
      <c r="UC160" s="11"/>
      <c r="UD160" s="11"/>
      <c r="UE160" s="11"/>
      <c r="UF160" s="11"/>
      <c r="UG160" s="11"/>
      <c r="UH160" s="11"/>
      <c r="UI160" s="11"/>
      <c r="UJ160" s="11"/>
      <c r="UK160" s="11"/>
      <c r="UL160" s="11"/>
      <c r="UM160" s="11"/>
      <c r="UN160" s="11"/>
      <c r="UO160" s="11"/>
      <c r="UP160" s="11"/>
      <c r="UQ160" s="11"/>
      <c r="UR160" s="11"/>
      <c r="US160" s="11"/>
      <c r="UT160" s="11"/>
      <c r="UU160" s="11"/>
      <c r="UV160" s="11"/>
      <c r="UW160" s="11"/>
      <c r="UX160" s="11"/>
      <c r="UY160" s="11"/>
      <c r="UZ160" s="11"/>
      <c r="VA160" s="11"/>
      <c r="VB160" s="11"/>
      <c r="VC160" s="11"/>
      <c r="VD160" s="11"/>
      <c r="VE160" s="11"/>
      <c r="VF160" s="11"/>
      <c r="VG160" s="11"/>
      <c r="VH160" s="11"/>
      <c r="VI160" s="11"/>
      <c r="VJ160" s="11"/>
      <c r="VK160" s="11"/>
      <c r="VL160" s="11"/>
      <c r="VM160" s="11"/>
      <c r="VN160" s="11"/>
      <c r="VO160" s="11"/>
      <c r="VP160" s="11"/>
      <c r="VQ160" s="11"/>
      <c r="VR160" s="11"/>
      <c r="VS160" s="11"/>
      <c r="VT160" s="11"/>
      <c r="VU160" s="11"/>
      <c r="VV160" s="11"/>
      <c r="VW160" s="11"/>
      <c r="VX160" s="11"/>
      <c r="VY160" s="11"/>
      <c r="VZ160" s="11"/>
      <c r="WA160" s="11"/>
      <c r="WB160" s="11"/>
      <c r="WC160" s="11"/>
      <c r="WD160" s="11"/>
      <c r="WE160" s="11"/>
      <c r="WF160" s="11"/>
      <c r="WG160" s="11"/>
      <c r="WH160" s="11"/>
      <c r="WI160" s="11"/>
      <c r="WJ160" s="11"/>
      <c r="WK160" s="11"/>
      <c r="WL160" s="11"/>
      <c r="WM160" s="11"/>
      <c r="WN160" s="11"/>
      <c r="WO160" s="11"/>
      <c r="WP160" s="11"/>
      <c r="WQ160" s="11"/>
      <c r="WR160" s="11"/>
      <c r="WS160" s="11"/>
      <c r="WT160" s="11"/>
      <c r="WU160" s="11"/>
      <c r="WV160" s="11"/>
      <c r="WW160" s="11"/>
      <c r="WX160" s="11"/>
      <c r="WY160" s="11"/>
      <c r="WZ160" s="11"/>
      <c r="XA160" s="11"/>
      <c r="XB160" s="11"/>
      <c r="XC160" s="11"/>
      <c r="XD160" s="11"/>
      <c r="XE160" s="11"/>
      <c r="XF160" s="11"/>
      <c r="XG160" s="11"/>
      <c r="XH160" s="11"/>
      <c r="XI160" s="11"/>
      <c r="XJ160" s="11"/>
      <c r="XK160" s="11"/>
      <c r="XL160" s="11"/>
      <c r="XM160" s="11"/>
      <c r="XN160" s="11"/>
      <c r="XO160" s="11"/>
      <c r="XP160" s="11"/>
      <c r="XQ160" s="11"/>
      <c r="XR160" s="11"/>
      <c r="XS160" s="11"/>
      <c r="XT160" s="11"/>
      <c r="XU160" s="11"/>
      <c r="XV160" s="11"/>
      <c r="XW160" s="11"/>
      <c r="XX160" s="11"/>
      <c r="XY160" s="11"/>
      <c r="XZ160" s="11"/>
      <c r="YA160" s="11"/>
      <c r="YB160" s="11"/>
      <c r="YC160" s="11"/>
      <c r="YD160" s="11"/>
      <c r="YE160" s="11"/>
      <c r="YF160" s="11"/>
      <c r="YG160" s="11"/>
      <c r="YH160" s="11"/>
      <c r="YI160" s="11"/>
      <c r="YJ160" s="11"/>
      <c r="YK160" s="11"/>
      <c r="YL160" s="11"/>
      <c r="YM160" s="11"/>
      <c r="YN160" s="11"/>
      <c r="YO160" s="11"/>
      <c r="YP160" s="11"/>
      <c r="YQ160" s="11"/>
      <c r="YR160" s="11"/>
      <c r="YS160" s="11"/>
      <c r="YT160" s="11"/>
      <c r="YU160" s="11"/>
      <c r="YV160" s="11"/>
      <c r="YW160" s="11"/>
      <c r="YX160" s="11"/>
      <c r="YY160" s="11"/>
      <c r="YZ160" s="11"/>
      <c r="ZA160" s="11"/>
      <c r="ZB160" s="11"/>
      <c r="ZC160" s="11"/>
      <c r="ZD160" s="11"/>
      <c r="ZE160" s="11"/>
      <c r="ZF160" s="11"/>
      <c r="ZG160" s="11"/>
      <c r="ZH160" s="11"/>
      <c r="ZI160" s="11"/>
      <c r="ZJ160" s="11"/>
      <c r="ZK160" s="11"/>
      <c r="ZL160" s="11"/>
      <c r="ZM160" s="11"/>
      <c r="ZN160" s="11"/>
      <c r="ZO160" s="11"/>
      <c r="ZP160" s="11"/>
      <c r="ZQ160" s="11"/>
      <c r="ZR160" s="11"/>
      <c r="ZS160" s="11"/>
      <c r="ZT160" s="11"/>
      <c r="ZU160" s="11"/>
      <c r="ZV160" s="11"/>
      <c r="ZW160" s="11"/>
      <c r="ZX160" s="11"/>
      <c r="ZY160" s="11"/>
      <c r="ZZ160" s="11"/>
      <c r="AAA160" s="11"/>
      <c r="AAB160" s="11"/>
      <c r="AAC160" s="11"/>
      <c r="AAD160" s="11"/>
      <c r="AAE160" s="11"/>
      <c r="AAF160" s="11"/>
      <c r="AAG160" s="11"/>
      <c r="AAH160" s="11"/>
      <c r="AAI160" s="11"/>
      <c r="AAJ160" s="11"/>
      <c r="AAK160" s="11"/>
      <c r="AAL160" s="11"/>
      <c r="AAM160" s="11"/>
      <c r="AAN160" s="11"/>
      <c r="AAO160" s="11"/>
      <c r="AAP160" s="11"/>
      <c r="AAQ160" s="11"/>
      <c r="AAR160" s="11"/>
      <c r="AAS160" s="11"/>
      <c r="AAT160" s="11"/>
      <c r="AAU160" s="11"/>
      <c r="AAV160" s="11"/>
      <c r="AAW160" s="11"/>
      <c r="AAX160" s="11"/>
      <c r="AAY160" s="11"/>
      <c r="AAZ160" s="11"/>
      <c r="ABA160" s="11"/>
      <c r="ABB160" s="11"/>
      <c r="ABC160" s="11"/>
      <c r="ABD160" s="11"/>
      <c r="ABE160" s="11"/>
      <c r="ABF160" s="11"/>
      <c r="ABG160" s="11"/>
      <c r="ABH160" s="11"/>
      <c r="ABI160" s="11"/>
      <c r="ABJ160" s="11"/>
      <c r="ABK160" s="11"/>
      <c r="ABL160" s="11"/>
      <c r="ABM160" s="11"/>
      <c r="ABN160" s="11"/>
      <c r="ABO160" s="11"/>
      <c r="ABP160" s="11"/>
      <c r="ABQ160" s="11"/>
      <c r="ABR160" s="11"/>
      <c r="ABS160" s="11"/>
      <c r="ABT160" s="11"/>
      <c r="ABU160" s="11"/>
      <c r="ABV160" s="11"/>
      <c r="ABW160" s="11"/>
      <c r="ABX160" s="11"/>
      <c r="ABY160" s="11"/>
      <c r="ABZ160" s="11"/>
      <c r="ACA160" s="11"/>
      <c r="ACB160" s="11"/>
      <c r="ACC160" s="11"/>
      <c r="ACD160" s="11"/>
      <c r="ACE160" s="11"/>
      <c r="ACF160" s="11"/>
      <c r="ACG160" s="11"/>
      <c r="ACH160" s="11"/>
      <c r="ACI160" s="11"/>
      <c r="ACJ160" s="11"/>
      <c r="ACK160" s="11"/>
      <c r="ACL160" s="11"/>
      <c r="ACM160" s="11"/>
      <c r="ACN160" s="11"/>
      <c r="ACO160" s="11"/>
      <c r="ACP160" s="11"/>
      <c r="ACQ160" s="11"/>
      <c r="ACR160" s="11"/>
      <c r="ACS160" s="11"/>
      <c r="ACT160" s="11"/>
      <c r="ACU160" s="11"/>
      <c r="ACV160" s="11"/>
      <c r="ACW160" s="11"/>
      <c r="ACX160" s="11"/>
      <c r="ACY160" s="11"/>
      <c r="ACZ160" s="11"/>
      <c r="ADA160" s="11"/>
      <c r="ADB160" s="11"/>
      <c r="ADC160" s="11"/>
      <c r="ADD160" s="11"/>
      <c r="ADE160" s="11"/>
      <c r="ADF160" s="11"/>
      <c r="ADG160" s="11"/>
      <c r="ADH160" s="11"/>
      <c r="ADI160" s="11"/>
      <c r="ADJ160" s="11"/>
      <c r="ADK160" s="11"/>
      <c r="ADL160" s="11"/>
      <c r="ADM160" s="11"/>
      <c r="ADN160" s="11"/>
      <c r="ADO160" s="11"/>
      <c r="ADP160" s="11"/>
      <c r="ADQ160" s="11"/>
      <c r="ADR160" s="11"/>
      <c r="ADS160" s="11"/>
      <c r="ADT160" s="11"/>
      <c r="ADU160" s="11"/>
      <c r="ADV160" s="11"/>
      <c r="ADW160" s="11"/>
      <c r="ADX160" s="11"/>
      <c r="ADY160" s="11"/>
      <c r="ADZ160" s="11"/>
      <c r="AEA160" s="11"/>
      <c r="AEB160" s="11"/>
      <c r="AEC160" s="11"/>
      <c r="AED160" s="11"/>
      <c r="AEE160" s="11"/>
      <c r="AEF160" s="11"/>
      <c r="AEG160" s="11"/>
      <c r="AEH160" s="11"/>
      <c r="AEI160" s="11"/>
      <c r="AEJ160" s="11"/>
      <c r="AEK160" s="11"/>
      <c r="AEL160" s="11"/>
      <c r="AEM160" s="11"/>
      <c r="AEN160" s="11"/>
      <c r="AEO160" s="11"/>
      <c r="AEP160" s="11"/>
      <c r="AEQ160" s="11"/>
      <c r="AER160" s="11"/>
      <c r="AES160" s="11"/>
      <c r="AET160" s="11"/>
      <c r="AEU160" s="11"/>
      <c r="AEV160" s="11"/>
      <c r="AEW160" s="11"/>
      <c r="AEX160" s="11"/>
      <c r="AEY160" s="11"/>
      <c r="AEZ160" s="11"/>
      <c r="AFA160" s="11"/>
      <c r="AFB160" s="11"/>
      <c r="AFC160" s="11"/>
      <c r="AFD160" s="11"/>
      <c r="AFE160" s="11"/>
      <c r="AFF160" s="11"/>
      <c r="AFG160" s="11"/>
      <c r="AFH160" s="11"/>
      <c r="AFI160" s="11"/>
    </row>
    <row r="161" spans="2:84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1"/>
      <c r="LV161" s="11"/>
      <c r="LW161" s="11"/>
      <c r="LX161" s="11"/>
      <c r="LY161" s="11"/>
      <c r="LZ161" s="11"/>
      <c r="MA161" s="11"/>
      <c r="MB161" s="11"/>
      <c r="MC161" s="11"/>
      <c r="MD161" s="11"/>
      <c r="ME161" s="11"/>
      <c r="MF161" s="11"/>
      <c r="MG161" s="11"/>
      <c r="MH161" s="11"/>
      <c r="MI161" s="11"/>
      <c r="MJ161" s="11"/>
      <c r="MK161" s="11"/>
      <c r="ML161" s="11"/>
      <c r="MM161" s="11"/>
      <c r="MN161" s="11"/>
      <c r="MO161" s="11"/>
      <c r="MP161" s="11"/>
      <c r="MQ161" s="11"/>
      <c r="MR161" s="11"/>
      <c r="MS161" s="11"/>
      <c r="MT161" s="11"/>
      <c r="MU161" s="11"/>
      <c r="MV161" s="11"/>
      <c r="MW161" s="11"/>
      <c r="MX161" s="11"/>
      <c r="MY161" s="11"/>
      <c r="MZ161" s="11"/>
      <c r="NA161" s="11"/>
      <c r="NB161" s="11"/>
      <c r="NC161" s="11"/>
      <c r="ND161" s="11"/>
      <c r="NE161" s="11"/>
      <c r="NF161" s="11"/>
      <c r="NG161" s="11"/>
      <c r="NH161" s="11"/>
      <c r="NI161" s="11"/>
      <c r="NJ161" s="11"/>
      <c r="NK161" s="11"/>
      <c r="NL161" s="11"/>
      <c r="NM161" s="11"/>
      <c r="NN161" s="11"/>
      <c r="NO161" s="11"/>
      <c r="NP161" s="11"/>
      <c r="NQ161" s="11"/>
      <c r="NR161" s="11"/>
      <c r="NS161" s="11"/>
      <c r="NT161" s="11"/>
      <c r="NU161" s="11"/>
      <c r="NV161" s="11"/>
      <c r="NW161" s="11"/>
      <c r="NX161" s="11"/>
      <c r="NY161" s="11"/>
      <c r="NZ161" s="11"/>
      <c r="OA161" s="11"/>
      <c r="OB161" s="11"/>
      <c r="OC161" s="11"/>
      <c r="OD161" s="11"/>
      <c r="OE161" s="11"/>
      <c r="OF161" s="11"/>
      <c r="OG161" s="11"/>
      <c r="OH161" s="11"/>
      <c r="OI161" s="11"/>
      <c r="OJ161" s="11"/>
      <c r="OK161" s="11"/>
      <c r="OL161" s="11"/>
      <c r="OM161" s="11"/>
      <c r="ON161" s="11"/>
      <c r="OO161" s="11"/>
      <c r="OP161" s="11"/>
      <c r="OQ161" s="11"/>
      <c r="OR161" s="11"/>
      <c r="OS161" s="11"/>
      <c r="OT161" s="11"/>
      <c r="OU161" s="11"/>
      <c r="OV161" s="11"/>
      <c r="OW161" s="11"/>
      <c r="OX161" s="11"/>
      <c r="OY161" s="11"/>
      <c r="OZ161" s="11"/>
      <c r="PA161" s="11"/>
      <c r="PB161" s="11"/>
      <c r="PC161" s="11"/>
      <c r="PD161" s="11"/>
      <c r="PE161" s="11"/>
      <c r="PF161" s="11"/>
      <c r="PG161" s="11"/>
      <c r="PH161" s="11"/>
      <c r="PI161" s="11"/>
      <c r="PJ161" s="11"/>
      <c r="PK161" s="11"/>
      <c r="PL161" s="11"/>
      <c r="PM161" s="11"/>
      <c r="PN161" s="11"/>
      <c r="PO161" s="11"/>
      <c r="PP161" s="11"/>
      <c r="PQ161" s="11"/>
      <c r="PR161" s="11"/>
      <c r="PS161" s="11"/>
      <c r="PT161" s="11"/>
      <c r="PU161" s="11"/>
      <c r="PV161" s="11"/>
      <c r="PW161" s="11"/>
      <c r="PX161" s="11"/>
      <c r="PY161" s="11"/>
      <c r="PZ161" s="11"/>
      <c r="QA161" s="11"/>
      <c r="QB161" s="11"/>
      <c r="QC161" s="11"/>
      <c r="QD161" s="11"/>
      <c r="QE161" s="11"/>
      <c r="QF161" s="11"/>
      <c r="QG161" s="11"/>
      <c r="QH161" s="11"/>
      <c r="QI161" s="11"/>
      <c r="QJ161" s="11"/>
      <c r="QK161" s="11"/>
      <c r="QL161" s="11"/>
      <c r="QM161" s="11"/>
      <c r="QN161" s="11"/>
      <c r="QO161" s="11"/>
      <c r="QP161" s="11"/>
      <c r="QQ161" s="11"/>
      <c r="QR161" s="11"/>
      <c r="QS161" s="11"/>
      <c r="QT161" s="11"/>
      <c r="QU161" s="11"/>
      <c r="QV161" s="11"/>
      <c r="QW161" s="11"/>
      <c r="QX161" s="11"/>
      <c r="QY161" s="11"/>
      <c r="QZ161" s="11"/>
      <c r="RA161" s="11"/>
      <c r="RB161" s="11"/>
      <c r="RC161" s="11"/>
      <c r="RD161" s="11"/>
      <c r="RE161" s="11"/>
      <c r="RF161" s="11"/>
      <c r="RG161" s="11"/>
      <c r="RH161" s="11"/>
      <c r="RI161" s="11"/>
      <c r="RJ161" s="11"/>
      <c r="RK161" s="11"/>
      <c r="RL161" s="11"/>
      <c r="RM161" s="11"/>
      <c r="RN161" s="11"/>
      <c r="RO161" s="11"/>
      <c r="RP161" s="11"/>
      <c r="RQ161" s="11"/>
      <c r="RR161" s="11"/>
      <c r="RS161" s="11"/>
      <c r="RT161" s="11"/>
      <c r="RU161" s="11"/>
      <c r="RV161" s="11"/>
      <c r="RW161" s="11"/>
      <c r="RX161" s="11"/>
      <c r="RY161" s="11"/>
      <c r="RZ161" s="11"/>
      <c r="SA161" s="11"/>
      <c r="SB161" s="11"/>
      <c r="SC161" s="11"/>
      <c r="SD161" s="11"/>
      <c r="SE161" s="11"/>
      <c r="SF161" s="11"/>
      <c r="SG161" s="11"/>
      <c r="SH161" s="11"/>
      <c r="SI161" s="11"/>
      <c r="SJ161" s="11"/>
      <c r="SK161" s="11"/>
      <c r="SL161" s="11"/>
      <c r="SM161" s="11"/>
      <c r="SN161" s="11"/>
      <c r="SO161" s="11"/>
      <c r="SP161" s="11"/>
      <c r="SQ161" s="11"/>
      <c r="SR161" s="11"/>
      <c r="SS161" s="11"/>
      <c r="ST161" s="11"/>
      <c r="SU161" s="11"/>
      <c r="SV161" s="11"/>
      <c r="SW161" s="11"/>
      <c r="SX161" s="11"/>
      <c r="SY161" s="11"/>
      <c r="SZ161" s="11"/>
      <c r="TA161" s="11"/>
      <c r="TB161" s="11"/>
      <c r="TC161" s="11"/>
      <c r="TD161" s="11"/>
      <c r="TE161" s="11"/>
      <c r="TF161" s="11"/>
      <c r="TG161" s="11"/>
      <c r="TH161" s="11"/>
      <c r="TI161" s="11"/>
      <c r="TJ161" s="11"/>
      <c r="TK161" s="11"/>
      <c r="TL161" s="11"/>
      <c r="TM161" s="11"/>
      <c r="TN161" s="11"/>
      <c r="TO161" s="11"/>
      <c r="TP161" s="11"/>
      <c r="TQ161" s="11"/>
      <c r="TR161" s="11"/>
      <c r="TS161" s="11"/>
      <c r="TT161" s="11"/>
      <c r="TU161" s="11"/>
      <c r="TV161" s="11"/>
      <c r="TW161" s="11"/>
      <c r="TX161" s="11"/>
      <c r="TY161" s="11"/>
      <c r="TZ161" s="11"/>
      <c r="UA161" s="11"/>
      <c r="UB161" s="11"/>
      <c r="UC161" s="11"/>
      <c r="UD161" s="11"/>
      <c r="UE161" s="11"/>
      <c r="UF161" s="11"/>
      <c r="UG161" s="11"/>
      <c r="UH161" s="11"/>
      <c r="UI161" s="11"/>
      <c r="UJ161" s="11"/>
      <c r="UK161" s="11"/>
      <c r="UL161" s="11"/>
      <c r="UM161" s="11"/>
      <c r="UN161" s="11"/>
      <c r="UO161" s="11"/>
      <c r="UP161" s="11"/>
      <c r="UQ161" s="11"/>
      <c r="UR161" s="11"/>
      <c r="US161" s="11"/>
      <c r="UT161" s="11"/>
      <c r="UU161" s="11"/>
      <c r="UV161" s="11"/>
      <c r="UW161" s="11"/>
      <c r="UX161" s="11"/>
      <c r="UY161" s="11"/>
      <c r="UZ161" s="11"/>
      <c r="VA161" s="11"/>
      <c r="VB161" s="11"/>
      <c r="VC161" s="11"/>
      <c r="VD161" s="11"/>
      <c r="VE161" s="11"/>
      <c r="VF161" s="11"/>
      <c r="VG161" s="11"/>
      <c r="VH161" s="11"/>
      <c r="VI161" s="11"/>
      <c r="VJ161" s="11"/>
      <c r="VK161" s="11"/>
      <c r="VL161" s="11"/>
      <c r="VM161" s="11"/>
      <c r="VN161" s="11"/>
      <c r="VO161" s="11"/>
      <c r="VP161" s="11"/>
      <c r="VQ161" s="11"/>
      <c r="VR161" s="11"/>
      <c r="VS161" s="11"/>
      <c r="VT161" s="11"/>
      <c r="VU161" s="11"/>
      <c r="VV161" s="11"/>
      <c r="VW161" s="11"/>
      <c r="VX161" s="11"/>
      <c r="VY161" s="11"/>
      <c r="VZ161" s="11"/>
      <c r="WA161" s="11"/>
      <c r="WB161" s="11"/>
      <c r="WC161" s="11"/>
      <c r="WD161" s="11"/>
      <c r="WE161" s="11"/>
      <c r="WF161" s="11"/>
      <c r="WG161" s="11"/>
      <c r="WH161" s="11"/>
      <c r="WI161" s="11"/>
      <c r="WJ161" s="11"/>
      <c r="WK161" s="11"/>
      <c r="WL161" s="11"/>
      <c r="WM161" s="11"/>
      <c r="WN161" s="11"/>
      <c r="WO161" s="11"/>
      <c r="WP161" s="11"/>
      <c r="WQ161" s="11"/>
      <c r="WR161" s="11"/>
      <c r="WS161" s="11"/>
      <c r="WT161" s="11"/>
      <c r="WU161" s="11"/>
      <c r="WV161" s="11"/>
      <c r="WW161" s="11"/>
      <c r="WX161" s="11"/>
      <c r="WY161" s="11"/>
      <c r="WZ161" s="11"/>
      <c r="XA161" s="11"/>
      <c r="XB161" s="11"/>
      <c r="XC161" s="11"/>
      <c r="XD161" s="11"/>
      <c r="XE161" s="11"/>
      <c r="XF161" s="11"/>
      <c r="XG161" s="11"/>
      <c r="XH161" s="11"/>
      <c r="XI161" s="11"/>
      <c r="XJ161" s="11"/>
      <c r="XK161" s="11"/>
      <c r="XL161" s="11"/>
      <c r="XM161" s="11"/>
      <c r="XN161" s="11"/>
      <c r="XO161" s="11"/>
      <c r="XP161" s="11"/>
      <c r="XQ161" s="11"/>
      <c r="XR161" s="11"/>
      <c r="XS161" s="11"/>
      <c r="XT161" s="11"/>
      <c r="XU161" s="11"/>
      <c r="XV161" s="11"/>
      <c r="XW161" s="11"/>
      <c r="XX161" s="11"/>
      <c r="XY161" s="11"/>
      <c r="XZ161" s="11"/>
      <c r="YA161" s="11"/>
      <c r="YB161" s="11"/>
      <c r="YC161" s="11"/>
      <c r="YD161" s="11"/>
      <c r="YE161" s="11"/>
      <c r="YF161" s="11"/>
      <c r="YG161" s="11"/>
      <c r="YH161" s="11"/>
      <c r="YI161" s="11"/>
      <c r="YJ161" s="11"/>
      <c r="YK161" s="11"/>
      <c r="YL161" s="11"/>
      <c r="YM161" s="11"/>
      <c r="YN161" s="11"/>
      <c r="YO161" s="11"/>
      <c r="YP161" s="11"/>
      <c r="YQ161" s="11"/>
      <c r="YR161" s="11"/>
      <c r="YS161" s="11"/>
      <c r="YT161" s="11"/>
      <c r="YU161" s="11"/>
      <c r="YV161" s="11"/>
      <c r="YW161" s="11"/>
      <c r="YX161" s="11"/>
      <c r="YY161" s="11"/>
      <c r="YZ161" s="11"/>
      <c r="ZA161" s="11"/>
      <c r="ZB161" s="11"/>
      <c r="ZC161" s="11"/>
      <c r="ZD161" s="11"/>
      <c r="ZE161" s="11"/>
      <c r="ZF161" s="11"/>
      <c r="ZG161" s="11"/>
      <c r="ZH161" s="11"/>
      <c r="ZI161" s="11"/>
      <c r="ZJ161" s="11"/>
      <c r="ZK161" s="11"/>
      <c r="ZL161" s="11"/>
      <c r="ZM161" s="11"/>
      <c r="ZN161" s="11"/>
      <c r="ZO161" s="11"/>
      <c r="ZP161" s="11"/>
      <c r="ZQ161" s="11"/>
      <c r="ZR161" s="11"/>
      <c r="ZS161" s="11"/>
      <c r="ZT161" s="11"/>
      <c r="ZU161" s="11"/>
      <c r="ZV161" s="11"/>
      <c r="ZW161" s="11"/>
      <c r="ZX161" s="11"/>
      <c r="ZY161" s="11"/>
      <c r="ZZ161" s="11"/>
      <c r="AAA161" s="11"/>
      <c r="AAB161" s="11"/>
      <c r="AAC161" s="11"/>
      <c r="AAD161" s="11"/>
      <c r="AAE161" s="11"/>
      <c r="AAF161" s="11"/>
      <c r="AAG161" s="11"/>
      <c r="AAH161" s="11"/>
      <c r="AAI161" s="11"/>
      <c r="AAJ161" s="11"/>
      <c r="AAK161" s="11"/>
      <c r="AAL161" s="11"/>
      <c r="AAM161" s="11"/>
      <c r="AAN161" s="11"/>
      <c r="AAO161" s="11"/>
      <c r="AAP161" s="11"/>
      <c r="AAQ161" s="11"/>
      <c r="AAR161" s="11"/>
      <c r="AAS161" s="11"/>
      <c r="AAT161" s="11"/>
      <c r="AAU161" s="11"/>
      <c r="AAV161" s="11"/>
      <c r="AAW161" s="11"/>
      <c r="AAX161" s="11"/>
      <c r="AAY161" s="11"/>
      <c r="AAZ161" s="11"/>
      <c r="ABA161" s="11"/>
      <c r="ABB161" s="11"/>
      <c r="ABC161" s="11"/>
      <c r="ABD161" s="11"/>
      <c r="ABE161" s="11"/>
      <c r="ABF161" s="11"/>
      <c r="ABG161" s="11"/>
      <c r="ABH161" s="11"/>
      <c r="ABI161" s="11"/>
      <c r="ABJ161" s="11"/>
      <c r="ABK161" s="11"/>
      <c r="ABL161" s="11"/>
      <c r="ABM161" s="11"/>
      <c r="ABN161" s="11"/>
      <c r="ABO161" s="11"/>
      <c r="ABP161" s="11"/>
      <c r="ABQ161" s="11"/>
      <c r="ABR161" s="11"/>
      <c r="ABS161" s="11"/>
      <c r="ABT161" s="11"/>
      <c r="ABU161" s="11"/>
      <c r="ABV161" s="11"/>
      <c r="ABW161" s="11"/>
      <c r="ABX161" s="11"/>
      <c r="ABY161" s="11"/>
      <c r="ABZ161" s="11"/>
      <c r="ACA161" s="11"/>
      <c r="ACB161" s="11"/>
      <c r="ACC161" s="11"/>
      <c r="ACD161" s="11"/>
      <c r="ACE161" s="11"/>
      <c r="ACF161" s="11"/>
      <c r="ACG161" s="11"/>
      <c r="ACH161" s="11"/>
      <c r="ACI161" s="11"/>
      <c r="ACJ161" s="11"/>
      <c r="ACK161" s="11"/>
      <c r="ACL161" s="11"/>
      <c r="ACM161" s="11"/>
      <c r="ACN161" s="11"/>
      <c r="ACO161" s="11"/>
      <c r="ACP161" s="11"/>
      <c r="ACQ161" s="11"/>
      <c r="ACR161" s="11"/>
      <c r="ACS161" s="11"/>
      <c r="ACT161" s="11"/>
      <c r="ACU161" s="11"/>
      <c r="ACV161" s="11"/>
      <c r="ACW161" s="11"/>
      <c r="ACX161" s="11"/>
      <c r="ACY161" s="11"/>
      <c r="ACZ161" s="11"/>
      <c r="ADA161" s="11"/>
      <c r="ADB161" s="11"/>
      <c r="ADC161" s="11"/>
      <c r="ADD161" s="11"/>
      <c r="ADE161" s="11"/>
      <c r="ADF161" s="11"/>
      <c r="ADG161" s="11"/>
      <c r="ADH161" s="11"/>
      <c r="ADI161" s="11"/>
      <c r="ADJ161" s="11"/>
      <c r="ADK161" s="11"/>
      <c r="ADL161" s="11"/>
      <c r="ADM161" s="11"/>
      <c r="ADN161" s="11"/>
      <c r="ADO161" s="11"/>
      <c r="ADP161" s="11"/>
      <c r="ADQ161" s="11"/>
      <c r="ADR161" s="11"/>
      <c r="ADS161" s="11"/>
      <c r="ADT161" s="11"/>
      <c r="ADU161" s="11"/>
      <c r="ADV161" s="11"/>
      <c r="ADW161" s="11"/>
      <c r="ADX161" s="11"/>
      <c r="ADY161" s="11"/>
      <c r="ADZ161" s="11"/>
      <c r="AEA161" s="11"/>
      <c r="AEB161" s="11"/>
      <c r="AEC161" s="11"/>
      <c r="AED161" s="11"/>
      <c r="AEE161" s="11"/>
      <c r="AEF161" s="11"/>
      <c r="AEG161" s="11"/>
      <c r="AEH161" s="11"/>
      <c r="AEI161" s="11"/>
      <c r="AEJ161" s="11"/>
      <c r="AEK161" s="11"/>
      <c r="AEL161" s="11"/>
      <c r="AEM161" s="11"/>
      <c r="AEN161" s="11"/>
      <c r="AEO161" s="11"/>
      <c r="AEP161" s="11"/>
      <c r="AEQ161" s="11"/>
      <c r="AER161" s="11"/>
      <c r="AES161" s="11"/>
      <c r="AET161" s="11"/>
      <c r="AEU161" s="11"/>
      <c r="AEV161" s="11"/>
      <c r="AEW161" s="11"/>
      <c r="AEX161" s="11"/>
      <c r="AEY161" s="11"/>
      <c r="AEZ161" s="11"/>
      <c r="AFA161" s="11"/>
      <c r="AFB161" s="11"/>
      <c r="AFC161" s="11"/>
      <c r="AFD161" s="11"/>
      <c r="AFE161" s="11"/>
      <c r="AFF161" s="11"/>
      <c r="AFG161" s="11"/>
      <c r="AFH161" s="11"/>
      <c r="AFI161" s="11"/>
    </row>
    <row r="162" spans="2:84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1"/>
      <c r="LV162" s="11"/>
      <c r="LW162" s="11"/>
      <c r="LX162" s="11"/>
      <c r="LY162" s="11"/>
      <c r="LZ162" s="11"/>
      <c r="MA162" s="11"/>
      <c r="MB162" s="11"/>
      <c r="MC162" s="11"/>
      <c r="MD162" s="11"/>
      <c r="ME162" s="11"/>
      <c r="MF162" s="11"/>
      <c r="MG162" s="11"/>
      <c r="MH162" s="11"/>
      <c r="MI162" s="11"/>
      <c r="MJ162" s="11"/>
      <c r="MK162" s="11"/>
      <c r="ML162" s="11"/>
      <c r="MM162" s="11"/>
      <c r="MN162" s="11"/>
      <c r="MO162" s="11"/>
      <c r="MP162" s="11"/>
      <c r="MQ162" s="11"/>
      <c r="MR162" s="11"/>
      <c r="MS162" s="11"/>
      <c r="MT162" s="11"/>
      <c r="MU162" s="11"/>
      <c r="MV162" s="11"/>
      <c r="MW162" s="11"/>
      <c r="MX162" s="11"/>
      <c r="MY162" s="11"/>
      <c r="MZ162" s="11"/>
      <c r="NA162" s="11"/>
      <c r="NB162" s="11"/>
      <c r="NC162" s="11"/>
      <c r="ND162" s="11"/>
      <c r="NE162" s="11"/>
      <c r="NF162" s="11"/>
      <c r="NG162" s="11"/>
      <c r="NH162" s="11"/>
      <c r="NI162" s="11"/>
      <c r="NJ162" s="11"/>
      <c r="NK162" s="11"/>
      <c r="NL162" s="11"/>
      <c r="NM162" s="11"/>
      <c r="NN162" s="11"/>
      <c r="NO162" s="11"/>
      <c r="NP162" s="11"/>
      <c r="NQ162" s="11"/>
      <c r="NR162" s="11"/>
      <c r="NS162" s="11"/>
      <c r="NT162" s="11"/>
      <c r="NU162" s="11"/>
      <c r="NV162" s="11"/>
      <c r="NW162" s="11"/>
      <c r="NX162" s="11"/>
      <c r="NY162" s="11"/>
      <c r="NZ162" s="11"/>
      <c r="OA162" s="11"/>
      <c r="OB162" s="11"/>
      <c r="OC162" s="11"/>
      <c r="OD162" s="11"/>
      <c r="OE162" s="11"/>
      <c r="OF162" s="11"/>
      <c r="OG162" s="11"/>
      <c r="OH162" s="11"/>
      <c r="OI162" s="11"/>
      <c r="OJ162" s="11"/>
      <c r="OK162" s="11"/>
      <c r="OL162" s="11"/>
      <c r="OM162" s="11"/>
      <c r="ON162" s="11"/>
      <c r="OO162" s="11"/>
      <c r="OP162" s="11"/>
      <c r="OQ162" s="11"/>
      <c r="OR162" s="11"/>
      <c r="OS162" s="11"/>
      <c r="OT162" s="11"/>
      <c r="OU162" s="11"/>
      <c r="OV162" s="11"/>
      <c r="OW162" s="11"/>
      <c r="OX162" s="11"/>
      <c r="OY162" s="11"/>
      <c r="OZ162" s="11"/>
      <c r="PA162" s="11"/>
      <c r="PB162" s="11"/>
      <c r="PC162" s="11"/>
      <c r="PD162" s="11"/>
      <c r="PE162" s="11"/>
      <c r="PF162" s="11"/>
      <c r="PG162" s="11"/>
      <c r="PH162" s="11"/>
      <c r="PI162" s="11"/>
      <c r="PJ162" s="11"/>
      <c r="PK162" s="11"/>
      <c r="PL162" s="11"/>
      <c r="PM162" s="11"/>
      <c r="PN162" s="11"/>
      <c r="PO162" s="11"/>
      <c r="PP162" s="11"/>
      <c r="PQ162" s="11"/>
      <c r="PR162" s="11"/>
      <c r="PS162" s="11"/>
      <c r="PT162" s="11"/>
      <c r="PU162" s="11"/>
      <c r="PV162" s="11"/>
      <c r="PW162" s="11"/>
      <c r="PX162" s="11"/>
      <c r="PY162" s="11"/>
      <c r="PZ162" s="11"/>
      <c r="QA162" s="11"/>
      <c r="QB162" s="11"/>
      <c r="QC162" s="11"/>
      <c r="QD162" s="11"/>
      <c r="QE162" s="11"/>
      <c r="QF162" s="11"/>
      <c r="QG162" s="11"/>
      <c r="QH162" s="11"/>
      <c r="QI162" s="11"/>
      <c r="QJ162" s="11"/>
      <c r="QK162" s="11"/>
      <c r="QL162" s="11"/>
      <c r="QM162" s="11"/>
      <c r="QN162" s="11"/>
      <c r="QO162" s="11"/>
      <c r="QP162" s="11"/>
      <c r="QQ162" s="11"/>
      <c r="QR162" s="11"/>
      <c r="QS162" s="11"/>
      <c r="QT162" s="11"/>
      <c r="QU162" s="11"/>
      <c r="QV162" s="11"/>
      <c r="QW162" s="11"/>
      <c r="QX162" s="11"/>
      <c r="QY162" s="11"/>
      <c r="QZ162" s="11"/>
      <c r="RA162" s="11"/>
      <c r="RB162" s="11"/>
      <c r="RC162" s="11"/>
      <c r="RD162" s="11"/>
      <c r="RE162" s="11"/>
      <c r="RF162" s="11"/>
      <c r="RG162" s="11"/>
      <c r="RH162" s="11"/>
      <c r="RI162" s="11"/>
      <c r="RJ162" s="11"/>
      <c r="RK162" s="11"/>
      <c r="RL162" s="11"/>
      <c r="RM162" s="11"/>
      <c r="RN162" s="11"/>
      <c r="RO162" s="11"/>
      <c r="RP162" s="11"/>
      <c r="RQ162" s="11"/>
      <c r="RR162" s="11"/>
      <c r="RS162" s="11"/>
      <c r="RT162" s="11"/>
      <c r="RU162" s="11"/>
      <c r="RV162" s="11"/>
      <c r="RW162" s="11"/>
      <c r="RX162" s="11"/>
      <c r="RY162" s="11"/>
      <c r="RZ162" s="11"/>
      <c r="SA162" s="11"/>
      <c r="SB162" s="11"/>
      <c r="SC162" s="11"/>
      <c r="SD162" s="11"/>
      <c r="SE162" s="11"/>
      <c r="SF162" s="11"/>
      <c r="SG162" s="11"/>
      <c r="SH162" s="11"/>
      <c r="SI162" s="11"/>
      <c r="SJ162" s="11"/>
      <c r="SK162" s="11"/>
      <c r="SL162" s="11"/>
      <c r="SM162" s="11"/>
      <c r="SN162" s="11"/>
      <c r="SO162" s="11"/>
      <c r="SP162" s="11"/>
      <c r="SQ162" s="11"/>
      <c r="SR162" s="11"/>
      <c r="SS162" s="11"/>
      <c r="ST162" s="11"/>
      <c r="SU162" s="11"/>
      <c r="SV162" s="11"/>
      <c r="SW162" s="11"/>
      <c r="SX162" s="11"/>
      <c r="SY162" s="11"/>
      <c r="SZ162" s="11"/>
      <c r="TA162" s="11"/>
      <c r="TB162" s="11"/>
      <c r="TC162" s="11"/>
      <c r="TD162" s="11"/>
      <c r="TE162" s="11"/>
      <c r="TF162" s="11"/>
      <c r="TG162" s="11"/>
      <c r="TH162" s="11"/>
      <c r="TI162" s="11"/>
      <c r="TJ162" s="11"/>
      <c r="TK162" s="11"/>
      <c r="TL162" s="11"/>
      <c r="TM162" s="11"/>
      <c r="TN162" s="11"/>
      <c r="TO162" s="11"/>
      <c r="TP162" s="11"/>
      <c r="TQ162" s="11"/>
      <c r="TR162" s="11"/>
      <c r="TS162" s="11"/>
      <c r="TT162" s="11"/>
      <c r="TU162" s="11"/>
      <c r="TV162" s="11"/>
      <c r="TW162" s="11"/>
      <c r="TX162" s="11"/>
      <c r="TY162" s="11"/>
      <c r="TZ162" s="11"/>
      <c r="UA162" s="11"/>
      <c r="UB162" s="11"/>
      <c r="UC162" s="11"/>
      <c r="UD162" s="11"/>
      <c r="UE162" s="11"/>
      <c r="UF162" s="11"/>
      <c r="UG162" s="11"/>
      <c r="UH162" s="11"/>
      <c r="UI162" s="11"/>
      <c r="UJ162" s="11"/>
      <c r="UK162" s="11"/>
      <c r="UL162" s="11"/>
      <c r="UM162" s="11"/>
      <c r="UN162" s="11"/>
      <c r="UO162" s="11"/>
      <c r="UP162" s="11"/>
      <c r="UQ162" s="11"/>
      <c r="UR162" s="11"/>
      <c r="US162" s="11"/>
      <c r="UT162" s="11"/>
      <c r="UU162" s="11"/>
      <c r="UV162" s="11"/>
      <c r="UW162" s="11"/>
      <c r="UX162" s="11"/>
      <c r="UY162" s="11"/>
      <c r="UZ162" s="11"/>
      <c r="VA162" s="11"/>
      <c r="VB162" s="11"/>
      <c r="VC162" s="11"/>
      <c r="VD162" s="11"/>
      <c r="VE162" s="11"/>
      <c r="VF162" s="11"/>
      <c r="VG162" s="11"/>
      <c r="VH162" s="11"/>
      <c r="VI162" s="11"/>
      <c r="VJ162" s="11"/>
      <c r="VK162" s="11"/>
      <c r="VL162" s="11"/>
      <c r="VM162" s="11"/>
      <c r="VN162" s="11"/>
      <c r="VO162" s="11"/>
      <c r="VP162" s="11"/>
      <c r="VQ162" s="11"/>
      <c r="VR162" s="11"/>
      <c r="VS162" s="11"/>
      <c r="VT162" s="11"/>
      <c r="VU162" s="11"/>
      <c r="VV162" s="11"/>
      <c r="VW162" s="11"/>
      <c r="VX162" s="11"/>
      <c r="VY162" s="11"/>
      <c r="VZ162" s="11"/>
      <c r="WA162" s="11"/>
      <c r="WB162" s="11"/>
      <c r="WC162" s="11"/>
      <c r="WD162" s="11"/>
      <c r="WE162" s="11"/>
      <c r="WF162" s="11"/>
      <c r="WG162" s="11"/>
      <c r="WH162" s="11"/>
      <c r="WI162" s="11"/>
      <c r="WJ162" s="11"/>
      <c r="WK162" s="11"/>
      <c r="WL162" s="11"/>
      <c r="WM162" s="11"/>
      <c r="WN162" s="11"/>
      <c r="WO162" s="11"/>
      <c r="WP162" s="11"/>
      <c r="WQ162" s="11"/>
      <c r="WR162" s="11"/>
      <c r="WS162" s="11"/>
      <c r="WT162" s="11"/>
      <c r="WU162" s="11"/>
      <c r="WV162" s="11"/>
      <c r="WW162" s="11"/>
      <c r="WX162" s="11"/>
      <c r="WY162" s="11"/>
      <c r="WZ162" s="11"/>
      <c r="XA162" s="11"/>
      <c r="XB162" s="11"/>
      <c r="XC162" s="11"/>
      <c r="XD162" s="11"/>
      <c r="XE162" s="11"/>
      <c r="XF162" s="11"/>
      <c r="XG162" s="11"/>
      <c r="XH162" s="11"/>
      <c r="XI162" s="11"/>
      <c r="XJ162" s="11"/>
      <c r="XK162" s="11"/>
      <c r="XL162" s="11"/>
      <c r="XM162" s="11"/>
      <c r="XN162" s="11"/>
      <c r="XO162" s="11"/>
      <c r="XP162" s="11"/>
      <c r="XQ162" s="11"/>
      <c r="XR162" s="11"/>
      <c r="XS162" s="11"/>
      <c r="XT162" s="11"/>
      <c r="XU162" s="11"/>
      <c r="XV162" s="11"/>
      <c r="XW162" s="11"/>
      <c r="XX162" s="11"/>
      <c r="XY162" s="11"/>
      <c r="XZ162" s="11"/>
      <c r="YA162" s="11"/>
      <c r="YB162" s="11"/>
      <c r="YC162" s="11"/>
      <c r="YD162" s="11"/>
      <c r="YE162" s="11"/>
      <c r="YF162" s="11"/>
      <c r="YG162" s="11"/>
      <c r="YH162" s="11"/>
      <c r="YI162" s="11"/>
      <c r="YJ162" s="11"/>
      <c r="YK162" s="11"/>
      <c r="YL162" s="11"/>
      <c r="YM162" s="11"/>
      <c r="YN162" s="11"/>
      <c r="YO162" s="11"/>
      <c r="YP162" s="11"/>
      <c r="YQ162" s="11"/>
      <c r="YR162" s="11"/>
      <c r="YS162" s="11"/>
      <c r="YT162" s="11"/>
      <c r="YU162" s="11"/>
      <c r="YV162" s="11"/>
      <c r="YW162" s="11"/>
      <c r="YX162" s="11"/>
      <c r="YY162" s="11"/>
      <c r="YZ162" s="11"/>
      <c r="ZA162" s="11"/>
      <c r="ZB162" s="11"/>
      <c r="ZC162" s="11"/>
      <c r="ZD162" s="11"/>
      <c r="ZE162" s="11"/>
      <c r="ZF162" s="11"/>
      <c r="ZG162" s="11"/>
      <c r="ZH162" s="11"/>
      <c r="ZI162" s="11"/>
      <c r="ZJ162" s="11"/>
      <c r="ZK162" s="11"/>
      <c r="ZL162" s="11"/>
      <c r="ZM162" s="11"/>
      <c r="ZN162" s="11"/>
      <c r="ZO162" s="11"/>
      <c r="ZP162" s="11"/>
      <c r="ZQ162" s="11"/>
      <c r="ZR162" s="11"/>
      <c r="ZS162" s="11"/>
      <c r="ZT162" s="11"/>
      <c r="ZU162" s="11"/>
      <c r="ZV162" s="11"/>
      <c r="ZW162" s="11"/>
      <c r="ZX162" s="11"/>
      <c r="ZY162" s="11"/>
      <c r="ZZ162" s="11"/>
      <c r="AAA162" s="11"/>
      <c r="AAB162" s="11"/>
      <c r="AAC162" s="11"/>
      <c r="AAD162" s="11"/>
      <c r="AAE162" s="11"/>
      <c r="AAF162" s="11"/>
      <c r="AAG162" s="11"/>
      <c r="AAH162" s="11"/>
      <c r="AAI162" s="11"/>
      <c r="AAJ162" s="11"/>
      <c r="AAK162" s="11"/>
      <c r="AAL162" s="11"/>
      <c r="AAM162" s="11"/>
      <c r="AAN162" s="11"/>
      <c r="AAO162" s="11"/>
      <c r="AAP162" s="11"/>
      <c r="AAQ162" s="11"/>
      <c r="AAR162" s="11"/>
      <c r="AAS162" s="11"/>
      <c r="AAT162" s="11"/>
      <c r="AAU162" s="11"/>
      <c r="AAV162" s="11"/>
      <c r="AAW162" s="11"/>
      <c r="AAX162" s="11"/>
      <c r="AAY162" s="11"/>
      <c r="AAZ162" s="11"/>
      <c r="ABA162" s="11"/>
      <c r="ABB162" s="11"/>
      <c r="ABC162" s="11"/>
      <c r="ABD162" s="11"/>
      <c r="ABE162" s="11"/>
      <c r="ABF162" s="11"/>
      <c r="ABG162" s="11"/>
      <c r="ABH162" s="11"/>
      <c r="ABI162" s="11"/>
      <c r="ABJ162" s="11"/>
      <c r="ABK162" s="11"/>
      <c r="ABL162" s="11"/>
      <c r="ABM162" s="11"/>
      <c r="ABN162" s="11"/>
      <c r="ABO162" s="11"/>
      <c r="ABP162" s="11"/>
      <c r="ABQ162" s="11"/>
      <c r="ABR162" s="11"/>
      <c r="ABS162" s="11"/>
      <c r="ABT162" s="11"/>
      <c r="ABU162" s="11"/>
      <c r="ABV162" s="11"/>
      <c r="ABW162" s="11"/>
      <c r="ABX162" s="11"/>
      <c r="ABY162" s="11"/>
      <c r="ABZ162" s="11"/>
      <c r="ACA162" s="11"/>
      <c r="ACB162" s="11"/>
      <c r="ACC162" s="11"/>
      <c r="ACD162" s="11"/>
      <c r="ACE162" s="11"/>
      <c r="ACF162" s="11"/>
      <c r="ACG162" s="11"/>
      <c r="ACH162" s="11"/>
      <c r="ACI162" s="11"/>
      <c r="ACJ162" s="11"/>
      <c r="ACK162" s="11"/>
      <c r="ACL162" s="11"/>
      <c r="ACM162" s="11"/>
      <c r="ACN162" s="11"/>
      <c r="ACO162" s="11"/>
      <c r="ACP162" s="11"/>
      <c r="ACQ162" s="11"/>
      <c r="ACR162" s="11"/>
      <c r="ACS162" s="11"/>
      <c r="ACT162" s="11"/>
      <c r="ACU162" s="11"/>
      <c r="ACV162" s="11"/>
      <c r="ACW162" s="11"/>
      <c r="ACX162" s="11"/>
      <c r="ACY162" s="11"/>
      <c r="ACZ162" s="11"/>
      <c r="ADA162" s="11"/>
      <c r="ADB162" s="11"/>
      <c r="ADC162" s="11"/>
      <c r="ADD162" s="11"/>
      <c r="ADE162" s="11"/>
      <c r="ADF162" s="11"/>
      <c r="ADG162" s="11"/>
      <c r="ADH162" s="11"/>
      <c r="ADI162" s="11"/>
      <c r="ADJ162" s="11"/>
      <c r="ADK162" s="11"/>
      <c r="ADL162" s="11"/>
      <c r="ADM162" s="11"/>
      <c r="ADN162" s="11"/>
      <c r="ADO162" s="11"/>
      <c r="ADP162" s="11"/>
      <c r="ADQ162" s="11"/>
      <c r="ADR162" s="11"/>
      <c r="ADS162" s="11"/>
      <c r="ADT162" s="11"/>
      <c r="ADU162" s="11"/>
      <c r="ADV162" s="11"/>
      <c r="ADW162" s="11"/>
      <c r="ADX162" s="11"/>
      <c r="ADY162" s="11"/>
      <c r="ADZ162" s="11"/>
      <c r="AEA162" s="11"/>
      <c r="AEB162" s="11"/>
      <c r="AEC162" s="11"/>
      <c r="AED162" s="11"/>
      <c r="AEE162" s="11"/>
      <c r="AEF162" s="11"/>
      <c r="AEG162" s="11"/>
      <c r="AEH162" s="11"/>
      <c r="AEI162" s="11"/>
      <c r="AEJ162" s="11"/>
      <c r="AEK162" s="11"/>
      <c r="AEL162" s="11"/>
      <c r="AEM162" s="11"/>
      <c r="AEN162" s="11"/>
      <c r="AEO162" s="11"/>
      <c r="AEP162" s="11"/>
      <c r="AEQ162" s="11"/>
      <c r="AER162" s="11"/>
      <c r="AES162" s="11"/>
      <c r="AET162" s="11"/>
      <c r="AEU162" s="11"/>
      <c r="AEV162" s="11"/>
      <c r="AEW162" s="11"/>
      <c r="AEX162" s="11"/>
      <c r="AEY162" s="11"/>
      <c r="AEZ162" s="11"/>
      <c r="AFA162" s="11"/>
      <c r="AFB162" s="11"/>
      <c r="AFC162" s="11"/>
      <c r="AFD162" s="11"/>
      <c r="AFE162" s="11"/>
      <c r="AFF162" s="11"/>
      <c r="AFG162" s="11"/>
      <c r="AFH162" s="11"/>
      <c r="AFI162" s="11"/>
    </row>
    <row r="163" spans="2:84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1"/>
      <c r="LV163" s="11"/>
      <c r="LW163" s="11"/>
      <c r="LX163" s="11"/>
      <c r="LY163" s="11"/>
      <c r="LZ163" s="11"/>
      <c r="MA163" s="11"/>
      <c r="MB163" s="11"/>
      <c r="MC163" s="11"/>
      <c r="MD163" s="11"/>
      <c r="ME163" s="11"/>
      <c r="MF163" s="11"/>
      <c r="MG163" s="11"/>
      <c r="MH163" s="11"/>
      <c r="MI163" s="11"/>
      <c r="MJ163" s="11"/>
      <c r="MK163" s="11"/>
      <c r="ML163" s="11"/>
      <c r="MM163" s="11"/>
      <c r="MN163" s="11"/>
      <c r="MO163" s="11"/>
      <c r="MP163" s="11"/>
      <c r="MQ163" s="11"/>
      <c r="MR163" s="11"/>
      <c r="MS163" s="11"/>
      <c r="MT163" s="11"/>
      <c r="MU163" s="11"/>
      <c r="MV163" s="11"/>
      <c r="MW163" s="11"/>
      <c r="MX163" s="11"/>
      <c r="MY163" s="11"/>
      <c r="MZ163" s="11"/>
      <c r="NA163" s="11"/>
      <c r="NB163" s="11"/>
      <c r="NC163" s="11"/>
      <c r="ND163" s="11"/>
      <c r="NE163" s="11"/>
      <c r="NF163" s="11"/>
      <c r="NG163" s="11"/>
      <c r="NH163" s="11"/>
      <c r="NI163" s="11"/>
      <c r="NJ163" s="11"/>
      <c r="NK163" s="11"/>
      <c r="NL163" s="11"/>
      <c r="NM163" s="11"/>
      <c r="NN163" s="11"/>
      <c r="NO163" s="11"/>
      <c r="NP163" s="11"/>
      <c r="NQ163" s="11"/>
      <c r="NR163" s="11"/>
      <c r="NS163" s="11"/>
      <c r="NT163" s="11"/>
      <c r="NU163" s="11"/>
      <c r="NV163" s="11"/>
      <c r="NW163" s="11"/>
      <c r="NX163" s="11"/>
      <c r="NY163" s="11"/>
      <c r="NZ163" s="11"/>
      <c r="OA163" s="11"/>
      <c r="OB163" s="11"/>
      <c r="OC163" s="11"/>
      <c r="OD163" s="11"/>
      <c r="OE163" s="11"/>
      <c r="OF163" s="11"/>
      <c r="OG163" s="11"/>
      <c r="OH163" s="11"/>
      <c r="OI163" s="11"/>
      <c r="OJ163" s="11"/>
      <c r="OK163" s="11"/>
      <c r="OL163" s="11"/>
      <c r="OM163" s="11"/>
      <c r="ON163" s="11"/>
      <c r="OO163" s="11"/>
      <c r="OP163" s="11"/>
      <c r="OQ163" s="11"/>
      <c r="OR163" s="11"/>
      <c r="OS163" s="11"/>
      <c r="OT163" s="11"/>
      <c r="OU163" s="11"/>
      <c r="OV163" s="11"/>
      <c r="OW163" s="11"/>
      <c r="OX163" s="11"/>
      <c r="OY163" s="11"/>
      <c r="OZ163" s="11"/>
      <c r="PA163" s="11"/>
      <c r="PB163" s="11"/>
      <c r="PC163" s="11"/>
      <c r="PD163" s="11"/>
      <c r="PE163" s="11"/>
      <c r="PF163" s="11"/>
      <c r="PG163" s="11"/>
      <c r="PH163" s="11"/>
      <c r="PI163" s="11"/>
      <c r="PJ163" s="11"/>
      <c r="PK163" s="11"/>
      <c r="PL163" s="11"/>
      <c r="PM163" s="11"/>
      <c r="PN163" s="11"/>
      <c r="PO163" s="11"/>
      <c r="PP163" s="11"/>
      <c r="PQ163" s="11"/>
      <c r="PR163" s="11"/>
      <c r="PS163" s="11"/>
      <c r="PT163" s="11"/>
      <c r="PU163" s="11"/>
      <c r="PV163" s="11"/>
      <c r="PW163" s="11"/>
      <c r="PX163" s="11"/>
      <c r="PY163" s="11"/>
      <c r="PZ163" s="11"/>
      <c r="QA163" s="11"/>
      <c r="QB163" s="11"/>
      <c r="QC163" s="11"/>
      <c r="QD163" s="11"/>
      <c r="QE163" s="11"/>
      <c r="QF163" s="11"/>
      <c r="QG163" s="11"/>
      <c r="QH163" s="11"/>
      <c r="QI163" s="11"/>
      <c r="QJ163" s="11"/>
      <c r="QK163" s="11"/>
      <c r="QL163" s="11"/>
      <c r="QM163" s="11"/>
      <c r="QN163" s="11"/>
      <c r="QO163" s="11"/>
      <c r="QP163" s="11"/>
      <c r="QQ163" s="11"/>
      <c r="QR163" s="11"/>
      <c r="QS163" s="11"/>
      <c r="QT163" s="11"/>
      <c r="QU163" s="11"/>
      <c r="QV163" s="11"/>
      <c r="QW163" s="11"/>
      <c r="QX163" s="11"/>
      <c r="QY163" s="11"/>
      <c r="QZ163" s="11"/>
      <c r="RA163" s="11"/>
      <c r="RB163" s="11"/>
      <c r="RC163" s="11"/>
      <c r="RD163" s="11"/>
      <c r="RE163" s="11"/>
      <c r="RF163" s="11"/>
      <c r="RG163" s="11"/>
      <c r="RH163" s="11"/>
      <c r="RI163" s="11"/>
      <c r="RJ163" s="11"/>
      <c r="RK163" s="11"/>
      <c r="RL163" s="11"/>
      <c r="RM163" s="11"/>
      <c r="RN163" s="11"/>
      <c r="RO163" s="11"/>
      <c r="RP163" s="11"/>
      <c r="RQ163" s="11"/>
      <c r="RR163" s="11"/>
      <c r="RS163" s="11"/>
      <c r="RT163" s="11"/>
      <c r="RU163" s="11"/>
      <c r="RV163" s="11"/>
      <c r="RW163" s="11"/>
      <c r="RX163" s="11"/>
      <c r="RY163" s="11"/>
      <c r="RZ163" s="11"/>
      <c r="SA163" s="11"/>
      <c r="SB163" s="11"/>
      <c r="SC163" s="11"/>
      <c r="SD163" s="11"/>
      <c r="SE163" s="11"/>
      <c r="SF163" s="11"/>
      <c r="SG163" s="11"/>
      <c r="SH163" s="11"/>
      <c r="SI163" s="11"/>
      <c r="SJ163" s="11"/>
      <c r="SK163" s="11"/>
      <c r="SL163" s="11"/>
      <c r="SM163" s="11"/>
      <c r="SN163" s="11"/>
      <c r="SO163" s="11"/>
      <c r="SP163" s="11"/>
      <c r="SQ163" s="11"/>
      <c r="SR163" s="11"/>
      <c r="SS163" s="11"/>
      <c r="ST163" s="11"/>
      <c r="SU163" s="11"/>
      <c r="SV163" s="11"/>
      <c r="SW163" s="11"/>
      <c r="SX163" s="11"/>
      <c r="SY163" s="11"/>
      <c r="SZ163" s="11"/>
      <c r="TA163" s="11"/>
      <c r="TB163" s="11"/>
      <c r="TC163" s="11"/>
      <c r="TD163" s="11"/>
      <c r="TE163" s="11"/>
      <c r="TF163" s="11"/>
      <c r="TG163" s="11"/>
      <c r="TH163" s="11"/>
      <c r="TI163" s="11"/>
      <c r="TJ163" s="11"/>
      <c r="TK163" s="11"/>
      <c r="TL163" s="11"/>
      <c r="TM163" s="11"/>
      <c r="TN163" s="11"/>
      <c r="TO163" s="11"/>
      <c r="TP163" s="11"/>
      <c r="TQ163" s="11"/>
      <c r="TR163" s="11"/>
      <c r="TS163" s="11"/>
      <c r="TT163" s="11"/>
      <c r="TU163" s="11"/>
      <c r="TV163" s="11"/>
      <c r="TW163" s="11"/>
      <c r="TX163" s="11"/>
      <c r="TY163" s="11"/>
      <c r="TZ163" s="11"/>
      <c r="UA163" s="11"/>
      <c r="UB163" s="11"/>
      <c r="UC163" s="11"/>
      <c r="UD163" s="11"/>
      <c r="UE163" s="11"/>
      <c r="UF163" s="11"/>
      <c r="UG163" s="11"/>
      <c r="UH163" s="11"/>
      <c r="UI163" s="11"/>
      <c r="UJ163" s="11"/>
      <c r="UK163" s="11"/>
      <c r="UL163" s="11"/>
      <c r="UM163" s="11"/>
      <c r="UN163" s="11"/>
      <c r="UO163" s="11"/>
      <c r="UP163" s="11"/>
      <c r="UQ163" s="11"/>
      <c r="UR163" s="11"/>
      <c r="US163" s="11"/>
      <c r="UT163" s="11"/>
      <c r="UU163" s="11"/>
      <c r="UV163" s="11"/>
      <c r="UW163" s="11"/>
      <c r="UX163" s="11"/>
      <c r="UY163" s="11"/>
      <c r="UZ163" s="11"/>
      <c r="VA163" s="11"/>
      <c r="VB163" s="11"/>
      <c r="VC163" s="11"/>
      <c r="VD163" s="11"/>
      <c r="VE163" s="11"/>
      <c r="VF163" s="11"/>
      <c r="VG163" s="11"/>
      <c r="VH163" s="11"/>
      <c r="VI163" s="11"/>
      <c r="VJ163" s="11"/>
      <c r="VK163" s="11"/>
      <c r="VL163" s="11"/>
      <c r="VM163" s="11"/>
      <c r="VN163" s="11"/>
      <c r="VO163" s="11"/>
      <c r="VP163" s="11"/>
      <c r="VQ163" s="11"/>
      <c r="VR163" s="11"/>
      <c r="VS163" s="11"/>
      <c r="VT163" s="11"/>
      <c r="VU163" s="11"/>
      <c r="VV163" s="11"/>
      <c r="VW163" s="11"/>
      <c r="VX163" s="11"/>
      <c r="VY163" s="11"/>
      <c r="VZ163" s="11"/>
      <c r="WA163" s="11"/>
      <c r="WB163" s="11"/>
      <c r="WC163" s="11"/>
      <c r="WD163" s="11"/>
      <c r="WE163" s="11"/>
      <c r="WF163" s="11"/>
      <c r="WG163" s="11"/>
      <c r="WH163" s="11"/>
      <c r="WI163" s="11"/>
      <c r="WJ163" s="11"/>
      <c r="WK163" s="11"/>
      <c r="WL163" s="11"/>
      <c r="WM163" s="11"/>
      <c r="WN163" s="11"/>
      <c r="WO163" s="11"/>
      <c r="WP163" s="11"/>
      <c r="WQ163" s="11"/>
      <c r="WR163" s="11"/>
      <c r="WS163" s="11"/>
      <c r="WT163" s="11"/>
      <c r="WU163" s="11"/>
      <c r="WV163" s="11"/>
      <c r="WW163" s="11"/>
      <c r="WX163" s="11"/>
      <c r="WY163" s="11"/>
      <c r="WZ163" s="11"/>
      <c r="XA163" s="11"/>
      <c r="XB163" s="11"/>
      <c r="XC163" s="11"/>
      <c r="XD163" s="11"/>
      <c r="XE163" s="11"/>
      <c r="XF163" s="11"/>
      <c r="XG163" s="11"/>
      <c r="XH163" s="11"/>
      <c r="XI163" s="11"/>
      <c r="XJ163" s="11"/>
      <c r="XK163" s="11"/>
      <c r="XL163" s="11"/>
      <c r="XM163" s="11"/>
      <c r="XN163" s="11"/>
      <c r="XO163" s="11"/>
      <c r="XP163" s="11"/>
      <c r="XQ163" s="11"/>
      <c r="XR163" s="11"/>
      <c r="XS163" s="11"/>
      <c r="XT163" s="11"/>
      <c r="XU163" s="11"/>
      <c r="XV163" s="11"/>
      <c r="XW163" s="11"/>
      <c r="XX163" s="11"/>
      <c r="XY163" s="11"/>
      <c r="XZ163" s="11"/>
      <c r="YA163" s="11"/>
      <c r="YB163" s="11"/>
      <c r="YC163" s="11"/>
      <c r="YD163" s="11"/>
      <c r="YE163" s="11"/>
      <c r="YF163" s="11"/>
      <c r="YG163" s="11"/>
      <c r="YH163" s="11"/>
      <c r="YI163" s="11"/>
      <c r="YJ163" s="11"/>
      <c r="YK163" s="11"/>
      <c r="YL163" s="11"/>
      <c r="YM163" s="11"/>
      <c r="YN163" s="11"/>
      <c r="YO163" s="11"/>
      <c r="YP163" s="11"/>
      <c r="YQ163" s="11"/>
      <c r="YR163" s="11"/>
      <c r="YS163" s="11"/>
      <c r="YT163" s="11"/>
      <c r="YU163" s="11"/>
      <c r="YV163" s="11"/>
      <c r="YW163" s="11"/>
      <c r="YX163" s="11"/>
      <c r="YY163" s="11"/>
      <c r="YZ163" s="11"/>
      <c r="ZA163" s="11"/>
      <c r="ZB163" s="11"/>
      <c r="ZC163" s="11"/>
      <c r="ZD163" s="11"/>
      <c r="ZE163" s="11"/>
      <c r="ZF163" s="11"/>
      <c r="ZG163" s="11"/>
      <c r="ZH163" s="11"/>
      <c r="ZI163" s="11"/>
      <c r="ZJ163" s="11"/>
      <c r="ZK163" s="11"/>
      <c r="ZL163" s="11"/>
      <c r="ZM163" s="11"/>
      <c r="ZN163" s="11"/>
      <c r="ZO163" s="11"/>
      <c r="ZP163" s="11"/>
      <c r="ZQ163" s="11"/>
      <c r="ZR163" s="11"/>
      <c r="ZS163" s="11"/>
      <c r="ZT163" s="11"/>
      <c r="ZU163" s="11"/>
      <c r="ZV163" s="11"/>
      <c r="ZW163" s="11"/>
      <c r="ZX163" s="11"/>
      <c r="ZY163" s="11"/>
      <c r="ZZ163" s="11"/>
      <c r="AAA163" s="11"/>
      <c r="AAB163" s="11"/>
      <c r="AAC163" s="11"/>
      <c r="AAD163" s="11"/>
      <c r="AAE163" s="11"/>
      <c r="AAF163" s="11"/>
      <c r="AAG163" s="11"/>
      <c r="AAH163" s="11"/>
      <c r="AAI163" s="11"/>
      <c r="AAJ163" s="11"/>
      <c r="AAK163" s="11"/>
      <c r="AAL163" s="11"/>
      <c r="AAM163" s="11"/>
      <c r="AAN163" s="11"/>
      <c r="AAO163" s="11"/>
      <c r="AAP163" s="11"/>
      <c r="AAQ163" s="11"/>
      <c r="AAR163" s="11"/>
      <c r="AAS163" s="11"/>
      <c r="AAT163" s="11"/>
      <c r="AAU163" s="11"/>
      <c r="AAV163" s="11"/>
      <c r="AAW163" s="11"/>
      <c r="AAX163" s="11"/>
      <c r="AAY163" s="11"/>
      <c r="AAZ163" s="11"/>
      <c r="ABA163" s="11"/>
      <c r="ABB163" s="11"/>
      <c r="ABC163" s="11"/>
      <c r="ABD163" s="11"/>
      <c r="ABE163" s="11"/>
      <c r="ABF163" s="11"/>
      <c r="ABG163" s="11"/>
      <c r="ABH163" s="11"/>
      <c r="ABI163" s="11"/>
      <c r="ABJ163" s="11"/>
      <c r="ABK163" s="11"/>
      <c r="ABL163" s="11"/>
      <c r="ABM163" s="11"/>
      <c r="ABN163" s="11"/>
      <c r="ABO163" s="11"/>
      <c r="ABP163" s="11"/>
      <c r="ABQ163" s="11"/>
      <c r="ABR163" s="11"/>
      <c r="ABS163" s="11"/>
      <c r="ABT163" s="11"/>
      <c r="ABU163" s="11"/>
      <c r="ABV163" s="11"/>
      <c r="ABW163" s="11"/>
      <c r="ABX163" s="11"/>
      <c r="ABY163" s="11"/>
      <c r="ABZ163" s="11"/>
      <c r="ACA163" s="11"/>
      <c r="ACB163" s="11"/>
      <c r="ACC163" s="11"/>
      <c r="ACD163" s="11"/>
      <c r="ACE163" s="11"/>
      <c r="ACF163" s="11"/>
      <c r="ACG163" s="11"/>
      <c r="ACH163" s="11"/>
      <c r="ACI163" s="11"/>
      <c r="ACJ163" s="11"/>
      <c r="ACK163" s="11"/>
      <c r="ACL163" s="11"/>
      <c r="ACM163" s="11"/>
      <c r="ACN163" s="11"/>
      <c r="ACO163" s="11"/>
      <c r="ACP163" s="11"/>
      <c r="ACQ163" s="11"/>
      <c r="ACR163" s="11"/>
      <c r="ACS163" s="11"/>
      <c r="ACT163" s="11"/>
      <c r="ACU163" s="11"/>
      <c r="ACV163" s="11"/>
      <c r="ACW163" s="11"/>
      <c r="ACX163" s="11"/>
      <c r="ACY163" s="11"/>
      <c r="ACZ163" s="11"/>
      <c r="ADA163" s="11"/>
      <c r="ADB163" s="11"/>
      <c r="ADC163" s="11"/>
      <c r="ADD163" s="11"/>
      <c r="ADE163" s="11"/>
      <c r="ADF163" s="11"/>
      <c r="ADG163" s="11"/>
      <c r="ADH163" s="11"/>
      <c r="ADI163" s="11"/>
      <c r="ADJ163" s="11"/>
      <c r="ADK163" s="11"/>
      <c r="ADL163" s="11"/>
      <c r="ADM163" s="11"/>
      <c r="ADN163" s="11"/>
      <c r="ADO163" s="11"/>
      <c r="ADP163" s="11"/>
      <c r="ADQ163" s="11"/>
      <c r="ADR163" s="11"/>
      <c r="ADS163" s="11"/>
      <c r="ADT163" s="11"/>
      <c r="ADU163" s="11"/>
      <c r="ADV163" s="11"/>
      <c r="ADW163" s="11"/>
      <c r="ADX163" s="11"/>
      <c r="ADY163" s="11"/>
      <c r="ADZ163" s="11"/>
      <c r="AEA163" s="11"/>
      <c r="AEB163" s="11"/>
      <c r="AEC163" s="11"/>
      <c r="AED163" s="11"/>
      <c r="AEE163" s="11"/>
      <c r="AEF163" s="11"/>
      <c r="AEG163" s="11"/>
      <c r="AEH163" s="11"/>
      <c r="AEI163" s="11"/>
      <c r="AEJ163" s="11"/>
      <c r="AEK163" s="11"/>
      <c r="AEL163" s="11"/>
      <c r="AEM163" s="11"/>
      <c r="AEN163" s="11"/>
      <c r="AEO163" s="11"/>
      <c r="AEP163" s="11"/>
      <c r="AEQ163" s="11"/>
      <c r="AER163" s="11"/>
      <c r="AES163" s="11"/>
      <c r="AET163" s="11"/>
      <c r="AEU163" s="11"/>
      <c r="AEV163" s="11"/>
      <c r="AEW163" s="11"/>
      <c r="AEX163" s="11"/>
      <c r="AEY163" s="11"/>
      <c r="AEZ163" s="11"/>
      <c r="AFA163" s="11"/>
      <c r="AFB163" s="11"/>
      <c r="AFC163" s="11"/>
      <c r="AFD163" s="11"/>
      <c r="AFE163" s="11"/>
      <c r="AFF163" s="11"/>
      <c r="AFG163" s="11"/>
      <c r="AFH163" s="11"/>
      <c r="AFI163" s="11"/>
    </row>
    <row r="164" spans="2:84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1"/>
      <c r="LV164" s="11"/>
      <c r="LW164" s="11"/>
      <c r="LX164" s="11"/>
      <c r="LY164" s="11"/>
      <c r="LZ164" s="11"/>
      <c r="MA164" s="11"/>
      <c r="MB164" s="11"/>
      <c r="MC164" s="11"/>
      <c r="MD164" s="11"/>
      <c r="ME164" s="11"/>
      <c r="MF164" s="11"/>
      <c r="MG164" s="11"/>
      <c r="MH164" s="11"/>
      <c r="MI164" s="11"/>
      <c r="MJ164" s="11"/>
      <c r="MK164" s="11"/>
      <c r="ML164" s="11"/>
      <c r="MM164" s="11"/>
      <c r="MN164" s="11"/>
      <c r="MO164" s="11"/>
      <c r="MP164" s="11"/>
      <c r="MQ164" s="11"/>
      <c r="MR164" s="11"/>
      <c r="MS164" s="11"/>
      <c r="MT164" s="11"/>
      <c r="MU164" s="11"/>
      <c r="MV164" s="11"/>
      <c r="MW164" s="11"/>
      <c r="MX164" s="11"/>
      <c r="MY164" s="11"/>
      <c r="MZ164" s="11"/>
      <c r="NA164" s="11"/>
      <c r="NB164" s="11"/>
      <c r="NC164" s="11"/>
      <c r="ND164" s="11"/>
      <c r="NE164" s="11"/>
      <c r="NF164" s="11"/>
      <c r="NG164" s="11"/>
      <c r="NH164" s="11"/>
      <c r="NI164" s="11"/>
      <c r="NJ164" s="11"/>
      <c r="NK164" s="11"/>
      <c r="NL164" s="11"/>
      <c r="NM164" s="11"/>
      <c r="NN164" s="11"/>
      <c r="NO164" s="11"/>
      <c r="NP164" s="11"/>
      <c r="NQ164" s="11"/>
      <c r="NR164" s="11"/>
      <c r="NS164" s="11"/>
      <c r="NT164" s="11"/>
      <c r="NU164" s="11"/>
      <c r="NV164" s="11"/>
      <c r="NW164" s="11"/>
      <c r="NX164" s="11"/>
      <c r="NY164" s="11"/>
      <c r="NZ164" s="11"/>
      <c r="OA164" s="11"/>
      <c r="OB164" s="11"/>
      <c r="OC164" s="11"/>
      <c r="OD164" s="11"/>
      <c r="OE164" s="11"/>
      <c r="OF164" s="11"/>
      <c r="OG164" s="11"/>
      <c r="OH164" s="11"/>
      <c r="OI164" s="11"/>
      <c r="OJ164" s="11"/>
      <c r="OK164" s="11"/>
      <c r="OL164" s="11"/>
      <c r="OM164" s="11"/>
      <c r="ON164" s="11"/>
      <c r="OO164" s="11"/>
      <c r="OP164" s="11"/>
      <c r="OQ164" s="11"/>
      <c r="OR164" s="11"/>
      <c r="OS164" s="11"/>
      <c r="OT164" s="11"/>
      <c r="OU164" s="11"/>
      <c r="OV164" s="11"/>
      <c r="OW164" s="11"/>
      <c r="OX164" s="11"/>
      <c r="OY164" s="11"/>
      <c r="OZ164" s="11"/>
      <c r="PA164" s="11"/>
      <c r="PB164" s="11"/>
      <c r="PC164" s="11"/>
      <c r="PD164" s="11"/>
      <c r="PE164" s="11"/>
      <c r="PF164" s="11"/>
      <c r="PG164" s="11"/>
      <c r="PH164" s="11"/>
      <c r="PI164" s="11"/>
      <c r="PJ164" s="11"/>
      <c r="PK164" s="11"/>
      <c r="PL164" s="11"/>
      <c r="PM164" s="11"/>
      <c r="PN164" s="11"/>
      <c r="PO164" s="11"/>
      <c r="PP164" s="11"/>
      <c r="PQ164" s="11"/>
      <c r="PR164" s="11"/>
      <c r="PS164" s="11"/>
      <c r="PT164" s="11"/>
      <c r="PU164" s="11"/>
      <c r="PV164" s="11"/>
      <c r="PW164" s="11"/>
      <c r="PX164" s="11"/>
      <c r="PY164" s="11"/>
      <c r="PZ164" s="11"/>
      <c r="QA164" s="11"/>
      <c r="QB164" s="11"/>
      <c r="QC164" s="11"/>
      <c r="QD164" s="11"/>
      <c r="QE164" s="11"/>
      <c r="QF164" s="11"/>
      <c r="QG164" s="11"/>
      <c r="QH164" s="11"/>
      <c r="QI164" s="11"/>
      <c r="QJ164" s="11"/>
      <c r="QK164" s="11"/>
      <c r="QL164" s="11"/>
      <c r="QM164" s="11"/>
      <c r="QN164" s="11"/>
      <c r="QO164" s="11"/>
      <c r="QP164" s="11"/>
      <c r="QQ164" s="11"/>
      <c r="QR164" s="11"/>
      <c r="QS164" s="11"/>
      <c r="QT164" s="11"/>
      <c r="QU164" s="11"/>
      <c r="QV164" s="11"/>
      <c r="QW164" s="11"/>
      <c r="QX164" s="11"/>
      <c r="QY164" s="11"/>
      <c r="QZ164" s="11"/>
      <c r="RA164" s="11"/>
      <c r="RB164" s="11"/>
      <c r="RC164" s="11"/>
      <c r="RD164" s="11"/>
      <c r="RE164" s="11"/>
      <c r="RF164" s="11"/>
      <c r="RG164" s="11"/>
      <c r="RH164" s="11"/>
      <c r="RI164" s="11"/>
      <c r="RJ164" s="11"/>
      <c r="RK164" s="11"/>
      <c r="RL164" s="11"/>
      <c r="RM164" s="11"/>
      <c r="RN164" s="11"/>
      <c r="RO164" s="11"/>
      <c r="RP164" s="11"/>
      <c r="RQ164" s="11"/>
      <c r="RR164" s="11"/>
      <c r="RS164" s="11"/>
      <c r="RT164" s="11"/>
      <c r="RU164" s="11"/>
      <c r="RV164" s="11"/>
      <c r="RW164" s="11"/>
      <c r="RX164" s="11"/>
      <c r="RY164" s="11"/>
      <c r="RZ164" s="11"/>
      <c r="SA164" s="11"/>
      <c r="SB164" s="11"/>
      <c r="SC164" s="11"/>
      <c r="SD164" s="11"/>
      <c r="SE164" s="11"/>
      <c r="SF164" s="11"/>
      <c r="SG164" s="11"/>
      <c r="SH164" s="11"/>
      <c r="SI164" s="11"/>
      <c r="SJ164" s="11"/>
      <c r="SK164" s="11"/>
      <c r="SL164" s="11"/>
      <c r="SM164" s="11"/>
      <c r="SN164" s="11"/>
      <c r="SO164" s="11"/>
      <c r="SP164" s="11"/>
      <c r="SQ164" s="11"/>
      <c r="SR164" s="11"/>
      <c r="SS164" s="11"/>
      <c r="ST164" s="11"/>
      <c r="SU164" s="11"/>
      <c r="SV164" s="11"/>
      <c r="SW164" s="11"/>
      <c r="SX164" s="11"/>
      <c r="SY164" s="11"/>
      <c r="SZ164" s="11"/>
      <c r="TA164" s="11"/>
      <c r="TB164" s="11"/>
      <c r="TC164" s="11"/>
      <c r="TD164" s="11"/>
      <c r="TE164" s="11"/>
      <c r="TF164" s="11"/>
      <c r="TG164" s="11"/>
      <c r="TH164" s="11"/>
      <c r="TI164" s="11"/>
      <c r="TJ164" s="11"/>
      <c r="TK164" s="11"/>
      <c r="TL164" s="11"/>
      <c r="TM164" s="11"/>
      <c r="TN164" s="11"/>
      <c r="TO164" s="11"/>
      <c r="TP164" s="11"/>
      <c r="TQ164" s="11"/>
      <c r="TR164" s="11"/>
      <c r="TS164" s="11"/>
      <c r="TT164" s="11"/>
      <c r="TU164" s="11"/>
      <c r="TV164" s="11"/>
      <c r="TW164" s="11"/>
      <c r="TX164" s="11"/>
      <c r="TY164" s="11"/>
      <c r="TZ164" s="11"/>
      <c r="UA164" s="11"/>
      <c r="UB164" s="11"/>
      <c r="UC164" s="11"/>
      <c r="UD164" s="11"/>
      <c r="UE164" s="11"/>
      <c r="UF164" s="11"/>
      <c r="UG164" s="11"/>
      <c r="UH164" s="11"/>
      <c r="UI164" s="11"/>
      <c r="UJ164" s="11"/>
      <c r="UK164" s="11"/>
      <c r="UL164" s="11"/>
      <c r="UM164" s="11"/>
      <c r="UN164" s="11"/>
      <c r="UO164" s="11"/>
      <c r="UP164" s="11"/>
      <c r="UQ164" s="11"/>
      <c r="UR164" s="11"/>
      <c r="US164" s="11"/>
      <c r="UT164" s="11"/>
      <c r="UU164" s="11"/>
      <c r="UV164" s="11"/>
      <c r="UW164" s="11"/>
      <c r="UX164" s="11"/>
      <c r="UY164" s="11"/>
      <c r="UZ164" s="11"/>
      <c r="VA164" s="11"/>
      <c r="VB164" s="11"/>
      <c r="VC164" s="11"/>
      <c r="VD164" s="11"/>
      <c r="VE164" s="11"/>
      <c r="VF164" s="11"/>
      <c r="VG164" s="11"/>
      <c r="VH164" s="11"/>
      <c r="VI164" s="11"/>
      <c r="VJ164" s="11"/>
      <c r="VK164" s="11"/>
      <c r="VL164" s="11"/>
      <c r="VM164" s="11"/>
      <c r="VN164" s="11"/>
      <c r="VO164" s="11"/>
      <c r="VP164" s="11"/>
      <c r="VQ164" s="11"/>
      <c r="VR164" s="11"/>
      <c r="VS164" s="11"/>
      <c r="VT164" s="11"/>
      <c r="VU164" s="11"/>
      <c r="VV164" s="11"/>
      <c r="VW164" s="11"/>
      <c r="VX164" s="11"/>
      <c r="VY164" s="11"/>
      <c r="VZ164" s="11"/>
      <c r="WA164" s="11"/>
      <c r="WB164" s="11"/>
      <c r="WC164" s="11"/>
      <c r="WD164" s="11"/>
      <c r="WE164" s="11"/>
      <c r="WF164" s="11"/>
      <c r="WG164" s="11"/>
      <c r="WH164" s="11"/>
      <c r="WI164" s="11"/>
      <c r="WJ164" s="11"/>
      <c r="WK164" s="11"/>
      <c r="WL164" s="11"/>
      <c r="WM164" s="11"/>
      <c r="WN164" s="11"/>
      <c r="WO164" s="11"/>
      <c r="WP164" s="11"/>
      <c r="WQ164" s="11"/>
      <c r="WR164" s="11"/>
      <c r="WS164" s="11"/>
      <c r="WT164" s="11"/>
      <c r="WU164" s="11"/>
      <c r="WV164" s="11"/>
      <c r="WW164" s="11"/>
      <c r="WX164" s="11"/>
      <c r="WY164" s="11"/>
      <c r="WZ164" s="11"/>
      <c r="XA164" s="11"/>
      <c r="XB164" s="11"/>
      <c r="XC164" s="11"/>
      <c r="XD164" s="11"/>
      <c r="XE164" s="11"/>
      <c r="XF164" s="11"/>
      <c r="XG164" s="11"/>
      <c r="XH164" s="11"/>
      <c r="XI164" s="11"/>
      <c r="XJ164" s="11"/>
      <c r="XK164" s="11"/>
      <c r="XL164" s="11"/>
      <c r="XM164" s="11"/>
      <c r="XN164" s="11"/>
      <c r="XO164" s="11"/>
      <c r="XP164" s="11"/>
      <c r="XQ164" s="11"/>
      <c r="XR164" s="11"/>
      <c r="XS164" s="11"/>
      <c r="XT164" s="11"/>
      <c r="XU164" s="11"/>
      <c r="XV164" s="11"/>
      <c r="XW164" s="11"/>
      <c r="XX164" s="11"/>
      <c r="XY164" s="11"/>
      <c r="XZ164" s="11"/>
      <c r="YA164" s="11"/>
      <c r="YB164" s="11"/>
      <c r="YC164" s="11"/>
      <c r="YD164" s="11"/>
      <c r="YE164" s="11"/>
      <c r="YF164" s="11"/>
      <c r="YG164" s="11"/>
      <c r="YH164" s="11"/>
      <c r="YI164" s="11"/>
      <c r="YJ164" s="11"/>
      <c r="YK164" s="11"/>
      <c r="YL164" s="11"/>
      <c r="YM164" s="11"/>
      <c r="YN164" s="11"/>
      <c r="YO164" s="11"/>
      <c r="YP164" s="11"/>
      <c r="YQ164" s="11"/>
      <c r="YR164" s="11"/>
      <c r="YS164" s="11"/>
      <c r="YT164" s="11"/>
      <c r="YU164" s="11"/>
      <c r="YV164" s="11"/>
      <c r="YW164" s="11"/>
      <c r="YX164" s="11"/>
      <c r="YY164" s="11"/>
      <c r="YZ164" s="11"/>
      <c r="ZA164" s="11"/>
      <c r="ZB164" s="11"/>
      <c r="ZC164" s="11"/>
      <c r="ZD164" s="11"/>
      <c r="ZE164" s="11"/>
      <c r="ZF164" s="11"/>
      <c r="ZG164" s="11"/>
      <c r="ZH164" s="11"/>
      <c r="ZI164" s="11"/>
      <c r="ZJ164" s="11"/>
      <c r="ZK164" s="11"/>
      <c r="ZL164" s="11"/>
      <c r="ZM164" s="11"/>
      <c r="ZN164" s="11"/>
      <c r="ZO164" s="11"/>
      <c r="ZP164" s="11"/>
      <c r="ZQ164" s="11"/>
      <c r="ZR164" s="11"/>
      <c r="ZS164" s="11"/>
      <c r="ZT164" s="11"/>
      <c r="ZU164" s="11"/>
      <c r="ZV164" s="11"/>
      <c r="ZW164" s="11"/>
      <c r="ZX164" s="11"/>
      <c r="ZY164" s="11"/>
      <c r="ZZ164" s="11"/>
      <c r="AAA164" s="11"/>
      <c r="AAB164" s="11"/>
      <c r="AAC164" s="11"/>
      <c r="AAD164" s="11"/>
      <c r="AAE164" s="11"/>
      <c r="AAF164" s="11"/>
      <c r="AAG164" s="11"/>
      <c r="AAH164" s="11"/>
      <c r="AAI164" s="11"/>
      <c r="AAJ164" s="11"/>
      <c r="AAK164" s="11"/>
      <c r="AAL164" s="11"/>
      <c r="AAM164" s="11"/>
      <c r="AAN164" s="11"/>
      <c r="AAO164" s="11"/>
      <c r="AAP164" s="11"/>
      <c r="AAQ164" s="11"/>
      <c r="AAR164" s="11"/>
      <c r="AAS164" s="11"/>
      <c r="AAT164" s="11"/>
      <c r="AAU164" s="11"/>
      <c r="AAV164" s="11"/>
      <c r="AAW164" s="11"/>
      <c r="AAX164" s="11"/>
      <c r="AAY164" s="11"/>
      <c r="AAZ164" s="11"/>
      <c r="ABA164" s="11"/>
      <c r="ABB164" s="11"/>
      <c r="ABC164" s="11"/>
      <c r="ABD164" s="11"/>
      <c r="ABE164" s="11"/>
      <c r="ABF164" s="11"/>
      <c r="ABG164" s="11"/>
      <c r="ABH164" s="11"/>
      <c r="ABI164" s="11"/>
      <c r="ABJ164" s="11"/>
      <c r="ABK164" s="11"/>
      <c r="ABL164" s="11"/>
      <c r="ABM164" s="11"/>
      <c r="ABN164" s="11"/>
      <c r="ABO164" s="11"/>
      <c r="ABP164" s="11"/>
      <c r="ABQ164" s="11"/>
      <c r="ABR164" s="11"/>
      <c r="ABS164" s="11"/>
      <c r="ABT164" s="11"/>
      <c r="ABU164" s="11"/>
      <c r="ABV164" s="11"/>
      <c r="ABW164" s="11"/>
      <c r="ABX164" s="11"/>
      <c r="ABY164" s="11"/>
      <c r="ABZ164" s="11"/>
      <c r="ACA164" s="11"/>
      <c r="ACB164" s="11"/>
      <c r="ACC164" s="11"/>
      <c r="ACD164" s="11"/>
      <c r="ACE164" s="11"/>
      <c r="ACF164" s="11"/>
      <c r="ACG164" s="11"/>
      <c r="ACH164" s="11"/>
      <c r="ACI164" s="11"/>
      <c r="ACJ164" s="11"/>
      <c r="ACK164" s="11"/>
      <c r="ACL164" s="11"/>
      <c r="ACM164" s="11"/>
      <c r="ACN164" s="11"/>
      <c r="ACO164" s="11"/>
      <c r="ACP164" s="11"/>
      <c r="ACQ164" s="11"/>
      <c r="ACR164" s="11"/>
      <c r="ACS164" s="11"/>
      <c r="ACT164" s="11"/>
      <c r="ACU164" s="11"/>
      <c r="ACV164" s="11"/>
      <c r="ACW164" s="11"/>
      <c r="ACX164" s="11"/>
      <c r="ACY164" s="11"/>
      <c r="ACZ164" s="11"/>
      <c r="ADA164" s="11"/>
      <c r="ADB164" s="11"/>
      <c r="ADC164" s="11"/>
      <c r="ADD164" s="11"/>
      <c r="ADE164" s="11"/>
      <c r="ADF164" s="11"/>
      <c r="ADG164" s="11"/>
      <c r="ADH164" s="11"/>
      <c r="ADI164" s="11"/>
      <c r="ADJ164" s="11"/>
      <c r="ADK164" s="11"/>
      <c r="ADL164" s="11"/>
      <c r="ADM164" s="11"/>
      <c r="ADN164" s="11"/>
      <c r="ADO164" s="11"/>
      <c r="ADP164" s="11"/>
      <c r="ADQ164" s="11"/>
      <c r="ADR164" s="11"/>
      <c r="ADS164" s="11"/>
      <c r="ADT164" s="11"/>
      <c r="ADU164" s="11"/>
      <c r="ADV164" s="11"/>
      <c r="ADW164" s="11"/>
      <c r="ADX164" s="11"/>
      <c r="ADY164" s="11"/>
      <c r="ADZ164" s="11"/>
      <c r="AEA164" s="11"/>
      <c r="AEB164" s="11"/>
      <c r="AEC164" s="11"/>
      <c r="AED164" s="11"/>
      <c r="AEE164" s="11"/>
      <c r="AEF164" s="11"/>
      <c r="AEG164" s="11"/>
      <c r="AEH164" s="11"/>
      <c r="AEI164" s="11"/>
      <c r="AEJ164" s="11"/>
      <c r="AEK164" s="11"/>
      <c r="AEL164" s="11"/>
      <c r="AEM164" s="11"/>
      <c r="AEN164" s="11"/>
      <c r="AEO164" s="11"/>
      <c r="AEP164" s="11"/>
      <c r="AEQ164" s="11"/>
      <c r="AER164" s="11"/>
      <c r="AES164" s="11"/>
      <c r="AET164" s="11"/>
      <c r="AEU164" s="11"/>
      <c r="AEV164" s="11"/>
      <c r="AEW164" s="11"/>
      <c r="AEX164" s="11"/>
      <c r="AEY164" s="11"/>
      <c r="AEZ164" s="11"/>
      <c r="AFA164" s="11"/>
      <c r="AFB164" s="11"/>
      <c r="AFC164" s="11"/>
      <c r="AFD164" s="11"/>
      <c r="AFE164" s="11"/>
      <c r="AFF164" s="11"/>
      <c r="AFG164" s="11"/>
      <c r="AFH164" s="11"/>
      <c r="AFI164" s="11"/>
    </row>
    <row r="165" spans="2:84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1"/>
      <c r="LV165" s="11"/>
      <c r="LW165" s="11"/>
      <c r="LX165" s="11"/>
      <c r="LY165" s="11"/>
      <c r="LZ165" s="11"/>
      <c r="MA165" s="11"/>
      <c r="MB165" s="11"/>
      <c r="MC165" s="11"/>
      <c r="MD165" s="11"/>
      <c r="ME165" s="11"/>
      <c r="MF165" s="11"/>
      <c r="MG165" s="11"/>
      <c r="MH165" s="11"/>
      <c r="MI165" s="11"/>
      <c r="MJ165" s="11"/>
      <c r="MK165" s="11"/>
      <c r="ML165" s="11"/>
      <c r="MM165" s="11"/>
      <c r="MN165" s="11"/>
      <c r="MO165" s="11"/>
      <c r="MP165" s="11"/>
      <c r="MQ165" s="11"/>
      <c r="MR165" s="11"/>
      <c r="MS165" s="11"/>
      <c r="MT165" s="11"/>
      <c r="MU165" s="11"/>
      <c r="MV165" s="11"/>
      <c r="MW165" s="11"/>
      <c r="MX165" s="11"/>
      <c r="MY165" s="11"/>
      <c r="MZ165" s="11"/>
      <c r="NA165" s="11"/>
      <c r="NB165" s="11"/>
      <c r="NC165" s="11"/>
      <c r="ND165" s="11"/>
      <c r="NE165" s="11"/>
      <c r="NF165" s="11"/>
      <c r="NG165" s="11"/>
      <c r="NH165" s="11"/>
      <c r="NI165" s="11"/>
      <c r="NJ165" s="11"/>
      <c r="NK165" s="11"/>
      <c r="NL165" s="11"/>
      <c r="NM165" s="11"/>
      <c r="NN165" s="11"/>
      <c r="NO165" s="11"/>
      <c r="NP165" s="11"/>
      <c r="NQ165" s="11"/>
      <c r="NR165" s="11"/>
      <c r="NS165" s="11"/>
      <c r="NT165" s="11"/>
      <c r="NU165" s="11"/>
      <c r="NV165" s="11"/>
      <c r="NW165" s="11"/>
      <c r="NX165" s="11"/>
      <c r="NY165" s="11"/>
      <c r="NZ165" s="11"/>
      <c r="OA165" s="11"/>
      <c r="OB165" s="11"/>
      <c r="OC165" s="11"/>
      <c r="OD165" s="11"/>
      <c r="OE165" s="11"/>
      <c r="OF165" s="11"/>
      <c r="OG165" s="11"/>
      <c r="OH165" s="11"/>
      <c r="OI165" s="11"/>
      <c r="OJ165" s="11"/>
      <c r="OK165" s="11"/>
      <c r="OL165" s="11"/>
      <c r="OM165" s="11"/>
      <c r="ON165" s="11"/>
      <c r="OO165" s="11"/>
      <c r="OP165" s="11"/>
      <c r="OQ165" s="11"/>
      <c r="OR165" s="11"/>
      <c r="OS165" s="11"/>
      <c r="OT165" s="11"/>
      <c r="OU165" s="11"/>
      <c r="OV165" s="11"/>
      <c r="OW165" s="11"/>
      <c r="OX165" s="11"/>
      <c r="OY165" s="11"/>
      <c r="OZ165" s="11"/>
      <c r="PA165" s="11"/>
      <c r="PB165" s="11"/>
      <c r="PC165" s="11"/>
      <c r="PD165" s="11"/>
      <c r="PE165" s="11"/>
      <c r="PF165" s="11"/>
      <c r="PG165" s="11"/>
      <c r="PH165" s="11"/>
      <c r="PI165" s="11"/>
      <c r="PJ165" s="11"/>
      <c r="PK165" s="11"/>
      <c r="PL165" s="11"/>
      <c r="PM165" s="11"/>
      <c r="PN165" s="11"/>
      <c r="PO165" s="11"/>
      <c r="PP165" s="11"/>
      <c r="PQ165" s="11"/>
      <c r="PR165" s="11"/>
      <c r="PS165" s="11"/>
      <c r="PT165" s="11"/>
      <c r="PU165" s="11"/>
      <c r="PV165" s="11"/>
      <c r="PW165" s="11"/>
      <c r="PX165" s="11"/>
      <c r="PY165" s="11"/>
      <c r="PZ165" s="11"/>
      <c r="QA165" s="11"/>
      <c r="QB165" s="11"/>
      <c r="QC165" s="11"/>
      <c r="QD165" s="11"/>
      <c r="QE165" s="11"/>
      <c r="QF165" s="11"/>
      <c r="QG165" s="11"/>
      <c r="QH165" s="11"/>
      <c r="QI165" s="11"/>
      <c r="QJ165" s="11"/>
      <c r="QK165" s="11"/>
      <c r="QL165" s="11"/>
      <c r="QM165" s="11"/>
      <c r="QN165" s="11"/>
      <c r="QO165" s="11"/>
      <c r="QP165" s="11"/>
      <c r="QQ165" s="11"/>
      <c r="QR165" s="11"/>
      <c r="QS165" s="11"/>
      <c r="QT165" s="11"/>
      <c r="QU165" s="11"/>
      <c r="QV165" s="11"/>
      <c r="QW165" s="11"/>
      <c r="QX165" s="11"/>
      <c r="QY165" s="11"/>
      <c r="QZ165" s="11"/>
      <c r="RA165" s="11"/>
      <c r="RB165" s="11"/>
      <c r="RC165" s="11"/>
      <c r="RD165" s="11"/>
      <c r="RE165" s="11"/>
      <c r="RF165" s="11"/>
      <c r="RG165" s="11"/>
      <c r="RH165" s="11"/>
      <c r="RI165" s="11"/>
      <c r="RJ165" s="11"/>
      <c r="RK165" s="11"/>
      <c r="RL165" s="11"/>
      <c r="RM165" s="11"/>
      <c r="RN165" s="11"/>
      <c r="RO165" s="11"/>
      <c r="RP165" s="11"/>
      <c r="RQ165" s="11"/>
      <c r="RR165" s="11"/>
      <c r="RS165" s="11"/>
      <c r="RT165" s="11"/>
      <c r="RU165" s="11"/>
      <c r="RV165" s="11"/>
      <c r="RW165" s="11"/>
      <c r="RX165" s="11"/>
      <c r="RY165" s="11"/>
      <c r="RZ165" s="11"/>
      <c r="SA165" s="11"/>
      <c r="SB165" s="11"/>
      <c r="SC165" s="11"/>
      <c r="SD165" s="11"/>
      <c r="SE165" s="11"/>
      <c r="SF165" s="11"/>
      <c r="SG165" s="11"/>
      <c r="SH165" s="11"/>
      <c r="SI165" s="11"/>
      <c r="SJ165" s="11"/>
      <c r="SK165" s="11"/>
      <c r="SL165" s="11"/>
      <c r="SM165" s="11"/>
      <c r="SN165" s="11"/>
      <c r="SO165" s="11"/>
      <c r="SP165" s="11"/>
      <c r="SQ165" s="11"/>
      <c r="SR165" s="11"/>
      <c r="SS165" s="11"/>
      <c r="ST165" s="11"/>
      <c r="SU165" s="11"/>
      <c r="SV165" s="11"/>
      <c r="SW165" s="11"/>
      <c r="SX165" s="11"/>
      <c r="SY165" s="11"/>
      <c r="SZ165" s="11"/>
      <c r="TA165" s="11"/>
      <c r="TB165" s="11"/>
      <c r="TC165" s="11"/>
      <c r="TD165" s="11"/>
      <c r="TE165" s="11"/>
      <c r="TF165" s="11"/>
      <c r="TG165" s="11"/>
      <c r="TH165" s="11"/>
      <c r="TI165" s="11"/>
      <c r="TJ165" s="11"/>
      <c r="TK165" s="11"/>
      <c r="TL165" s="11"/>
      <c r="TM165" s="11"/>
      <c r="TN165" s="11"/>
      <c r="TO165" s="11"/>
      <c r="TP165" s="11"/>
      <c r="TQ165" s="11"/>
      <c r="TR165" s="11"/>
      <c r="TS165" s="11"/>
      <c r="TT165" s="11"/>
      <c r="TU165" s="11"/>
      <c r="TV165" s="11"/>
      <c r="TW165" s="11"/>
      <c r="TX165" s="11"/>
      <c r="TY165" s="11"/>
      <c r="TZ165" s="11"/>
      <c r="UA165" s="11"/>
      <c r="UB165" s="11"/>
      <c r="UC165" s="11"/>
      <c r="UD165" s="11"/>
      <c r="UE165" s="11"/>
      <c r="UF165" s="11"/>
      <c r="UG165" s="11"/>
      <c r="UH165" s="11"/>
      <c r="UI165" s="11"/>
      <c r="UJ165" s="11"/>
      <c r="UK165" s="11"/>
      <c r="UL165" s="11"/>
      <c r="UM165" s="11"/>
      <c r="UN165" s="11"/>
      <c r="UO165" s="11"/>
      <c r="UP165" s="11"/>
      <c r="UQ165" s="11"/>
      <c r="UR165" s="11"/>
      <c r="US165" s="11"/>
      <c r="UT165" s="11"/>
      <c r="UU165" s="11"/>
      <c r="UV165" s="11"/>
      <c r="UW165" s="11"/>
      <c r="UX165" s="11"/>
      <c r="UY165" s="11"/>
      <c r="UZ165" s="11"/>
      <c r="VA165" s="11"/>
      <c r="VB165" s="11"/>
      <c r="VC165" s="11"/>
      <c r="VD165" s="11"/>
      <c r="VE165" s="11"/>
      <c r="VF165" s="11"/>
      <c r="VG165" s="11"/>
      <c r="VH165" s="11"/>
      <c r="VI165" s="11"/>
      <c r="VJ165" s="11"/>
      <c r="VK165" s="11"/>
      <c r="VL165" s="11"/>
      <c r="VM165" s="11"/>
      <c r="VN165" s="11"/>
      <c r="VO165" s="11"/>
      <c r="VP165" s="11"/>
      <c r="VQ165" s="11"/>
      <c r="VR165" s="11"/>
      <c r="VS165" s="11"/>
      <c r="VT165" s="11"/>
      <c r="VU165" s="11"/>
      <c r="VV165" s="11"/>
      <c r="VW165" s="11"/>
      <c r="VX165" s="11"/>
      <c r="VY165" s="11"/>
      <c r="VZ165" s="11"/>
      <c r="WA165" s="11"/>
      <c r="WB165" s="11"/>
      <c r="WC165" s="11"/>
      <c r="WD165" s="11"/>
      <c r="WE165" s="11"/>
      <c r="WF165" s="11"/>
      <c r="WG165" s="11"/>
      <c r="WH165" s="11"/>
      <c r="WI165" s="11"/>
      <c r="WJ165" s="11"/>
      <c r="WK165" s="11"/>
      <c r="WL165" s="11"/>
      <c r="WM165" s="11"/>
      <c r="WN165" s="11"/>
      <c r="WO165" s="11"/>
      <c r="WP165" s="11"/>
      <c r="WQ165" s="11"/>
      <c r="WR165" s="11"/>
      <c r="WS165" s="11"/>
      <c r="WT165" s="11"/>
      <c r="WU165" s="11"/>
      <c r="WV165" s="11"/>
      <c r="WW165" s="11"/>
      <c r="WX165" s="11"/>
      <c r="WY165" s="11"/>
      <c r="WZ165" s="11"/>
      <c r="XA165" s="11"/>
      <c r="XB165" s="11"/>
      <c r="XC165" s="11"/>
      <c r="XD165" s="11"/>
      <c r="XE165" s="11"/>
      <c r="XF165" s="11"/>
      <c r="XG165" s="11"/>
      <c r="XH165" s="11"/>
      <c r="XI165" s="11"/>
      <c r="XJ165" s="11"/>
      <c r="XK165" s="11"/>
      <c r="XL165" s="11"/>
      <c r="XM165" s="11"/>
      <c r="XN165" s="11"/>
      <c r="XO165" s="11"/>
      <c r="XP165" s="11"/>
      <c r="XQ165" s="11"/>
      <c r="XR165" s="11"/>
      <c r="XS165" s="11"/>
      <c r="XT165" s="11"/>
      <c r="XU165" s="11"/>
      <c r="XV165" s="11"/>
      <c r="XW165" s="11"/>
      <c r="XX165" s="11"/>
      <c r="XY165" s="11"/>
      <c r="XZ165" s="11"/>
      <c r="YA165" s="11"/>
      <c r="YB165" s="11"/>
      <c r="YC165" s="11"/>
      <c r="YD165" s="11"/>
      <c r="YE165" s="11"/>
      <c r="YF165" s="11"/>
      <c r="YG165" s="11"/>
      <c r="YH165" s="11"/>
      <c r="YI165" s="11"/>
      <c r="YJ165" s="11"/>
      <c r="YK165" s="11"/>
      <c r="YL165" s="11"/>
      <c r="YM165" s="11"/>
      <c r="YN165" s="11"/>
      <c r="YO165" s="11"/>
      <c r="YP165" s="11"/>
      <c r="YQ165" s="11"/>
      <c r="YR165" s="11"/>
      <c r="YS165" s="11"/>
      <c r="YT165" s="11"/>
      <c r="YU165" s="11"/>
      <c r="YV165" s="11"/>
      <c r="YW165" s="11"/>
      <c r="YX165" s="11"/>
      <c r="YY165" s="11"/>
      <c r="YZ165" s="11"/>
      <c r="ZA165" s="11"/>
      <c r="ZB165" s="11"/>
      <c r="ZC165" s="11"/>
      <c r="ZD165" s="11"/>
      <c r="ZE165" s="11"/>
      <c r="ZF165" s="11"/>
      <c r="ZG165" s="11"/>
      <c r="ZH165" s="11"/>
      <c r="ZI165" s="11"/>
      <c r="ZJ165" s="11"/>
      <c r="ZK165" s="11"/>
      <c r="ZL165" s="11"/>
      <c r="ZM165" s="11"/>
      <c r="ZN165" s="11"/>
      <c r="ZO165" s="11"/>
      <c r="ZP165" s="11"/>
      <c r="ZQ165" s="11"/>
      <c r="ZR165" s="11"/>
      <c r="ZS165" s="11"/>
      <c r="ZT165" s="11"/>
      <c r="ZU165" s="11"/>
      <c r="ZV165" s="11"/>
      <c r="ZW165" s="11"/>
      <c r="ZX165" s="11"/>
      <c r="ZY165" s="11"/>
      <c r="ZZ165" s="11"/>
      <c r="AAA165" s="11"/>
      <c r="AAB165" s="11"/>
      <c r="AAC165" s="11"/>
      <c r="AAD165" s="11"/>
      <c r="AAE165" s="11"/>
      <c r="AAF165" s="11"/>
      <c r="AAG165" s="11"/>
      <c r="AAH165" s="11"/>
      <c r="AAI165" s="11"/>
      <c r="AAJ165" s="11"/>
      <c r="AAK165" s="11"/>
      <c r="AAL165" s="11"/>
      <c r="AAM165" s="11"/>
      <c r="AAN165" s="11"/>
      <c r="AAO165" s="11"/>
      <c r="AAP165" s="11"/>
      <c r="AAQ165" s="11"/>
      <c r="AAR165" s="11"/>
      <c r="AAS165" s="11"/>
      <c r="AAT165" s="11"/>
      <c r="AAU165" s="11"/>
      <c r="AAV165" s="11"/>
      <c r="AAW165" s="11"/>
      <c r="AAX165" s="11"/>
      <c r="AAY165" s="11"/>
      <c r="AAZ165" s="11"/>
      <c r="ABA165" s="11"/>
      <c r="ABB165" s="11"/>
      <c r="ABC165" s="11"/>
      <c r="ABD165" s="11"/>
      <c r="ABE165" s="11"/>
      <c r="ABF165" s="11"/>
      <c r="ABG165" s="11"/>
      <c r="ABH165" s="11"/>
      <c r="ABI165" s="11"/>
      <c r="ABJ165" s="11"/>
      <c r="ABK165" s="11"/>
      <c r="ABL165" s="11"/>
      <c r="ABM165" s="11"/>
      <c r="ABN165" s="11"/>
      <c r="ABO165" s="11"/>
      <c r="ABP165" s="11"/>
      <c r="ABQ165" s="11"/>
      <c r="ABR165" s="11"/>
      <c r="ABS165" s="11"/>
      <c r="ABT165" s="11"/>
      <c r="ABU165" s="11"/>
      <c r="ABV165" s="11"/>
      <c r="ABW165" s="11"/>
      <c r="ABX165" s="11"/>
      <c r="ABY165" s="11"/>
      <c r="ABZ165" s="11"/>
      <c r="ACA165" s="11"/>
      <c r="ACB165" s="11"/>
      <c r="ACC165" s="11"/>
      <c r="ACD165" s="11"/>
      <c r="ACE165" s="11"/>
      <c r="ACF165" s="11"/>
      <c r="ACG165" s="11"/>
      <c r="ACH165" s="11"/>
      <c r="ACI165" s="11"/>
      <c r="ACJ165" s="11"/>
      <c r="ACK165" s="11"/>
      <c r="ACL165" s="11"/>
      <c r="ACM165" s="11"/>
      <c r="ACN165" s="11"/>
      <c r="ACO165" s="11"/>
      <c r="ACP165" s="11"/>
      <c r="ACQ165" s="11"/>
      <c r="ACR165" s="11"/>
      <c r="ACS165" s="11"/>
      <c r="ACT165" s="11"/>
      <c r="ACU165" s="11"/>
      <c r="ACV165" s="11"/>
      <c r="ACW165" s="11"/>
      <c r="ACX165" s="11"/>
      <c r="ACY165" s="11"/>
      <c r="ACZ165" s="11"/>
      <c r="ADA165" s="11"/>
      <c r="ADB165" s="11"/>
      <c r="ADC165" s="11"/>
      <c r="ADD165" s="11"/>
      <c r="ADE165" s="11"/>
      <c r="ADF165" s="11"/>
      <c r="ADG165" s="11"/>
      <c r="ADH165" s="11"/>
      <c r="ADI165" s="11"/>
      <c r="ADJ165" s="11"/>
      <c r="ADK165" s="11"/>
      <c r="ADL165" s="11"/>
      <c r="ADM165" s="11"/>
      <c r="ADN165" s="11"/>
      <c r="ADO165" s="11"/>
      <c r="ADP165" s="11"/>
      <c r="ADQ165" s="11"/>
      <c r="ADR165" s="11"/>
      <c r="ADS165" s="11"/>
      <c r="ADT165" s="11"/>
      <c r="ADU165" s="11"/>
      <c r="ADV165" s="11"/>
      <c r="ADW165" s="11"/>
      <c r="ADX165" s="11"/>
      <c r="ADY165" s="11"/>
      <c r="ADZ165" s="11"/>
      <c r="AEA165" s="11"/>
      <c r="AEB165" s="11"/>
      <c r="AEC165" s="11"/>
      <c r="AED165" s="11"/>
      <c r="AEE165" s="11"/>
      <c r="AEF165" s="11"/>
      <c r="AEG165" s="11"/>
      <c r="AEH165" s="11"/>
      <c r="AEI165" s="11"/>
      <c r="AEJ165" s="11"/>
      <c r="AEK165" s="11"/>
      <c r="AEL165" s="11"/>
      <c r="AEM165" s="11"/>
      <c r="AEN165" s="11"/>
      <c r="AEO165" s="11"/>
      <c r="AEP165" s="11"/>
      <c r="AEQ165" s="11"/>
      <c r="AER165" s="11"/>
      <c r="AES165" s="11"/>
      <c r="AET165" s="11"/>
      <c r="AEU165" s="11"/>
      <c r="AEV165" s="11"/>
      <c r="AEW165" s="11"/>
      <c r="AEX165" s="11"/>
      <c r="AEY165" s="11"/>
      <c r="AEZ165" s="11"/>
      <c r="AFA165" s="11"/>
      <c r="AFB165" s="11"/>
      <c r="AFC165" s="11"/>
      <c r="AFD165" s="11"/>
      <c r="AFE165" s="11"/>
      <c r="AFF165" s="11"/>
      <c r="AFG165" s="11"/>
      <c r="AFH165" s="11"/>
      <c r="AFI165" s="11"/>
    </row>
    <row r="166" spans="2:84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1"/>
      <c r="LV166" s="11"/>
      <c r="LW166" s="11"/>
      <c r="LX166" s="11"/>
      <c r="LY166" s="11"/>
      <c r="LZ166" s="11"/>
      <c r="MA166" s="11"/>
      <c r="MB166" s="11"/>
      <c r="MC166" s="11"/>
      <c r="MD166" s="11"/>
      <c r="ME166" s="11"/>
      <c r="MF166" s="11"/>
      <c r="MG166" s="11"/>
      <c r="MH166" s="11"/>
      <c r="MI166" s="11"/>
      <c r="MJ166" s="11"/>
      <c r="MK166" s="11"/>
      <c r="ML166" s="11"/>
      <c r="MM166" s="11"/>
      <c r="MN166" s="11"/>
      <c r="MO166" s="11"/>
      <c r="MP166" s="11"/>
      <c r="MQ166" s="11"/>
      <c r="MR166" s="11"/>
      <c r="MS166" s="11"/>
      <c r="MT166" s="11"/>
      <c r="MU166" s="11"/>
      <c r="MV166" s="11"/>
      <c r="MW166" s="11"/>
      <c r="MX166" s="11"/>
      <c r="MY166" s="11"/>
      <c r="MZ166" s="11"/>
      <c r="NA166" s="11"/>
      <c r="NB166" s="11"/>
      <c r="NC166" s="11"/>
      <c r="ND166" s="11"/>
      <c r="NE166" s="11"/>
      <c r="NF166" s="11"/>
      <c r="NG166" s="11"/>
      <c r="NH166" s="11"/>
      <c r="NI166" s="11"/>
      <c r="NJ166" s="11"/>
      <c r="NK166" s="11"/>
      <c r="NL166" s="11"/>
      <c r="NM166" s="11"/>
      <c r="NN166" s="11"/>
      <c r="NO166" s="11"/>
      <c r="NP166" s="11"/>
      <c r="NQ166" s="11"/>
      <c r="NR166" s="11"/>
      <c r="NS166" s="11"/>
      <c r="NT166" s="11"/>
      <c r="NU166" s="11"/>
      <c r="NV166" s="11"/>
      <c r="NW166" s="11"/>
      <c r="NX166" s="11"/>
      <c r="NY166" s="11"/>
      <c r="NZ166" s="11"/>
      <c r="OA166" s="11"/>
      <c r="OB166" s="11"/>
      <c r="OC166" s="11"/>
      <c r="OD166" s="11"/>
      <c r="OE166" s="11"/>
      <c r="OF166" s="11"/>
      <c r="OG166" s="11"/>
      <c r="OH166" s="11"/>
      <c r="OI166" s="11"/>
      <c r="OJ166" s="11"/>
      <c r="OK166" s="11"/>
      <c r="OL166" s="11"/>
      <c r="OM166" s="11"/>
      <c r="ON166" s="11"/>
      <c r="OO166" s="11"/>
      <c r="OP166" s="11"/>
      <c r="OQ166" s="11"/>
      <c r="OR166" s="11"/>
      <c r="OS166" s="11"/>
      <c r="OT166" s="11"/>
      <c r="OU166" s="11"/>
      <c r="OV166" s="11"/>
      <c r="OW166" s="11"/>
      <c r="OX166" s="11"/>
      <c r="OY166" s="11"/>
      <c r="OZ166" s="11"/>
      <c r="PA166" s="11"/>
      <c r="PB166" s="11"/>
      <c r="PC166" s="11"/>
      <c r="PD166" s="11"/>
      <c r="PE166" s="11"/>
      <c r="PF166" s="11"/>
      <c r="PG166" s="11"/>
      <c r="PH166" s="11"/>
      <c r="PI166" s="11"/>
      <c r="PJ166" s="11"/>
      <c r="PK166" s="11"/>
      <c r="PL166" s="11"/>
      <c r="PM166" s="11"/>
      <c r="PN166" s="11"/>
      <c r="PO166" s="11"/>
      <c r="PP166" s="11"/>
      <c r="PQ166" s="11"/>
      <c r="PR166" s="11"/>
      <c r="PS166" s="11"/>
      <c r="PT166" s="11"/>
      <c r="PU166" s="11"/>
      <c r="PV166" s="11"/>
      <c r="PW166" s="11"/>
      <c r="PX166" s="11"/>
      <c r="PY166" s="11"/>
      <c r="PZ166" s="11"/>
      <c r="QA166" s="11"/>
      <c r="QB166" s="11"/>
      <c r="QC166" s="11"/>
      <c r="QD166" s="11"/>
      <c r="QE166" s="11"/>
      <c r="QF166" s="11"/>
      <c r="QG166" s="11"/>
      <c r="QH166" s="11"/>
      <c r="QI166" s="11"/>
      <c r="QJ166" s="11"/>
      <c r="QK166" s="11"/>
      <c r="QL166" s="11"/>
      <c r="QM166" s="11"/>
      <c r="QN166" s="11"/>
      <c r="QO166" s="11"/>
      <c r="QP166" s="11"/>
      <c r="QQ166" s="11"/>
      <c r="QR166" s="11"/>
      <c r="QS166" s="11"/>
      <c r="QT166" s="11"/>
      <c r="QU166" s="11"/>
      <c r="QV166" s="11"/>
      <c r="QW166" s="11"/>
      <c r="QX166" s="11"/>
      <c r="QY166" s="11"/>
      <c r="QZ166" s="11"/>
      <c r="RA166" s="11"/>
      <c r="RB166" s="11"/>
      <c r="RC166" s="11"/>
      <c r="RD166" s="11"/>
      <c r="RE166" s="11"/>
      <c r="RF166" s="11"/>
      <c r="RG166" s="11"/>
      <c r="RH166" s="11"/>
      <c r="RI166" s="11"/>
      <c r="RJ166" s="11"/>
      <c r="RK166" s="11"/>
      <c r="RL166" s="11"/>
      <c r="RM166" s="11"/>
      <c r="RN166" s="11"/>
      <c r="RO166" s="11"/>
      <c r="RP166" s="11"/>
      <c r="RQ166" s="11"/>
      <c r="RR166" s="11"/>
      <c r="RS166" s="11"/>
      <c r="RT166" s="11"/>
      <c r="RU166" s="11"/>
      <c r="RV166" s="11"/>
      <c r="RW166" s="11"/>
      <c r="RX166" s="11"/>
      <c r="RY166" s="11"/>
      <c r="RZ166" s="11"/>
      <c r="SA166" s="11"/>
      <c r="SB166" s="11"/>
      <c r="SC166" s="11"/>
      <c r="SD166" s="11"/>
      <c r="SE166" s="11"/>
      <c r="SF166" s="11"/>
      <c r="SG166" s="11"/>
      <c r="SH166" s="11"/>
      <c r="SI166" s="11"/>
      <c r="SJ166" s="11"/>
      <c r="SK166" s="11"/>
      <c r="SL166" s="11"/>
      <c r="SM166" s="11"/>
      <c r="SN166" s="11"/>
      <c r="SO166" s="11"/>
      <c r="SP166" s="11"/>
      <c r="SQ166" s="11"/>
      <c r="SR166" s="11"/>
      <c r="SS166" s="11"/>
      <c r="ST166" s="11"/>
      <c r="SU166" s="11"/>
      <c r="SV166" s="11"/>
      <c r="SW166" s="11"/>
      <c r="SX166" s="11"/>
      <c r="SY166" s="11"/>
      <c r="SZ166" s="11"/>
      <c r="TA166" s="11"/>
      <c r="TB166" s="11"/>
      <c r="TC166" s="11"/>
      <c r="TD166" s="11"/>
      <c r="TE166" s="11"/>
      <c r="TF166" s="11"/>
      <c r="TG166" s="11"/>
      <c r="TH166" s="11"/>
      <c r="TI166" s="11"/>
      <c r="TJ166" s="11"/>
      <c r="TK166" s="11"/>
      <c r="TL166" s="11"/>
      <c r="TM166" s="11"/>
      <c r="TN166" s="11"/>
      <c r="TO166" s="11"/>
      <c r="TP166" s="11"/>
      <c r="TQ166" s="11"/>
      <c r="TR166" s="11"/>
      <c r="TS166" s="11"/>
      <c r="TT166" s="11"/>
      <c r="TU166" s="11"/>
      <c r="TV166" s="11"/>
      <c r="TW166" s="11"/>
      <c r="TX166" s="11"/>
      <c r="TY166" s="11"/>
      <c r="TZ166" s="11"/>
      <c r="UA166" s="11"/>
      <c r="UB166" s="11"/>
      <c r="UC166" s="11"/>
      <c r="UD166" s="11"/>
      <c r="UE166" s="11"/>
      <c r="UF166" s="11"/>
      <c r="UG166" s="11"/>
      <c r="UH166" s="11"/>
      <c r="UI166" s="11"/>
      <c r="UJ166" s="11"/>
      <c r="UK166" s="11"/>
      <c r="UL166" s="11"/>
      <c r="UM166" s="11"/>
      <c r="UN166" s="11"/>
      <c r="UO166" s="11"/>
      <c r="UP166" s="11"/>
      <c r="UQ166" s="11"/>
      <c r="UR166" s="11"/>
      <c r="US166" s="11"/>
      <c r="UT166" s="11"/>
      <c r="UU166" s="11"/>
      <c r="UV166" s="11"/>
      <c r="UW166" s="11"/>
      <c r="UX166" s="11"/>
      <c r="UY166" s="11"/>
      <c r="UZ166" s="11"/>
      <c r="VA166" s="11"/>
      <c r="VB166" s="11"/>
      <c r="VC166" s="11"/>
      <c r="VD166" s="11"/>
      <c r="VE166" s="11"/>
      <c r="VF166" s="11"/>
      <c r="VG166" s="11"/>
      <c r="VH166" s="11"/>
      <c r="VI166" s="11"/>
      <c r="VJ166" s="11"/>
      <c r="VK166" s="11"/>
      <c r="VL166" s="11"/>
      <c r="VM166" s="11"/>
      <c r="VN166" s="11"/>
      <c r="VO166" s="11"/>
      <c r="VP166" s="11"/>
      <c r="VQ166" s="11"/>
      <c r="VR166" s="11"/>
      <c r="VS166" s="11"/>
      <c r="VT166" s="11"/>
      <c r="VU166" s="11"/>
      <c r="VV166" s="11"/>
      <c r="VW166" s="11"/>
      <c r="VX166" s="11"/>
      <c r="VY166" s="11"/>
      <c r="VZ166" s="11"/>
      <c r="WA166" s="11"/>
      <c r="WB166" s="11"/>
      <c r="WC166" s="11"/>
      <c r="WD166" s="11"/>
      <c r="WE166" s="11"/>
      <c r="WF166" s="11"/>
      <c r="WG166" s="11"/>
      <c r="WH166" s="11"/>
      <c r="WI166" s="11"/>
      <c r="WJ166" s="11"/>
      <c r="WK166" s="11"/>
      <c r="WL166" s="11"/>
      <c r="WM166" s="11"/>
      <c r="WN166" s="11"/>
      <c r="WO166" s="11"/>
      <c r="WP166" s="11"/>
      <c r="WQ166" s="11"/>
      <c r="WR166" s="11"/>
      <c r="WS166" s="11"/>
      <c r="WT166" s="11"/>
      <c r="WU166" s="11"/>
      <c r="WV166" s="11"/>
      <c r="WW166" s="11"/>
      <c r="WX166" s="11"/>
      <c r="WY166" s="11"/>
      <c r="WZ166" s="11"/>
      <c r="XA166" s="11"/>
      <c r="XB166" s="11"/>
      <c r="XC166" s="11"/>
      <c r="XD166" s="11"/>
      <c r="XE166" s="11"/>
      <c r="XF166" s="11"/>
      <c r="XG166" s="11"/>
      <c r="XH166" s="11"/>
      <c r="XI166" s="11"/>
      <c r="XJ166" s="11"/>
      <c r="XK166" s="11"/>
      <c r="XL166" s="11"/>
      <c r="XM166" s="11"/>
      <c r="XN166" s="11"/>
      <c r="XO166" s="11"/>
      <c r="XP166" s="11"/>
      <c r="XQ166" s="11"/>
      <c r="XR166" s="11"/>
      <c r="XS166" s="11"/>
      <c r="XT166" s="11"/>
      <c r="XU166" s="11"/>
      <c r="XV166" s="11"/>
      <c r="XW166" s="11"/>
      <c r="XX166" s="11"/>
      <c r="XY166" s="11"/>
      <c r="XZ166" s="11"/>
      <c r="YA166" s="11"/>
      <c r="YB166" s="11"/>
      <c r="YC166" s="11"/>
      <c r="YD166" s="11"/>
      <c r="YE166" s="11"/>
      <c r="YF166" s="11"/>
      <c r="YG166" s="11"/>
      <c r="YH166" s="11"/>
      <c r="YI166" s="11"/>
      <c r="YJ166" s="11"/>
      <c r="YK166" s="11"/>
      <c r="YL166" s="11"/>
      <c r="YM166" s="11"/>
      <c r="YN166" s="11"/>
      <c r="YO166" s="11"/>
      <c r="YP166" s="11"/>
      <c r="YQ166" s="11"/>
      <c r="YR166" s="11"/>
      <c r="YS166" s="11"/>
      <c r="YT166" s="11"/>
      <c r="YU166" s="11"/>
      <c r="YV166" s="11"/>
      <c r="YW166" s="11"/>
      <c r="YX166" s="11"/>
      <c r="YY166" s="11"/>
      <c r="YZ166" s="11"/>
      <c r="ZA166" s="11"/>
      <c r="ZB166" s="11"/>
      <c r="ZC166" s="11"/>
      <c r="ZD166" s="11"/>
      <c r="ZE166" s="11"/>
      <c r="ZF166" s="11"/>
      <c r="ZG166" s="11"/>
      <c r="ZH166" s="11"/>
      <c r="ZI166" s="11"/>
      <c r="ZJ166" s="11"/>
      <c r="ZK166" s="11"/>
      <c r="ZL166" s="11"/>
      <c r="ZM166" s="11"/>
      <c r="ZN166" s="11"/>
      <c r="ZO166" s="11"/>
      <c r="ZP166" s="11"/>
      <c r="ZQ166" s="11"/>
      <c r="ZR166" s="11"/>
      <c r="ZS166" s="11"/>
      <c r="ZT166" s="11"/>
      <c r="ZU166" s="11"/>
      <c r="ZV166" s="11"/>
      <c r="ZW166" s="11"/>
      <c r="ZX166" s="11"/>
      <c r="ZY166" s="11"/>
      <c r="ZZ166" s="11"/>
      <c r="AAA166" s="11"/>
      <c r="AAB166" s="11"/>
      <c r="AAC166" s="11"/>
      <c r="AAD166" s="11"/>
      <c r="AAE166" s="11"/>
      <c r="AAF166" s="11"/>
      <c r="AAG166" s="11"/>
      <c r="AAH166" s="11"/>
      <c r="AAI166" s="11"/>
      <c r="AAJ166" s="11"/>
      <c r="AAK166" s="11"/>
      <c r="AAL166" s="11"/>
      <c r="AAM166" s="11"/>
      <c r="AAN166" s="11"/>
      <c r="AAO166" s="11"/>
      <c r="AAP166" s="11"/>
      <c r="AAQ166" s="11"/>
      <c r="AAR166" s="11"/>
      <c r="AAS166" s="11"/>
      <c r="AAT166" s="11"/>
      <c r="AAU166" s="11"/>
      <c r="AAV166" s="11"/>
      <c r="AAW166" s="11"/>
      <c r="AAX166" s="11"/>
      <c r="AAY166" s="11"/>
      <c r="AAZ166" s="11"/>
      <c r="ABA166" s="11"/>
      <c r="ABB166" s="11"/>
      <c r="ABC166" s="11"/>
      <c r="ABD166" s="11"/>
      <c r="ABE166" s="11"/>
      <c r="ABF166" s="11"/>
      <c r="ABG166" s="11"/>
      <c r="ABH166" s="11"/>
      <c r="ABI166" s="11"/>
      <c r="ABJ166" s="11"/>
      <c r="ABK166" s="11"/>
      <c r="ABL166" s="11"/>
      <c r="ABM166" s="11"/>
      <c r="ABN166" s="11"/>
      <c r="ABO166" s="11"/>
      <c r="ABP166" s="11"/>
      <c r="ABQ166" s="11"/>
      <c r="ABR166" s="11"/>
      <c r="ABS166" s="11"/>
      <c r="ABT166" s="11"/>
      <c r="ABU166" s="11"/>
      <c r="ABV166" s="11"/>
      <c r="ABW166" s="11"/>
      <c r="ABX166" s="11"/>
      <c r="ABY166" s="11"/>
      <c r="ABZ166" s="11"/>
      <c r="ACA166" s="11"/>
      <c r="ACB166" s="11"/>
      <c r="ACC166" s="11"/>
      <c r="ACD166" s="11"/>
      <c r="ACE166" s="11"/>
      <c r="ACF166" s="11"/>
      <c r="ACG166" s="11"/>
      <c r="ACH166" s="11"/>
      <c r="ACI166" s="11"/>
      <c r="ACJ166" s="11"/>
      <c r="ACK166" s="11"/>
      <c r="ACL166" s="11"/>
      <c r="ACM166" s="11"/>
      <c r="ACN166" s="11"/>
      <c r="ACO166" s="11"/>
      <c r="ACP166" s="11"/>
      <c r="ACQ166" s="11"/>
      <c r="ACR166" s="11"/>
      <c r="ACS166" s="11"/>
      <c r="ACT166" s="11"/>
      <c r="ACU166" s="11"/>
      <c r="ACV166" s="11"/>
      <c r="ACW166" s="11"/>
      <c r="ACX166" s="11"/>
      <c r="ACY166" s="11"/>
      <c r="ACZ166" s="11"/>
      <c r="ADA166" s="11"/>
      <c r="ADB166" s="11"/>
      <c r="ADC166" s="11"/>
      <c r="ADD166" s="11"/>
      <c r="ADE166" s="11"/>
      <c r="ADF166" s="11"/>
      <c r="ADG166" s="11"/>
      <c r="ADH166" s="11"/>
      <c r="ADI166" s="11"/>
      <c r="ADJ166" s="11"/>
      <c r="ADK166" s="11"/>
      <c r="ADL166" s="11"/>
      <c r="ADM166" s="11"/>
      <c r="ADN166" s="11"/>
      <c r="ADO166" s="11"/>
      <c r="ADP166" s="11"/>
      <c r="ADQ166" s="11"/>
      <c r="ADR166" s="11"/>
      <c r="ADS166" s="11"/>
      <c r="ADT166" s="11"/>
      <c r="ADU166" s="11"/>
      <c r="ADV166" s="11"/>
      <c r="ADW166" s="11"/>
      <c r="ADX166" s="11"/>
      <c r="ADY166" s="11"/>
      <c r="ADZ166" s="11"/>
      <c r="AEA166" s="11"/>
      <c r="AEB166" s="11"/>
      <c r="AEC166" s="11"/>
      <c r="AED166" s="11"/>
      <c r="AEE166" s="11"/>
      <c r="AEF166" s="11"/>
      <c r="AEG166" s="11"/>
      <c r="AEH166" s="11"/>
      <c r="AEI166" s="11"/>
      <c r="AEJ166" s="11"/>
      <c r="AEK166" s="11"/>
      <c r="AEL166" s="11"/>
      <c r="AEM166" s="11"/>
      <c r="AEN166" s="11"/>
      <c r="AEO166" s="11"/>
      <c r="AEP166" s="11"/>
      <c r="AEQ166" s="11"/>
      <c r="AER166" s="11"/>
      <c r="AES166" s="11"/>
      <c r="AET166" s="11"/>
      <c r="AEU166" s="11"/>
      <c r="AEV166" s="11"/>
      <c r="AEW166" s="11"/>
      <c r="AEX166" s="11"/>
      <c r="AEY166" s="11"/>
      <c r="AEZ166" s="11"/>
      <c r="AFA166" s="11"/>
      <c r="AFB166" s="11"/>
      <c r="AFC166" s="11"/>
      <c r="AFD166" s="11"/>
      <c r="AFE166" s="11"/>
      <c r="AFF166" s="11"/>
      <c r="AFG166" s="11"/>
      <c r="AFH166" s="11"/>
      <c r="AFI166" s="11"/>
    </row>
    <row r="167" spans="2:84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1"/>
      <c r="NH167" s="11"/>
      <c r="NI167" s="11"/>
      <c r="NJ167" s="11"/>
      <c r="NK167" s="11"/>
      <c r="NL167" s="11"/>
      <c r="NM167" s="11"/>
      <c r="NN167" s="11"/>
      <c r="NO167" s="11"/>
      <c r="NP167" s="11"/>
      <c r="NQ167" s="11"/>
      <c r="NR167" s="11"/>
      <c r="NS167" s="11"/>
      <c r="NT167" s="11"/>
      <c r="NU167" s="11"/>
      <c r="NV167" s="11"/>
      <c r="NW167" s="11"/>
      <c r="NX167" s="11"/>
      <c r="NY167" s="11"/>
      <c r="NZ167" s="11"/>
      <c r="OA167" s="11"/>
      <c r="OB167" s="11"/>
      <c r="OC167" s="11"/>
      <c r="OD167" s="11"/>
      <c r="OE167" s="11"/>
      <c r="OF167" s="11"/>
      <c r="OG167" s="11"/>
      <c r="OH167" s="11"/>
      <c r="OI167" s="11"/>
      <c r="OJ167" s="11"/>
      <c r="OK167" s="11"/>
      <c r="OL167" s="11"/>
      <c r="OM167" s="11"/>
      <c r="ON167" s="11"/>
      <c r="OO167" s="11"/>
      <c r="OP167" s="11"/>
      <c r="OQ167" s="11"/>
      <c r="OR167" s="11"/>
      <c r="OS167" s="11"/>
      <c r="OT167" s="11"/>
      <c r="OU167" s="11"/>
      <c r="OV167" s="11"/>
      <c r="OW167" s="11"/>
      <c r="OX167" s="11"/>
      <c r="OY167" s="11"/>
      <c r="OZ167" s="11"/>
      <c r="PA167" s="11"/>
      <c r="PB167" s="11"/>
      <c r="PC167" s="11"/>
      <c r="PD167" s="11"/>
      <c r="PE167" s="11"/>
      <c r="PF167" s="11"/>
      <c r="PG167" s="11"/>
      <c r="PH167" s="11"/>
      <c r="PI167" s="11"/>
      <c r="PJ167" s="11"/>
      <c r="PK167" s="11"/>
      <c r="PL167" s="11"/>
      <c r="PM167" s="11"/>
      <c r="PN167" s="11"/>
      <c r="PO167" s="11"/>
      <c r="PP167" s="11"/>
      <c r="PQ167" s="11"/>
      <c r="PR167" s="11"/>
      <c r="PS167" s="11"/>
      <c r="PT167" s="11"/>
      <c r="PU167" s="11"/>
      <c r="PV167" s="11"/>
      <c r="PW167" s="11"/>
      <c r="PX167" s="11"/>
      <c r="PY167" s="11"/>
      <c r="PZ167" s="11"/>
      <c r="QA167" s="11"/>
      <c r="QB167" s="11"/>
      <c r="QC167" s="11"/>
      <c r="QD167" s="11"/>
      <c r="QE167" s="11"/>
      <c r="QF167" s="11"/>
      <c r="QG167" s="11"/>
      <c r="QH167" s="11"/>
      <c r="QI167" s="11"/>
      <c r="QJ167" s="11"/>
      <c r="QK167" s="11"/>
      <c r="QL167" s="11"/>
      <c r="QM167" s="11"/>
      <c r="QN167" s="11"/>
      <c r="QO167" s="11"/>
      <c r="QP167" s="11"/>
      <c r="QQ167" s="11"/>
      <c r="QR167" s="11"/>
      <c r="QS167" s="11"/>
      <c r="QT167" s="11"/>
      <c r="QU167" s="11"/>
      <c r="QV167" s="11"/>
      <c r="QW167" s="11"/>
      <c r="QX167" s="11"/>
      <c r="QY167" s="11"/>
      <c r="QZ167" s="11"/>
      <c r="RA167" s="11"/>
      <c r="RB167" s="11"/>
      <c r="RC167" s="11"/>
      <c r="RD167" s="11"/>
      <c r="RE167" s="11"/>
      <c r="RF167" s="11"/>
      <c r="RG167" s="11"/>
      <c r="RH167" s="11"/>
      <c r="RI167" s="11"/>
      <c r="RJ167" s="11"/>
      <c r="RK167" s="11"/>
      <c r="RL167" s="11"/>
      <c r="RM167" s="11"/>
      <c r="RN167" s="11"/>
      <c r="RO167" s="11"/>
      <c r="RP167" s="11"/>
      <c r="RQ167" s="11"/>
      <c r="RR167" s="11"/>
      <c r="RS167" s="11"/>
      <c r="RT167" s="11"/>
      <c r="RU167" s="11"/>
      <c r="RV167" s="11"/>
      <c r="RW167" s="11"/>
      <c r="RX167" s="11"/>
      <c r="RY167" s="11"/>
      <c r="RZ167" s="11"/>
      <c r="SA167" s="11"/>
      <c r="SB167" s="11"/>
      <c r="SC167" s="11"/>
      <c r="SD167" s="11"/>
      <c r="SE167" s="11"/>
      <c r="SF167" s="11"/>
      <c r="SG167" s="11"/>
      <c r="SH167" s="11"/>
      <c r="SI167" s="11"/>
      <c r="SJ167" s="11"/>
      <c r="SK167" s="11"/>
      <c r="SL167" s="11"/>
      <c r="SM167" s="11"/>
      <c r="SN167" s="11"/>
      <c r="SO167" s="11"/>
      <c r="SP167" s="11"/>
      <c r="SQ167" s="11"/>
      <c r="SR167" s="11"/>
      <c r="SS167" s="11"/>
      <c r="ST167" s="11"/>
      <c r="SU167" s="11"/>
      <c r="SV167" s="11"/>
      <c r="SW167" s="11"/>
      <c r="SX167" s="11"/>
      <c r="SY167" s="11"/>
      <c r="SZ167" s="11"/>
      <c r="TA167" s="11"/>
      <c r="TB167" s="11"/>
      <c r="TC167" s="11"/>
      <c r="TD167" s="11"/>
      <c r="TE167" s="11"/>
      <c r="TF167" s="11"/>
      <c r="TG167" s="11"/>
      <c r="TH167" s="11"/>
      <c r="TI167" s="11"/>
      <c r="TJ167" s="11"/>
      <c r="TK167" s="11"/>
      <c r="TL167" s="11"/>
      <c r="TM167" s="11"/>
      <c r="TN167" s="11"/>
      <c r="TO167" s="11"/>
      <c r="TP167" s="11"/>
      <c r="TQ167" s="11"/>
      <c r="TR167" s="11"/>
      <c r="TS167" s="11"/>
      <c r="TT167" s="11"/>
      <c r="TU167" s="11"/>
      <c r="TV167" s="11"/>
      <c r="TW167" s="11"/>
      <c r="TX167" s="11"/>
      <c r="TY167" s="11"/>
      <c r="TZ167" s="11"/>
      <c r="UA167" s="11"/>
      <c r="UB167" s="11"/>
      <c r="UC167" s="11"/>
      <c r="UD167" s="11"/>
      <c r="UE167" s="11"/>
      <c r="UF167" s="11"/>
      <c r="UG167" s="11"/>
      <c r="UH167" s="11"/>
      <c r="UI167" s="11"/>
      <c r="UJ167" s="11"/>
      <c r="UK167" s="11"/>
      <c r="UL167" s="11"/>
      <c r="UM167" s="11"/>
      <c r="UN167" s="11"/>
      <c r="UO167" s="11"/>
      <c r="UP167" s="11"/>
      <c r="UQ167" s="11"/>
      <c r="UR167" s="11"/>
      <c r="US167" s="11"/>
      <c r="UT167" s="11"/>
      <c r="UU167" s="11"/>
      <c r="UV167" s="11"/>
      <c r="UW167" s="11"/>
      <c r="UX167" s="11"/>
      <c r="UY167" s="11"/>
      <c r="UZ167" s="11"/>
      <c r="VA167" s="11"/>
      <c r="VB167" s="11"/>
      <c r="VC167" s="11"/>
      <c r="VD167" s="11"/>
      <c r="VE167" s="11"/>
      <c r="VF167" s="11"/>
      <c r="VG167" s="11"/>
      <c r="VH167" s="11"/>
      <c r="VI167" s="11"/>
      <c r="VJ167" s="11"/>
      <c r="VK167" s="11"/>
      <c r="VL167" s="11"/>
      <c r="VM167" s="11"/>
      <c r="VN167" s="11"/>
      <c r="VO167" s="11"/>
      <c r="VP167" s="11"/>
      <c r="VQ167" s="11"/>
      <c r="VR167" s="11"/>
      <c r="VS167" s="11"/>
      <c r="VT167" s="11"/>
      <c r="VU167" s="11"/>
      <c r="VV167" s="11"/>
      <c r="VW167" s="11"/>
      <c r="VX167" s="11"/>
      <c r="VY167" s="11"/>
      <c r="VZ167" s="11"/>
      <c r="WA167" s="11"/>
      <c r="WB167" s="11"/>
      <c r="WC167" s="11"/>
      <c r="WD167" s="11"/>
      <c r="WE167" s="11"/>
      <c r="WF167" s="11"/>
      <c r="WG167" s="11"/>
      <c r="WH167" s="11"/>
      <c r="WI167" s="11"/>
      <c r="WJ167" s="11"/>
      <c r="WK167" s="11"/>
      <c r="WL167" s="11"/>
      <c r="WM167" s="11"/>
      <c r="WN167" s="11"/>
      <c r="WO167" s="11"/>
      <c r="WP167" s="11"/>
      <c r="WQ167" s="11"/>
      <c r="WR167" s="11"/>
      <c r="WS167" s="11"/>
      <c r="WT167" s="11"/>
      <c r="WU167" s="11"/>
      <c r="WV167" s="11"/>
      <c r="WW167" s="11"/>
      <c r="WX167" s="11"/>
      <c r="WY167" s="11"/>
      <c r="WZ167" s="11"/>
      <c r="XA167" s="11"/>
      <c r="XB167" s="11"/>
      <c r="XC167" s="11"/>
      <c r="XD167" s="11"/>
      <c r="XE167" s="11"/>
      <c r="XF167" s="11"/>
      <c r="XG167" s="11"/>
      <c r="XH167" s="11"/>
      <c r="XI167" s="11"/>
      <c r="XJ167" s="11"/>
      <c r="XK167" s="11"/>
      <c r="XL167" s="11"/>
      <c r="XM167" s="11"/>
      <c r="XN167" s="11"/>
      <c r="XO167" s="11"/>
      <c r="XP167" s="11"/>
      <c r="XQ167" s="11"/>
      <c r="XR167" s="11"/>
      <c r="XS167" s="11"/>
      <c r="XT167" s="11"/>
      <c r="XU167" s="11"/>
      <c r="XV167" s="11"/>
      <c r="XW167" s="11"/>
      <c r="XX167" s="11"/>
      <c r="XY167" s="11"/>
      <c r="XZ167" s="11"/>
      <c r="YA167" s="11"/>
      <c r="YB167" s="11"/>
      <c r="YC167" s="11"/>
      <c r="YD167" s="11"/>
      <c r="YE167" s="11"/>
      <c r="YF167" s="11"/>
      <c r="YG167" s="11"/>
      <c r="YH167" s="11"/>
      <c r="YI167" s="11"/>
      <c r="YJ167" s="11"/>
      <c r="YK167" s="11"/>
      <c r="YL167" s="11"/>
      <c r="YM167" s="11"/>
      <c r="YN167" s="11"/>
      <c r="YO167" s="11"/>
      <c r="YP167" s="11"/>
      <c r="YQ167" s="11"/>
      <c r="YR167" s="11"/>
      <c r="YS167" s="11"/>
      <c r="YT167" s="11"/>
      <c r="YU167" s="11"/>
      <c r="YV167" s="11"/>
      <c r="YW167" s="11"/>
      <c r="YX167" s="11"/>
      <c r="YY167" s="11"/>
      <c r="YZ167" s="11"/>
      <c r="ZA167" s="11"/>
      <c r="ZB167" s="11"/>
      <c r="ZC167" s="11"/>
      <c r="ZD167" s="11"/>
      <c r="ZE167" s="11"/>
      <c r="ZF167" s="11"/>
      <c r="ZG167" s="11"/>
      <c r="ZH167" s="11"/>
      <c r="ZI167" s="11"/>
      <c r="ZJ167" s="11"/>
      <c r="ZK167" s="11"/>
      <c r="ZL167" s="11"/>
      <c r="ZM167" s="11"/>
      <c r="ZN167" s="11"/>
      <c r="ZO167" s="11"/>
      <c r="ZP167" s="11"/>
      <c r="ZQ167" s="11"/>
      <c r="ZR167" s="11"/>
      <c r="ZS167" s="11"/>
      <c r="ZT167" s="11"/>
      <c r="ZU167" s="11"/>
      <c r="ZV167" s="11"/>
      <c r="ZW167" s="11"/>
      <c r="ZX167" s="11"/>
      <c r="ZY167" s="11"/>
      <c r="ZZ167" s="11"/>
      <c r="AAA167" s="11"/>
      <c r="AAB167" s="11"/>
      <c r="AAC167" s="11"/>
      <c r="AAD167" s="11"/>
      <c r="AAE167" s="11"/>
      <c r="AAF167" s="11"/>
      <c r="AAG167" s="11"/>
      <c r="AAH167" s="11"/>
      <c r="AAI167" s="11"/>
      <c r="AAJ167" s="11"/>
      <c r="AAK167" s="11"/>
      <c r="AAL167" s="11"/>
      <c r="AAM167" s="11"/>
      <c r="AAN167" s="11"/>
      <c r="AAO167" s="11"/>
      <c r="AAP167" s="11"/>
      <c r="AAQ167" s="11"/>
      <c r="AAR167" s="11"/>
      <c r="AAS167" s="11"/>
      <c r="AAT167" s="11"/>
      <c r="AAU167" s="11"/>
      <c r="AAV167" s="11"/>
      <c r="AAW167" s="11"/>
      <c r="AAX167" s="11"/>
      <c r="AAY167" s="11"/>
      <c r="AAZ167" s="11"/>
      <c r="ABA167" s="11"/>
      <c r="ABB167" s="11"/>
      <c r="ABC167" s="11"/>
      <c r="ABD167" s="11"/>
      <c r="ABE167" s="11"/>
      <c r="ABF167" s="11"/>
      <c r="ABG167" s="11"/>
      <c r="ABH167" s="11"/>
      <c r="ABI167" s="11"/>
      <c r="ABJ167" s="11"/>
      <c r="ABK167" s="11"/>
      <c r="ABL167" s="11"/>
      <c r="ABM167" s="11"/>
      <c r="ABN167" s="11"/>
      <c r="ABO167" s="11"/>
      <c r="ABP167" s="11"/>
      <c r="ABQ167" s="11"/>
      <c r="ABR167" s="11"/>
      <c r="ABS167" s="11"/>
      <c r="ABT167" s="11"/>
      <c r="ABU167" s="11"/>
      <c r="ABV167" s="11"/>
      <c r="ABW167" s="11"/>
      <c r="ABX167" s="11"/>
      <c r="ABY167" s="11"/>
      <c r="ABZ167" s="11"/>
      <c r="ACA167" s="11"/>
      <c r="ACB167" s="11"/>
      <c r="ACC167" s="11"/>
      <c r="ACD167" s="11"/>
      <c r="ACE167" s="11"/>
      <c r="ACF167" s="11"/>
      <c r="ACG167" s="11"/>
      <c r="ACH167" s="11"/>
      <c r="ACI167" s="11"/>
      <c r="ACJ167" s="11"/>
      <c r="ACK167" s="11"/>
      <c r="ACL167" s="11"/>
      <c r="ACM167" s="11"/>
      <c r="ACN167" s="11"/>
      <c r="ACO167" s="11"/>
      <c r="ACP167" s="11"/>
      <c r="ACQ167" s="11"/>
      <c r="ACR167" s="11"/>
      <c r="ACS167" s="11"/>
      <c r="ACT167" s="11"/>
      <c r="ACU167" s="11"/>
      <c r="ACV167" s="11"/>
      <c r="ACW167" s="11"/>
      <c r="ACX167" s="11"/>
      <c r="ACY167" s="11"/>
      <c r="ACZ167" s="11"/>
      <c r="ADA167" s="11"/>
      <c r="ADB167" s="11"/>
      <c r="ADC167" s="11"/>
      <c r="ADD167" s="11"/>
      <c r="ADE167" s="11"/>
      <c r="ADF167" s="11"/>
      <c r="ADG167" s="11"/>
      <c r="ADH167" s="11"/>
      <c r="ADI167" s="11"/>
      <c r="ADJ167" s="11"/>
      <c r="ADK167" s="11"/>
      <c r="ADL167" s="11"/>
      <c r="ADM167" s="11"/>
      <c r="ADN167" s="11"/>
      <c r="ADO167" s="11"/>
      <c r="ADP167" s="11"/>
      <c r="ADQ167" s="11"/>
      <c r="ADR167" s="11"/>
      <c r="ADS167" s="11"/>
      <c r="ADT167" s="11"/>
      <c r="ADU167" s="11"/>
      <c r="ADV167" s="11"/>
      <c r="ADW167" s="11"/>
      <c r="ADX167" s="11"/>
      <c r="ADY167" s="11"/>
      <c r="ADZ167" s="11"/>
      <c r="AEA167" s="11"/>
      <c r="AEB167" s="11"/>
      <c r="AEC167" s="11"/>
      <c r="AED167" s="11"/>
      <c r="AEE167" s="11"/>
      <c r="AEF167" s="11"/>
      <c r="AEG167" s="11"/>
      <c r="AEH167" s="11"/>
      <c r="AEI167" s="11"/>
      <c r="AEJ167" s="11"/>
      <c r="AEK167" s="11"/>
      <c r="AEL167" s="11"/>
      <c r="AEM167" s="11"/>
      <c r="AEN167" s="11"/>
      <c r="AEO167" s="11"/>
      <c r="AEP167" s="11"/>
      <c r="AEQ167" s="11"/>
      <c r="AER167" s="11"/>
      <c r="AES167" s="11"/>
      <c r="AET167" s="11"/>
      <c r="AEU167" s="11"/>
      <c r="AEV167" s="11"/>
      <c r="AEW167" s="11"/>
      <c r="AEX167" s="11"/>
      <c r="AEY167" s="11"/>
      <c r="AEZ167" s="11"/>
      <c r="AFA167" s="11"/>
      <c r="AFB167" s="11"/>
      <c r="AFC167" s="11"/>
      <c r="AFD167" s="11"/>
      <c r="AFE167" s="11"/>
      <c r="AFF167" s="11"/>
      <c r="AFG167" s="11"/>
      <c r="AFH167" s="11"/>
      <c r="AFI167" s="11"/>
    </row>
    <row r="168" spans="2:84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1"/>
      <c r="LV168" s="11"/>
      <c r="LW168" s="11"/>
      <c r="LX168" s="11"/>
      <c r="LY168" s="11"/>
      <c r="LZ168" s="11"/>
      <c r="MA168" s="11"/>
      <c r="MB168" s="11"/>
      <c r="MC168" s="11"/>
      <c r="MD168" s="11"/>
      <c r="ME168" s="11"/>
      <c r="MF168" s="11"/>
      <c r="MG168" s="11"/>
      <c r="MH168" s="11"/>
      <c r="MI168" s="11"/>
      <c r="MJ168" s="11"/>
      <c r="MK168" s="11"/>
      <c r="ML168" s="11"/>
      <c r="MM168" s="11"/>
      <c r="MN168" s="11"/>
      <c r="MO168" s="11"/>
      <c r="MP168" s="11"/>
      <c r="MQ168" s="11"/>
      <c r="MR168" s="11"/>
      <c r="MS168" s="11"/>
      <c r="MT168" s="11"/>
      <c r="MU168" s="11"/>
      <c r="MV168" s="11"/>
      <c r="MW168" s="11"/>
      <c r="MX168" s="11"/>
      <c r="MY168" s="11"/>
      <c r="MZ168" s="11"/>
      <c r="NA168" s="11"/>
      <c r="NB168" s="11"/>
      <c r="NC168" s="11"/>
      <c r="ND168" s="11"/>
      <c r="NE168" s="11"/>
      <c r="NF168" s="11"/>
      <c r="NG168" s="11"/>
      <c r="NH168" s="11"/>
      <c r="NI168" s="11"/>
      <c r="NJ168" s="11"/>
      <c r="NK168" s="11"/>
      <c r="NL168" s="11"/>
      <c r="NM168" s="11"/>
      <c r="NN168" s="11"/>
      <c r="NO168" s="11"/>
      <c r="NP168" s="11"/>
      <c r="NQ168" s="11"/>
      <c r="NR168" s="11"/>
      <c r="NS168" s="11"/>
      <c r="NT168" s="11"/>
      <c r="NU168" s="11"/>
      <c r="NV168" s="11"/>
      <c r="NW168" s="11"/>
      <c r="NX168" s="11"/>
      <c r="NY168" s="11"/>
      <c r="NZ168" s="11"/>
      <c r="OA168" s="11"/>
      <c r="OB168" s="11"/>
      <c r="OC168" s="11"/>
      <c r="OD168" s="11"/>
      <c r="OE168" s="11"/>
      <c r="OF168" s="11"/>
      <c r="OG168" s="11"/>
      <c r="OH168" s="11"/>
      <c r="OI168" s="11"/>
      <c r="OJ168" s="11"/>
      <c r="OK168" s="11"/>
      <c r="OL168" s="11"/>
      <c r="OM168" s="11"/>
      <c r="ON168" s="11"/>
      <c r="OO168" s="11"/>
      <c r="OP168" s="11"/>
      <c r="OQ168" s="11"/>
      <c r="OR168" s="11"/>
      <c r="OS168" s="11"/>
      <c r="OT168" s="11"/>
      <c r="OU168" s="11"/>
      <c r="OV168" s="11"/>
      <c r="OW168" s="11"/>
      <c r="OX168" s="11"/>
      <c r="OY168" s="11"/>
      <c r="OZ168" s="11"/>
      <c r="PA168" s="11"/>
      <c r="PB168" s="11"/>
      <c r="PC168" s="11"/>
      <c r="PD168" s="11"/>
      <c r="PE168" s="11"/>
      <c r="PF168" s="11"/>
      <c r="PG168" s="11"/>
      <c r="PH168" s="11"/>
      <c r="PI168" s="11"/>
      <c r="PJ168" s="11"/>
      <c r="PK168" s="11"/>
      <c r="PL168" s="11"/>
      <c r="PM168" s="11"/>
      <c r="PN168" s="11"/>
      <c r="PO168" s="11"/>
      <c r="PP168" s="11"/>
      <c r="PQ168" s="11"/>
      <c r="PR168" s="11"/>
      <c r="PS168" s="11"/>
      <c r="PT168" s="11"/>
      <c r="PU168" s="11"/>
      <c r="PV168" s="11"/>
      <c r="PW168" s="11"/>
      <c r="PX168" s="11"/>
      <c r="PY168" s="11"/>
      <c r="PZ168" s="11"/>
      <c r="QA168" s="11"/>
      <c r="QB168" s="11"/>
      <c r="QC168" s="11"/>
      <c r="QD168" s="11"/>
      <c r="QE168" s="11"/>
      <c r="QF168" s="11"/>
      <c r="QG168" s="11"/>
      <c r="QH168" s="11"/>
      <c r="QI168" s="11"/>
      <c r="QJ168" s="11"/>
      <c r="QK168" s="11"/>
      <c r="QL168" s="11"/>
      <c r="QM168" s="11"/>
      <c r="QN168" s="11"/>
      <c r="QO168" s="11"/>
      <c r="QP168" s="11"/>
      <c r="QQ168" s="11"/>
      <c r="QR168" s="11"/>
      <c r="QS168" s="11"/>
      <c r="QT168" s="11"/>
      <c r="QU168" s="11"/>
      <c r="QV168" s="11"/>
      <c r="QW168" s="11"/>
      <c r="QX168" s="11"/>
      <c r="QY168" s="11"/>
      <c r="QZ168" s="11"/>
      <c r="RA168" s="11"/>
      <c r="RB168" s="11"/>
      <c r="RC168" s="11"/>
      <c r="RD168" s="11"/>
      <c r="RE168" s="11"/>
      <c r="RF168" s="11"/>
      <c r="RG168" s="11"/>
      <c r="RH168" s="11"/>
      <c r="RI168" s="11"/>
      <c r="RJ168" s="11"/>
      <c r="RK168" s="11"/>
      <c r="RL168" s="11"/>
      <c r="RM168" s="11"/>
      <c r="RN168" s="11"/>
      <c r="RO168" s="11"/>
      <c r="RP168" s="11"/>
      <c r="RQ168" s="11"/>
      <c r="RR168" s="11"/>
      <c r="RS168" s="11"/>
      <c r="RT168" s="11"/>
      <c r="RU168" s="11"/>
      <c r="RV168" s="11"/>
      <c r="RW168" s="11"/>
      <c r="RX168" s="11"/>
      <c r="RY168" s="11"/>
      <c r="RZ168" s="11"/>
      <c r="SA168" s="11"/>
      <c r="SB168" s="11"/>
      <c r="SC168" s="11"/>
      <c r="SD168" s="11"/>
      <c r="SE168" s="11"/>
      <c r="SF168" s="11"/>
      <c r="SG168" s="11"/>
      <c r="SH168" s="11"/>
      <c r="SI168" s="11"/>
      <c r="SJ168" s="11"/>
      <c r="SK168" s="11"/>
      <c r="SL168" s="11"/>
      <c r="SM168" s="11"/>
      <c r="SN168" s="11"/>
      <c r="SO168" s="11"/>
      <c r="SP168" s="11"/>
      <c r="SQ168" s="11"/>
      <c r="SR168" s="11"/>
      <c r="SS168" s="11"/>
      <c r="ST168" s="11"/>
      <c r="SU168" s="11"/>
      <c r="SV168" s="11"/>
      <c r="SW168" s="11"/>
      <c r="SX168" s="11"/>
      <c r="SY168" s="11"/>
      <c r="SZ168" s="11"/>
      <c r="TA168" s="11"/>
      <c r="TB168" s="11"/>
      <c r="TC168" s="11"/>
      <c r="TD168" s="11"/>
      <c r="TE168" s="11"/>
      <c r="TF168" s="11"/>
      <c r="TG168" s="11"/>
      <c r="TH168" s="11"/>
      <c r="TI168" s="11"/>
      <c r="TJ168" s="11"/>
      <c r="TK168" s="11"/>
      <c r="TL168" s="11"/>
      <c r="TM168" s="11"/>
      <c r="TN168" s="11"/>
      <c r="TO168" s="11"/>
      <c r="TP168" s="11"/>
      <c r="TQ168" s="11"/>
      <c r="TR168" s="11"/>
      <c r="TS168" s="11"/>
      <c r="TT168" s="11"/>
      <c r="TU168" s="11"/>
      <c r="TV168" s="11"/>
      <c r="TW168" s="11"/>
      <c r="TX168" s="11"/>
      <c r="TY168" s="11"/>
      <c r="TZ168" s="11"/>
      <c r="UA168" s="11"/>
      <c r="UB168" s="11"/>
      <c r="UC168" s="11"/>
      <c r="UD168" s="11"/>
      <c r="UE168" s="11"/>
      <c r="UF168" s="11"/>
      <c r="UG168" s="11"/>
      <c r="UH168" s="11"/>
      <c r="UI168" s="11"/>
      <c r="UJ168" s="11"/>
      <c r="UK168" s="11"/>
      <c r="UL168" s="11"/>
      <c r="UM168" s="11"/>
      <c r="UN168" s="11"/>
      <c r="UO168" s="11"/>
      <c r="UP168" s="11"/>
      <c r="UQ168" s="11"/>
      <c r="UR168" s="11"/>
      <c r="US168" s="11"/>
      <c r="UT168" s="11"/>
      <c r="UU168" s="11"/>
      <c r="UV168" s="11"/>
      <c r="UW168" s="11"/>
      <c r="UX168" s="11"/>
      <c r="UY168" s="11"/>
      <c r="UZ168" s="11"/>
      <c r="VA168" s="11"/>
      <c r="VB168" s="11"/>
      <c r="VC168" s="11"/>
      <c r="VD168" s="11"/>
      <c r="VE168" s="11"/>
      <c r="VF168" s="11"/>
      <c r="VG168" s="11"/>
      <c r="VH168" s="11"/>
      <c r="VI168" s="11"/>
      <c r="VJ168" s="11"/>
      <c r="VK168" s="11"/>
      <c r="VL168" s="11"/>
      <c r="VM168" s="11"/>
      <c r="VN168" s="11"/>
      <c r="VO168" s="11"/>
      <c r="VP168" s="11"/>
      <c r="VQ168" s="11"/>
      <c r="VR168" s="11"/>
      <c r="VS168" s="11"/>
      <c r="VT168" s="11"/>
      <c r="VU168" s="11"/>
      <c r="VV168" s="11"/>
      <c r="VW168" s="11"/>
      <c r="VX168" s="11"/>
      <c r="VY168" s="11"/>
      <c r="VZ168" s="11"/>
      <c r="WA168" s="11"/>
      <c r="WB168" s="11"/>
      <c r="WC168" s="11"/>
      <c r="WD168" s="11"/>
      <c r="WE168" s="11"/>
      <c r="WF168" s="11"/>
      <c r="WG168" s="11"/>
      <c r="WH168" s="11"/>
      <c r="WI168" s="11"/>
      <c r="WJ168" s="11"/>
      <c r="WK168" s="11"/>
      <c r="WL168" s="11"/>
      <c r="WM168" s="11"/>
      <c r="WN168" s="11"/>
      <c r="WO168" s="11"/>
      <c r="WP168" s="11"/>
      <c r="WQ168" s="11"/>
      <c r="WR168" s="11"/>
      <c r="WS168" s="11"/>
      <c r="WT168" s="11"/>
      <c r="WU168" s="11"/>
      <c r="WV168" s="11"/>
      <c r="WW168" s="11"/>
      <c r="WX168" s="11"/>
      <c r="WY168" s="11"/>
      <c r="WZ168" s="11"/>
      <c r="XA168" s="11"/>
      <c r="XB168" s="11"/>
      <c r="XC168" s="11"/>
      <c r="XD168" s="11"/>
      <c r="XE168" s="11"/>
      <c r="XF168" s="11"/>
      <c r="XG168" s="11"/>
      <c r="XH168" s="11"/>
      <c r="XI168" s="11"/>
      <c r="XJ168" s="11"/>
      <c r="XK168" s="11"/>
      <c r="XL168" s="11"/>
      <c r="XM168" s="11"/>
      <c r="XN168" s="11"/>
      <c r="XO168" s="11"/>
      <c r="XP168" s="11"/>
      <c r="XQ168" s="11"/>
      <c r="XR168" s="11"/>
      <c r="XS168" s="11"/>
      <c r="XT168" s="11"/>
      <c r="XU168" s="11"/>
      <c r="XV168" s="11"/>
      <c r="XW168" s="11"/>
      <c r="XX168" s="11"/>
      <c r="XY168" s="11"/>
      <c r="XZ168" s="11"/>
      <c r="YA168" s="11"/>
      <c r="YB168" s="11"/>
      <c r="YC168" s="11"/>
      <c r="YD168" s="11"/>
      <c r="YE168" s="11"/>
      <c r="YF168" s="11"/>
      <c r="YG168" s="11"/>
      <c r="YH168" s="11"/>
      <c r="YI168" s="11"/>
      <c r="YJ168" s="11"/>
      <c r="YK168" s="11"/>
      <c r="YL168" s="11"/>
      <c r="YM168" s="11"/>
      <c r="YN168" s="11"/>
      <c r="YO168" s="11"/>
      <c r="YP168" s="11"/>
      <c r="YQ168" s="11"/>
      <c r="YR168" s="11"/>
      <c r="YS168" s="11"/>
      <c r="YT168" s="11"/>
      <c r="YU168" s="11"/>
      <c r="YV168" s="11"/>
      <c r="YW168" s="11"/>
      <c r="YX168" s="11"/>
      <c r="YY168" s="11"/>
      <c r="YZ168" s="11"/>
      <c r="ZA168" s="11"/>
      <c r="ZB168" s="11"/>
      <c r="ZC168" s="11"/>
      <c r="ZD168" s="11"/>
      <c r="ZE168" s="11"/>
      <c r="ZF168" s="11"/>
      <c r="ZG168" s="11"/>
      <c r="ZH168" s="11"/>
      <c r="ZI168" s="11"/>
      <c r="ZJ168" s="11"/>
      <c r="ZK168" s="11"/>
      <c r="ZL168" s="11"/>
      <c r="ZM168" s="11"/>
      <c r="ZN168" s="11"/>
      <c r="ZO168" s="11"/>
      <c r="ZP168" s="11"/>
      <c r="ZQ168" s="11"/>
      <c r="ZR168" s="11"/>
      <c r="ZS168" s="11"/>
      <c r="ZT168" s="11"/>
      <c r="ZU168" s="11"/>
      <c r="ZV168" s="11"/>
      <c r="ZW168" s="11"/>
      <c r="ZX168" s="11"/>
      <c r="ZY168" s="11"/>
      <c r="ZZ168" s="11"/>
      <c r="AAA168" s="11"/>
      <c r="AAB168" s="11"/>
      <c r="AAC168" s="11"/>
      <c r="AAD168" s="11"/>
      <c r="AAE168" s="11"/>
      <c r="AAF168" s="11"/>
      <c r="AAG168" s="11"/>
      <c r="AAH168" s="11"/>
      <c r="AAI168" s="11"/>
      <c r="AAJ168" s="11"/>
      <c r="AAK168" s="11"/>
      <c r="AAL168" s="11"/>
      <c r="AAM168" s="11"/>
      <c r="AAN168" s="11"/>
      <c r="AAO168" s="11"/>
      <c r="AAP168" s="11"/>
      <c r="AAQ168" s="11"/>
      <c r="AAR168" s="11"/>
      <c r="AAS168" s="11"/>
      <c r="AAT168" s="11"/>
      <c r="AAU168" s="11"/>
      <c r="AAV168" s="11"/>
      <c r="AAW168" s="11"/>
      <c r="AAX168" s="11"/>
      <c r="AAY168" s="11"/>
      <c r="AAZ168" s="11"/>
      <c r="ABA168" s="11"/>
      <c r="ABB168" s="11"/>
      <c r="ABC168" s="11"/>
      <c r="ABD168" s="11"/>
      <c r="ABE168" s="11"/>
      <c r="ABF168" s="11"/>
      <c r="ABG168" s="11"/>
      <c r="ABH168" s="11"/>
      <c r="ABI168" s="11"/>
      <c r="ABJ168" s="11"/>
      <c r="ABK168" s="11"/>
      <c r="ABL168" s="11"/>
      <c r="ABM168" s="11"/>
      <c r="ABN168" s="11"/>
      <c r="ABO168" s="11"/>
      <c r="ABP168" s="11"/>
      <c r="ABQ168" s="11"/>
      <c r="ABR168" s="11"/>
      <c r="ABS168" s="11"/>
      <c r="ABT168" s="11"/>
      <c r="ABU168" s="11"/>
      <c r="ABV168" s="11"/>
      <c r="ABW168" s="11"/>
      <c r="ABX168" s="11"/>
      <c r="ABY168" s="11"/>
      <c r="ABZ168" s="11"/>
      <c r="ACA168" s="11"/>
      <c r="ACB168" s="11"/>
      <c r="ACC168" s="11"/>
      <c r="ACD168" s="11"/>
      <c r="ACE168" s="11"/>
      <c r="ACF168" s="11"/>
      <c r="ACG168" s="11"/>
      <c r="ACH168" s="11"/>
      <c r="ACI168" s="11"/>
      <c r="ACJ168" s="11"/>
      <c r="ACK168" s="11"/>
      <c r="ACL168" s="11"/>
      <c r="ACM168" s="11"/>
      <c r="ACN168" s="11"/>
      <c r="ACO168" s="11"/>
      <c r="ACP168" s="11"/>
      <c r="ACQ168" s="11"/>
      <c r="ACR168" s="11"/>
      <c r="ACS168" s="11"/>
      <c r="ACT168" s="11"/>
      <c r="ACU168" s="11"/>
      <c r="ACV168" s="11"/>
      <c r="ACW168" s="11"/>
      <c r="ACX168" s="11"/>
      <c r="ACY168" s="11"/>
      <c r="ACZ168" s="11"/>
      <c r="ADA168" s="11"/>
      <c r="ADB168" s="11"/>
      <c r="ADC168" s="11"/>
      <c r="ADD168" s="11"/>
      <c r="ADE168" s="11"/>
      <c r="ADF168" s="11"/>
      <c r="ADG168" s="11"/>
      <c r="ADH168" s="11"/>
      <c r="ADI168" s="11"/>
      <c r="ADJ168" s="11"/>
      <c r="ADK168" s="11"/>
      <c r="ADL168" s="11"/>
      <c r="ADM168" s="11"/>
      <c r="ADN168" s="11"/>
      <c r="ADO168" s="11"/>
      <c r="ADP168" s="11"/>
      <c r="ADQ168" s="11"/>
      <c r="ADR168" s="11"/>
      <c r="ADS168" s="11"/>
      <c r="ADT168" s="11"/>
      <c r="ADU168" s="11"/>
      <c r="ADV168" s="11"/>
      <c r="ADW168" s="11"/>
      <c r="ADX168" s="11"/>
      <c r="ADY168" s="11"/>
      <c r="ADZ168" s="11"/>
      <c r="AEA168" s="11"/>
      <c r="AEB168" s="11"/>
      <c r="AEC168" s="11"/>
      <c r="AED168" s="11"/>
      <c r="AEE168" s="11"/>
      <c r="AEF168" s="11"/>
      <c r="AEG168" s="11"/>
      <c r="AEH168" s="11"/>
      <c r="AEI168" s="11"/>
      <c r="AEJ168" s="11"/>
      <c r="AEK168" s="11"/>
      <c r="AEL168" s="11"/>
      <c r="AEM168" s="11"/>
      <c r="AEN168" s="11"/>
      <c r="AEO168" s="11"/>
      <c r="AEP168" s="11"/>
      <c r="AEQ168" s="11"/>
      <c r="AER168" s="11"/>
      <c r="AES168" s="11"/>
      <c r="AET168" s="11"/>
      <c r="AEU168" s="11"/>
      <c r="AEV168" s="11"/>
      <c r="AEW168" s="11"/>
      <c r="AEX168" s="11"/>
      <c r="AEY168" s="11"/>
      <c r="AEZ168" s="11"/>
      <c r="AFA168" s="11"/>
      <c r="AFB168" s="11"/>
      <c r="AFC168" s="11"/>
      <c r="AFD168" s="11"/>
      <c r="AFE168" s="11"/>
      <c r="AFF168" s="11"/>
      <c r="AFG168" s="11"/>
      <c r="AFH168" s="11"/>
      <c r="AFI168" s="11"/>
    </row>
    <row r="169" spans="2:84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1"/>
      <c r="LV169" s="11"/>
      <c r="LW169" s="11"/>
      <c r="LX169" s="11"/>
      <c r="LY169" s="11"/>
      <c r="LZ169" s="11"/>
      <c r="MA169" s="11"/>
      <c r="MB169" s="11"/>
      <c r="MC169" s="11"/>
      <c r="MD169" s="11"/>
      <c r="ME169" s="11"/>
      <c r="MF169" s="11"/>
      <c r="MG169" s="11"/>
      <c r="MH169" s="11"/>
      <c r="MI169" s="11"/>
      <c r="MJ169" s="11"/>
      <c r="MK169" s="11"/>
      <c r="ML169" s="11"/>
      <c r="MM169" s="11"/>
      <c r="MN169" s="11"/>
      <c r="MO169" s="11"/>
      <c r="MP169" s="11"/>
      <c r="MQ169" s="11"/>
      <c r="MR169" s="11"/>
      <c r="MS169" s="11"/>
      <c r="MT169" s="11"/>
      <c r="MU169" s="11"/>
      <c r="MV169" s="11"/>
      <c r="MW169" s="11"/>
      <c r="MX169" s="11"/>
      <c r="MY169" s="11"/>
      <c r="MZ169" s="11"/>
      <c r="NA169" s="11"/>
      <c r="NB169" s="11"/>
      <c r="NC169" s="11"/>
      <c r="ND169" s="11"/>
      <c r="NE169" s="11"/>
      <c r="NF169" s="11"/>
      <c r="NG169" s="11"/>
      <c r="NH169" s="11"/>
      <c r="NI169" s="11"/>
      <c r="NJ169" s="11"/>
      <c r="NK169" s="11"/>
      <c r="NL169" s="11"/>
      <c r="NM169" s="11"/>
      <c r="NN169" s="11"/>
      <c r="NO169" s="11"/>
      <c r="NP169" s="11"/>
      <c r="NQ169" s="11"/>
      <c r="NR169" s="11"/>
      <c r="NS169" s="11"/>
      <c r="NT169" s="11"/>
      <c r="NU169" s="11"/>
      <c r="NV169" s="11"/>
      <c r="NW169" s="11"/>
      <c r="NX169" s="11"/>
      <c r="NY169" s="11"/>
      <c r="NZ169" s="11"/>
      <c r="OA169" s="11"/>
      <c r="OB169" s="11"/>
      <c r="OC169" s="11"/>
      <c r="OD169" s="11"/>
      <c r="OE169" s="11"/>
      <c r="OF169" s="11"/>
      <c r="OG169" s="11"/>
      <c r="OH169" s="11"/>
      <c r="OI169" s="11"/>
      <c r="OJ169" s="11"/>
      <c r="OK169" s="11"/>
      <c r="OL169" s="11"/>
      <c r="OM169" s="11"/>
      <c r="ON169" s="11"/>
      <c r="OO169" s="11"/>
      <c r="OP169" s="11"/>
      <c r="OQ169" s="11"/>
      <c r="OR169" s="11"/>
      <c r="OS169" s="11"/>
      <c r="OT169" s="11"/>
      <c r="OU169" s="11"/>
      <c r="OV169" s="11"/>
      <c r="OW169" s="11"/>
      <c r="OX169" s="11"/>
      <c r="OY169" s="11"/>
      <c r="OZ169" s="11"/>
      <c r="PA169" s="11"/>
      <c r="PB169" s="11"/>
      <c r="PC169" s="11"/>
      <c r="PD169" s="11"/>
      <c r="PE169" s="11"/>
      <c r="PF169" s="11"/>
      <c r="PG169" s="11"/>
      <c r="PH169" s="11"/>
      <c r="PI169" s="11"/>
      <c r="PJ169" s="11"/>
      <c r="PK169" s="11"/>
      <c r="PL169" s="11"/>
      <c r="PM169" s="11"/>
      <c r="PN169" s="11"/>
      <c r="PO169" s="11"/>
      <c r="PP169" s="11"/>
      <c r="PQ169" s="11"/>
      <c r="PR169" s="11"/>
      <c r="PS169" s="11"/>
      <c r="PT169" s="11"/>
      <c r="PU169" s="11"/>
      <c r="PV169" s="11"/>
      <c r="PW169" s="11"/>
      <c r="PX169" s="11"/>
      <c r="PY169" s="11"/>
      <c r="PZ169" s="11"/>
      <c r="QA169" s="11"/>
      <c r="QB169" s="11"/>
      <c r="QC169" s="11"/>
      <c r="QD169" s="11"/>
      <c r="QE169" s="11"/>
      <c r="QF169" s="11"/>
      <c r="QG169" s="11"/>
      <c r="QH169" s="11"/>
      <c r="QI169" s="11"/>
      <c r="QJ169" s="11"/>
      <c r="QK169" s="11"/>
      <c r="QL169" s="11"/>
      <c r="QM169" s="11"/>
      <c r="QN169" s="11"/>
      <c r="QO169" s="11"/>
      <c r="QP169" s="11"/>
      <c r="QQ169" s="11"/>
      <c r="QR169" s="11"/>
      <c r="QS169" s="11"/>
      <c r="QT169" s="11"/>
      <c r="QU169" s="11"/>
      <c r="QV169" s="11"/>
      <c r="QW169" s="11"/>
      <c r="QX169" s="11"/>
      <c r="QY169" s="11"/>
      <c r="QZ169" s="11"/>
      <c r="RA169" s="11"/>
      <c r="RB169" s="11"/>
      <c r="RC169" s="11"/>
      <c r="RD169" s="11"/>
      <c r="RE169" s="11"/>
      <c r="RF169" s="11"/>
      <c r="RG169" s="11"/>
      <c r="RH169" s="11"/>
      <c r="RI169" s="11"/>
      <c r="RJ169" s="11"/>
      <c r="RK169" s="11"/>
      <c r="RL169" s="11"/>
      <c r="RM169" s="11"/>
      <c r="RN169" s="11"/>
      <c r="RO169" s="11"/>
      <c r="RP169" s="11"/>
      <c r="RQ169" s="11"/>
      <c r="RR169" s="11"/>
      <c r="RS169" s="11"/>
      <c r="RT169" s="11"/>
      <c r="RU169" s="11"/>
      <c r="RV169" s="11"/>
      <c r="RW169" s="11"/>
      <c r="RX169" s="11"/>
      <c r="RY169" s="11"/>
      <c r="RZ169" s="11"/>
      <c r="SA169" s="11"/>
      <c r="SB169" s="11"/>
      <c r="SC169" s="11"/>
      <c r="SD169" s="11"/>
      <c r="SE169" s="11"/>
      <c r="SF169" s="11"/>
      <c r="SG169" s="11"/>
      <c r="SH169" s="11"/>
      <c r="SI169" s="11"/>
      <c r="SJ169" s="11"/>
      <c r="SK169" s="11"/>
      <c r="SL169" s="11"/>
      <c r="SM169" s="11"/>
      <c r="SN169" s="11"/>
      <c r="SO169" s="11"/>
      <c r="SP169" s="11"/>
      <c r="SQ169" s="11"/>
      <c r="SR169" s="11"/>
      <c r="SS169" s="11"/>
      <c r="ST169" s="11"/>
      <c r="SU169" s="11"/>
      <c r="SV169" s="11"/>
      <c r="SW169" s="11"/>
      <c r="SX169" s="11"/>
      <c r="SY169" s="11"/>
      <c r="SZ169" s="11"/>
      <c r="TA169" s="11"/>
      <c r="TB169" s="11"/>
      <c r="TC169" s="11"/>
      <c r="TD169" s="11"/>
      <c r="TE169" s="11"/>
      <c r="TF169" s="11"/>
      <c r="TG169" s="11"/>
      <c r="TH169" s="11"/>
      <c r="TI169" s="11"/>
      <c r="TJ169" s="11"/>
      <c r="TK169" s="11"/>
      <c r="TL169" s="11"/>
      <c r="TM169" s="11"/>
      <c r="TN169" s="11"/>
      <c r="TO169" s="11"/>
      <c r="TP169" s="11"/>
      <c r="TQ169" s="11"/>
      <c r="TR169" s="11"/>
      <c r="TS169" s="11"/>
      <c r="TT169" s="11"/>
      <c r="TU169" s="11"/>
      <c r="TV169" s="11"/>
      <c r="TW169" s="11"/>
      <c r="TX169" s="11"/>
      <c r="TY169" s="11"/>
      <c r="TZ169" s="11"/>
      <c r="UA169" s="11"/>
      <c r="UB169" s="11"/>
      <c r="UC169" s="11"/>
      <c r="UD169" s="11"/>
      <c r="UE169" s="11"/>
      <c r="UF169" s="11"/>
      <c r="UG169" s="11"/>
      <c r="UH169" s="11"/>
      <c r="UI169" s="11"/>
      <c r="UJ169" s="11"/>
      <c r="UK169" s="11"/>
      <c r="UL169" s="11"/>
      <c r="UM169" s="11"/>
      <c r="UN169" s="11"/>
      <c r="UO169" s="11"/>
      <c r="UP169" s="11"/>
      <c r="UQ169" s="11"/>
      <c r="UR169" s="11"/>
      <c r="US169" s="11"/>
      <c r="UT169" s="11"/>
      <c r="UU169" s="11"/>
      <c r="UV169" s="11"/>
      <c r="UW169" s="11"/>
      <c r="UX169" s="11"/>
      <c r="UY169" s="11"/>
      <c r="UZ169" s="11"/>
      <c r="VA169" s="11"/>
      <c r="VB169" s="11"/>
      <c r="VC169" s="11"/>
      <c r="VD169" s="11"/>
      <c r="VE169" s="11"/>
      <c r="VF169" s="11"/>
      <c r="VG169" s="11"/>
      <c r="VH169" s="11"/>
      <c r="VI169" s="11"/>
      <c r="VJ169" s="11"/>
      <c r="VK169" s="11"/>
      <c r="VL169" s="11"/>
      <c r="VM169" s="11"/>
      <c r="VN169" s="11"/>
      <c r="VO169" s="11"/>
      <c r="VP169" s="11"/>
      <c r="VQ169" s="11"/>
      <c r="VR169" s="11"/>
      <c r="VS169" s="11"/>
      <c r="VT169" s="11"/>
      <c r="VU169" s="11"/>
      <c r="VV169" s="11"/>
      <c r="VW169" s="11"/>
      <c r="VX169" s="11"/>
      <c r="VY169" s="11"/>
      <c r="VZ169" s="11"/>
      <c r="WA169" s="11"/>
      <c r="WB169" s="11"/>
      <c r="WC169" s="11"/>
      <c r="WD169" s="11"/>
      <c r="WE169" s="11"/>
      <c r="WF169" s="11"/>
      <c r="WG169" s="11"/>
      <c r="WH169" s="11"/>
      <c r="WI169" s="11"/>
      <c r="WJ169" s="11"/>
      <c r="WK169" s="11"/>
      <c r="WL169" s="11"/>
      <c r="WM169" s="11"/>
      <c r="WN169" s="11"/>
      <c r="WO169" s="11"/>
      <c r="WP169" s="11"/>
      <c r="WQ169" s="11"/>
      <c r="WR169" s="11"/>
      <c r="WS169" s="11"/>
      <c r="WT169" s="11"/>
      <c r="WU169" s="11"/>
      <c r="WV169" s="11"/>
      <c r="WW169" s="11"/>
      <c r="WX169" s="11"/>
      <c r="WY169" s="11"/>
      <c r="WZ169" s="11"/>
      <c r="XA169" s="11"/>
      <c r="XB169" s="11"/>
      <c r="XC169" s="11"/>
      <c r="XD169" s="11"/>
      <c r="XE169" s="11"/>
      <c r="XF169" s="11"/>
      <c r="XG169" s="11"/>
      <c r="XH169" s="11"/>
      <c r="XI169" s="11"/>
      <c r="XJ169" s="11"/>
      <c r="XK169" s="11"/>
      <c r="XL169" s="11"/>
      <c r="XM169" s="11"/>
      <c r="XN169" s="11"/>
      <c r="XO169" s="11"/>
      <c r="XP169" s="11"/>
      <c r="XQ169" s="11"/>
      <c r="XR169" s="11"/>
      <c r="XS169" s="11"/>
      <c r="XT169" s="11"/>
      <c r="XU169" s="11"/>
      <c r="XV169" s="11"/>
      <c r="XW169" s="11"/>
      <c r="XX169" s="11"/>
      <c r="XY169" s="11"/>
      <c r="XZ169" s="11"/>
      <c r="YA169" s="11"/>
      <c r="YB169" s="11"/>
      <c r="YC169" s="11"/>
      <c r="YD169" s="11"/>
      <c r="YE169" s="11"/>
      <c r="YF169" s="11"/>
      <c r="YG169" s="11"/>
      <c r="YH169" s="11"/>
      <c r="YI169" s="11"/>
      <c r="YJ169" s="11"/>
      <c r="YK169" s="11"/>
      <c r="YL169" s="11"/>
      <c r="YM169" s="11"/>
      <c r="YN169" s="11"/>
      <c r="YO169" s="11"/>
      <c r="YP169" s="11"/>
      <c r="YQ169" s="11"/>
      <c r="YR169" s="11"/>
      <c r="YS169" s="11"/>
      <c r="YT169" s="11"/>
      <c r="YU169" s="11"/>
      <c r="YV169" s="11"/>
      <c r="YW169" s="11"/>
      <c r="YX169" s="11"/>
      <c r="YY169" s="11"/>
      <c r="YZ169" s="11"/>
      <c r="ZA169" s="11"/>
      <c r="ZB169" s="11"/>
      <c r="ZC169" s="11"/>
      <c r="ZD169" s="11"/>
      <c r="ZE169" s="11"/>
      <c r="ZF169" s="11"/>
      <c r="ZG169" s="11"/>
      <c r="ZH169" s="11"/>
      <c r="ZI169" s="11"/>
      <c r="ZJ169" s="11"/>
      <c r="ZK169" s="11"/>
      <c r="ZL169" s="11"/>
      <c r="ZM169" s="11"/>
      <c r="ZN169" s="11"/>
      <c r="ZO169" s="11"/>
      <c r="ZP169" s="11"/>
      <c r="ZQ169" s="11"/>
      <c r="ZR169" s="11"/>
      <c r="ZS169" s="11"/>
      <c r="ZT169" s="11"/>
      <c r="ZU169" s="11"/>
      <c r="ZV169" s="11"/>
      <c r="ZW169" s="11"/>
      <c r="ZX169" s="11"/>
      <c r="ZY169" s="11"/>
      <c r="ZZ169" s="11"/>
      <c r="AAA169" s="11"/>
      <c r="AAB169" s="11"/>
      <c r="AAC169" s="11"/>
      <c r="AAD169" s="11"/>
      <c r="AAE169" s="11"/>
      <c r="AAF169" s="11"/>
      <c r="AAG169" s="11"/>
      <c r="AAH169" s="11"/>
      <c r="AAI169" s="11"/>
      <c r="AAJ169" s="11"/>
      <c r="AAK169" s="11"/>
      <c r="AAL169" s="11"/>
      <c r="AAM169" s="11"/>
      <c r="AAN169" s="11"/>
      <c r="AAO169" s="11"/>
      <c r="AAP169" s="11"/>
      <c r="AAQ169" s="11"/>
      <c r="AAR169" s="11"/>
      <c r="AAS169" s="11"/>
      <c r="AAT169" s="11"/>
      <c r="AAU169" s="11"/>
      <c r="AAV169" s="11"/>
      <c r="AAW169" s="11"/>
      <c r="AAX169" s="11"/>
      <c r="AAY169" s="11"/>
      <c r="AAZ169" s="11"/>
      <c r="ABA169" s="11"/>
      <c r="ABB169" s="11"/>
      <c r="ABC169" s="11"/>
      <c r="ABD169" s="11"/>
      <c r="ABE169" s="11"/>
      <c r="ABF169" s="11"/>
      <c r="ABG169" s="11"/>
      <c r="ABH169" s="11"/>
      <c r="ABI169" s="11"/>
      <c r="ABJ169" s="11"/>
      <c r="ABK169" s="11"/>
      <c r="ABL169" s="11"/>
      <c r="ABM169" s="11"/>
      <c r="ABN169" s="11"/>
      <c r="ABO169" s="11"/>
      <c r="ABP169" s="11"/>
      <c r="ABQ169" s="11"/>
      <c r="ABR169" s="11"/>
      <c r="ABS169" s="11"/>
      <c r="ABT169" s="11"/>
      <c r="ABU169" s="11"/>
      <c r="ABV169" s="11"/>
      <c r="ABW169" s="11"/>
      <c r="ABX169" s="11"/>
      <c r="ABY169" s="11"/>
      <c r="ABZ169" s="11"/>
      <c r="ACA169" s="11"/>
      <c r="ACB169" s="11"/>
      <c r="ACC169" s="11"/>
      <c r="ACD169" s="11"/>
      <c r="ACE169" s="11"/>
      <c r="ACF169" s="11"/>
      <c r="ACG169" s="11"/>
      <c r="ACH169" s="11"/>
      <c r="ACI169" s="11"/>
      <c r="ACJ169" s="11"/>
      <c r="ACK169" s="11"/>
      <c r="ACL169" s="11"/>
      <c r="ACM169" s="11"/>
      <c r="ACN169" s="11"/>
      <c r="ACO169" s="11"/>
      <c r="ACP169" s="11"/>
      <c r="ACQ169" s="11"/>
      <c r="ACR169" s="11"/>
      <c r="ACS169" s="11"/>
      <c r="ACT169" s="11"/>
      <c r="ACU169" s="11"/>
      <c r="ACV169" s="11"/>
      <c r="ACW169" s="11"/>
      <c r="ACX169" s="11"/>
      <c r="ACY169" s="11"/>
      <c r="ACZ169" s="11"/>
      <c r="ADA169" s="11"/>
      <c r="ADB169" s="11"/>
      <c r="ADC169" s="11"/>
      <c r="ADD169" s="11"/>
      <c r="ADE169" s="11"/>
      <c r="ADF169" s="11"/>
      <c r="ADG169" s="11"/>
      <c r="ADH169" s="11"/>
      <c r="ADI169" s="11"/>
      <c r="ADJ169" s="11"/>
      <c r="ADK169" s="11"/>
      <c r="ADL169" s="11"/>
      <c r="ADM169" s="11"/>
      <c r="ADN169" s="11"/>
      <c r="ADO169" s="11"/>
      <c r="ADP169" s="11"/>
      <c r="ADQ169" s="11"/>
      <c r="ADR169" s="11"/>
      <c r="ADS169" s="11"/>
      <c r="ADT169" s="11"/>
      <c r="ADU169" s="11"/>
      <c r="ADV169" s="11"/>
      <c r="ADW169" s="11"/>
      <c r="ADX169" s="11"/>
      <c r="ADY169" s="11"/>
      <c r="ADZ169" s="11"/>
      <c r="AEA169" s="11"/>
      <c r="AEB169" s="11"/>
      <c r="AEC169" s="11"/>
      <c r="AED169" s="11"/>
      <c r="AEE169" s="11"/>
      <c r="AEF169" s="11"/>
      <c r="AEG169" s="11"/>
      <c r="AEH169" s="11"/>
      <c r="AEI169" s="11"/>
      <c r="AEJ169" s="11"/>
      <c r="AEK169" s="11"/>
      <c r="AEL169" s="11"/>
      <c r="AEM169" s="11"/>
      <c r="AEN169" s="11"/>
      <c r="AEO169" s="11"/>
      <c r="AEP169" s="11"/>
      <c r="AEQ169" s="11"/>
      <c r="AER169" s="11"/>
      <c r="AES169" s="11"/>
      <c r="AET169" s="11"/>
      <c r="AEU169" s="11"/>
      <c r="AEV169" s="11"/>
      <c r="AEW169" s="11"/>
      <c r="AEX169" s="11"/>
      <c r="AEY169" s="11"/>
      <c r="AEZ169" s="11"/>
      <c r="AFA169" s="11"/>
      <c r="AFB169" s="11"/>
      <c r="AFC169" s="11"/>
      <c r="AFD169" s="11"/>
      <c r="AFE169" s="11"/>
      <c r="AFF169" s="11"/>
      <c r="AFG169" s="11"/>
      <c r="AFH169" s="11"/>
      <c r="AFI169" s="11"/>
    </row>
    <row r="170" spans="2:84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1"/>
      <c r="LV170" s="11"/>
      <c r="LW170" s="11"/>
      <c r="LX170" s="11"/>
      <c r="LY170" s="11"/>
      <c r="LZ170" s="11"/>
      <c r="MA170" s="11"/>
      <c r="MB170" s="11"/>
      <c r="MC170" s="11"/>
      <c r="MD170" s="11"/>
      <c r="ME170" s="11"/>
      <c r="MF170" s="11"/>
      <c r="MG170" s="11"/>
      <c r="MH170" s="11"/>
      <c r="MI170" s="11"/>
      <c r="MJ170" s="11"/>
      <c r="MK170" s="11"/>
      <c r="ML170" s="11"/>
      <c r="MM170" s="11"/>
      <c r="MN170" s="11"/>
      <c r="MO170" s="11"/>
      <c r="MP170" s="11"/>
      <c r="MQ170" s="11"/>
      <c r="MR170" s="11"/>
      <c r="MS170" s="11"/>
      <c r="MT170" s="11"/>
      <c r="MU170" s="11"/>
      <c r="MV170" s="11"/>
      <c r="MW170" s="11"/>
      <c r="MX170" s="11"/>
      <c r="MY170" s="11"/>
      <c r="MZ170" s="11"/>
      <c r="NA170" s="11"/>
      <c r="NB170" s="11"/>
      <c r="NC170" s="11"/>
      <c r="ND170" s="11"/>
      <c r="NE170" s="11"/>
      <c r="NF170" s="11"/>
      <c r="NG170" s="11"/>
      <c r="NH170" s="11"/>
      <c r="NI170" s="11"/>
      <c r="NJ170" s="11"/>
      <c r="NK170" s="11"/>
      <c r="NL170" s="11"/>
      <c r="NM170" s="11"/>
      <c r="NN170" s="11"/>
      <c r="NO170" s="11"/>
      <c r="NP170" s="11"/>
      <c r="NQ170" s="11"/>
      <c r="NR170" s="11"/>
      <c r="NS170" s="11"/>
      <c r="NT170" s="11"/>
      <c r="NU170" s="11"/>
      <c r="NV170" s="11"/>
      <c r="NW170" s="11"/>
      <c r="NX170" s="11"/>
      <c r="NY170" s="11"/>
      <c r="NZ170" s="11"/>
      <c r="OA170" s="11"/>
      <c r="OB170" s="11"/>
      <c r="OC170" s="11"/>
      <c r="OD170" s="11"/>
      <c r="OE170" s="11"/>
      <c r="OF170" s="11"/>
      <c r="OG170" s="11"/>
      <c r="OH170" s="11"/>
      <c r="OI170" s="11"/>
      <c r="OJ170" s="11"/>
      <c r="OK170" s="11"/>
      <c r="OL170" s="11"/>
      <c r="OM170" s="11"/>
      <c r="ON170" s="11"/>
      <c r="OO170" s="11"/>
      <c r="OP170" s="11"/>
      <c r="OQ170" s="11"/>
      <c r="OR170" s="11"/>
      <c r="OS170" s="11"/>
      <c r="OT170" s="11"/>
      <c r="OU170" s="11"/>
      <c r="OV170" s="11"/>
      <c r="OW170" s="11"/>
      <c r="OX170" s="11"/>
      <c r="OY170" s="11"/>
      <c r="OZ170" s="11"/>
      <c r="PA170" s="11"/>
      <c r="PB170" s="11"/>
      <c r="PC170" s="11"/>
      <c r="PD170" s="11"/>
      <c r="PE170" s="11"/>
      <c r="PF170" s="11"/>
      <c r="PG170" s="11"/>
      <c r="PH170" s="11"/>
      <c r="PI170" s="11"/>
      <c r="PJ170" s="11"/>
      <c r="PK170" s="11"/>
      <c r="PL170" s="11"/>
      <c r="PM170" s="11"/>
      <c r="PN170" s="11"/>
      <c r="PO170" s="11"/>
      <c r="PP170" s="11"/>
      <c r="PQ170" s="11"/>
      <c r="PR170" s="11"/>
      <c r="PS170" s="11"/>
      <c r="PT170" s="11"/>
      <c r="PU170" s="11"/>
      <c r="PV170" s="11"/>
      <c r="PW170" s="11"/>
      <c r="PX170" s="11"/>
      <c r="PY170" s="11"/>
      <c r="PZ170" s="11"/>
      <c r="QA170" s="11"/>
      <c r="QB170" s="11"/>
      <c r="QC170" s="11"/>
      <c r="QD170" s="11"/>
      <c r="QE170" s="11"/>
      <c r="QF170" s="11"/>
      <c r="QG170" s="11"/>
      <c r="QH170" s="11"/>
      <c r="QI170" s="11"/>
      <c r="QJ170" s="11"/>
      <c r="QK170" s="11"/>
      <c r="QL170" s="11"/>
      <c r="QM170" s="11"/>
      <c r="QN170" s="11"/>
      <c r="QO170" s="11"/>
      <c r="QP170" s="11"/>
      <c r="QQ170" s="11"/>
      <c r="QR170" s="11"/>
      <c r="QS170" s="11"/>
      <c r="QT170" s="11"/>
      <c r="QU170" s="11"/>
      <c r="QV170" s="11"/>
      <c r="QW170" s="11"/>
      <c r="QX170" s="11"/>
      <c r="QY170" s="11"/>
      <c r="QZ170" s="11"/>
      <c r="RA170" s="11"/>
      <c r="RB170" s="11"/>
      <c r="RC170" s="11"/>
      <c r="RD170" s="11"/>
      <c r="RE170" s="11"/>
      <c r="RF170" s="11"/>
      <c r="RG170" s="11"/>
      <c r="RH170" s="11"/>
      <c r="RI170" s="11"/>
      <c r="RJ170" s="11"/>
      <c r="RK170" s="11"/>
      <c r="RL170" s="11"/>
      <c r="RM170" s="11"/>
      <c r="RN170" s="11"/>
      <c r="RO170" s="11"/>
      <c r="RP170" s="11"/>
      <c r="RQ170" s="11"/>
      <c r="RR170" s="11"/>
      <c r="RS170" s="11"/>
      <c r="RT170" s="11"/>
      <c r="RU170" s="11"/>
      <c r="RV170" s="11"/>
      <c r="RW170" s="11"/>
      <c r="RX170" s="11"/>
      <c r="RY170" s="11"/>
      <c r="RZ170" s="11"/>
      <c r="SA170" s="11"/>
      <c r="SB170" s="11"/>
      <c r="SC170" s="11"/>
      <c r="SD170" s="11"/>
      <c r="SE170" s="11"/>
      <c r="SF170" s="11"/>
      <c r="SG170" s="11"/>
      <c r="SH170" s="11"/>
      <c r="SI170" s="11"/>
      <c r="SJ170" s="11"/>
      <c r="SK170" s="11"/>
      <c r="SL170" s="11"/>
      <c r="SM170" s="11"/>
      <c r="SN170" s="11"/>
      <c r="SO170" s="11"/>
      <c r="SP170" s="11"/>
      <c r="SQ170" s="11"/>
      <c r="SR170" s="11"/>
      <c r="SS170" s="11"/>
      <c r="ST170" s="11"/>
      <c r="SU170" s="11"/>
      <c r="SV170" s="11"/>
      <c r="SW170" s="11"/>
      <c r="SX170" s="11"/>
      <c r="SY170" s="11"/>
      <c r="SZ170" s="11"/>
      <c r="TA170" s="11"/>
      <c r="TB170" s="11"/>
      <c r="TC170" s="11"/>
      <c r="TD170" s="11"/>
      <c r="TE170" s="11"/>
      <c r="TF170" s="11"/>
      <c r="TG170" s="11"/>
      <c r="TH170" s="11"/>
      <c r="TI170" s="11"/>
      <c r="TJ170" s="11"/>
      <c r="TK170" s="11"/>
      <c r="TL170" s="11"/>
      <c r="TM170" s="11"/>
      <c r="TN170" s="11"/>
      <c r="TO170" s="11"/>
      <c r="TP170" s="11"/>
      <c r="TQ170" s="11"/>
      <c r="TR170" s="11"/>
      <c r="TS170" s="11"/>
      <c r="TT170" s="11"/>
      <c r="TU170" s="11"/>
      <c r="TV170" s="11"/>
      <c r="TW170" s="11"/>
      <c r="TX170" s="11"/>
      <c r="TY170" s="11"/>
      <c r="TZ170" s="11"/>
      <c r="UA170" s="11"/>
      <c r="UB170" s="11"/>
      <c r="UC170" s="11"/>
      <c r="UD170" s="11"/>
      <c r="UE170" s="11"/>
      <c r="UF170" s="11"/>
      <c r="UG170" s="11"/>
      <c r="UH170" s="11"/>
      <c r="UI170" s="11"/>
      <c r="UJ170" s="11"/>
      <c r="UK170" s="11"/>
      <c r="UL170" s="11"/>
      <c r="UM170" s="11"/>
      <c r="UN170" s="11"/>
      <c r="UO170" s="11"/>
      <c r="UP170" s="11"/>
      <c r="UQ170" s="11"/>
      <c r="UR170" s="11"/>
      <c r="US170" s="11"/>
      <c r="UT170" s="11"/>
      <c r="UU170" s="11"/>
      <c r="UV170" s="11"/>
      <c r="UW170" s="11"/>
      <c r="UX170" s="11"/>
      <c r="UY170" s="11"/>
      <c r="UZ170" s="11"/>
      <c r="VA170" s="11"/>
      <c r="VB170" s="11"/>
      <c r="VC170" s="11"/>
      <c r="VD170" s="11"/>
      <c r="VE170" s="11"/>
      <c r="VF170" s="11"/>
      <c r="VG170" s="11"/>
      <c r="VH170" s="11"/>
      <c r="VI170" s="11"/>
      <c r="VJ170" s="11"/>
      <c r="VK170" s="11"/>
      <c r="VL170" s="11"/>
      <c r="VM170" s="11"/>
      <c r="VN170" s="11"/>
      <c r="VO170" s="11"/>
      <c r="VP170" s="11"/>
      <c r="VQ170" s="11"/>
      <c r="VR170" s="11"/>
      <c r="VS170" s="11"/>
      <c r="VT170" s="11"/>
      <c r="VU170" s="11"/>
      <c r="VV170" s="11"/>
      <c r="VW170" s="11"/>
      <c r="VX170" s="11"/>
      <c r="VY170" s="11"/>
      <c r="VZ170" s="11"/>
      <c r="WA170" s="11"/>
      <c r="WB170" s="11"/>
      <c r="WC170" s="11"/>
      <c r="WD170" s="11"/>
      <c r="WE170" s="11"/>
      <c r="WF170" s="11"/>
      <c r="WG170" s="11"/>
      <c r="WH170" s="11"/>
      <c r="WI170" s="11"/>
      <c r="WJ170" s="11"/>
      <c r="WK170" s="11"/>
      <c r="WL170" s="11"/>
      <c r="WM170" s="11"/>
      <c r="WN170" s="11"/>
      <c r="WO170" s="11"/>
      <c r="WP170" s="11"/>
      <c r="WQ170" s="11"/>
      <c r="WR170" s="11"/>
      <c r="WS170" s="11"/>
      <c r="WT170" s="11"/>
      <c r="WU170" s="11"/>
      <c r="WV170" s="11"/>
      <c r="WW170" s="11"/>
      <c r="WX170" s="11"/>
      <c r="WY170" s="11"/>
      <c r="WZ170" s="11"/>
      <c r="XA170" s="11"/>
      <c r="XB170" s="11"/>
      <c r="XC170" s="11"/>
      <c r="XD170" s="11"/>
      <c r="XE170" s="11"/>
      <c r="XF170" s="11"/>
      <c r="XG170" s="11"/>
      <c r="XH170" s="11"/>
      <c r="XI170" s="11"/>
      <c r="XJ170" s="11"/>
      <c r="XK170" s="11"/>
      <c r="XL170" s="11"/>
      <c r="XM170" s="11"/>
      <c r="XN170" s="11"/>
      <c r="XO170" s="11"/>
      <c r="XP170" s="11"/>
      <c r="XQ170" s="11"/>
      <c r="XR170" s="11"/>
      <c r="XS170" s="11"/>
      <c r="XT170" s="11"/>
      <c r="XU170" s="11"/>
      <c r="XV170" s="11"/>
      <c r="XW170" s="11"/>
      <c r="XX170" s="11"/>
      <c r="XY170" s="11"/>
      <c r="XZ170" s="11"/>
      <c r="YA170" s="11"/>
      <c r="YB170" s="11"/>
      <c r="YC170" s="11"/>
      <c r="YD170" s="11"/>
      <c r="YE170" s="11"/>
      <c r="YF170" s="11"/>
      <c r="YG170" s="11"/>
      <c r="YH170" s="11"/>
      <c r="YI170" s="11"/>
      <c r="YJ170" s="11"/>
      <c r="YK170" s="11"/>
      <c r="YL170" s="11"/>
      <c r="YM170" s="11"/>
      <c r="YN170" s="11"/>
      <c r="YO170" s="11"/>
      <c r="YP170" s="11"/>
      <c r="YQ170" s="11"/>
      <c r="YR170" s="11"/>
      <c r="YS170" s="11"/>
      <c r="YT170" s="11"/>
      <c r="YU170" s="11"/>
      <c r="YV170" s="11"/>
      <c r="YW170" s="11"/>
      <c r="YX170" s="11"/>
      <c r="YY170" s="11"/>
      <c r="YZ170" s="11"/>
      <c r="ZA170" s="11"/>
      <c r="ZB170" s="11"/>
      <c r="ZC170" s="11"/>
      <c r="ZD170" s="11"/>
      <c r="ZE170" s="11"/>
      <c r="ZF170" s="11"/>
      <c r="ZG170" s="11"/>
      <c r="ZH170" s="11"/>
      <c r="ZI170" s="11"/>
      <c r="ZJ170" s="11"/>
      <c r="ZK170" s="11"/>
      <c r="ZL170" s="11"/>
      <c r="ZM170" s="11"/>
      <c r="ZN170" s="11"/>
      <c r="ZO170" s="11"/>
      <c r="ZP170" s="11"/>
      <c r="ZQ170" s="11"/>
      <c r="ZR170" s="11"/>
      <c r="ZS170" s="11"/>
      <c r="ZT170" s="11"/>
      <c r="ZU170" s="11"/>
      <c r="ZV170" s="11"/>
      <c r="ZW170" s="11"/>
      <c r="ZX170" s="11"/>
      <c r="ZY170" s="11"/>
      <c r="ZZ170" s="11"/>
      <c r="AAA170" s="11"/>
      <c r="AAB170" s="11"/>
      <c r="AAC170" s="11"/>
      <c r="AAD170" s="11"/>
      <c r="AAE170" s="11"/>
      <c r="AAF170" s="11"/>
      <c r="AAG170" s="11"/>
      <c r="AAH170" s="11"/>
      <c r="AAI170" s="11"/>
      <c r="AAJ170" s="11"/>
      <c r="AAK170" s="11"/>
      <c r="AAL170" s="11"/>
      <c r="AAM170" s="11"/>
      <c r="AAN170" s="11"/>
      <c r="AAO170" s="11"/>
      <c r="AAP170" s="11"/>
      <c r="AAQ170" s="11"/>
      <c r="AAR170" s="11"/>
      <c r="AAS170" s="11"/>
      <c r="AAT170" s="11"/>
      <c r="AAU170" s="11"/>
      <c r="AAV170" s="11"/>
      <c r="AAW170" s="11"/>
      <c r="AAX170" s="11"/>
      <c r="AAY170" s="11"/>
      <c r="AAZ170" s="11"/>
      <c r="ABA170" s="11"/>
      <c r="ABB170" s="11"/>
      <c r="ABC170" s="11"/>
      <c r="ABD170" s="11"/>
      <c r="ABE170" s="11"/>
      <c r="ABF170" s="11"/>
      <c r="ABG170" s="11"/>
      <c r="ABH170" s="11"/>
      <c r="ABI170" s="11"/>
      <c r="ABJ170" s="11"/>
      <c r="ABK170" s="11"/>
      <c r="ABL170" s="11"/>
      <c r="ABM170" s="11"/>
      <c r="ABN170" s="11"/>
      <c r="ABO170" s="11"/>
      <c r="ABP170" s="11"/>
      <c r="ABQ170" s="11"/>
      <c r="ABR170" s="11"/>
      <c r="ABS170" s="11"/>
      <c r="ABT170" s="11"/>
      <c r="ABU170" s="11"/>
      <c r="ABV170" s="11"/>
      <c r="ABW170" s="11"/>
      <c r="ABX170" s="11"/>
      <c r="ABY170" s="11"/>
      <c r="ABZ170" s="11"/>
      <c r="ACA170" s="11"/>
      <c r="ACB170" s="11"/>
      <c r="ACC170" s="11"/>
      <c r="ACD170" s="11"/>
      <c r="ACE170" s="11"/>
      <c r="ACF170" s="11"/>
      <c r="ACG170" s="11"/>
      <c r="ACH170" s="11"/>
      <c r="ACI170" s="11"/>
      <c r="ACJ170" s="11"/>
      <c r="ACK170" s="11"/>
      <c r="ACL170" s="11"/>
      <c r="ACM170" s="11"/>
      <c r="ACN170" s="11"/>
      <c r="ACO170" s="11"/>
      <c r="ACP170" s="11"/>
      <c r="ACQ170" s="11"/>
      <c r="ACR170" s="11"/>
      <c r="ACS170" s="11"/>
      <c r="ACT170" s="11"/>
      <c r="ACU170" s="11"/>
      <c r="ACV170" s="11"/>
      <c r="ACW170" s="11"/>
      <c r="ACX170" s="11"/>
      <c r="ACY170" s="11"/>
      <c r="ACZ170" s="11"/>
      <c r="ADA170" s="11"/>
      <c r="ADB170" s="11"/>
      <c r="ADC170" s="11"/>
      <c r="ADD170" s="11"/>
      <c r="ADE170" s="11"/>
      <c r="ADF170" s="11"/>
      <c r="ADG170" s="11"/>
      <c r="ADH170" s="11"/>
      <c r="ADI170" s="11"/>
      <c r="ADJ170" s="11"/>
      <c r="ADK170" s="11"/>
      <c r="ADL170" s="11"/>
      <c r="ADM170" s="11"/>
      <c r="ADN170" s="11"/>
      <c r="ADO170" s="11"/>
      <c r="ADP170" s="11"/>
      <c r="ADQ170" s="11"/>
      <c r="ADR170" s="11"/>
      <c r="ADS170" s="11"/>
      <c r="ADT170" s="11"/>
      <c r="ADU170" s="11"/>
      <c r="ADV170" s="11"/>
      <c r="ADW170" s="11"/>
      <c r="ADX170" s="11"/>
      <c r="ADY170" s="11"/>
      <c r="ADZ170" s="11"/>
      <c r="AEA170" s="11"/>
      <c r="AEB170" s="11"/>
      <c r="AEC170" s="11"/>
      <c r="AED170" s="11"/>
      <c r="AEE170" s="11"/>
      <c r="AEF170" s="11"/>
      <c r="AEG170" s="11"/>
      <c r="AEH170" s="11"/>
      <c r="AEI170" s="11"/>
      <c r="AEJ170" s="11"/>
      <c r="AEK170" s="11"/>
      <c r="AEL170" s="11"/>
      <c r="AEM170" s="11"/>
      <c r="AEN170" s="11"/>
      <c r="AEO170" s="11"/>
      <c r="AEP170" s="11"/>
      <c r="AEQ170" s="11"/>
      <c r="AER170" s="11"/>
      <c r="AES170" s="11"/>
      <c r="AET170" s="11"/>
      <c r="AEU170" s="11"/>
      <c r="AEV170" s="11"/>
      <c r="AEW170" s="11"/>
      <c r="AEX170" s="11"/>
      <c r="AEY170" s="11"/>
      <c r="AEZ170" s="11"/>
      <c r="AFA170" s="11"/>
      <c r="AFB170" s="11"/>
      <c r="AFC170" s="11"/>
      <c r="AFD170" s="11"/>
      <c r="AFE170" s="11"/>
      <c r="AFF170" s="11"/>
      <c r="AFG170" s="11"/>
      <c r="AFH170" s="11"/>
      <c r="AFI170" s="11"/>
    </row>
    <row r="171" spans="2:84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1"/>
      <c r="LV171" s="11"/>
      <c r="LW171" s="11"/>
      <c r="LX171" s="11"/>
      <c r="LY171" s="11"/>
      <c r="LZ171" s="11"/>
      <c r="MA171" s="11"/>
      <c r="MB171" s="11"/>
      <c r="MC171" s="11"/>
      <c r="MD171" s="11"/>
      <c r="ME171" s="11"/>
      <c r="MF171" s="11"/>
      <c r="MG171" s="11"/>
      <c r="MH171" s="11"/>
      <c r="MI171" s="11"/>
      <c r="MJ171" s="11"/>
      <c r="MK171" s="11"/>
      <c r="ML171" s="11"/>
      <c r="MM171" s="11"/>
      <c r="MN171" s="11"/>
      <c r="MO171" s="11"/>
      <c r="MP171" s="11"/>
      <c r="MQ171" s="11"/>
      <c r="MR171" s="11"/>
      <c r="MS171" s="11"/>
      <c r="MT171" s="11"/>
      <c r="MU171" s="11"/>
      <c r="MV171" s="11"/>
      <c r="MW171" s="11"/>
      <c r="MX171" s="11"/>
      <c r="MY171" s="11"/>
      <c r="MZ171" s="11"/>
      <c r="NA171" s="11"/>
      <c r="NB171" s="11"/>
      <c r="NC171" s="11"/>
      <c r="ND171" s="11"/>
      <c r="NE171" s="11"/>
      <c r="NF171" s="11"/>
      <c r="NG171" s="11"/>
      <c r="NH171" s="11"/>
      <c r="NI171" s="11"/>
      <c r="NJ171" s="11"/>
      <c r="NK171" s="11"/>
      <c r="NL171" s="11"/>
      <c r="NM171" s="11"/>
      <c r="NN171" s="11"/>
      <c r="NO171" s="11"/>
      <c r="NP171" s="11"/>
      <c r="NQ171" s="11"/>
      <c r="NR171" s="11"/>
      <c r="NS171" s="11"/>
      <c r="NT171" s="11"/>
      <c r="NU171" s="11"/>
      <c r="NV171" s="11"/>
      <c r="NW171" s="11"/>
      <c r="NX171" s="11"/>
      <c r="NY171" s="11"/>
      <c r="NZ171" s="11"/>
      <c r="OA171" s="11"/>
      <c r="OB171" s="11"/>
      <c r="OC171" s="11"/>
      <c r="OD171" s="11"/>
      <c r="OE171" s="11"/>
      <c r="OF171" s="11"/>
      <c r="OG171" s="11"/>
      <c r="OH171" s="11"/>
      <c r="OI171" s="11"/>
      <c r="OJ171" s="11"/>
      <c r="OK171" s="11"/>
      <c r="OL171" s="11"/>
      <c r="OM171" s="11"/>
      <c r="ON171" s="11"/>
      <c r="OO171" s="11"/>
      <c r="OP171" s="11"/>
      <c r="OQ171" s="11"/>
      <c r="OR171" s="11"/>
      <c r="OS171" s="11"/>
      <c r="OT171" s="11"/>
      <c r="OU171" s="11"/>
      <c r="OV171" s="11"/>
      <c r="OW171" s="11"/>
      <c r="OX171" s="11"/>
      <c r="OY171" s="11"/>
      <c r="OZ171" s="11"/>
      <c r="PA171" s="11"/>
      <c r="PB171" s="11"/>
      <c r="PC171" s="11"/>
      <c r="PD171" s="11"/>
      <c r="PE171" s="11"/>
      <c r="PF171" s="11"/>
      <c r="PG171" s="11"/>
      <c r="PH171" s="11"/>
      <c r="PI171" s="11"/>
      <c r="PJ171" s="11"/>
      <c r="PK171" s="11"/>
      <c r="PL171" s="11"/>
      <c r="PM171" s="11"/>
      <c r="PN171" s="11"/>
      <c r="PO171" s="11"/>
      <c r="PP171" s="11"/>
      <c r="PQ171" s="11"/>
      <c r="PR171" s="11"/>
      <c r="PS171" s="11"/>
      <c r="PT171" s="11"/>
      <c r="PU171" s="11"/>
      <c r="PV171" s="11"/>
      <c r="PW171" s="11"/>
      <c r="PX171" s="11"/>
      <c r="PY171" s="11"/>
      <c r="PZ171" s="11"/>
      <c r="QA171" s="11"/>
      <c r="QB171" s="11"/>
      <c r="QC171" s="11"/>
      <c r="QD171" s="11"/>
      <c r="QE171" s="11"/>
      <c r="QF171" s="11"/>
      <c r="QG171" s="11"/>
      <c r="QH171" s="11"/>
      <c r="QI171" s="11"/>
      <c r="QJ171" s="11"/>
      <c r="QK171" s="11"/>
      <c r="QL171" s="11"/>
      <c r="QM171" s="11"/>
      <c r="QN171" s="11"/>
      <c r="QO171" s="11"/>
      <c r="QP171" s="11"/>
      <c r="QQ171" s="11"/>
      <c r="QR171" s="11"/>
      <c r="QS171" s="11"/>
      <c r="QT171" s="11"/>
      <c r="QU171" s="11"/>
      <c r="QV171" s="11"/>
      <c r="QW171" s="11"/>
      <c r="QX171" s="11"/>
      <c r="QY171" s="11"/>
      <c r="QZ171" s="11"/>
      <c r="RA171" s="11"/>
      <c r="RB171" s="11"/>
      <c r="RC171" s="11"/>
      <c r="RD171" s="11"/>
      <c r="RE171" s="11"/>
      <c r="RF171" s="11"/>
      <c r="RG171" s="11"/>
      <c r="RH171" s="11"/>
      <c r="RI171" s="11"/>
      <c r="RJ171" s="11"/>
      <c r="RK171" s="11"/>
      <c r="RL171" s="11"/>
      <c r="RM171" s="11"/>
      <c r="RN171" s="11"/>
      <c r="RO171" s="11"/>
      <c r="RP171" s="11"/>
      <c r="RQ171" s="11"/>
      <c r="RR171" s="11"/>
      <c r="RS171" s="11"/>
      <c r="RT171" s="11"/>
      <c r="RU171" s="11"/>
      <c r="RV171" s="11"/>
      <c r="RW171" s="11"/>
      <c r="RX171" s="11"/>
      <c r="RY171" s="11"/>
      <c r="RZ171" s="11"/>
      <c r="SA171" s="11"/>
      <c r="SB171" s="11"/>
      <c r="SC171" s="11"/>
      <c r="SD171" s="11"/>
      <c r="SE171" s="11"/>
      <c r="SF171" s="11"/>
      <c r="SG171" s="11"/>
      <c r="SH171" s="11"/>
      <c r="SI171" s="11"/>
      <c r="SJ171" s="11"/>
      <c r="SK171" s="11"/>
      <c r="SL171" s="11"/>
      <c r="SM171" s="11"/>
      <c r="SN171" s="11"/>
      <c r="SO171" s="11"/>
      <c r="SP171" s="11"/>
      <c r="SQ171" s="11"/>
      <c r="SR171" s="11"/>
      <c r="SS171" s="11"/>
      <c r="ST171" s="11"/>
      <c r="SU171" s="11"/>
      <c r="SV171" s="11"/>
      <c r="SW171" s="11"/>
      <c r="SX171" s="11"/>
      <c r="SY171" s="11"/>
      <c r="SZ171" s="11"/>
      <c r="TA171" s="11"/>
      <c r="TB171" s="11"/>
      <c r="TC171" s="11"/>
      <c r="TD171" s="11"/>
      <c r="TE171" s="11"/>
      <c r="TF171" s="11"/>
      <c r="TG171" s="11"/>
      <c r="TH171" s="11"/>
      <c r="TI171" s="11"/>
      <c r="TJ171" s="11"/>
      <c r="TK171" s="11"/>
      <c r="TL171" s="11"/>
      <c r="TM171" s="11"/>
      <c r="TN171" s="11"/>
      <c r="TO171" s="11"/>
      <c r="TP171" s="11"/>
      <c r="TQ171" s="11"/>
      <c r="TR171" s="11"/>
      <c r="TS171" s="11"/>
      <c r="TT171" s="11"/>
      <c r="TU171" s="11"/>
      <c r="TV171" s="11"/>
      <c r="TW171" s="11"/>
      <c r="TX171" s="11"/>
      <c r="TY171" s="11"/>
      <c r="TZ171" s="11"/>
      <c r="UA171" s="11"/>
      <c r="UB171" s="11"/>
      <c r="UC171" s="11"/>
      <c r="UD171" s="11"/>
      <c r="UE171" s="11"/>
      <c r="UF171" s="11"/>
      <c r="UG171" s="11"/>
      <c r="UH171" s="11"/>
      <c r="UI171" s="11"/>
      <c r="UJ171" s="11"/>
      <c r="UK171" s="11"/>
      <c r="UL171" s="11"/>
      <c r="UM171" s="11"/>
      <c r="UN171" s="11"/>
      <c r="UO171" s="11"/>
      <c r="UP171" s="11"/>
      <c r="UQ171" s="11"/>
      <c r="UR171" s="11"/>
      <c r="US171" s="11"/>
      <c r="UT171" s="11"/>
      <c r="UU171" s="11"/>
      <c r="UV171" s="11"/>
      <c r="UW171" s="11"/>
      <c r="UX171" s="11"/>
      <c r="UY171" s="11"/>
      <c r="UZ171" s="11"/>
      <c r="VA171" s="11"/>
      <c r="VB171" s="11"/>
      <c r="VC171" s="11"/>
      <c r="VD171" s="11"/>
      <c r="VE171" s="11"/>
      <c r="VF171" s="11"/>
      <c r="VG171" s="11"/>
      <c r="VH171" s="11"/>
      <c r="VI171" s="11"/>
      <c r="VJ171" s="11"/>
      <c r="VK171" s="11"/>
      <c r="VL171" s="11"/>
      <c r="VM171" s="11"/>
      <c r="VN171" s="11"/>
      <c r="VO171" s="11"/>
      <c r="VP171" s="11"/>
      <c r="VQ171" s="11"/>
      <c r="VR171" s="11"/>
      <c r="VS171" s="11"/>
      <c r="VT171" s="11"/>
      <c r="VU171" s="11"/>
      <c r="VV171" s="11"/>
      <c r="VW171" s="11"/>
      <c r="VX171" s="11"/>
      <c r="VY171" s="11"/>
      <c r="VZ171" s="11"/>
      <c r="WA171" s="11"/>
      <c r="WB171" s="11"/>
      <c r="WC171" s="11"/>
      <c r="WD171" s="11"/>
      <c r="WE171" s="11"/>
      <c r="WF171" s="11"/>
      <c r="WG171" s="11"/>
      <c r="WH171" s="11"/>
      <c r="WI171" s="11"/>
      <c r="WJ171" s="11"/>
      <c r="WK171" s="11"/>
      <c r="WL171" s="11"/>
      <c r="WM171" s="11"/>
      <c r="WN171" s="11"/>
      <c r="WO171" s="11"/>
      <c r="WP171" s="11"/>
      <c r="WQ171" s="11"/>
      <c r="WR171" s="11"/>
      <c r="WS171" s="11"/>
      <c r="WT171" s="11"/>
      <c r="WU171" s="11"/>
      <c r="WV171" s="11"/>
      <c r="WW171" s="11"/>
      <c r="WX171" s="11"/>
      <c r="WY171" s="11"/>
      <c r="WZ171" s="11"/>
      <c r="XA171" s="11"/>
      <c r="XB171" s="11"/>
      <c r="XC171" s="11"/>
      <c r="XD171" s="11"/>
      <c r="XE171" s="11"/>
      <c r="XF171" s="11"/>
      <c r="XG171" s="11"/>
      <c r="XH171" s="11"/>
      <c r="XI171" s="11"/>
      <c r="XJ171" s="11"/>
      <c r="XK171" s="11"/>
      <c r="XL171" s="11"/>
      <c r="XM171" s="11"/>
      <c r="XN171" s="11"/>
      <c r="XO171" s="11"/>
      <c r="XP171" s="11"/>
      <c r="XQ171" s="11"/>
      <c r="XR171" s="11"/>
      <c r="XS171" s="11"/>
      <c r="XT171" s="11"/>
      <c r="XU171" s="11"/>
      <c r="XV171" s="11"/>
      <c r="XW171" s="11"/>
      <c r="XX171" s="11"/>
      <c r="XY171" s="11"/>
      <c r="XZ171" s="11"/>
      <c r="YA171" s="11"/>
      <c r="YB171" s="11"/>
      <c r="YC171" s="11"/>
      <c r="YD171" s="11"/>
      <c r="YE171" s="11"/>
      <c r="YF171" s="11"/>
      <c r="YG171" s="11"/>
      <c r="YH171" s="11"/>
      <c r="YI171" s="11"/>
      <c r="YJ171" s="11"/>
      <c r="YK171" s="11"/>
      <c r="YL171" s="11"/>
      <c r="YM171" s="11"/>
      <c r="YN171" s="11"/>
      <c r="YO171" s="11"/>
      <c r="YP171" s="11"/>
      <c r="YQ171" s="11"/>
      <c r="YR171" s="11"/>
      <c r="YS171" s="11"/>
      <c r="YT171" s="11"/>
      <c r="YU171" s="11"/>
      <c r="YV171" s="11"/>
      <c r="YW171" s="11"/>
      <c r="YX171" s="11"/>
      <c r="YY171" s="11"/>
      <c r="YZ171" s="11"/>
      <c r="ZA171" s="11"/>
      <c r="ZB171" s="11"/>
      <c r="ZC171" s="11"/>
      <c r="ZD171" s="11"/>
      <c r="ZE171" s="11"/>
      <c r="ZF171" s="11"/>
      <c r="ZG171" s="11"/>
      <c r="ZH171" s="11"/>
      <c r="ZI171" s="11"/>
      <c r="ZJ171" s="11"/>
      <c r="ZK171" s="11"/>
      <c r="ZL171" s="11"/>
      <c r="ZM171" s="11"/>
      <c r="ZN171" s="11"/>
      <c r="ZO171" s="11"/>
      <c r="ZP171" s="11"/>
      <c r="ZQ171" s="11"/>
      <c r="ZR171" s="11"/>
      <c r="ZS171" s="11"/>
      <c r="ZT171" s="11"/>
      <c r="ZU171" s="11"/>
      <c r="ZV171" s="11"/>
      <c r="ZW171" s="11"/>
      <c r="ZX171" s="11"/>
      <c r="ZY171" s="11"/>
      <c r="ZZ171" s="11"/>
      <c r="AAA171" s="11"/>
      <c r="AAB171" s="11"/>
      <c r="AAC171" s="11"/>
      <c r="AAD171" s="11"/>
      <c r="AAE171" s="11"/>
      <c r="AAF171" s="11"/>
      <c r="AAG171" s="11"/>
      <c r="AAH171" s="11"/>
      <c r="AAI171" s="11"/>
      <c r="AAJ171" s="11"/>
      <c r="AAK171" s="11"/>
      <c r="AAL171" s="11"/>
      <c r="AAM171" s="11"/>
      <c r="AAN171" s="11"/>
      <c r="AAO171" s="11"/>
      <c r="AAP171" s="11"/>
      <c r="AAQ171" s="11"/>
      <c r="AAR171" s="11"/>
      <c r="AAS171" s="11"/>
      <c r="AAT171" s="11"/>
      <c r="AAU171" s="11"/>
      <c r="AAV171" s="11"/>
      <c r="AAW171" s="11"/>
      <c r="AAX171" s="11"/>
      <c r="AAY171" s="11"/>
      <c r="AAZ171" s="11"/>
      <c r="ABA171" s="11"/>
      <c r="ABB171" s="11"/>
      <c r="ABC171" s="11"/>
      <c r="ABD171" s="11"/>
      <c r="ABE171" s="11"/>
      <c r="ABF171" s="11"/>
      <c r="ABG171" s="11"/>
      <c r="ABH171" s="11"/>
      <c r="ABI171" s="11"/>
      <c r="ABJ171" s="11"/>
      <c r="ABK171" s="11"/>
      <c r="ABL171" s="11"/>
      <c r="ABM171" s="11"/>
      <c r="ABN171" s="11"/>
      <c r="ABO171" s="11"/>
      <c r="ABP171" s="11"/>
      <c r="ABQ171" s="11"/>
      <c r="ABR171" s="11"/>
      <c r="ABS171" s="11"/>
      <c r="ABT171" s="11"/>
      <c r="ABU171" s="11"/>
      <c r="ABV171" s="11"/>
      <c r="ABW171" s="11"/>
      <c r="ABX171" s="11"/>
      <c r="ABY171" s="11"/>
      <c r="ABZ171" s="11"/>
      <c r="ACA171" s="11"/>
      <c r="ACB171" s="11"/>
      <c r="ACC171" s="11"/>
      <c r="ACD171" s="11"/>
      <c r="ACE171" s="11"/>
      <c r="ACF171" s="11"/>
      <c r="ACG171" s="11"/>
      <c r="ACH171" s="11"/>
      <c r="ACI171" s="11"/>
      <c r="ACJ171" s="11"/>
      <c r="ACK171" s="11"/>
      <c r="ACL171" s="11"/>
      <c r="ACM171" s="11"/>
      <c r="ACN171" s="11"/>
      <c r="ACO171" s="11"/>
      <c r="ACP171" s="11"/>
      <c r="ACQ171" s="11"/>
      <c r="ACR171" s="11"/>
      <c r="ACS171" s="11"/>
      <c r="ACT171" s="11"/>
      <c r="ACU171" s="11"/>
      <c r="ACV171" s="11"/>
      <c r="ACW171" s="11"/>
      <c r="ACX171" s="11"/>
      <c r="ACY171" s="11"/>
      <c r="ACZ171" s="11"/>
      <c r="ADA171" s="11"/>
      <c r="ADB171" s="11"/>
      <c r="ADC171" s="11"/>
      <c r="ADD171" s="11"/>
      <c r="ADE171" s="11"/>
      <c r="ADF171" s="11"/>
      <c r="ADG171" s="11"/>
      <c r="ADH171" s="11"/>
      <c r="ADI171" s="11"/>
      <c r="ADJ171" s="11"/>
      <c r="ADK171" s="11"/>
      <c r="ADL171" s="11"/>
      <c r="ADM171" s="11"/>
      <c r="ADN171" s="11"/>
      <c r="ADO171" s="11"/>
      <c r="ADP171" s="11"/>
      <c r="ADQ171" s="11"/>
      <c r="ADR171" s="11"/>
      <c r="ADS171" s="11"/>
      <c r="ADT171" s="11"/>
      <c r="ADU171" s="11"/>
      <c r="ADV171" s="11"/>
      <c r="ADW171" s="11"/>
      <c r="ADX171" s="11"/>
      <c r="ADY171" s="11"/>
      <c r="ADZ171" s="11"/>
      <c r="AEA171" s="11"/>
      <c r="AEB171" s="11"/>
      <c r="AEC171" s="11"/>
      <c r="AED171" s="11"/>
      <c r="AEE171" s="11"/>
      <c r="AEF171" s="11"/>
      <c r="AEG171" s="11"/>
      <c r="AEH171" s="11"/>
      <c r="AEI171" s="11"/>
      <c r="AEJ171" s="11"/>
      <c r="AEK171" s="11"/>
      <c r="AEL171" s="11"/>
      <c r="AEM171" s="11"/>
      <c r="AEN171" s="11"/>
      <c r="AEO171" s="11"/>
      <c r="AEP171" s="11"/>
      <c r="AEQ171" s="11"/>
      <c r="AER171" s="11"/>
      <c r="AES171" s="11"/>
      <c r="AET171" s="11"/>
      <c r="AEU171" s="11"/>
      <c r="AEV171" s="11"/>
      <c r="AEW171" s="11"/>
      <c r="AEX171" s="11"/>
      <c r="AEY171" s="11"/>
      <c r="AEZ171" s="11"/>
      <c r="AFA171" s="11"/>
      <c r="AFB171" s="11"/>
      <c r="AFC171" s="11"/>
      <c r="AFD171" s="11"/>
      <c r="AFE171" s="11"/>
      <c r="AFF171" s="11"/>
      <c r="AFG171" s="11"/>
      <c r="AFH171" s="11"/>
      <c r="AFI171" s="11"/>
    </row>
    <row r="172" spans="2:84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1"/>
      <c r="LV172" s="11"/>
      <c r="LW172" s="11"/>
      <c r="LX172" s="11"/>
      <c r="LY172" s="11"/>
      <c r="LZ172" s="11"/>
      <c r="MA172" s="11"/>
      <c r="MB172" s="11"/>
      <c r="MC172" s="11"/>
      <c r="MD172" s="11"/>
      <c r="ME172" s="11"/>
      <c r="MF172" s="11"/>
      <c r="MG172" s="11"/>
      <c r="MH172" s="11"/>
      <c r="MI172" s="11"/>
      <c r="MJ172" s="11"/>
      <c r="MK172" s="11"/>
      <c r="ML172" s="11"/>
      <c r="MM172" s="11"/>
      <c r="MN172" s="11"/>
      <c r="MO172" s="11"/>
      <c r="MP172" s="11"/>
      <c r="MQ172" s="11"/>
      <c r="MR172" s="11"/>
      <c r="MS172" s="11"/>
      <c r="MT172" s="11"/>
      <c r="MU172" s="11"/>
      <c r="MV172" s="11"/>
      <c r="MW172" s="11"/>
      <c r="MX172" s="11"/>
      <c r="MY172" s="11"/>
      <c r="MZ172" s="11"/>
      <c r="NA172" s="11"/>
      <c r="NB172" s="11"/>
      <c r="NC172" s="11"/>
      <c r="ND172" s="11"/>
      <c r="NE172" s="11"/>
      <c r="NF172" s="11"/>
      <c r="NG172" s="11"/>
      <c r="NH172" s="11"/>
      <c r="NI172" s="11"/>
      <c r="NJ172" s="11"/>
      <c r="NK172" s="11"/>
      <c r="NL172" s="11"/>
      <c r="NM172" s="11"/>
      <c r="NN172" s="11"/>
      <c r="NO172" s="11"/>
      <c r="NP172" s="11"/>
      <c r="NQ172" s="11"/>
      <c r="NR172" s="11"/>
      <c r="NS172" s="11"/>
      <c r="NT172" s="11"/>
      <c r="NU172" s="11"/>
      <c r="NV172" s="11"/>
      <c r="NW172" s="11"/>
      <c r="NX172" s="11"/>
      <c r="NY172" s="11"/>
      <c r="NZ172" s="11"/>
      <c r="OA172" s="11"/>
      <c r="OB172" s="11"/>
      <c r="OC172" s="11"/>
      <c r="OD172" s="11"/>
      <c r="OE172" s="11"/>
      <c r="OF172" s="11"/>
      <c r="OG172" s="11"/>
      <c r="OH172" s="11"/>
      <c r="OI172" s="11"/>
      <c r="OJ172" s="11"/>
      <c r="OK172" s="11"/>
      <c r="OL172" s="11"/>
      <c r="OM172" s="11"/>
      <c r="ON172" s="11"/>
      <c r="OO172" s="11"/>
      <c r="OP172" s="11"/>
      <c r="OQ172" s="11"/>
      <c r="OR172" s="11"/>
      <c r="OS172" s="11"/>
      <c r="OT172" s="11"/>
      <c r="OU172" s="11"/>
      <c r="OV172" s="11"/>
      <c r="OW172" s="11"/>
      <c r="OX172" s="11"/>
      <c r="OY172" s="11"/>
      <c r="OZ172" s="11"/>
      <c r="PA172" s="11"/>
      <c r="PB172" s="11"/>
      <c r="PC172" s="11"/>
      <c r="PD172" s="11"/>
      <c r="PE172" s="11"/>
      <c r="PF172" s="11"/>
      <c r="PG172" s="11"/>
      <c r="PH172" s="11"/>
      <c r="PI172" s="11"/>
      <c r="PJ172" s="11"/>
      <c r="PK172" s="11"/>
      <c r="PL172" s="11"/>
      <c r="PM172" s="11"/>
      <c r="PN172" s="11"/>
      <c r="PO172" s="11"/>
      <c r="PP172" s="11"/>
      <c r="PQ172" s="11"/>
      <c r="PR172" s="11"/>
      <c r="PS172" s="11"/>
      <c r="PT172" s="11"/>
      <c r="PU172" s="11"/>
      <c r="PV172" s="11"/>
      <c r="PW172" s="11"/>
      <c r="PX172" s="11"/>
      <c r="PY172" s="11"/>
      <c r="PZ172" s="11"/>
      <c r="QA172" s="11"/>
      <c r="QB172" s="11"/>
      <c r="QC172" s="11"/>
      <c r="QD172" s="11"/>
      <c r="QE172" s="11"/>
      <c r="QF172" s="11"/>
      <c r="QG172" s="11"/>
      <c r="QH172" s="11"/>
      <c r="QI172" s="11"/>
      <c r="QJ172" s="11"/>
      <c r="QK172" s="11"/>
      <c r="QL172" s="11"/>
      <c r="QM172" s="11"/>
      <c r="QN172" s="11"/>
      <c r="QO172" s="11"/>
      <c r="QP172" s="11"/>
      <c r="QQ172" s="11"/>
      <c r="QR172" s="11"/>
      <c r="QS172" s="11"/>
      <c r="QT172" s="11"/>
      <c r="QU172" s="11"/>
      <c r="QV172" s="11"/>
      <c r="QW172" s="11"/>
      <c r="QX172" s="11"/>
      <c r="QY172" s="11"/>
      <c r="QZ172" s="11"/>
      <c r="RA172" s="11"/>
      <c r="RB172" s="11"/>
      <c r="RC172" s="11"/>
      <c r="RD172" s="11"/>
      <c r="RE172" s="11"/>
      <c r="RF172" s="11"/>
      <c r="RG172" s="11"/>
      <c r="RH172" s="11"/>
      <c r="RI172" s="11"/>
      <c r="RJ172" s="11"/>
      <c r="RK172" s="11"/>
      <c r="RL172" s="11"/>
      <c r="RM172" s="11"/>
      <c r="RN172" s="11"/>
      <c r="RO172" s="11"/>
      <c r="RP172" s="11"/>
      <c r="RQ172" s="11"/>
      <c r="RR172" s="11"/>
      <c r="RS172" s="11"/>
      <c r="RT172" s="11"/>
      <c r="RU172" s="11"/>
      <c r="RV172" s="11"/>
      <c r="RW172" s="11"/>
      <c r="RX172" s="11"/>
      <c r="RY172" s="11"/>
      <c r="RZ172" s="11"/>
      <c r="SA172" s="11"/>
      <c r="SB172" s="11"/>
      <c r="SC172" s="11"/>
      <c r="SD172" s="11"/>
      <c r="SE172" s="11"/>
      <c r="SF172" s="11"/>
      <c r="SG172" s="11"/>
      <c r="SH172" s="11"/>
      <c r="SI172" s="11"/>
      <c r="SJ172" s="11"/>
      <c r="SK172" s="11"/>
      <c r="SL172" s="11"/>
      <c r="SM172" s="11"/>
      <c r="SN172" s="11"/>
      <c r="SO172" s="11"/>
      <c r="SP172" s="11"/>
      <c r="SQ172" s="11"/>
      <c r="SR172" s="11"/>
      <c r="SS172" s="11"/>
      <c r="ST172" s="11"/>
      <c r="SU172" s="11"/>
      <c r="SV172" s="11"/>
      <c r="SW172" s="11"/>
      <c r="SX172" s="11"/>
      <c r="SY172" s="11"/>
      <c r="SZ172" s="11"/>
      <c r="TA172" s="11"/>
      <c r="TB172" s="11"/>
      <c r="TC172" s="11"/>
      <c r="TD172" s="11"/>
      <c r="TE172" s="11"/>
      <c r="TF172" s="11"/>
      <c r="TG172" s="11"/>
      <c r="TH172" s="11"/>
      <c r="TI172" s="11"/>
      <c r="TJ172" s="11"/>
      <c r="TK172" s="11"/>
      <c r="TL172" s="11"/>
      <c r="TM172" s="11"/>
      <c r="TN172" s="11"/>
      <c r="TO172" s="11"/>
      <c r="TP172" s="11"/>
      <c r="TQ172" s="11"/>
      <c r="TR172" s="11"/>
      <c r="TS172" s="11"/>
      <c r="TT172" s="11"/>
      <c r="TU172" s="11"/>
      <c r="TV172" s="11"/>
      <c r="TW172" s="11"/>
      <c r="TX172" s="11"/>
      <c r="TY172" s="11"/>
      <c r="TZ172" s="11"/>
      <c r="UA172" s="11"/>
      <c r="UB172" s="11"/>
      <c r="UC172" s="11"/>
      <c r="UD172" s="11"/>
      <c r="UE172" s="11"/>
      <c r="UF172" s="11"/>
      <c r="UG172" s="11"/>
      <c r="UH172" s="11"/>
      <c r="UI172" s="11"/>
      <c r="UJ172" s="11"/>
      <c r="UK172" s="11"/>
      <c r="UL172" s="11"/>
      <c r="UM172" s="11"/>
      <c r="UN172" s="11"/>
      <c r="UO172" s="11"/>
      <c r="UP172" s="11"/>
      <c r="UQ172" s="11"/>
      <c r="UR172" s="11"/>
      <c r="US172" s="11"/>
      <c r="UT172" s="11"/>
      <c r="UU172" s="11"/>
      <c r="UV172" s="11"/>
      <c r="UW172" s="11"/>
      <c r="UX172" s="11"/>
      <c r="UY172" s="11"/>
      <c r="UZ172" s="11"/>
      <c r="VA172" s="11"/>
      <c r="VB172" s="11"/>
      <c r="VC172" s="11"/>
      <c r="VD172" s="11"/>
      <c r="VE172" s="11"/>
      <c r="VF172" s="11"/>
      <c r="VG172" s="11"/>
      <c r="VH172" s="11"/>
      <c r="VI172" s="11"/>
      <c r="VJ172" s="11"/>
      <c r="VK172" s="11"/>
      <c r="VL172" s="11"/>
      <c r="VM172" s="11"/>
      <c r="VN172" s="11"/>
      <c r="VO172" s="11"/>
      <c r="VP172" s="11"/>
      <c r="VQ172" s="11"/>
      <c r="VR172" s="11"/>
      <c r="VS172" s="11"/>
      <c r="VT172" s="11"/>
      <c r="VU172" s="11"/>
      <c r="VV172" s="11"/>
      <c r="VW172" s="11"/>
      <c r="VX172" s="11"/>
      <c r="VY172" s="11"/>
      <c r="VZ172" s="11"/>
      <c r="WA172" s="11"/>
      <c r="WB172" s="11"/>
      <c r="WC172" s="11"/>
      <c r="WD172" s="11"/>
      <c r="WE172" s="11"/>
      <c r="WF172" s="11"/>
      <c r="WG172" s="11"/>
      <c r="WH172" s="11"/>
      <c r="WI172" s="11"/>
      <c r="WJ172" s="11"/>
      <c r="WK172" s="11"/>
      <c r="WL172" s="11"/>
      <c r="WM172" s="11"/>
      <c r="WN172" s="11"/>
      <c r="WO172" s="11"/>
      <c r="WP172" s="11"/>
      <c r="WQ172" s="11"/>
      <c r="WR172" s="11"/>
      <c r="WS172" s="11"/>
      <c r="WT172" s="11"/>
      <c r="WU172" s="11"/>
      <c r="WV172" s="11"/>
      <c r="WW172" s="11"/>
      <c r="WX172" s="11"/>
      <c r="WY172" s="11"/>
      <c r="WZ172" s="11"/>
      <c r="XA172" s="11"/>
      <c r="XB172" s="11"/>
      <c r="XC172" s="11"/>
      <c r="XD172" s="11"/>
      <c r="XE172" s="11"/>
      <c r="XF172" s="11"/>
      <c r="XG172" s="11"/>
      <c r="XH172" s="11"/>
      <c r="XI172" s="11"/>
      <c r="XJ172" s="11"/>
      <c r="XK172" s="11"/>
      <c r="XL172" s="11"/>
      <c r="XM172" s="11"/>
      <c r="XN172" s="11"/>
      <c r="XO172" s="11"/>
      <c r="XP172" s="11"/>
      <c r="XQ172" s="11"/>
      <c r="XR172" s="11"/>
      <c r="XS172" s="11"/>
      <c r="XT172" s="11"/>
      <c r="XU172" s="11"/>
      <c r="XV172" s="11"/>
      <c r="XW172" s="11"/>
      <c r="XX172" s="11"/>
      <c r="XY172" s="11"/>
      <c r="XZ172" s="11"/>
      <c r="YA172" s="11"/>
      <c r="YB172" s="11"/>
      <c r="YC172" s="11"/>
      <c r="YD172" s="11"/>
      <c r="YE172" s="11"/>
      <c r="YF172" s="11"/>
      <c r="YG172" s="11"/>
      <c r="YH172" s="11"/>
      <c r="YI172" s="11"/>
      <c r="YJ172" s="11"/>
      <c r="YK172" s="11"/>
      <c r="YL172" s="11"/>
      <c r="YM172" s="11"/>
      <c r="YN172" s="11"/>
      <c r="YO172" s="11"/>
      <c r="YP172" s="11"/>
      <c r="YQ172" s="11"/>
      <c r="YR172" s="11"/>
      <c r="YS172" s="11"/>
      <c r="YT172" s="11"/>
      <c r="YU172" s="11"/>
      <c r="YV172" s="11"/>
      <c r="YW172" s="11"/>
      <c r="YX172" s="11"/>
      <c r="YY172" s="11"/>
      <c r="YZ172" s="11"/>
      <c r="ZA172" s="11"/>
      <c r="ZB172" s="11"/>
      <c r="ZC172" s="11"/>
      <c r="ZD172" s="11"/>
      <c r="ZE172" s="11"/>
      <c r="ZF172" s="11"/>
      <c r="ZG172" s="11"/>
      <c r="ZH172" s="11"/>
      <c r="ZI172" s="11"/>
      <c r="ZJ172" s="11"/>
      <c r="ZK172" s="11"/>
      <c r="ZL172" s="11"/>
      <c r="ZM172" s="11"/>
      <c r="ZN172" s="11"/>
      <c r="ZO172" s="11"/>
      <c r="ZP172" s="11"/>
      <c r="ZQ172" s="11"/>
      <c r="ZR172" s="11"/>
      <c r="ZS172" s="11"/>
      <c r="ZT172" s="11"/>
      <c r="ZU172" s="11"/>
      <c r="ZV172" s="11"/>
      <c r="ZW172" s="11"/>
      <c r="ZX172" s="11"/>
      <c r="ZY172" s="11"/>
      <c r="ZZ172" s="11"/>
      <c r="AAA172" s="11"/>
      <c r="AAB172" s="11"/>
      <c r="AAC172" s="11"/>
      <c r="AAD172" s="11"/>
      <c r="AAE172" s="11"/>
      <c r="AAF172" s="11"/>
      <c r="AAG172" s="11"/>
      <c r="AAH172" s="11"/>
      <c r="AAI172" s="11"/>
      <c r="AAJ172" s="11"/>
      <c r="AAK172" s="11"/>
      <c r="AAL172" s="11"/>
      <c r="AAM172" s="11"/>
      <c r="AAN172" s="11"/>
      <c r="AAO172" s="11"/>
      <c r="AAP172" s="11"/>
      <c r="AAQ172" s="11"/>
      <c r="AAR172" s="11"/>
      <c r="AAS172" s="11"/>
      <c r="AAT172" s="11"/>
      <c r="AAU172" s="11"/>
      <c r="AAV172" s="11"/>
      <c r="AAW172" s="11"/>
      <c r="AAX172" s="11"/>
      <c r="AAY172" s="11"/>
      <c r="AAZ172" s="11"/>
      <c r="ABA172" s="11"/>
      <c r="ABB172" s="11"/>
      <c r="ABC172" s="11"/>
      <c r="ABD172" s="11"/>
      <c r="ABE172" s="11"/>
      <c r="ABF172" s="11"/>
      <c r="ABG172" s="11"/>
      <c r="ABH172" s="11"/>
      <c r="ABI172" s="11"/>
      <c r="ABJ172" s="11"/>
      <c r="ABK172" s="11"/>
      <c r="ABL172" s="11"/>
      <c r="ABM172" s="11"/>
      <c r="ABN172" s="11"/>
      <c r="ABO172" s="11"/>
      <c r="ABP172" s="11"/>
      <c r="ABQ172" s="11"/>
      <c r="ABR172" s="11"/>
      <c r="ABS172" s="11"/>
      <c r="ABT172" s="11"/>
      <c r="ABU172" s="11"/>
      <c r="ABV172" s="11"/>
      <c r="ABW172" s="11"/>
      <c r="ABX172" s="11"/>
      <c r="ABY172" s="11"/>
      <c r="ABZ172" s="11"/>
      <c r="ACA172" s="11"/>
      <c r="ACB172" s="11"/>
      <c r="ACC172" s="11"/>
      <c r="ACD172" s="11"/>
      <c r="ACE172" s="11"/>
      <c r="ACF172" s="11"/>
      <c r="ACG172" s="11"/>
      <c r="ACH172" s="11"/>
      <c r="ACI172" s="11"/>
      <c r="ACJ172" s="11"/>
      <c r="ACK172" s="11"/>
      <c r="ACL172" s="11"/>
      <c r="ACM172" s="11"/>
      <c r="ACN172" s="11"/>
      <c r="ACO172" s="11"/>
      <c r="ACP172" s="11"/>
      <c r="ACQ172" s="11"/>
      <c r="ACR172" s="11"/>
      <c r="ACS172" s="11"/>
      <c r="ACT172" s="11"/>
      <c r="ACU172" s="11"/>
      <c r="ACV172" s="11"/>
      <c r="ACW172" s="11"/>
      <c r="ACX172" s="11"/>
      <c r="ACY172" s="11"/>
      <c r="ACZ172" s="11"/>
      <c r="ADA172" s="11"/>
      <c r="ADB172" s="11"/>
      <c r="ADC172" s="11"/>
      <c r="ADD172" s="11"/>
      <c r="ADE172" s="11"/>
      <c r="ADF172" s="11"/>
      <c r="ADG172" s="11"/>
      <c r="ADH172" s="11"/>
      <c r="ADI172" s="11"/>
      <c r="ADJ172" s="11"/>
      <c r="ADK172" s="11"/>
      <c r="ADL172" s="11"/>
      <c r="ADM172" s="11"/>
      <c r="ADN172" s="11"/>
      <c r="ADO172" s="11"/>
      <c r="ADP172" s="11"/>
      <c r="ADQ172" s="11"/>
      <c r="ADR172" s="11"/>
      <c r="ADS172" s="11"/>
      <c r="ADT172" s="11"/>
      <c r="ADU172" s="11"/>
      <c r="ADV172" s="11"/>
      <c r="ADW172" s="11"/>
      <c r="ADX172" s="11"/>
      <c r="ADY172" s="11"/>
      <c r="ADZ172" s="11"/>
      <c r="AEA172" s="11"/>
      <c r="AEB172" s="11"/>
      <c r="AEC172" s="11"/>
      <c r="AED172" s="11"/>
      <c r="AEE172" s="11"/>
      <c r="AEF172" s="11"/>
      <c r="AEG172" s="11"/>
      <c r="AEH172" s="11"/>
      <c r="AEI172" s="11"/>
      <c r="AEJ172" s="11"/>
      <c r="AEK172" s="11"/>
      <c r="AEL172" s="11"/>
      <c r="AEM172" s="11"/>
      <c r="AEN172" s="11"/>
      <c r="AEO172" s="11"/>
      <c r="AEP172" s="11"/>
      <c r="AEQ172" s="11"/>
      <c r="AER172" s="11"/>
      <c r="AES172" s="11"/>
      <c r="AET172" s="11"/>
      <c r="AEU172" s="11"/>
      <c r="AEV172" s="11"/>
      <c r="AEW172" s="11"/>
      <c r="AEX172" s="11"/>
      <c r="AEY172" s="11"/>
      <c r="AEZ172" s="11"/>
      <c r="AFA172" s="11"/>
      <c r="AFB172" s="11"/>
      <c r="AFC172" s="11"/>
      <c r="AFD172" s="11"/>
      <c r="AFE172" s="11"/>
      <c r="AFF172" s="11"/>
      <c r="AFG172" s="11"/>
      <c r="AFH172" s="11"/>
      <c r="AFI172" s="11"/>
    </row>
    <row r="173" spans="2:84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1"/>
      <c r="LV173" s="11"/>
      <c r="LW173" s="11"/>
      <c r="LX173" s="11"/>
      <c r="LY173" s="11"/>
      <c r="LZ173" s="11"/>
      <c r="MA173" s="11"/>
      <c r="MB173" s="11"/>
      <c r="MC173" s="11"/>
      <c r="MD173" s="11"/>
      <c r="ME173" s="11"/>
      <c r="MF173" s="11"/>
      <c r="MG173" s="11"/>
      <c r="MH173" s="11"/>
      <c r="MI173" s="11"/>
      <c r="MJ173" s="11"/>
      <c r="MK173" s="11"/>
      <c r="ML173" s="11"/>
      <c r="MM173" s="11"/>
      <c r="MN173" s="11"/>
      <c r="MO173" s="11"/>
      <c r="MP173" s="11"/>
      <c r="MQ173" s="11"/>
      <c r="MR173" s="11"/>
      <c r="MS173" s="11"/>
      <c r="MT173" s="11"/>
      <c r="MU173" s="11"/>
      <c r="MV173" s="11"/>
      <c r="MW173" s="11"/>
      <c r="MX173" s="11"/>
      <c r="MY173" s="11"/>
      <c r="MZ173" s="11"/>
      <c r="NA173" s="11"/>
      <c r="NB173" s="11"/>
      <c r="NC173" s="11"/>
      <c r="ND173" s="11"/>
      <c r="NE173" s="11"/>
      <c r="NF173" s="11"/>
      <c r="NG173" s="11"/>
      <c r="NH173" s="11"/>
      <c r="NI173" s="11"/>
      <c r="NJ173" s="11"/>
      <c r="NK173" s="11"/>
      <c r="NL173" s="11"/>
      <c r="NM173" s="11"/>
      <c r="NN173" s="11"/>
      <c r="NO173" s="11"/>
      <c r="NP173" s="11"/>
      <c r="NQ173" s="11"/>
      <c r="NR173" s="11"/>
      <c r="NS173" s="11"/>
      <c r="NT173" s="11"/>
      <c r="NU173" s="11"/>
      <c r="NV173" s="11"/>
      <c r="NW173" s="11"/>
      <c r="NX173" s="11"/>
      <c r="NY173" s="11"/>
      <c r="NZ173" s="11"/>
      <c r="OA173" s="11"/>
      <c r="OB173" s="11"/>
      <c r="OC173" s="11"/>
      <c r="OD173" s="11"/>
      <c r="OE173" s="11"/>
      <c r="OF173" s="11"/>
      <c r="OG173" s="11"/>
      <c r="OH173" s="11"/>
      <c r="OI173" s="11"/>
      <c r="OJ173" s="11"/>
      <c r="OK173" s="11"/>
      <c r="OL173" s="11"/>
      <c r="OM173" s="11"/>
      <c r="ON173" s="11"/>
      <c r="OO173" s="11"/>
      <c r="OP173" s="11"/>
      <c r="OQ173" s="11"/>
      <c r="OR173" s="11"/>
      <c r="OS173" s="11"/>
      <c r="OT173" s="11"/>
      <c r="OU173" s="11"/>
      <c r="OV173" s="11"/>
      <c r="OW173" s="11"/>
      <c r="OX173" s="11"/>
      <c r="OY173" s="11"/>
      <c r="OZ173" s="11"/>
      <c r="PA173" s="11"/>
      <c r="PB173" s="11"/>
      <c r="PC173" s="11"/>
      <c r="PD173" s="11"/>
      <c r="PE173" s="11"/>
      <c r="PF173" s="11"/>
      <c r="PG173" s="11"/>
      <c r="PH173" s="11"/>
      <c r="PI173" s="11"/>
      <c r="PJ173" s="11"/>
      <c r="PK173" s="11"/>
      <c r="PL173" s="11"/>
      <c r="PM173" s="11"/>
      <c r="PN173" s="11"/>
      <c r="PO173" s="11"/>
      <c r="PP173" s="11"/>
      <c r="PQ173" s="11"/>
      <c r="PR173" s="11"/>
      <c r="PS173" s="11"/>
      <c r="PT173" s="11"/>
      <c r="PU173" s="11"/>
      <c r="PV173" s="11"/>
      <c r="PW173" s="11"/>
      <c r="PX173" s="11"/>
      <c r="PY173" s="11"/>
      <c r="PZ173" s="11"/>
      <c r="QA173" s="11"/>
      <c r="QB173" s="11"/>
      <c r="QC173" s="11"/>
      <c r="QD173" s="11"/>
      <c r="QE173" s="11"/>
      <c r="QF173" s="11"/>
      <c r="QG173" s="11"/>
      <c r="QH173" s="11"/>
      <c r="QI173" s="11"/>
      <c r="QJ173" s="11"/>
      <c r="QK173" s="11"/>
      <c r="QL173" s="11"/>
      <c r="QM173" s="11"/>
      <c r="QN173" s="11"/>
      <c r="QO173" s="11"/>
      <c r="QP173" s="11"/>
      <c r="QQ173" s="11"/>
      <c r="QR173" s="11"/>
      <c r="QS173" s="11"/>
      <c r="QT173" s="11"/>
      <c r="QU173" s="11"/>
      <c r="QV173" s="11"/>
      <c r="QW173" s="11"/>
      <c r="QX173" s="11"/>
      <c r="QY173" s="11"/>
      <c r="QZ173" s="11"/>
      <c r="RA173" s="11"/>
      <c r="RB173" s="11"/>
      <c r="RC173" s="11"/>
      <c r="RD173" s="11"/>
      <c r="RE173" s="11"/>
      <c r="RF173" s="11"/>
      <c r="RG173" s="11"/>
      <c r="RH173" s="11"/>
      <c r="RI173" s="11"/>
      <c r="RJ173" s="11"/>
      <c r="RK173" s="11"/>
      <c r="RL173" s="11"/>
      <c r="RM173" s="11"/>
      <c r="RN173" s="11"/>
      <c r="RO173" s="11"/>
      <c r="RP173" s="11"/>
      <c r="RQ173" s="11"/>
      <c r="RR173" s="11"/>
      <c r="RS173" s="11"/>
      <c r="RT173" s="11"/>
      <c r="RU173" s="11"/>
      <c r="RV173" s="11"/>
      <c r="RW173" s="11"/>
      <c r="RX173" s="11"/>
      <c r="RY173" s="11"/>
      <c r="RZ173" s="11"/>
      <c r="SA173" s="11"/>
      <c r="SB173" s="11"/>
      <c r="SC173" s="11"/>
      <c r="SD173" s="11"/>
      <c r="SE173" s="11"/>
      <c r="SF173" s="11"/>
      <c r="SG173" s="11"/>
      <c r="SH173" s="11"/>
      <c r="SI173" s="11"/>
      <c r="SJ173" s="11"/>
      <c r="SK173" s="11"/>
      <c r="SL173" s="11"/>
      <c r="SM173" s="11"/>
      <c r="SN173" s="11"/>
      <c r="SO173" s="11"/>
      <c r="SP173" s="11"/>
      <c r="SQ173" s="11"/>
      <c r="SR173" s="11"/>
      <c r="SS173" s="11"/>
      <c r="ST173" s="11"/>
      <c r="SU173" s="11"/>
      <c r="SV173" s="11"/>
      <c r="SW173" s="11"/>
      <c r="SX173" s="11"/>
      <c r="SY173" s="11"/>
      <c r="SZ173" s="11"/>
      <c r="TA173" s="11"/>
      <c r="TB173" s="11"/>
      <c r="TC173" s="11"/>
      <c r="TD173" s="11"/>
      <c r="TE173" s="11"/>
      <c r="TF173" s="11"/>
      <c r="TG173" s="11"/>
      <c r="TH173" s="11"/>
      <c r="TI173" s="11"/>
      <c r="TJ173" s="11"/>
      <c r="TK173" s="11"/>
      <c r="TL173" s="11"/>
      <c r="TM173" s="11"/>
      <c r="TN173" s="11"/>
      <c r="TO173" s="11"/>
      <c r="TP173" s="11"/>
      <c r="TQ173" s="11"/>
      <c r="TR173" s="11"/>
      <c r="TS173" s="11"/>
      <c r="TT173" s="11"/>
      <c r="TU173" s="11"/>
      <c r="TV173" s="11"/>
      <c r="TW173" s="11"/>
      <c r="TX173" s="11"/>
      <c r="TY173" s="11"/>
      <c r="TZ173" s="11"/>
      <c r="UA173" s="11"/>
      <c r="UB173" s="11"/>
      <c r="UC173" s="11"/>
      <c r="UD173" s="11"/>
      <c r="UE173" s="11"/>
      <c r="UF173" s="11"/>
      <c r="UG173" s="11"/>
      <c r="UH173" s="11"/>
      <c r="UI173" s="11"/>
      <c r="UJ173" s="11"/>
      <c r="UK173" s="11"/>
      <c r="UL173" s="11"/>
      <c r="UM173" s="11"/>
      <c r="UN173" s="11"/>
      <c r="UO173" s="11"/>
      <c r="UP173" s="11"/>
      <c r="UQ173" s="11"/>
      <c r="UR173" s="11"/>
      <c r="US173" s="11"/>
      <c r="UT173" s="11"/>
      <c r="UU173" s="11"/>
      <c r="UV173" s="11"/>
      <c r="UW173" s="11"/>
      <c r="UX173" s="11"/>
      <c r="UY173" s="11"/>
      <c r="UZ173" s="11"/>
      <c r="VA173" s="11"/>
      <c r="VB173" s="11"/>
      <c r="VC173" s="11"/>
      <c r="VD173" s="11"/>
      <c r="VE173" s="11"/>
      <c r="VF173" s="11"/>
      <c r="VG173" s="11"/>
      <c r="VH173" s="11"/>
      <c r="VI173" s="11"/>
      <c r="VJ173" s="11"/>
      <c r="VK173" s="11"/>
      <c r="VL173" s="11"/>
      <c r="VM173" s="11"/>
      <c r="VN173" s="11"/>
      <c r="VO173" s="11"/>
      <c r="VP173" s="11"/>
      <c r="VQ173" s="11"/>
      <c r="VR173" s="11"/>
      <c r="VS173" s="11"/>
      <c r="VT173" s="11"/>
      <c r="VU173" s="11"/>
      <c r="VV173" s="11"/>
      <c r="VW173" s="11"/>
      <c r="VX173" s="11"/>
      <c r="VY173" s="11"/>
      <c r="VZ173" s="11"/>
      <c r="WA173" s="11"/>
      <c r="WB173" s="11"/>
      <c r="WC173" s="11"/>
      <c r="WD173" s="11"/>
      <c r="WE173" s="11"/>
      <c r="WF173" s="11"/>
      <c r="WG173" s="11"/>
      <c r="WH173" s="11"/>
      <c r="WI173" s="11"/>
      <c r="WJ173" s="11"/>
      <c r="WK173" s="11"/>
      <c r="WL173" s="11"/>
      <c r="WM173" s="11"/>
      <c r="WN173" s="11"/>
      <c r="WO173" s="11"/>
      <c r="WP173" s="11"/>
      <c r="WQ173" s="11"/>
      <c r="WR173" s="11"/>
      <c r="WS173" s="11"/>
      <c r="WT173" s="11"/>
      <c r="WU173" s="11"/>
      <c r="WV173" s="11"/>
      <c r="WW173" s="11"/>
      <c r="WX173" s="11"/>
      <c r="WY173" s="11"/>
      <c r="WZ173" s="11"/>
      <c r="XA173" s="11"/>
      <c r="XB173" s="11"/>
      <c r="XC173" s="11"/>
      <c r="XD173" s="11"/>
      <c r="XE173" s="11"/>
      <c r="XF173" s="11"/>
      <c r="XG173" s="11"/>
      <c r="XH173" s="11"/>
      <c r="XI173" s="11"/>
      <c r="XJ173" s="11"/>
      <c r="XK173" s="11"/>
      <c r="XL173" s="11"/>
      <c r="XM173" s="11"/>
      <c r="XN173" s="11"/>
      <c r="XO173" s="11"/>
      <c r="XP173" s="11"/>
      <c r="XQ173" s="11"/>
      <c r="XR173" s="11"/>
      <c r="XS173" s="11"/>
      <c r="XT173" s="11"/>
      <c r="XU173" s="11"/>
      <c r="XV173" s="11"/>
      <c r="XW173" s="11"/>
      <c r="XX173" s="11"/>
      <c r="XY173" s="11"/>
      <c r="XZ173" s="11"/>
      <c r="YA173" s="11"/>
      <c r="YB173" s="11"/>
      <c r="YC173" s="11"/>
      <c r="YD173" s="11"/>
      <c r="YE173" s="11"/>
      <c r="YF173" s="11"/>
      <c r="YG173" s="11"/>
      <c r="YH173" s="11"/>
      <c r="YI173" s="11"/>
      <c r="YJ173" s="11"/>
      <c r="YK173" s="11"/>
      <c r="YL173" s="11"/>
      <c r="YM173" s="11"/>
      <c r="YN173" s="11"/>
      <c r="YO173" s="11"/>
      <c r="YP173" s="11"/>
      <c r="YQ173" s="11"/>
      <c r="YR173" s="11"/>
      <c r="YS173" s="11"/>
      <c r="YT173" s="11"/>
      <c r="YU173" s="11"/>
      <c r="YV173" s="11"/>
      <c r="YW173" s="11"/>
      <c r="YX173" s="11"/>
      <c r="YY173" s="11"/>
      <c r="YZ173" s="11"/>
      <c r="ZA173" s="11"/>
      <c r="ZB173" s="11"/>
      <c r="ZC173" s="11"/>
      <c r="ZD173" s="11"/>
      <c r="ZE173" s="11"/>
      <c r="ZF173" s="11"/>
      <c r="ZG173" s="11"/>
      <c r="ZH173" s="11"/>
      <c r="ZI173" s="11"/>
      <c r="ZJ173" s="11"/>
      <c r="ZK173" s="11"/>
      <c r="ZL173" s="11"/>
      <c r="ZM173" s="11"/>
      <c r="ZN173" s="11"/>
      <c r="ZO173" s="11"/>
      <c r="ZP173" s="11"/>
      <c r="ZQ173" s="11"/>
      <c r="ZR173" s="11"/>
      <c r="ZS173" s="11"/>
      <c r="ZT173" s="11"/>
      <c r="ZU173" s="11"/>
      <c r="ZV173" s="11"/>
      <c r="ZW173" s="11"/>
      <c r="ZX173" s="11"/>
      <c r="ZY173" s="11"/>
      <c r="ZZ173" s="11"/>
      <c r="AAA173" s="11"/>
      <c r="AAB173" s="11"/>
      <c r="AAC173" s="11"/>
      <c r="AAD173" s="11"/>
      <c r="AAE173" s="11"/>
      <c r="AAF173" s="11"/>
      <c r="AAG173" s="11"/>
      <c r="AAH173" s="11"/>
      <c r="AAI173" s="11"/>
      <c r="AAJ173" s="11"/>
      <c r="AAK173" s="11"/>
      <c r="AAL173" s="11"/>
      <c r="AAM173" s="11"/>
      <c r="AAN173" s="11"/>
      <c r="AAO173" s="11"/>
      <c r="AAP173" s="11"/>
      <c r="AAQ173" s="11"/>
      <c r="AAR173" s="11"/>
      <c r="AAS173" s="11"/>
      <c r="AAT173" s="11"/>
      <c r="AAU173" s="11"/>
      <c r="AAV173" s="11"/>
      <c r="AAW173" s="11"/>
      <c r="AAX173" s="11"/>
      <c r="AAY173" s="11"/>
      <c r="AAZ173" s="11"/>
      <c r="ABA173" s="11"/>
      <c r="ABB173" s="11"/>
      <c r="ABC173" s="11"/>
      <c r="ABD173" s="11"/>
      <c r="ABE173" s="11"/>
      <c r="ABF173" s="11"/>
      <c r="ABG173" s="11"/>
      <c r="ABH173" s="11"/>
      <c r="ABI173" s="11"/>
      <c r="ABJ173" s="11"/>
      <c r="ABK173" s="11"/>
      <c r="ABL173" s="11"/>
      <c r="ABM173" s="11"/>
      <c r="ABN173" s="11"/>
      <c r="ABO173" s="11"/>
      <c r="ABP173" s="11"/>
      <c r="ABQ173" s="11"/>
      <c r="ABR173" s="11"/>
      <c r="ABS173" s="11"/>
      <c r="ABT173" s="11"/>
      <c r="ABU173" s="11"/>
      <c r="ABV173" s="11"/>
      <c r="ABW173" s="11"/>
      <c r="ABX173" s="11"/>
      <c r="ABY173" s="11"/>
      <c r="ABZ173" s="11"/>
      <c r="ACA173" s="11"/>
      <c r="ACB173" s="11"/>
      <c r="ACC173" s="11"/>
      <c r="ACD173" s="11"/>
      <c r="ACE173" s="11"/>
      <c r="ACF173" s="11"/>
      <c r="ACG173" s="11"/>
      <c r="ACH173" s="11"/>
      <c r="ACI173" s="11"/>
      <c r="ACJ173" s="11"/>
      <c r="ACK173" s="11"/>
      <c r="ACL173" s="11"/>
      <c r="ACM173" s="11"/>
      <c r="ACN173" s="11"/>
      <c r="ACO173" s="11"/>
      <c r="ACP173" s="11"/>
      <c r="ACQ173" s="11"/>
      <c r="ACR173" s="11"/>
      <c r="ACS173" s="11"/>
      <c r="ACT173" s="11"/>
      <c r="ACU173" s="11"/>
      <c r="ACV173" s="11"/>
      <c r="ACW173" s="11"/>
      <c r="ACX173" s="11"/>
      <c r="ACY173" s="11"/>
      <c r="ACZ173" s="11"/>
      <c r="ADA173" s="11"/>
      <c r="ADB173" s="11"/>
      <c r="ADC173" s="11"/>
      <c r="ADD173" s="11"/>
      <c r="ADE173" s="11"/>
      <c r="ADF173" s="11"/>
      <c r="ADG173" s="11"/>
      <c r="ADH173" s="11"/>
      <c r="ADI173" s="11"/>
      <c r="ADJ173" s="11"/>
      <c r="ADK173" s="11"/>
      <c r="ADL173" s="11"/>
      <c r="ADM173" s="11"/>
      <c r="ADN173" s="11"/>
      <c r="ADO173" s="11"/>
      <c r="ADP173" s="11"/>
      <c r="ADQ173" s="11"/>
      <c r="ADR173" s="11"/>
      <c r="ADS173" s="11"/>
      <c r="ADT173" s="11"/>
      <c r="ADU173" s="11"/>
      <c r="ADV173" s="11"/>
      <c r="ADW173" s="11"/>
      <c r="ADX173" s="11"/>
      <c r="ADY173" s="11"/>
      <c r="ADZ173" s="11"/>
      <c r="AEA173" s="11"/>
      <c r="AEB173" s="11"/>
      <c r="AEC173" s="11"/>
      <c r="AED173" s="11"/>
      <c r="AEE173" s="11"/>
      <c r="AEF173" s="11"/>
      <c r="AEG173" s="11"/>
      <c r="AEH173" s="11"/>
      <c r="AEI173" s="11"/>
      <c r="AEJ173" s="11"/>
      <c r="AEK173" s="11"/>
      <c r="AEL173" s="11"/>
      <c r="AEM173" s="11"/>
      <c r="AEN173" s="11"/>
      <c r="AEO173" s="11"/>
      <c r="AEP173" s="11"/>
      <c r="AEQ173" s="11"/>
      <c r="AER173" s="11"/>
      <c r="AES173" s="11"/>
      <c r="AET173" s="11"/>
      <c r="AEU173" s="11"/>
      <c r="AEV173" s="11"/>
      <c r="AEW173" s="11"/>
      <c r="AEX173" s="11"/>
      <c r="AEY173" s="11"/>
      <c r="AEZ173" s="11"/>
      <c r="AFA173" s="11"/>
      <c r="AFB173" s="11"/>
      <c r="AFC173" s="11"/>
      <c r="AFD173" s="11"/>
      <c r="AFE173" s="11"/>
      <c r="AFF173" s="11"/>
      <c r="AFG173" s="11"/>
      <c r="AFH173" s="11"/>
      <c r="AFI173" s="11"/>
    </row>
    <row r="174" spans="2:84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1"/>
      <c r="LV174" s="11"/>
      <c r="LW174" s="11"/>
      <c r="LX174" s="11"/>
      <c r="LY174" s="11"/>
      <c r="LZ174" s="11"/>
      <c r="MA174" s="11"/>
      <c r="MB174" s="11"/>
      <c r="MC174" s="11"/>
      <c r="MD174" s="11"/>
      <c r="ME174" s="11"/>
      <c r="MF174" s="11"/>
      <c r="MG174" s="11"/>
      <c r="MH174" s="11"/>
      <c r="MI174" s="11"/>
      <c r="MJ174" s="11"/>
      <c r="MK174" s="11"/>
      <c r="ML174" s="11"/>
      <c r="MM174" s="11"/>
      <c r="MN174" s="11"/>
      <c r="MO174" s="11"/>
      <c r="MP174" s="11"/>
      <c r="MQ174" s="11"/>
      <c r="MR174" s="11"/>
      <c r="MS174" s="11"/>
      <c r="MT174" s="11"/>
      <c r="MU174" s="11"/>
      <c r="MV174" s="11"/>
      <c r="MW174" s="11"/>
      <c r="MX174" s="11"/>
      <c r="MY174" s="11"/>
      <c r="MZ174" s="11"/>
      <c r="NA174" s="11"/>
      <c r="NB174" s="11"/>
      <c r="NC174" s="11"/>
      <c r="ND174" s="11"/>
      <c r="NE174" s="11"/>
      <c r="NF174" s="11"/>
      <c r="NG174" s="11"/>
      <c r="NH174" s="11"/>
      <c r="NI174" s="11"/>
      <c r="NJ174" s="11"/>
      <c r="NK174" s="11"/>
      <c r="NL174" s="11"/>
      <c r="NM174" s="11"/>
      <c r="NN174" s="11"/>
      <c r="NO174" s="11"/>
      <c r="NP174" s="11"/>
      <c r="NQ174" s="11"/>
      <c r="NR174" s="11"/>
      <c r="NS174" s="11"/>
      <c r="NT174" s="11"/>
      <c r="NU174" s="11"/>
      <c r="NV174" s="11"/>
      <c r="NW174" s="11"/>
      <c r="NX174" s="11"/>
      <c r="NY174" s="11"/>
      <c r="NZ174" s="11"/>
      <c r="OA174" s="11"/>
      <c r="OB174" s="11"/>
      <c r="OC174" s="11"/>
      <c r="OD174" s="11"/>
      <c r="OE174" s="11"/>
      <c r="OF174" s="11"/>
      <c r="OG174" s="11"/>
      <c r="OH174" s="11"/>
      <c r="OI174" s="11"/>
      <c r="OJ174" s="11"/>
      <c r="OK174" s="11"/>
      <c r="OL174" s="11"/>
      <c r="OM174" s="11"/>
      <c r="ON174" s="11"/>
      <c r="OO174" s="11"/>
      <c r="OP174" s="11"/>
      <c r="OQ174" s="11"/>
      <c r="OR174" s="11"/>
      <c r="OS174" s="11"/>
      <c r="OT174" s="11"/>
      <c r="OU174" s="11"/>
      <c r="OV174" s="11"/>
      <c r="OW174" s="11"/>
      <c r="OX174" s="11"/>
      <c r="OY174" s="11"/>
      <c r="OZ174" s="11"/>
      <c r="PA174" s="11"/>
      <c r="PB174" s="11"/>
      <c r="PC174" s="11"/>
      <c r="PD174" s="11"/>
      <c r="PE174" s="11"/>
      <c r="PF174" s="11"/>
      <c r="PG174" s="11"/>
      <c r="PH174" s="11"/>
      <c r="PI174" s="11"/>
      <c r="PJ174" s="11"/>
      <c r="PK174" s="11"/>
      <c r="PL174" s="11"/>
      <c r="PM174" s="11"/>
      <c r="PN174" s="11"/>
      <c r="PO174" s="11"/>
      <c r="PP174" s="11"/>
      <c r="PQ174" s="11"/>
      <c r="PR174" s="11"/>
      <c r="PS174" s="11"/>
      <c r="PT174" s="11"/>
      <c r="PU174" s="11"/>
      <c r="PV174" s="11"/>
      <c r="PW174" s="11"/>
      <c r="PX174" s="11"/>
      <c r="PY174" s="11"/>
      <c r="PZ174" s="11"/>
      <c r="QA174" s="11"/>
      <c r="QB174" s="11"/>
      <c r="QC174" s="11"/>
      <c r="QD174" s="11"/>
      <c r="QE174" s="11"/>
      <c r="QF174" s="11"/>
      <c r="QG174" s="11"/>
      <c r="QH174" s="11"/>
      <c r="QI174" s="11"/>
      <c r="QJ174" s="11"/>
      <c r="QK174" s="11"/>
      <c r="QL174" s="11"/>
      <c r="QM174" s="11"/>
      <c r="QN174" s="11"/>
      <c r="QO174" s="11"/>
      <c r="QP174" s="11"/>
      <c r="QQ174" s="11"/>
      <c r="QR174" s="11"/>
      <c r="QS174" s="11"/>
      <c r="QT174" s="11"/>
      <c r="QU174" s="11"/>
      <c r="QV174" s="11"/>
      <c r="QW174" s="11"/>
      <c r="QX174" s="11"/>
      <c r="QY174" s="11"/>
      <c r="QZ174" s="11"/>
      <c r="RA174" s="11"/>
      <c r="RB174" s="11"/>
      <c r="RC174" s="11"/>
      <c r="RD174" s="11"/>
      <c r="RE174" s="11"/>
      <c r="RF174" s="11"/>
      <c r="RG174" s="11"/>
      <c r="RH174" s="11"/>
      <c r="RI174" s="11"/>
      <c r="RJ174" s="11"/>
      <c r="RK174" s="11"/>
      <c r="RL174" s="11"/>
      <c r="RM174" s="11"/>
      <c r="RN174" s="11"/>
      <c r="RO174" s="11"/>
      <c r="RP174" s="11"/>
      <c r="RQ174" s="11"/>
      <c r="RR174" s="11"/>
      <c r="RS174" s="11"/>
      <c r="RT174" s="11"/>
      <c r="RU174" s="11"/>
      <c r="RV174" s="11"/>
      <c r="RW174" s="11"/>
      <c r="RX174" s="11"/>
      <c r="RY174" s="11"/>
      <c r="RZ174" s="11"/>
      <c r="SA174" s="11"/>
      <c r="SB174" s="11"/>
      <c r="SC174" s="11"/>
      <c r="SD174" s="11"/>
      <c r="SE174" s="11"/>
      <c r="SF174" s="11"/>
      <c r="SG174" s="11"/>
      <c r="SH174" s="11"/>
      <c r="SI174" s="11"/>
      <c r="SJ174" s="11"/>
      <c r="SK174" s="11"/>
      <c r="SL174" s="11"/>
      <c r="SM174" s="11"/>
      <c r="SN174" s="11"/>
      <c r="SO174" s="11"/>
      <c r="SP174" s="11"/>
      <c r="SQ174" s="11"/>
      <c r="SR174" s="11"/>
      <c r="SS174" s="11"/>
      <c r="ST174" s="11"/>
      <c r="SU174" s="11"/>
      <c r="SV174" s="11"/>
      <c r="SW174" s="11"/>
      <c r="SX174" s="11"/>
      <c r="SY174" s="11"/>
      <c r="SZ174" s="11"/>
      <c r="TA174" s="11"/>
      <c r="TB174" s="11"/>
      <c r="TC174" s="11"/>
      <c r="TD174" s="11"/>
      <c r="TE174" s="11"/>
      <c r="TF174" s="11"/>
      <c r="TG174" s="11"/>
      <c r="TH174" s="11"/>
      <c r="TI174" s="11"/>
      <c r="TJ174" s="11"/>
      <c r="TK174" s="11"/>
      <c r="TL174" s="11"/>
      <c r="TM174" s="11"/>
      <c r="TN174" s="11"/>
      <c r="TO174" s="11"/>
      <c r="TP174" s="11"/>
      <c r="TQ174" s="11"/>
      <c r="TR174" s="11"/>
      <c r="TS174" s="11"/>
      <c r="TT174" s="11"/>
      <c r="TU174" s="11"/>
      <c r="TV174" s="11"/>
      <c r="TW174" s="11"/>
      <c r="TX174" s="11"/>
      <c r="TY174" s="11"/>
      <c r="TZ174" s="11"/>
      <c r="UA174" s="11"/>
      <c r="UB174" s="11"/>
      <c r="UC174" s="11"/>
      <c r="UD174" s="11"/>
      <c r="UE174" s="11"/>
      <c r="UF174" s="11"/>
      <c r="UG174" s="11"/>
      <c r="UH174" s="11"/>
      <c r="UI174" s="11"/>
      <c r="UJ174" s="11"/>
      <c r="UK174" s="11"/>
      <c r="UL174" s="11"/>
      <c r="UM174" s="11"/>
      <c r="UN174" s="11"/>
      <c r="UO174" s="11"/>
      <c r="UP174" s="11"/>
      <c r="UQ174" s="11"/>
      <c r="UR174" s="11"/>
      <c r="US174" s="11"/>
      <c r="UT174" s="11"/>
      <c r="UU174" s="11"/>
      <c r="UV174" s="11"/>
      <c r="UW174" s="11"/>
      <c r="UX174" s="11"/>
      <c r="UY174" s="11"/>
      <c r="UZ174" s="11"/>
      <c r="VA174" s="11"/>
      <c r="VB174" s="11"/>
      <c r="VC174" s="11"/>
      <c r="VD174" s="11"/>
      <c r="VE174" s="11"/>
      <c r="VF174" s="11"/>
      <c r="VG174" s="11"/>
      <c r="VH174" s="11"/>
      <c r="VI174" s="11"/>
      <c r="VJ174" s="11"/>
      <c r="VK174" s="11"/>
      <c r="VL174" s="11"/>
      <c r="VM174" s="11"/>
      <c r="VN174" s="11"/>
      <c r="VO174" s="11"/>
      <c r="VP174" s="11"/>
      <c r="VQ174" s="11"/>
      <c r="VR174" s="11"/>
      <c r="VS174" s="11"/>
      <c r="VT174" s="11"/>
      <c r="VU174" s="11"/>
      <c r="VV174" s="11"/>
      <c r="VW174" s="11"/>
      <c r="VX174" s="11"/>
      <c r="VY174" s="11"/>
      <c r="VZ174" s="11"/>
      <c r="WA174" s="11"/>
      <c r="WB174" s="11"/>
      <c r="WC174" s="11"/>
      <c r="WD174" s="11"/>
      <c r="WE174" s="11"/>
      <c r="WF174" s="11"/>
      <c r="WG174" s="11"/>
      <c r="WH174" s="11"/>
      <c r="WI174" s="11"/>
      <c r="WJ174" s="11"/>
      <c r="WK174" s="11"/>
      <c r="WL174" s="11"/>
      <c r="WM174" s="11"/>
      <c r="WN174" s="11"/>
      <c r="WO174" s="11"/>
      <c r="WP174" s="11"/>
      <c r="WQ174" s="11"/>
      <c r="WR174" s="11"/>
      <c r="WS174" s="11"/>
      <c r="WT174" s="11"/>
      <c r="WU174" s="11"/>
      <c r="WV174" s="11"/>
      <c r="WW174" s="11"/>
      <c r="WX174" s="11"/>
      <c r="WY174" s="11"/>
      <c r="WZ174" s="11"/>
      <c r="XA174" s="11"/>
      <c r="XB174" s="11"/>
      <c r="XC174" s="11"/>
      <c r="XD174" s="11"/>
      <c r="XE174" s="11"/>
      <c r="XF174" s="11"/>
      <c r="XG174" s="11"/>
      <c r="XH174" s="11"/>
      <c r="XI174" s="11"/>
      <c r="XJ174" s="11"/>
      <c r="XK174" s="11"/>
      <c r="XL174" s="11"/>
      <c r="XM174" s="11"/>
      <c r="XN174" s="11"/>
      <c r="XO174" s="11"/>
      <c r="XP174" s="11"/>
      <c r="XQ174" s="11"/>
      <c r="XR174" s="11"/>
      <c r="XS174" s="11"/>
      <c r="XT174" s="11"/>
      <c r="XU174" s="11"/>
      <c r="XV174" s="11"/>
      <c r="XW174" s="11"/>
      <c r="XX174" s="11"/>
      <c r="XY174" s="11"/>
      <c r="XZ174" s="11"/>
      <c r="YA174" s="11"/>
      <c r="YB174" s="11"/>
      <c r="YC174" s="11"/>
      <c r="YD174" s="11"/>
      <c r="YE174" s="11"/>
      <c r="YF174" s="11"/>
      <c r="YG174" s="11"/>
      <c r="YH174" s="11"/>
      <c r="YI174" s="11"/>
      <c r="YJ174" s="11"/>
      <c r="YK174" s="11"/>
      <c r="YL174" s="11"/>
      <c r="YM174" s="11"/>
      <c r="YN174" s="11"/>
      <c r="YO174" s="11"/>
      <c r="YP174" s="11"/>
      <c r="YQ174" s="11"/>
      <c r="YR174" s="11"/>
      <c r="YS174" s="11"/>
      <c r="YT174" s="11"/>
      <c r="YU174" s="11"/>
      <c r="YV174" s="11"/>
      <c r="YW174" s="11"/>
      <c r="YX174" s="11"/>
      <c r="YY174" s="11"/>
      <c r="YZ174" s="11"/>
      <c r="ZA174" s="11"/>
      <c r="ZB174" s="11"/>
      <c r="ZC174" s="11"/>
      <c r="ZD174" s="11"/>
      <c r="ZE174" s="11"/>
      <c r="ZF174" s="11"/>
      <c r="ZG174" s="11"/>
      <c r="ZH174" s="11"/>
      <c r="ZI174" s="11"/>
      <c r="ZJ174" s="11"/>
      <c r="ZK174" s="11"/>
      <c r="ZL174" s="11"/>
      <c r="ZM174" s="11"/>
      <c r="ZN174" s="11"/>
      <c r="ZO174" s="11"/>
      <c r="ZP174" s="11"/>
      <c r="ZQ174" s="11"/>
      <c r="ZR174" s="11"/>
      <c r="ZS174" s="11"/>
      <c r="ZT174" s="11"/>
      <c r="ZU174" s="11"/>
      <c r="ZV174" s="11"/>
      <c r="ZW174" s="11"/>
      <c r="ZX174" s="11"/>
      <c r="ZY174" s="11"/>
      <c r="ZZ174" s="11"/>
      <c r="AAA174" s="11"/>
      <c r="AAB174" s="11"/>
      <c r="AAC174" s="11"/>
      <c r="AAD174" s="11"/>
      <c r="AAE174" s="11"/>
      <c r="AAF174" s="11"/>
      <c r="AAG174" s="11"/>
      <c r="AAH174" s="11"/>
      <c r="AAI174" s="11"/>
      <c r="AAJ174" s="11"/>
      <c r="AAK174" s="11"/>
      <c r="AAL174" s="11"/>
      <c r="AAM174" s="11"/>
      <c r="AAN174" s="11"/>
      <c r="AAO174" s="11"/>
      <c r="AAP174" s="11"/>
      <c r="AAQ174" s="11"/>
      <c r="AAR174" s="11"/>
      <c r="AAS174" s="11"/>
      <c r="AAT174" s="11"/>
      <c r="AAU174" s="11"/>
      <c r="AAV174" s="11"/>
      <c r="AAW174" s="11"/>
      <c r="AAX174" s="11"/>
      <c r="AAY174" s="11"/>
      <c r="AAZ174" s="11"/>
      <c r="ABA174" s="11"/>
      <c r="ABB174" s="11"/>
      <c r="ABC174" s="11"/>
      <c r="ABD174" s="11"/>
      <c r="ABE174" s="11"/>
      <c r="ABF174" s="11"/>
      <c r="ABG174" s="11"/>
      <c r="ABH174" s="11"/>
      <c r="ABI174" s="11"/>
      <c r="ABJ174" s="11"/>
      <c r="ABK174" s="11"/>
      <c r="ABL174" s="11"/>
      <c r="ABM174" s="11"/>
      <c r="ABN174" s="11"/>
      <c r="ABO174" s="11"/>
      <c r="ABP174" s="11"/>
      <c r="ABQ174" s="11"/>
      <c r="ABR174" s="11"/>
      <c r="ABS174" s="11"/>
      <c r="ABT174" s="11"/>
      <c r="ABU174" s="11"/>
      <c r="ABV174" s="11"/>
      <c r="ABW174" s="11"/>
      <c r="ABX174" s="11"/>
      <c r="ABY174" s="11"/>
      <c r="ABZ174" s="11"/>
      <c r="ACA174" s="11"/>
      <c r="ACB174" s="11"/>
      <c r="ACC174" s="11"/>
      <c r="ACD174" s="11"/>
      <c r="ACE174" s="11"/>
      <c r="ACF174" s="11"/>
      <c r="ACG174" s="11"/>
      <c r="ACH174" s="11"/>
      <c r="ACI174" s="11"/>
      <c r="ACJ174" s="11"/>
      <c r="ACK174" s="11"/>
      <c r="ACL174" s="11"/>
      <c r="ACM174" s="11"/>
      <c r="ACN174" s="11"/>
      <c r="ACO174" s="11"/>
      <c r="ACP174" s="11"/>
      <c r="ACQ174" s="11"/>
      <c r="ACR174" s="11"/>
      <c r="ACS174" s="11"/>
      <c r="ACT174" s="11"/>
      <c r="ACU174" s="11"/>
      <c r="ACV174" s="11"/>
      <c r="ACW174" s="11"/>
      <c r="ACX174" s="11"/>
      <c r="ACY174" s="11"/>
      <c r="ACZ174" s="11"/>
      <c r="ADA174" s="11"/>
      <c r="ADB174" s="11"/>
      <c r="ADC174" s="11"/>
      <c r="ADD174" s="11"/>
      <c r="ADE174" s="11"/>
      <c r="ADF174" s="11"/>
      <c r="ADG174" s="11"/>
      <c r="ADH174" s="11"/>
      <c r="ADI174" s="11"/>
      <c r="ADJ174" s="11"/>
      <c r="ADK174" s="11"/>
      <c r="ADL174" s="11"/>
      <c r="ADM174" s="11"/>
      <c r="ADN174" s="11"/>
      <c r="ADO174" s="11"/>
      <c r="ADP174" s="11"/>
      <c r="ADQ174" s="11"/>
      <c r="ADR174" s="11"/>
      <c r="ADS174" s="11"/>
      <c r="ADT174" s="11"/>
      <c r="ADU174" s="11"/>
      <c r="ADV174" s="11"/>
      <c r="ADW174" s="11"/>
      <c r="ADX174" s="11"/>
      <c r="ADY174" s="11"/>
      <c r="ADZ174" s="11"/>
      <c r="AEA174" s="11"/>
      <c r="AEB174" s="11"/>
      <c r="AEC174" s="11"/>
      <c r="AED174" s="11"/>
      <c r="AEE174" s="11"/>
      <c r="AEF174" s="11"/>
      <c r="AEG174" s="11"/>
      <c r="AEH174" s="11"/>
      <c r="AEI174" s="11"/>
      <c r="AEJ174" s="11"/>
      <c r="AEK174" s="11"/>
      <c r="AEL174" s="11"/>
      <c r="AEM174" s="11"/>
      <c r="AEN174" s="11"/>
      <c r="AEO174" s="11"/>
      <c r="AEP174" s="11"/>
      <c r="AEQ174" s="11"/>
      <c r="AER174" s="11"/>
      <c r="AES174" s="11"/>
      <c r="AET174" s="11"/>
      <c r="AEU174" s="11"/>
      <c r="AEV174" s="11"/>
      <c r="AEW174" s="11"/>
      <c r="AEX174" s="11"/>
      <c r="AEY174" s="11"/>
      <c r="AEZ174" s="11"/>
      <c r="AFA174" s="11"/>
      <c r="AFB174" s="11"/>
      <c r="AFC174" s="11"/>
      <c r="AFD174" s="11"/>
      <c r="AFE174" s="11"/>
      <c r="AFF174" s="11"/>
      <c r="AFG174" s="11"/>
      <c r="AFH174" s="11"/>
      <c r="AFI174" s="11"/>
    </row>
    <row r="175" spans="2:84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1"/>
      <c r="LV175" s="11"/>
      <c r="LW175" s="11"/>
      <c r="LX175" s="11"/>
      <c r="LY175" s="11"/>
      <c r="LZ175" s="11"/>
      <c r="MA175" s="11"/>
      <c r="MB175" s="11"/>
      <c r="MC175" s="11"/>
      <c r="MD175" s="11"/>
      <c r="ME175" s="11"/>
      <c r="MF175" s="11"/>
      <c r="MG175" s="11"/>
      <c r="MH175" s="11"/>
      <c r="MI175" s="11"/>
      <c r="MJ175" s="11"/>
      <c r="MK175" s="11"/>
      <c r="ML175" s="11"/>
      <c r="MM175" s="11"/>
      <c r="MN175" s="11"/>
      <c r="MO175" s="11"/>
      <c r="MP175" s="11"/>
      <c r="MQ175" s="11"/>
      <c r="MR175" s="11"/>
      <c r="MS175" s="11"/>
      <c r="MT175" s="11"/>
      <c r="MU175" s="11"/>
      <c r="MV175" s="11"/>
      <c r="MW175" s="11"/>
      <c r="MX175" s="11"/>
      <c r="MY175" s="11"/>
      <c r="MZ175" s="11"/>
      <c r="NA175" s="11"/>
      <c r="NB175" s="11"/>
      <c r="NC175" s="11"/>
      <c r="ND175" s="11"/>
      <c r="NE175" s="11"/>
      <c r="NF175" s="11"/>
      <c r="NG175" s="11"/>
      <c r="NH175" s="11"/>
      <c r="NI175" s="11"/>
      <c r="NJ175" s="11"/>
      <c r="NK175" s="11"/>
      <c r="NL175" s="11"/>
      <c r="NM175" s="11"/>
      <c r="NN175" s="11"/>
      <c r="NO175" s="11"/>
      <c r="NP175" s="11"/>
      <c r="NQ175" s="11"/>
      <c r="NR175" s="11"/>
      <c r="NS175" s="11"/>
      <c r="NT175" s="11"/>
      <c r="NU175" s="11"/>
      <c r="NV175" s="11"/>
      <c r="NW175" s="11"/>
      <c r="NX175" s="11"/>
      <c r="NY175" s="11"/>
      <c r="NZ175" s="11"/>
      <c r="OA175" s="11"/>
      <c r="OB175" s="11"/>
      <c r="OC175" s="11"/>
      <c r="OD175" s="11"/>
      <c r="OE175" s="11"/>
      <c r="OF175" s="11"/>
      <c r="OG175" s="11"/>
      <c r="OH175" s="11"/>
      <c r="OI175" s="11"/>
      <c r="OJ175" s="11"/>
      <c r="OK175" s="11"/>
      <c r="OL175" s="11"/>
      <c r="OM175" s="11"/>
      <c r="ON175" s="11"/>
      <c r="OO175" s="11"/>
      <c r="OP175" s="11"/>
      <c r="OQ175" s="11"/>
      <c r="OR175" s="11"/>
      <c r="OS175" s="11"/>
      <c r="OT175" s="11"/>
      <c r="OU175" s="11"/>
      <c r="OV175" s="11"/>
      <c r="OW175" s="11"/>
      <c r="OX175" s="11"/>
      <c r="OY175" s="11"/>
      <c r="OZ175" s="11"/>
      <c r="PA175" s="11"/>
      <c r="PB175" s="11"/>
      <c r="PC175" s="11"/>
      <c r="PD175" s="11"/>
      <c r="PE175" s="11"/>
      <c r="PF175" s="11"/>
      <c r="PG175" s="11"/>
      <c r="PH175" s="11"/>
      <c r="PI175" s="11"/>
      <c r="PJ175" s="11"/>
      <c r="PK175" s="11"/>
      <c r="PL175" s="11"/>
      <c r="PM175" s="11"/>
      <c r="PN175" s="11"/>
      <c r="PO175" s="11"/>
      <c r="PP175" s="11"/>
      <c r="PQ175" s="11"/>
      <c r="PR175" s="11"/>
      <c r="PS175" s="11"/>
      <c r="PT175" s="11"/>
      <c r="PU175" s="11"/>
      <c r="PV175" s="11"/>
      <c r="PW175" s="11"/>
      <c r="PX175" s="11"/>
      <c r="PY175" s="11"/>
      <c r="PZ175" s="11"/>
      <c r="QA175" s="11"/>
      <c r="QB175" s="11"/>
      <c r="QC175" s="11"/>
      <c r="QD175" s="11"/>
      <c r="QE175" s="11"/>
      <c r="QF175" s="11"/>
      <c r="QG175" s="11"/>
      <c r="QH175" s="11"/>
      <c r="QI175" s="11"/>
      <c r="QJ175" s="11"/>
      <c r="QK175" s="11"/>
      <c r="QL175" s="11"/>
      <c r="QM175" s="11"/>
      <c r="QN175" s="11"/>
      <c r="QO175" s="11"/>
      <c r="QP175" s="11"/>
      <c r="QQ175" s="11"/>
      <c r="QR175" s="11"/>
      <c r="QS175" s="11"/>
      <c r="QT175" s="11"/>
      <c r="QU175" s="11"/>
      <c r="QV175" s="11"/>
      <c r="QW175" s="11"/>
      <c r="QX175" s="11"/>
      <c r="QY175" s="11"/>
      <c r="QZ175" s="11"/>
      <c r="RA175" s="11"/>
      <c r="RB175" s="11"/>
      <c r="RC175" s="11"/>
      <c r="RD175" s="11"/>
      <c r="RE175" s="11"/>
      <c r="RF175" s="11"/>
      <c r="RG175" s="11"/>
      <c r="RH175" s="11"/>
      <c r="RI175" s="11"/>
      <c r="RJ175" s="11"/>
      <c r="RK175" s="11"/>
      <c r="RL175" s="11"/>
      <c r="RM175" s="11"/>
      <c r="RN175" s="11"/>
      <c r="RO175" s="11"/>
      <c r="RP175" s="11"/>
      <c r="RQ175" s="11"/>
      <c r="RR175" s="11"/>
      <c r="RS175" s="11"/>
      <c r="RT175" s="11"/>
      <c r="RU175" s="11"/>
      <c r="RV175" s="11"/>
      <c r="RW175" s="11"/>
      <c r="RX175" s="11"/>
      <c r="RY175" s="11"/>
      <c r="RZ175" s="11"/>
      <c r="SA175" s="11"/>
      <c r="SB175" s="11"/>
      <c r="SC175" s="11"/>
      <c r="SD175" s="11"/>
      <c r="SE175" s="11"/>
      <c r="SF175" s="11"/>
      <c r="SG175" s="11"/>
      <c r="SH175" s="11"/>
      <c r="SI175" s="11"/>
      <c r="SJ175" s="11"/>
      <c r="SK175" s="11"/>
      <c r="SL175" s="11"/>
      <c r="SM175" s="11"/>
      <c r="SN175" s="11"/>
      <c r="SO175" s="11"/>
      <c r="SP175" s="11"/>
      <c r="SQ175" s="11"/>
      <c r="SR175" s="11"/>
      <c r="SS175" s="11"/>
      <c r="ST175" s="11"/>
      <c r="SU175" s="11"/>
      <c r="SV175" s="11"/>
      <c r="SW175" s="11"/>
      <c r="SX175" s="11"/>
      <c r="SY175" s="11"/>
      <c r="SZ175" s="11"/>
      <c r="TA175" s="11"/>
      <c r="TB175" s="11"/>
      <c r="TC175" s="11"/>
      <c r="TD175" s="11"/>
      <c r="TE175" s="11"/>
      <c r="TF175" s="11"/>
      <c r="TG175" s="11"/>
      <c r="TH175" s="11"/>
      <c r="TI175" s="11"/>
      <c r="TJ175" s="11"/>
      <c r="TK175" s="11"/>
      <c r="TL175" s="11"/>
      <c r="TM175" s="11"/>
      <c r="TN175" s="11"/>
      <c r="TO175" s="11"/>
      <c r="TP175" s="11"/>
      <c r="TQ175" s="11"/>
      <c r="TR175" s="11"/>
      <c r="TS175" s="11"/>
      <c r="TT175" s="11"/>
      <c r="TU175" s="11"/>
      <c r="TV175" s="11"/>
      <c r="TW175" s="11"/>
      <c r="TX175" s="11"/>
      <c r="TY175" s="11"/>
      <c r="TZ175" s="11"/>
      <c r="UA175" s="11"/>
      <c r="UB175" s="11"/>
      <c r="UC175" s="11"/>
      <c r="UD175" s="11"/>
      <c r="UE175" s="11"/>
      <c r="UF175" s="11"/>
      <c r="UG175" s="11"/>
      <c r="UH175" s="11"/>
      <c r="UI175" s="11"/>
      <c r="UJ175" s="11"/>
      <c r="UK175" s="11"/>
      <c r="UL175" s="11"/>
      <c r="UM175" s="11"/>
      <c r="UN175" s="11"/>
      <c r="UO175" s="11"/>
      <c r="UP175" s="11"/>
      <c r="UQ175" s="11"/>
      <c r="UR175" s="11"/>
      <c r="US175" s="11"/>
      <c r="UT175" s="11"/>
      <c r="UU175" s="11"/>
      <c r="UV175" s="11"/>
      <c r="UW175" s="11"/>
      <c r="UX175" s="11"/>
      <c r="UY175" s="11"/>
      <c r="UZ175" s="11"/>
      <c r="VA175" s="11"/>
      <c r="VB175" s="11"/>
      <c r="VC175" s="11"/>
      <c r="VD175" s="11"/>
      <c r="VE175" s="11"/>
      <c r="VF175" s="11"/>
      <c r="VG175" s="11"/>
      <c r="VH175" s="11"/>
      <c r="VI175" s="11"/>
      <c r="VJ175" s="11"/>
      <c r="VK175" s="11"/>
      <c r="VL175" s="11"/>
      <c r="VM175" s="11"/>
      <c r="VN175" s="11"/>
      <c r="VO175" s="11"/>
      <c r="VP175" s="11"/>
      <c r="VQ175" s="11"/>
      <c r="VR175" s="11"/>
      <c r="VS175" s="11"/>
      <c r="VT175" s="11"/>
      <c r="VU175" s="11"/>
      <c r="VV175" s="11"/>
      <c r="VW175" s="11"/>
      <c r="VX175" s="11"/>
      <c r="VY175" s="11"/>
      <c r="VZ175" s="11"/>
      <c r="WA175" s="11"/>
      <c r="WB175" s="11"/>
      <c r="WC175" s="11"/>
      <c r="WD175" s="11"/>
      <c r="WE175" s="11"/>
      <c r="WF175" s="11"/>
      <c r="WG175" s="11"/>
      <c r="WH175" s="11"/>
      <c r="WI175" s="11"/>
      <c r="WJ175" s="11"/>
      <c r="WK175" s="11"/>
      <c r="WL175" s="11"/>
      <c r="WM175" s="11"/>
      <c r="WN175" s="11"/>
      <c r="WO175" s="11"/>
      <c r="WP175" s="11"/>
      <c r="WQ175" s="11"/>
      <c r="WR175" s="11"/>
      <c r="WS175" s="11"/>
      <c r="WT175" s="11"/>
      <c r="WU175" s="11"/>
      <c r="WV175" s="11"/>
      <c r="WW175" s="11"/>
      <c r="WX175" s="11"/>
      <c r="WY175" s="11"/>
      <c r="WZ175" s="11"/>
      <c r="XA175" s="11"/>
      <c r="XB175" s="11"/>
      <c r="XC175" s="11"/>
      <c r="XD175" s="11"/>
      <c r="XE175" s="11"/>
      <c r="XF175" s="11"/>
      <c r="XG175" s="11"/>
      <c r="XH175" s="11"/>
      <c r="XI175" s="11"/>
      <c r="XJ175" s="11"/>
      <c r="XK175" s="11"/>
      <c r="XL175" s="11"/>
      <c r="XM175" s="11"/>
      <c r="XN175" s="11"/>
      <c r="XO175" s="11"/>
      <c r="XP175" s="11"/>
      <c r="XQ175" s="11"/>
      <c r="XR175" s="11"/>
      <c r="XS175" s="11"/>
      <c r="XT175" s="11"/>
      <c r="XU175" s="11"/>
      <c r="XV175" s="11"/>
      <c r="XW175" s="11"/>
      <c r="XX175" s="11"/>
      <c r="XY175" s="11"/>
      <c r="XZ175" s="11"/>
      <c r="YA175" s="11"/>
      <c r="YB175" s="11"/>
      <c r="YC175" s="11"/>
      <c r="YD175" s="11"/>
      <c r="YE175" s="11"/>
      <c r="YF175" s="11"/>
      <c r="YG175" s="11"/>
      <c r="YH175" s="11"/>
      <c r="YI175" s="11"/>
      <c r="YJ175" s="11"/>
      <c r="YK175" s="11"/>
      <c r="YL175" s="11"/>
      <c r="YM175" s="11"/>
      <c r="YN175" s="11"/>
      <c r="YO175" s="11"/>
      <c r="YP175" s="11"/>
      <c r="YQ175" s="11"/>
      <c r="YR175" s="11"/>
      <c r="YS175" s="11"/>
      <c r="YT175" s="11"/>
      <c r="YU175" s="11"/>
      <c r="YV175" s="11"/>
      <c r="YW175" s="11"/>
      <c r="YX175" s="11"/>
      <c r="YY175" s="11"/>
      <c r="YZ175" s="11"/>
      <c r="ZA175" s="11"/>
      <c r="ZB175" s="11"/>
      <c r="ZC175" s="11"/>
      <c r="ZD175" s="11"/>
      <c r="ZE175" s="11"/>
      <c r="ZF175" s="11"/>
      <c r="ZG175" s="11"/>
      <c r="ZH175" s="11"/>
      <c r="ZI175" s="11"/>
      <c r="ZJ175" s="11"/>
      <c r="ZK175" s="11"/>
      <c r="ZL175" s="11"/>
      <c r="ZM175" s="11"/>
      <c r="ZN175" s="11"/>
      <c r="ZO175" s="11"/>
      <c r="ZP175" s="11"/>
      <c r="ZQ175" s="11"/>
      <c r="ZR175" s="11"/>
      <c r="ZS175" s="11"/>
      <c r="ZT175" s="11"/>
      <c r="ZU175" s="11"/>
      <c r="ZV175" s="11"/>
      <c r="ZW175" s="11"/>
      <c r="ZX175" s="11"/>
      <c r="ZY175" s="11"/>
      <c r="ZZ175" s="11"/>
      <c r="AAA175" s="11"/>
      <c r="AAB175" s="11"/>
      <c r="AAC175" s="11"/>
      <c r="AAD175" s="11"/>
      <c r="AAE175" s="11"/>
      <c r="AAF175" s="11"/>
      <c r="AAG175" s="11"/>
      <c r="AAH175" s="11"/>
      <c r="AAI175" s="11"/>
      <c r="AAJ175" s="11"/>
      <c r="AAK175" s="11"/>
      <c r="AAL175" s="11"/>
      <c r="AAM175" s="11"/>
      <c r="AAN175" s="11"/>
      <c r="AAO175" s="11"/>
      <c r="AAP175" s="11"/>
      <c r="AAQ175" s="11"/>
      <c r="AAR175" s="11"/>
      <c r="AAS175" s="11"/>
      <c r="AAT175" s="11"/>
      <c r="AAU175" s="11"/>
      <c r="AAV175" s="11"/>
      <c r="AAW175" s="11"/>
      <c r="AAX175" s="11"/>
      <c r="AAY175" s="11"/>
      <c r="AAZ175" s="11"/>
      <c r="ABA175" s="11"/>
      <c r="ABB175" s="11"/>
      <c r="ABC175" s="11"/>
      <c r="ABD175" s="11"/>
      <c r="ABE175" s="11"/>
      <c r="ABF175" s="11"/>
      <c r="ABG175" s="11"/>
      <c r="ABH175" s="11"/>
      <c r="ABI175" s="11"/>
      <c r="ABJ175" s="11"/>
      <c r="ABK175" s="11"/>
      <c r="ABL175" s="11"/>
      <c r="ABM175" s="11"/>
      <c r="ABN175" s="11"/>
      <c r="ABO175" s="11"/>
      <c r="ABP175" s="11"/>
      <c r="ABQ175" s="11"/>
      <c r="ABR175" s="11"/>
      <c r="ABS175" s="11"/>
      <c r="ABT175" s="11"/>
      <c r="ABU175" s="11"/>
      <c r="ABV175" s="11"/>
      <c r="ABW175" s="11"/>
      <c r="ABX175" s="11"/>
      <c r="ABY175" s="11"/>
      <c r="ABZ175" s="11"/>
      <c r="ACA175" s="11"/>
      <c r="ACB175" s="11"/>
      <c r="ACC175" s="11"/>
      <c r="ACD175" s="11"/>
      <c r="ACE175" s="11"/>
      <c r="ACF175" s="11"/>
      <c r="ACG175" s="11"/>
      <c r="ACH175" s="11"/>
      <c r="ACI175" s="11"/>
      <c r="ACJ175" s="11"/>
      <c r="ACK175" s="11"/>
      <c r="ACL175" s="11"/>
      <c r="ACM175" s="11"/>
      <c r="ACN175" s="11"/>
      <c r="ACO175" s="11"/>
      <c r="ACP175" s="11"/>
      <c r="ACQ175" s="11"/>
      <c r="ACR175" s="11"/>
      <c r="ACS175" s="11"/>
      <c r="ACT175" s="11"/>
      <c r="ACU175" s="11"/>
      <c r="ACV175" s="11"/>
      <c r="ACW175" s="11"/>
      <c r="ACX175" s="11"/>
      <c r="ACY175" s="11"/>
      <c r="ACZ175" s="11"/>
      <c r="ADA175" s="11"/>
      <c r="ADB175" s="11"/>
      <c r="ADC175" s="11"/>
      <c r="ADD175" s="11"/>
      <c r="ADE175" s="11"/>
      <c r="ADF175" s="11"/>
      <c r="ADG175" s="11"/>
      <c r="ADH175" s="11"/>
      <c r="ADI175" s="11"/>
      <c r="ADJ175" s="11"/>
      <c r="ADK175" s="11"/>
      <c r="ADL175" s="11"/>
      <c r="ADM175" s="11"/>
      <c r="ADN175" s="11"/>
      <c r="ADO175" s="11"/>
      <c r="ADP175" s="11"/>
      <c r="ADQ175" s="11"/>
      <c r="ADR175" s="11"/>
      <c r="ADS175" s="11"/>
      <c r="ADT175" s="11"/>
      <c r="ADU175" s="11"/>
      <c r="ADV175" s="11"/>
      <c r="ADW175" s="11"/>
      <c r="ADX175" s="11"/>
      <c r="ADY175" s="11"/>
      <c r="ADZ175" s="11"/>
      <c r="AEA175" s="11"/>
      <c r="AEB175" s="11"/>
      <c r="AEC175" s="11"/>
      <c r="AED175" s="11"/>
      <c r="AEE175" s="11"/>
      <c r="AEF175" s="11"/>
      <c r="AEG175" s="11"/>
      <c r="AEH175" s="11"/>
      <c r="AEI175" s="11"/>
      <c r="AEJ175" s="11"/>
      <c r="AEK175" s="11"/>
      <c r="AEL175" s="11"/>
      <c r="AEM175" s="11"/>
      <c r="AEN175" s="11"/>
      <c r="AEO175" s="11"/>
      <c r="AEP175" s="11"/>
      <c r="AEQ175" s="11"/>
      <c r="AER175" s="11"/>
      <c r="AES175" s="11"/>
      <c r="AET175" s="11"/>
      <c r="AEU175" s="11"/>
      <c r="AEV175" s="11"/>
      <c r="AEW175" s="11"/>
      <c r="AEX175" s="11"/>
      <c r="AEY175" s="11"/>
      <c r="AEZ175" s="11"/>
      <c r="AFA175" s="11"/>
      <c r="AFB175" s="11"/>
      <c r="AFC175" s="11"/>
      <c r="AFD175" s="11"/>
      <c r="AFE175" s="11"/>
      <c r="AFF175" s="11"/>
      <c r="AFG175" s="11"/>
      <c r="AFH175" s="11"/>
      <c r="AFI175" s="11"/>
    </row>
    <row r="176" spans="2:84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1"/>
      <c r="LV176" s="11"/>
      <c r="LW176" s="11"/>
      <c r="LX176" s="11"/>
      <c r="LY176" s="11"/>
      <c r="LZ176" s="11"/>
      <c r="MA176" s="11"/>
      <c r="MB176" s="11"/>
      <c r="MC176" s="11"/>
      <c r="MD176" s="11"/>
      <c r="ME176" s="11"/>
      <c r="MF176" s="11"/>
      <c r="MG176" s="11"/>
      <c r="MH176" s="11"/>
      <c r="MI176" s="11"/>
      <c r="MJ176" s="11"/>
      <c r="MK176" s="11"/>
      <c r="ML176" s="11"/>
      <c r="MM176" s="11"/>
      <c r="MN176" s="11"/>
      <c r="MO176" s="11"/>
      <c r="MP176" s="11"/>
      <c r="MQ176" s="11"/>
      <c r="MR176" s="11"/>
      <c r="MS176" s="11"/>
      <c r="MT176" s="11"/>
      <c r="MU176" s="11"/>
      <c r="MV176" s="11"/>
      <c r="MW176" s="11"/>
      <c r="MX176" s="11"/>
      <c r="MY176" s="11"/>
      <c r="MZ176" s="11"/>
      <c r="NA176" s="11"/>
      <c r="NB176" s="11"/>
      <c r="NC176" s="11"/>
      <c r="ND176" s="11"/>
      <c r="NE176" s="11"/>
      <c r="NF176" s="11"/>
      <c r="NG176" s="11"/>
      <c r="NH176" s="11"/>
      <c r="NI176" s="11"/>
      <c r="NJ176" s="11"/>
      <c r="NK176" s="11"/>
      <c r="NL176" s="11"/>
      <c r="NM176" s="11"/>
      <c r="NN176" s="11"/>
      <c r="NO176" s="11"/>
      <c r="NP176" s="11"/>
      <c r="NQ176" s="11"/>
      <c r="NR176" s="11"/>
      <c r="NS176" s="11"/>
      <c r="NT176" s="11"/>
      <c r="NU176" s="11"/>
      <c r="NV176" s="11"/>
      <c r="NW176" s="11"/>
      <c r="NX176" s="11"/>
      <c r="NY176" s="11"/>
      <c r="NZ176" s="11"/>
      <c r="OA176" s="11"/>
      <c r="OB176" s="11"/>
      <c r="OC176" s="11"/>
      <c r="OD176" s="11"/>
      <c r="OE176" s="11"/>
      <c r="OF176" s="11"/>
      <c r="OG176" s="11"/>
      <c r="OH176" s="11"/>
      <c r="OI176" s="11"/>
      <c r="OJ176" s="11"/>
      <c r="OK176" s="11"/>
      <c r="OL176" s="11"/>
      <c r="OM176" s="11"/>
      <c r="ON176" s="11"/>
      <c r="OO176" s="11"/>
      <c r="OP176" s="11"/>
      <c r="OQ176" s="11"/>
      <c r="OR176" s="11"/>
      <c r="OS176" s="11"/>
      <c r="OT176" s="11"/>
      <c r="OU176" s="11"/>
      <c r="OV176" s="11"/>
      <c r="OW176" s="11"/>
      <c r="OX176" s="11"/>
      <c r="OY176" s="11"/>
      <c r="OZ176" s="11"/>
      <c r="PA176" s="11"/>
      <c r="PB176" s="11"/>
      <c r="PC176" s="11"/>
      <c r="PD176" s="11"/>
      <c r="PE176" s="11"/>
      <c r="PF176" s="11"/>
      <c r="PG176" s="11"/>
      <c r="PH176" s="11"/>
      <c r="PI176" s="11"/>
      <c r="PJ176" s="11"/>
      <c r="PK176" s="11"/>
      <c r="PL176" s="11"/>
      <c r="PM176" s="11"/>
      <c r="PN176" s="11"/>
      <c r="PO176" s="11"/>
      <c r="PP176" s="11"/>
      <c r="PQ176" s="11"/>
      <c r="PR176" s="11"/>
      <c r="PS176" s="11"/>
      <c r="PT176" s="11"/>
      <c r="PU176" s="11"/>
      <c r="PV176" s="11"/>
      <c r="PW176" s="11"/>
      <c r="PX176" s="11"/>
      <c r="PY176" s="11"/>
      <c r="PZ176" s="11"/>
      <c r="QA176" s="11"/>
      <c r="QB176" s="11"/>
      <c r="QC176" s="11"/>
      <c r="QD176" s="11"/>
      <c r="QE176" s="11"/>
      <c r="QF176" s="11"/>
      <c r="QG176" s="11"/>
      <c r="QH176" s="11"/>
      <c r="QI176" s="11"/>
      <c r="QJ176" s="11"/>
      <c r="QK176" s="11"/>
      <c r="QL176" s="11"/>
      <c r="QM176" s="11"/>
      <c r="QN176" s="11"/>
      <c r="QO176" s="11"/>
      <c r="QP176" s="11"/>
      <c r="QQ176" s="11"/>
      <c r="QR176" s="11"/>
      <c r="QS176" s="11"/>
      <c r="QT176" s="11"/>
      <c r="QU176" s="11"/>
      <c r="QV176" s="11"/>
      <c r="QW176" s="11"/>
      <c r="QX176" s="11"/>
      <c r="QY176" s="11"/>
      <c r="QZ176" s="11"/>
      <c r="RA176" s="11"/>
      <c r="RB176" s="11"/>
      <c r="RC176" s="11"/>
      <c r="RD176" s="11"/>
      <c r="RE176" s="11"/>
      <c r="RF176" s="11"/>
      <c r="RG176" s="11"/>
      <c r="RH176" s="11"/>
      <c r="RI176" s="11"/>
      <c r="RJ176" s="11"/>
      <c r="RK176" s="11"/>
      <c r="RL176" s="11"/>
      <c r="RM176" s="11"/>
      <c r="RN176" s="11"/>
      <c r="RO176" s="11"/>
      <c r="RP176" s="11"/>
      <c r="RQ176" s="11"/>
      <c r="RR176" s="11"/>
      <c r="RS176" s="11"/>
      <c r="RT176" s="11"/>
      <c r="RU176" s="11"/>
      <c r="RV176" s="11"/>
      <c r="RW176" s="11"/>
      <c r="RX176" s="11"/>
      <c r="RY176" s="11"/>
      <c r="RZ176" s="11"/>
      <c r="SA176" s="11"/>
      <c r="SB176" s="11"/>
      <c r="SC176" s="11"/>
      <c r="SD176" s="11"/>
      <c r="SE176" s="11"/>
      <c r="SF176" s="11"/>
      <c r="SG176" s="11"/>
      <c r="SH176" s="11"/>
      <c r="SI176" s="11"/>
      <c r="SJ176" s="11"/>
      <c r="SK176" s="11"/>
      <c r="SL176" s="11"/>
      <c r="SM176" s="11"/>
      <c r="SN176" s="11"/>
      <c r="SO176" s="11"/>
      <c r="SP176" s="11"/>
      <c r="SQ176" s="11"/>
      <c r="SR176" s="11"/>
      <c r="SS176" s="11"/>
      <c r="ST176" s="11"/>
      <c r="SU176" s="11"/>
      <c r="SV176" s="11"/>
      <c r="SW176" s="11"/>
      <c r="SX176" s="11"/>
      <c r="SY176" s="11"/>
      <c r="SZ176" s="11"/>
      <c r="TA176" s="11"/>
      <c r="TB176" s="11"/>
      <c r="TC176" s="11"/>
      <c r="TD176" s="11"/>
      <c r="TE176" s="11"/>
      <c r="TF176" s="11"/>
      <c r="TG176" s="11"/>
      <c r="TH176" s="11"/>
      <c r="TI176" s="11"/>
      <c r="TJ176" s="11"/>
      <c r="TK176" s="11"/>
      <c r="TL176" s="11"/>
      <c r="TM176" s="11"/>
      <c r="TN176" s="11"/>
      <c r="TO176" s="11"/>
      <c r="TP176" s="11"/>
      <c r="TQ176" s="11"/>
      <c r="TR176" s="11"/>
      <c r="TS176" s="11"/>
      <c r="TT176" s="11"/>
      <c r="TU176" s="11"/>
      <c r="TV176" s="11"/>
      <c r="TW176" s="11"/>
      <c r="TX176" s="11"/>
      <c r="TY176" s="11"/>
      <c r="TZ176" s="11"/>
      <c r="UA176" s="11"/>
      <c r="UB176" s="11"/>
      <c r="UC176" s="11"/>
      <c r="UD176" s="11"/>
      <c r="UE176" s="11"/>
      <c r="UF176" s="11"/>
      <c r="UG176" s="11"/>
      <c r="UH176" s="11"/>
      <c r="UI176" s="11"/>
      <c r="UJ176" s="11"/>
      <c r="UK176" s="11"/>
      <c r="UL176" s="11"/>
      <c r="UM176" s="11"/>
      <c r="UN176" s="11"/>
      <c r="UO176" s="11"/>
      <c r="UP176" s="11"/>
      <c r="UQ176" s="11"/>
      <c r="UR176" s="11"/>
      <c r="US176" s="11"/>
      <c r="UT176" s="11"/>
      <c r="UU176" s="11"/>
      <c r="UV176" s="11"/>
      <c r="UW176" s="11"/>
      <c r="UX176" s="11"/>
      <c r="UY176" s="11"/>
      <c r="UZ176" s="11"/>
      <c r="VA176" s="11"/>
      <c r="VB176" s="11"/>
      <c r="VC176" s="11"/>
      <c r="VD176" s="11"/>
      <c r="VE176" s="11"/>
      <c r="VF176" s="11"/>
      <c r="VG176" s="11"/>
      <c r="VH176" s="11"/>
      <c r="VI176" s="11"/>
      <c r="VJ176" s="11"/>
      <c r="VK176" s="11"/>
      <c r="VL176" s="11"/>
      <c r="VM176" s="11"/>
      <c r="VN176" s="11"/>
      <c r="VO176" s="11"/>
      <c r="VP176" s="11"/>
      <c r="VQ176" s="11"/>
      <c r="VR176" s="11"/>
      <c r="VS176" s="11"/>
      <c r="VT176" s="11"/>
      <c r="VU176" s="11"/>
      <c r="VV176" s="11"/>
      <c r="VW176" s="11"/>
      <c r="VX176" s="11"/>
      <c r="VY176" s="11"/>
      <c r="VZ176" s="11"/>
      <c r="WA176" s="11"/>
      <c r="WB176" s="11"/>
      <c r="WC176" s="11"/>
      <c r="WD176" s="11"/>
      <c r="WE176" s="11"/>
      <c r="WF176" s="11"/>
      <c r="WG176" s="11"/>
      <c r="WH176" s="11"/>
      <c r="WI176" s="11"/>
      <c r="WJ176" s="11"/>
      <c r="WK176" s="11"/>
      <c r="WL176" s="11"/>
      <c r="WM176" s="11"/>
      <c r="WN176" s="11"/>
      <c r="WO176" s="11"/>
      <c r="WP176" s="11"/>
      <c r="WQ176" s="11"/>
      <c r="WR176" s="11"/>
      <c r="WS176" s="11"/>
      <c r="WT176" s="11"/>
      <c r="WU176" s="11"/>
      <c r="WV176" s="11"/>
      <c r="WW176" s="11"/>
      <c r="WX176" s="11"/>
      <c r="WY176" s="11"/>
      <c r="WZ176" s="11"/>
      <c r="XA176" s="11"/>
      <c r="XB176" s="11"/>
      <c r="XC176" s="11"/>
      <c r="XD176" s="11"/>
      <c r="XE176" s="11"/>
      <c r="XF176" s="11"/>
      <c r="XG176" s="11"/>
      <c r="XH176" s="11"/>
      <c r="XI176" s="11"/>
      <c r="XJ176" s="11"/>
      <c r="XK176" s="11"/>
      <c r="XL176" s="11"/>
      <c r="XM176" s="11"/>
      <c r="XN176" s="11"/>
      <c r="XO176" s="11"/>
      <c r="XP176" s="11"/>
      <c r="XQ176" s="11"/>
      <c r="XR176" s="11"/>
      <c r="XS176" s="11"/>
      <c r="XT176" s="11"/>
      <c r="XU176" s="11"/>
      <c r="XV176" s="11"/>
      <c r="XW176" s="11"/>
      <c r="XX176" s="11"/>
      <c r="XY176" s="11"/>
      <c r="XZ176" s="11"/>
      <c r="YA176" s="11"/>
      <c r="YB176" s="11"/>
      <c r="YC176" s="11"/>
      <c r="YD176" s="11"/>
      <c r="YE176" s="11"/>
      <c r="YF176" s="11"/>
      <c r="YG176" s="11"/>
      <c r="YH176" s="11"/>
      <c r="YI176" s="11"/>
      <c r="YJ176" s="11"/>
      <c r="YK176" s="11"/>
      <c r="YL176" s="11"/>
      <c r="YM176" s="11"/>
      <c r="YN176" s="11"/>
      <c r="YO176" s="11"/>
      <c r="YP176" s="11"/>
      <c r="YQ176" s="11"/>
      <c r="YR176" s="11"/>
      <c r="YS176" s="11"/>
      <c r="YT176" s="11"/>
      <c r="YU176" s="11"/>
      <c r="YV176" s="11"/>
      <c r="YW176" s="11"/>
      <c r="YX176" s="11"/>
      <c r="YY176" s="11"/>
      <c r="YZ176" s="11"/>
      <c r="ZA176" s="11"/>
      <c r="ZB176" s="11"/>
      <c r="ZC176" s="11"/>
      <c r="ZD176" s="11"/>
      <c r="ZE176" s="11"/>
      <c r="ZF176" s="11"/>
      <c r="ZG176" s="11"/>
      <c r="ZH176" s="11"/>
      <c r="ZI176" s="11"/>
      <c r="ZJ176" s="11"/>
      <c r="ZK176" s="11"/>
      <c r="ZL176" s="11"/>
      <c r="ZM176" s="11"/>
      <c r="ZN176" s="11"/>
      <c r="ZO176" s="11"/>
      <c r="ZP176" s="11"/>
      <c r="ZQ176" s="11"/>
      <c r="ZR176" s="11"/>
      <c r="ZS176" s="11"/>
      <c r="ZT176" s="11"/>
      <c r="ZU176" s="11"/>
      <c r="ZV176" s="11"/>
      <c r="ZW176" s="11"/>
      <c r="ZX176" s="11"/>
      <c r="ZY176" s="11"/>
      <c r="ZZ176" s="11"/>
      <c r="AAA176" s="11"/>
      <c r="AAB176" s="11"/>
      <c r="AAC176" s="11"/>
      <c r="AAD176" s="11"/>
      <c r="AAE176" s="11"/>
      <c r="AAF176" s="11"/>
      <c r="AAG176" s="11"/>
      <c r="AAH176" s="11"/>
      <c r="AAI176" s="11"/>
      <c r="AAJ176" s="11"/>
      <c r="AAK176" s="11"/>
      <c r="AAL176" s="11"/>
      <c r="AAM176" s="11"/>
      <c r="AAN176" s="11"/>
      <c r="AAO176" s="11"/>
      <c r="AAP176" s="11"/>
      <c r="AAQ176" s="11"/>
      <c r="AAR176" s="11"/>
      <c r="AAS176" s="11"/>
      <c r="AAT176" s="11"/>
      <c r="AAU176" s="11"/>
      <c r="AAV176" s="11"/>
      <c r="AAW176" s="11"/>
      <c r="AAX176" s="11"/>
      <c r="AAY176" s="11"/>
      <c r="AAZ176" s="11"/>
      <c r="ABA176" s="11"/>
      <c r="ABB176" s="11"/>
      <c r="ABC176" s="11"/>
      <c r="ABD176" s="11"/>
      <c r="ABE176" s="11"/>
      <c r="ABF176" s="11"/>
      <c r="ABG176" s="11"/>
      <c r="ABH176" s="11"/>
      <c r="ABI176" s="11"/>
      <c r="ABJ176" s="11"/>
      <c r="ABK176" s="11"/>
      <c r="ABL176" s="11"/>
      <c r="ABM176" s="11"/>
      <c r="ABN176" s="11"/>
      <c r="ABO176" s="11"/>
      <c r="ABP176" s="11"/>
      <c r="ABQ176" s="11"/>
      <c r="ABR176" s="11"/>
      <c r="ABS176" s="11"/>
      <c r="ABT176" s="11"/>
      <c r="ABU176" s="11"/>
      <c r="ABV176" s="11"/>
      <c r="ABW176" s="11"/>
      <c r="ABX176" s="11"/>
      <c r="ABY176" s="11"/>
      <c r="ABZ176" s="11"/>
      <c r="ACA176" s="11"/>
      <c r="ACB176" s="11"/>
      <c r="ACC176" s="11"/>
      <c r="ACD176" s="11"/>
      <c r="ACE176" s="11"/>
      <c r="ACF176" s="11"/>
      <c r="ACG176" s="11"/>
      <c r="ACH176" s="11"/>
      <c r="ACI176" s="11"/>
      <c r="ACJ176" s="11"/>
      <c r="ACK176" s="11"/>
      <c r="ACL176" s="11"/>
      <c r="ACM176" s="11"/>
      <c r="ACN176" s="11"/>
      <c r="ACO176" s="11"/>
      <c r="ACP176" s="11"/>
      <c r="ACQ176" s="11"/>
      <c r="ACR176" s="11"/>
      <c r="ACS176" s="11"/>
      <c r="ACT176" s="11"/>
      <c r="ACU176" s="11"/>
      <c r="ACV176" s="11"/>
      <c r="ACW176" s="11"/>
      <c r="ACX176" s="11"/>
      <c r="ACY176" s="11"/>
      <c r="ACZ176" s="11"/>
      <c r="ADA176" s="11"/>
      <c r="ADB176" s="11"/>
      <c r="ADC176" s="11"/>
      <c r="ADD176" s="11"/>
      <c r="ADE176" s="11"/>
      <c r="ADF176" s="11"/>
      <c r="ADG176" s="11"/>
      <c r="ADH176" s="11"/>
      <c r="ADI176" s="11"/>
      <c r="ADJ176" s="11"/>
      <c r="ADK176" s="11"/>
      <c r="ADL176" s="11"/>
      <c r="ADM176" s="11"/>
      <c r="ADN176" s="11"/>
      <c r="ADO176" s="11"/>
      <c r="ADP176" s="11"/>
      <c r="ADQ176" s="11"/>
      <c r="ADR176" s="11"/>
      <c r="ADS176" s="11"/>
      <c r="ADT176" s="11"/>
      <c r="ADU176" s="11"/>
      <c r="ADV176" s="11"/>
      <c r="ADW176" s="11"/>
      <c r="ADX176" s="11"/>
      <c r="ADY176" s="11"/>
      <c r="ADZ176" s="11"/>
      <c r="AEA176" s="11"/>
      <c r="AEB176" s="11"/>
      <c r="AEC176" s="11"/>
      <c r="AED176" s="11"/>
      <c r="AEE176" s="11"/>
      <c r="AEF176" s="11"/>
      <c r="AEG176" s="11"/>
      <c r="AEH176" s="11"/>
      <c r="AEI176" s="11"/>
      <c r="AEJ176" s="11"/>
      <c r="AEK176" s="11"/>
      <c r="AEL176" s="11"/>
      <c r="AEM176" s="11"/>
      <c r="AEN176" s="11"/>
      <c r="AEO176" s="11"/>
      <c r="AEP176" s="11"/>
      <c r="AEQ176" s="11"/>
      <c r="AER176" s="11"/>
      <c r="AES176" s="11"/>
      <c r="AET176" s="11"/>
      <c r="AEU176" s="11"/>
      <c r="AEV176" s="11"/>
      <c r="AEW176" s="11"/>
      <c r="AEX176" s="11"/>
      <c r="AEY176" s="11"/>
      <c r="AEZ176" s="11"/>
      <c r="AFA176" s="11"/>
      <c r="AFB176" s="11"/>
      <c r="AFC176" s="11"/>
      <c r="AFD176" s="11"/>
      <c r="AFE176" s="11"/>
      <c r="AFF176" s="11"/>
      <c r="AFG176" s="11"/>
      <c r="AFH176" s="11"/>
      <c r="AFI176" s="11"/>
    </row>
    <row r="177" spans="2:84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1"/>
      <c r="LV177" s="11"/>
      <c r="LW177" s="11"/>
      <c r="LX177" s="11"/>
      <c r="LY177" s="11"/>
      <c r="LZ177" s="11"/>
      <c r="MA177" s="11"/>
      <c r="MB177" s="11"/>
      <c r="MC177" s="11"/>
      <c r="MD177" s="11"/>
      <c r="ME177" s="11"/>
      <c r="MF177" s="11"/>
      <c r="MG177" s="11"/>
      <c r="MH177" s="11"/>
      <c r="MI177" s="11"/>
      <c r="MJ177" s="11"/>
      <c r="MK177" s="11"/>
      <c r="ML177" s="11"/>
      <c r="MM177" s="11"/>
      <c r="MN177" s="11"/>
      <c r="MO177" s="11"/>
      <c r="MP177" s="11"/>
      <c r="MQ177" s="11"/>
      <c r="MR177" s="11"/>
      <c r="MS177" s="11"/>
      <c r="MT177" s="11"/>
      <c r="MU177" s="11"/>
      <c r="MV177" s="11"/>
      <c r="MW177" s="11"/>
      <c r="MX177" s="11"/>
      <c r="MY177" s="11"/>
      <c r="MZ177" s="11"/>
      <c r="NA177" s="11"/>
      <c r="NB177" s="11"/>
      <c r="NC177" s="11"/>
      <c r="ND177" s="11"/>
      <c r="NE177" s="11"/>
      <c r="NF177" s="11"/>
      <c r="NG177" s="11"/>
      <c r="NH177" s="11"/>
      <c r="NI177" s="11"/>
      <c r="NJ177" s="11"/>
      <c r="NK177" s="11"/>
      <c r="NL177" s="11"/>
      <c r="NM177" s="11"/>
      <c r="NN177" s="11"/>
      <c r="NO177" s="11"/>
      <c r="NP177" s="11"/>
      <c r="NQ177" s="11"/>
      <c r="NR177" s="11"/>
      <c r="NS177" s="11"/>
      <c r="NT177" s="11"/>
      <c r="NU177" s="11"/>
      <c r="NV177" s="11"/>
      <c r="NW177" s="11"/>
      <c r="NX177" s="11"/>
      <c r="NY177" s="11"/>
      <c r="NZ177" s="11"/>
      <c r="OA177" s="11"/>
      <c r="OB177" s="11"/>
      <c r="OC177" s="11"/>
      <c r="OD177" s="11"/>
      <c r="OE177" s="11"/>
      <c r="OF177" s="11"/>
      <c r="OG177" s="11"/>
      <c r="OH177" s="11"/>
      <c r="OI177" s="11"/>
      <c r="OJ177" s="11"/>
      <c r="OK177" s="11"/>
      <c r="OL177" s="11"/>
      <c r="OM177" s="11"/>
      <c r="ON177" s="11"/>
      <c r="OO177" s="11"/>
      <c r="OP177" s="11"/>
      <c r="OQ177" s="11"/>
      <c r="OR177" s="11"/>
      <c r="OS177" s="11"/>
      <c r="OT177" s="11"/>
      <c r="OU177" s="11"/>
      <c r="OV177" s="11"/>
      <c r="OW177" s="11"/>
      <c r="OX177" s="11"/>
      <c r="OY177" s="11"/>
      <c r="OZ177" s="11"/>
      <c r="PA177" s="11"/>
      <c r="PB177" s="11"/>
      <c r="PC177" s="11"/>
      <c r="PD177" s="11"/>
      <c r="PE177" s="11"/>
      <c r="PF177" s="11"/>
      <c r="PG177" s="11"/>
      <c r="PH177" s="11"/>
      <c r="PI177" s="11"/>
      <c r="PJ177" s="11"/>
      <c r="PK177" s="11"/>
      <c r="PL177" s="11"/>
      <c r="PM177" s="11"/>
      <c r="PN177" s="11"/>
      <c r="PO177" s="11"/>
      <c r="PP177" s="11"/>
      <c r="PQ177" s="11"/>
      <c r="PR177" s="11"/>
      <c r="PS177" s="11"/>
      <c r="PT177" s="11"/>
      <c r="PU177" s="11"/>
      <c r="PV177" s="11"/>
      <c r="PW177" s="11"/>
      <c r="PX177" s="11"/>
      <c r="PY177" s="11"/>
      <c r="PZ177" s="11"/>
      <c r="QA177" s="11"/>
      <c r="QB177" s="11"/>
      <c r="QC177" s="11"/>
      <c r="QD177" s="11"/>
      <c r="QE177" s="11"/>
      <c r="QF177" s="11"/>
      <c r="QG177" s="11"/>
      <c r="QH177" s="11"/>
      <c r="QI177" s="11"/>
      <c r="QJ177" s="11"/>
      <c r="QK177" s="11"/>
      <c r="QL177" s="11"/>
      <c r="QM177" s="11"/>
      <c r="QN177" s="11"/>
      <c r="QO177" s="11"/>
      <c r="QP177" s="11"/>
      <c r="QQ177" s="11"/>
      <c r="QR177" s="11"/>
      <c r="QS177" s="11"/>
      <c r="QT177" s="11"/>
      <c r="QU177" s="11"/>
      <c r="QV177" s="11"/>
      <c r="QW177" s="11"/>
      <c r="QX177" s="11"/>
      <c r="QY177" s="11"/>
      <c r="QZ177" s="11"/>
      <c r="RA177" s="11"/>
      <c r="RB177" s="11"/>
      <c r="RC177" s="11"/>
      <c r="RD177" s="11"/>
      <c r="RE177" s="11"/>
      <c r="RF177" s="11"/>
      <c r="RG177" s="11"/>
      <c r="RH177" s="11"/>
      <c r="RI177" s="11"/>
      <c r="RJ177" s="11"/>
      <c r="RK177" s="11"/>
      <c r="RL177" s="11"/>
      <c r="RM177" s="11"/>
      <c r="RN177" s="11"/>
      <c r="RO177" s="11"/>
      <c r="RP177" s="11"/>
      <c r="RQ177" s="11"/>
      <c r="RR177" s="11"/>
      <c r="RS177" s="11"/>
      <c r="RT177" s="11"/>
      <c r="RU177" s="11"/>
      <c r="RV177" s="11"/>
      <c r="RW177" s="11"/>
      <c r="RX177" s="11"/>
      <c r="RY177" s="11"/>
      <c r="RZ177" s="11"/>
      <c r="SA177" s="11"/>
      <c r="SB177" s="11"/>
      <c r="SC177" s="11"/>
      <c r="SD177" s="11"/>
      <c r="SE177" s="11"/>
      <c r="SF177" s="11"/>
      <c r="SG177" s="11"/>
      <c r="SH177" s="11"/>
      <c r="SI177" s="11"/>
      <c r="SJ177" s="11"/>
      <c r="SK177" s="11"/>
      <c r="SL177" s="11"/>
      <c r="SM177" s="11"/>
      <c r="SN177" s="11"/>
      <c r="SO177" s="11"/>
      <c r="SP177" s="11"/>
      <c r="SQ177" s="11"/>
      <c r="SR177" s="11"/>
      <c r="SS177" s="11"/>
      <c r="ST177" s="11"/>
      <c r="SU177" s="11"/>
      <c r="SV177" s="11"/>
      <c r="SW177" s="11"/>
      <c r="SX177" s="11"/>
      <c r="SY177" s="11"/>
      <c r="SZ177" s="11"/>
      <c r="TA177" s="11"/>
      <c r="TB177" s="11"/>
      <c r="TC177" s="11"/>
      <c r="TD177" s="11"/>
      <c r="TE177" s="11"/>
      <c r="TF177" s="11"/>
      <c r="TG177" s="11"/>
      <c r="TH177" s="11"/>
      <c r="TI177" s="11"/>
      <c r="TJ177" s="11"/>
      <c r="TK177" s="11"/>
      <c r="TL177" s="11"/>
      <c r="TM177" s="11"/>
      <c r="TN177" s="11"/>
      <c r="TO177" s="11"/>
      <c r="TP177" s="11"/>
      <c r="TQ177" s="11"/>
      <c r="TR177" s="11"/>
      <c r="TS177" s="11"/>
      <c r="TT177" s="11"/>
      <c r="TU177" s="11"/>
      <c r="TV177" s="11"/>
      <c r="TW177" s="11"/>
      <c r="TX177" s="11"/>
      <c r="TY177" s="11"/>
      <c r="TZ177" s="11"/>
      <c r="UA177" s="11"/>
      <c r="UB177" s="11"/>
      <c r="UC177" s="11"/>
      <c r="UD177" s="11"/>
      <c r="UE177" s="11"/>
      <c r="UF177" s="11"/>
      <c r="UG177" s="11"/>
      <c r="UH177" s="11"/>
      <c r="UI177" s="11"/>
      <c r="UJ177" s="11"/>
      <c r="UK177" s="11"/>
      <c r="UL177" s="11"/>
      <c r="UM177" s="11"/>
      <c r="UN177" s="11"/>
      <c r="UO177" s="11"/>
      <c r="UP177" s="11"/>
      <c r="UQ177" s="11"/>
      <c r="UR177" s="11"/>
      <c r="US177" s="11"/>
      <c r="UT177" s="11"/>
      <c r="UU177" s="11"/>
      <c r="UV177" s="11"/>
      <c r="UW177" s="11"/>
      <c r="UX177" s="11"/>
      <c r="UY177" s="11"/>
      <c r="UZ177" s="11"/>
      <c r="VA177" s="11"/>
      <c r="VB177" s="11"/>
      <c r="VC177" s="11"/>
      <c r="VD177" s="11"/>
      <c r="VE177" s="11"/>
      <c r="VF177" s="11"/>
      <c r="VG177" s="11"/>
      <c r="VH177" s="11"/>
      <c r="VI177" s="11"/>
      <c r="VJ177" s="11"/>
      <c r="VK177" s="11"/>
      <c r="VL177" s="11"/>
      <c r="VM177" s="11"/>
      <c r="VN177" s="11"/>
      <c r="VO177" s="11"/>
      <c r="VP177" s="11"/>
      <c r="VQ177" s="11"/>
      <c r="VR177" s="11"/>
      <c r="VS177" s="11"/>
      <c r="VT177" s="11"/>
      <c r="VU177" s="11"/>
      <c r="VV177" s="11"/>
      <c r="VW177" s="11"/>
      <c r="VX177" s="11"/>
      <c r="VY177" s="11"/>
      <c r="VZ177" s="11"/>
      <c r="WA177" s="11"/>
      <c r="WB177" s="11"/>
      <c r="WC177" s="11"/>
      <c r="WD177" s="11"/>
      <c r="WE177" s="11"/>
      <c r="WF177" s="11"/>
      <c r="WG177" s="11"/>
      <c r="WH177" s="11"/>
      <c r="WI177" s="11"/>
      <c r="WJ177" s="11"/>
      <c r="WK177" s="11"/>
      <c r="WL177" s="11"/>
      <c r="WM177" s="11"/>
      <c r="WN177" s="11"/>
      <c r="WO177" s="11"/>
      <c r="WP177" s="11"/>
      <c r="WQ177" s="11"/>
      <c r="WR177" s="11"/>
      <c r="WS177" s="11"/>
      <c r="WT177" s="11"/>
      <c r="WU177" s="11"/>
      <c r="WV177" s="11"/>
      <c r="WW177" s="11"/>
      <c r="WX177" s="11"/>
      <c r="WY177" s="11"/>
      <c r="WZ177" s="11"/>
      <c r="XA177" s="11"/>
      <c r="XB177" s="11"/>
      <c r="XC177" s="11"/>
      <c r="XD177" s="11"/>
      <c r="XE177" s="11"/>
      <c r="XF177" s="11"/>
      <c r="XG177" s="11"/>
      <c r="XH177" s="11"/>
      <c r="XI177" s="11"/>
      <c r="XJ177" s="11"/>
      <c r="XK177" s="11"/>
      <c r="XL177" s="11"/>
      <c r="XM177" s="11"/>
      <c r="XN177" s="11"/>
      <c r="XO177" s="11"/>
      <c r="XP177" s="11"/>
      <c r="XQ177" s="11"/>
      <c r="XR177" s="11"/>
      <c r="XS177" s="11"/>
      <c r="XT177" s="11"/>
      <c r="XU177" s="11"/>
      <c r="XV177" s="11"/>
      <c r="XW177" s="11"/>
      <c r="XX177" s="11"/>
      <c r="XY177" s="11"/>
      <c r="XZ177" s="11"/>
      <c r="YA177" s="11"/>
      <c r="YB177" s="11"/>
      <c r="YC177" s="11"/>
      <c r="YD177" s="11"/>
      <c r="YE177" s="11"/>
      <c r="YF177" s="11"/>
      <c r="YG177" s="11"/>
      <c r="YH177" s="11"/>
      <c r="YI177" s="11"/>
      <c r="YJ177" s="11"/>
      <c r="YK177" s="11"/>
      <c r="YL177" s="11"/>
      <c r="YM177" s="11"/>
      <c r="YN177" s="11"/>
      <c r="YO177" s="11"/>
      <c r="YP177" s="11"/>
      <c r="YQ177" s="11"/>
      <c r="YR177" s="11"/>
      <c r="YS177" s="11"/>
      <c r="YT177" s="11"/>
      <c r="YU177" s="11"/>
      <c r="YV177" s="11"/>
      <c r="YW177" s="11"/>
      <c r="YX177" s="11"/>
      <c r="YY177" s="11"/>
      <c r="YZ177" s="11"/>
      <c r="ZA177" s="11"/>
      <c r="ZB177" s="11"/>
      <c r="ZC177" s="11"/>
      <c r="ZD177" s="11"/>
      <c r="ZE177" s="11"/>
      <c r="ZF177" s="11"/>
      <c r="ZG177" s="11"/>
      <c r="ZH177" s="11"/>
      <c r="ZI177" s="11"/>
      <c r="ZJ177" s="11"/>
      <c r="ZK177" s="11"/>
      <c r="ZL177" s="11"/>
      <c r="ZM177" s="11"/>
      <c r="ZN177" s="11"/>
      <c r="ZO177" s="11"/>
      <c r="ZP177" s="11"/>
      <c r="ZQ177" s="11"/>
      <c r="ZR177" s="11"/>
      <c r="ZS177" s="11"/>
      <c r="ZT177" s="11"/>
      <c r="ZU177" s="11"/>
      <c r="ZV177" s="11"/>
      <c r="ZW177" s="11"/>
      <c r="ZX177" s="11"/>
      <c r="ZY177" s="11"/>
      <c r="ZZ177" s="11"/>
      <c r="AAA177" s="11"/>
      <c r="AAB177" s="11"/>
      <c r="AAC177" s="11"/>
      <c r="AAD177" s="11"/>
      <c r="AAE177" s="11"/>
      <c r="AAF177" s="11"/>
      <c r="AAG177" s="11"/>
      <c r="AAH177" s="11"/>
      <c r="AAI177" s="11"/>
      <c r="AAJ177" s="11"/>
      <c r="AAK177" s="11"/>
      <c r="AAL177" s="11"/>
      <c r="AAM177" s="11"/>
      <c r="AAN177" s="11"/>
      <c r="AAO177" s="11"/>
      <c r="AAP177" s="11"/>
      <c r="AAQ177" s="11"/>
      <c r="AAR177" s="11"/>
      <c r="AAS177" s="11"/>
      <c r="AAT177" s="11"/>
      <c r="AAU177" s="11"/>
      <c r="AAV177" s="11"/>
      <c r="AAW177" s="11"/>
      <c r="AAX177" s="11"/>
      <c r="AAY177" s="11"/>
      <c r="AAZ177" s="11"/>
      <c r="ABA177" s="11"/>
      <c r="ABB177" s="11"/>
      <c r="ABC177" s="11"/>
      <c r="ABD177" s="11"/>
      <c r="ABE177" s="11"/>
      <c r="ABF177" s="11"/>
      <c r="ABG177" s="11"/>
      <c r="ABH177" s="11"/>
      <c r="ABI177" s="11"/>
      <c r="ABJ177" s="11"/>
      <c r="ABK177" s="11"/>
      <c r="ABL177" s="11"/>
      <c r="ABM177" s="11"/>
      <c r="ABN177" s="11"/>
      <c r="ABO177" s="11"/>
      <c r="ABP177" s="11"/>
      <c r="ABQ177" s="11"/>
      <c r="ABR177" s="11"/>
      <c r="ABS177" s="11"/>
      <c r="ABT177" s="11"/>
      <c r="ABU177" s="11"/>
      <c r="ABV177" s="11"/>
      <c r="ABW177" s="11"/>
      <c r="ABX177" s="11"/>
      <c r="ABY177" s="11"/>
      <c r="ABZ177" s="11"/>
      <c r="ACA177" s="11"/>
      <c r="ACB177" s="11"/>
      <c r="ACC177" s="11"/>
      <c r="ACD177" s="11"/>
      <c r="ACE177" s="11"/>
      <c r="ACF177" s="11"/>
      <c r="ACG177" s="11"/>
      <c r="ACH177" s="11"/>
      <c r="ACI177" s="11"/>
      <c r="ACJ177" s="11"/>
      <c r="ACK177" s="11"/>
      <c r="ACL177" s="11"/>
      <c r="ACM177" s="11"/>
      <c r="ACN177" s="11"/>
      <c r="ACO177" s="11"/>
      <c r="ACP177" s="11"/>
      <c r="ACQ177" s="11"/>
      <c r="ACR177" s="11"/>
      <c r="ACS177" s="11"/>
      <c r="ACT177" s="11"/>
      <c r="ACU177" s="11"/>
      <c r="ACV177" s="11"/>
      <c r="ACW177" s="11"/>
      <c r="ACX177" s="11"/>
      <c r="ACY177" s="11"/>
      <c r="ACZ177" s="11"/>
      <c r="ADA177" s="11"/>
      <c r="ADB177" s="11"/>
      <c r="ADC177" s="11"/>
      <c r="ADD177" s="11"/>
      <c r="ADE177" s="11"/>
      <c r="ADF177" s="11"/>
      <c r="ADG177" s="11"/>
      <c r="ADH177" s="11"/>
      <c r="ADI177" s="11"/>
      <c r="ADJ177" s="11"/>
      <c r="ADK177" s="11"/>
      <c r="ADL177" s="11"/>
      <c r="ADM177" s="11"/>
      <c r="ADN177" s="11"/>
      <c r="ADO177" s="11"/>
      <c r="ADP177" s="11"/>
      <c r="ADQ177" s="11"/>
      <c r="ADR177" s="11"/>
      <c r="ADS177" s="11"/>
      <c r="ADT177" s="11"/>
      <c r="ADU177" s="11"/>
      <c r="ADV177" s="11"/>
      <c r="ADW177" s="11"/>
      <c r="ADX177" s="11"/>
      <c r="ADY177" s="11"/>
      <c r="ADZ177" s="11"/>
      <c r="AEA177" s="11"/>
      <c r="AEB177" s="11"/>
      <c r="AEC177" s="11"/>
      <c r="AED177" s="11"/>
      <c r="AEE177" s="11"/>
      <c r="AEF177" s="11"/>
      <c r="AEG177" s="11"/>
      <c r="AEH177" s="11"/>
      <c r="AEI177" s="11"/>
      <c r="AEJ177" s="11"/>
      <c r="AEK177" s="11"/>
      <c r="AEL177" s="11"/>
      <c r="AEM177" s="11"/>
      <c r="AEN177" s="11"/>
      <c r="AEO177" s="11"/>
      <c r="AEP177" s="11"/>
      <c r="AEQ177" s="11"/>
      <c r="AER177" s="11"/>
      <c r="AES177" s="11"/>
      <c r="AET177" s="11"/>
      <c r="AEU177" s="11"/>
      <c r="AEV177" s="11"/>
      <c r="AEW177" s="11"/>
      <c r="AEX177" s="11"/>
      <c r="AEY177" s="11"/>
      <c r="AEZ177" s="11"/>
      <c r="AFA177" s="11"/>
      <c r="AFB177" s="11"/>
      <c r="AFC177" s="11"/>
      <c r="AFD177" s="11"/>
      <c r="AFE177" s="11"/>
      <c r="AFF177" s="11"/>
      <c r="AFG177" s="11"/>
      <c r="AFH177" s="11"/>
      <c r="AFI177" s="11"/>
    </row>
    <row r="178" spans="2:84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1"/>
      <c r="LV178" s="11"/>
      <c r="LW178" s="11"/>
      <c r="LX178" s="11"/>
      <c r="LY178" s="11"/>
      <c r="LZ178" s="11"/>
      <c r="MA178" s="11"/>
      <c r="MB178" s="11"/>
      <c r="MC178" s="11"/>
      <c r="MD178" s="11"/>
      <c r="ME178" s="11"/>
      <c r="MF178" s="11"/>
      <c r="MG178" s="11"/>
      <c r="MH178" s="11"/>
      <c r="MI178" s="11"/>
      <c r="MJ178" s="11"/>
      <c r="MK178" s="11"/>
      <c r="ML178" s="11"/>
      <c r="MM178" s="11"/>
      <c r="MN178" s="11"/>
      <c r="MO178" s="11"/>
      <c r="MP178" s="11"/>
      <c r="MQ178" s="11"/>
      <c r="MR178" s="11"/>
      <c r="MS178" s="11"/>
      <c r="MT178" s="11"/>
      <c r="MU178" s="11"/>
      <c r="MV178" s="11"/>
      <c r="MW178" s="11"/>
      <c r="MX178" s="11"/>
      <c r="MY178" s="11"/>
      <c r="MZ178" s="11"/>
      <c r="NA178" s="11"/>
      <c r="NB178" s="11"/>
      <c r="NC178" s="11"/>
      <c r="ND178" s="11"/>
      <c r="NE178" s="11"/>
      <c r="NF178" s="11"/>
      <c r="NG178" s="11"/>
      <c r="NH178" s="11"/>
      <c r="NI178" s="11"/>
      <c r="NJ178" s="11"/>
      <c r="NK178" s="11"/>
      <c r="NL178" s="11"/>
      <c r="NM178" s="11"/>
      <c r="NN178" s="11"/>
      <c r="NO178" s="11"/>
      <c r="NP178" s="11"/>
      <c r="NQ178" s="11"/>
      <c r="NR178" s="11"/>
      <c r="NS178" s="11"/>
      <c r="NT178" s="11"/>
      <c r="NU178" s="11"/>
      <c r="NV178" s="11"/>
      <c r="NW178" s="11"/>
      <c r="NX178" s="11"/>
      <c r="NY178" s="11"/>
      <c r="NZ178" s="11"/>
      <c r="OA178" s="11"/>
      <c r="OB178" s="11"/>
      <c r="OC178" s="11"/>
      <c r="OD178" s="11"/>
      <c r="OE178" s="11"/>
      <c r="OF178" s="11"/>
      <c r="OG178" s="11"/>
      <c r="OH178" s="11"/>
      <c r="OI178" s="11"/>
      <c r="OJ178" s="11"/>
      <c r="OK178" s="11"/>
      <c r="OL178" s="11"/>
      <c r="OM178" s="11"/>
      <c r="ON178" s="11"/>
      <c r="OO178" s="11"/>
      <c r="OP178" s="11"/>
      <c r="OQ178" s="11"/>
      <c r="OR178" s="11"/>
      <c r="OS178" s="11"/>
      <c r="OT178" s="11"/>
      <c r="OU178" s="11"/>
      <c r="OV178" s="11"/>
      <c r="OW178" s="11"/>
      <c r="OX178" s="11"/>
      <c r="OY178" s="11"/>
      <c r="OZ178" s="11"/>
      <c r="PA178" s="11"/>
      <c r="PB178" s="11"/>
      <c r="PC178" s="11"/>
      <c r="PD178" s="11"/>
      <c r="PE178" s="11"/>
      <c r="PF178" s="11"/>
      <c r="PG178" s="11"/>
      <c r="PH178" s="11"/>
      <c r="PI178" s="11"/>
      <c r="PJ178" s="11"/>
      <c r="PK178" s="11"/>
      <c r="PL178" s="11"/>
      <c r="PM178" s="11"/>
      <c r="PN178" s="11"/>
      <c r="PO178" s="11"/>
      <c r="PP178" s="11"/>
      <c r="PQ178" s="11"/>
      <c r="PR178" s="11"/>
      <c r="PS178" s="11"/>
      <c r="PT178" s="11"/>
      <c r="PU178" s="11"/>
      <c r="PV178" s="11"/>
      <c r="PW178" s="11"/>
      <c r="PX178" s="11"/>
      <c r="PY178" s="11"/>
      <c r="PZ178" s="11"/>
      <c r="QA178" s="11"/>
      <c r="QB178" s="11"/>
      <c r="QC178" s="11"/>
      <c r="QD178" s="11"/>
      <c r="QE178" s="11"/>
      <c r="QF178" s="11"/>
      <c r="QG178" s="11"/>
      <c r="QH178" s="11"/>
      <c r="QI178" s="11"/>
      <c r="QJ178" s="11"/>
      <c r="QK178" s="11"/>
      <c r="QL178" s="11"/>
      <c r="QM178" s="11"/>
      <c r="QN178" s="11"/>
      <c r="QO178" s="11"/>
      <c r="QP178" s="11"/>
      <c r="QQ178" s="11"/>
      <c r="QR178" s="11"/>
      <c r="QS178" s="11"/>
      <c r="QT178" s="11"/>
      <c r="QU178" s="11"/>
      <c r="QV178" s="11"/>
      <c r="QW178" s="11"/>
      <c r="QX178" s="11"/>
      <c r="QY178" s="11"/>
      <c r="QZ178" s="11"/>
      <c r="RA178" s="11"/>
      <c r="RB178" s="11"/>
      <c r="RC178" s="11"/>
      <c r="RD178" s="11"/>
      <c r="RE178" s="11"/>
      <c r="RF178" s="11"/>
      <c r="RG178" s="11"/>
      <c r="RH178" s="11"/>
      <c r="RI178" s="11"/>
      <c r="RJ178" s="11"/>
      <c r="RK178" s="11"/>
      <c r="RL178" s="11"/>
      <c r="RM178" s="11"/>
      <c r="RN178" s="11"/>
      <c r="RO178" s="11"/>
      <c r="RP178" s="11"/>
      <c r="RQ178" s="11"/>
      <c r="RR178" s="11"/>
      <c r="RS178" s="11"/>
      <c r="RT178" s="11"/>
      <c r="RU178" s="11"/>
      <c r="RV178" s="11"/>
      <c r="RW178" s="11"/>
      <c r="RX178" s="11"/>
      <c r="RY178" s="11"/>
      <c r="RZ178" s="11"/>
      <c r="SA178" s="11"/>
      <c r="SB178" s="11"/>
      <c r="SC178" s="11"/>
      <c r="SD178" s="11"/>
      <c r="SE178" s="11"/>
      <c r="SF178" s="11"/>
      <c r="SG178" s="11"/>
      <c r="SH178" s="11"/>
      <c r="SI178" s="11"/>
      <c r="SJ178" s="11"/>
      <c r="SK178" s="11"/>
      <c r="SL178" s="11"/>
      <c r="SM178" s="11"/>
      <c r="SN178" s="11"/>
      <c r="SO178" s="11"/>
      <c r="SP178" s="11"/>
      <c r="SQ178" s="11"/>
      <c r="SR178" s="11"/>
      <c r="SS178" s="11"/>
      <c r="ST178" s="11"/>
      <c r="SU178" s="11"/>
      <c r="SV178" s="11"/>
      <c r="SW178" s="11"/>
      <c r="SX178" s="11"/>
      <c r="SY178" s="11"/>
      <c r="SZ178" s="11"/>
      <c r="TA178" s="11"/>
      <c r="TB178" s="11"/>
      <c r="TC178" s="11"/>
      <c r="TD178" s="11"/>
      <c r="TE178" s="11"/>
      <c r="TF178" s="11"/>
      <c r="TG178" s="11"/>
      <c r="TH178" s="11"/>
      <c r="TI178" s="11"/>
      <c r="TJ178" s="11"/>
      <c r="TK178" s="11"/>
      <c r="TL178" s="11"/>
      <c r="TM178" s="11"/>
      <c r="TN178" s="11"/>
      <c r="TO178" s="11"/>
      <c r="TP178" s="11"/>
      <c r="TQ178" s="11"/>
      <c r="TR178" s="11"/>
      <c r="TS178" s="11"/>
      <c r="TT178" s="11"/>
      <c r="TU178" s="11"/>
      <c r="TV178" s="11"/>
      <c r="TW178" s="11"/>
      <c r="TX178" s="11"/>
      <c r="TY178" s="11"/>
      <c r="TZ178" s="11"/>
      <c r="UA178" s="11"/>
      <c r="UB178" s="11"/>
      <c r="UC178" s="11"/>
      <c r="UD178" s="11"/>
      <c r="UE178" s="11"/>
      <c r="UF178" s="11"/>
      <c r="UG178" s="11"/>
      <c r="UH178" s="11"/>
      <c r="UI178" s="11"/>
      <c r="UJ178" s="11"/>
      <c r="UK178" s="11"/>
      <c r="UL178" s="11"/>
      <c r="UM178" s="11"/>
      <c r="UN178" s="11"/>
      <c r="UO178" s="11"/>
      <c r="UP178" s="11"/>
      <c r="UQ178" s="11"/>
      <c r="UR178" s="11"/>
      <c r="US178" s="11"/>
      <c r="UT178" s="11"/>
      <c r="UU178" s="11"/>
      <c r="UV178" s="11"/>
      <c r="UW178" s="11"/>
      <c r="UX178" s="11"/>
      <c r="UY178" s="11"/>
      <c r="UZ178" s="11"/>
      <c r="VA178" s="11"/>
      <c r="VB178" s="11"/>
      <c r="VC178" s="11"/>
      <c r="VD178" s="11"/>
      <c r="VE178" s="11"/>
      <c r="VF178" s="11"/>
      <c r="VG178" s="11"/>
      <c r="VH178" s="11"/>
      <c r="VI178" s="11"/>
      <c r="VJ178" s="11"/>
      <c r="VK178" s="11"/>
      <c r="VL178" s="11"/>
      <c r="VM178" s="11"/>
      <c r="VN178" s="11"/>
      <c r="VO178" s="11"/>
      <c r="VP178" s="11"/>
      <c r="VQ178" s="11"/>
      <c r="VR178" s="11"/>
      <c r="VS178" s="11"/>
      <c r="VT178" s="11"/>
      <c r="VU178" s="11"/>
      <c r="VV178" s="11"/>
      <c r="VW178" s="11"/>
      <c r="VX178" s="11"/>
      <c r="VY178" s="11"/>
      <c r="VZ178" s="11"/>
      <c r="WA178" s="11"/>
      <c r="WB178" s="11"/>
      <c r="WC178" s="11"/>
      <c r="WD178" s="11"/>
      <c r="WE178" s="11"/>
      <c r="WF178" s="11"/>
      <c r="WG178" s="11"/>
      <c r="WH178" s="11"/>
      <c r="WI178" s="11"/>
      <c r="WJ178" s="11"/>
      <c r="WK178" s="11"/>
      <c r="WL178" s="11"/>
      <c r="WM178" s="11"/>
      <c r="WN178" s="11"/>
      <c r="WO178" s="11"/>
      <c r="WP178" s="11"/>
      <c r="WQ178" s="11"/>
      <c r="WR178" s="11"/>
      <c r="WS178" s="11"/>
      <c r="WT178" s="11"/>
      <c r="WU178" s="11"/>
      <c r="WV178" s="11"/>
      <c r="WW178" s="11"/>
      <c r="WX178" s="11"/>
      <c r="WY178" s="11"/>
      <c r="WZ178" s="11"/>
      <c r="XA178" s="11"/>
      <c r="XB178" s="11"/>
      <c r="XC178" s="11"/>
      <c r="XD178" s="11"/>
      <c r="XE178" s="11"/>
      <c r="XF178" s="11"/>
      <c r="XG178" s="11"/>
      <c r="XH178" s="11"/>
      <c r="XI178" s="11"/>
      <c r="XJ178" s="11"/>
      <c r="XK178" s="11"/>
      <c r="XL178" s="11"/>
      <c r="XM178" s="11"/>
      <c r="XN178" s="11"/>
      <c r="XO178" s="11"/>
      <c r="XP178" s="11"/>
      <c r="XQ178" s="11"/>
      <c r="XR178" s="11"/>
      <c r="XS178" s="11"/>
      <c r="XT178" s="11"/>
      <c r="XU178" s="11"/>
      <c r="XV178" s="11"/>
      <c r="XW178" s="11"/>
      <c r="XX178" s="11"/>
      <c r="XY178" s="11"/>
      <c r="XZ178" s="11"/>
      <c r="YA178" s="11"/>
      <c r="YB178" s="11"/>
      <c r="YC178" s="11"/>
      <c r="YD178" s="11"/>
      <c r="YE178" s="11"/>
      <c r="YF178" s="11"/>
      <c r="YG178" s="11"/>
      <c r="YH178" s="11"/>
      <c r="YI178" s="11"/>
      <c r="YJ178" s="11"/>
      <c r="YK178" s="11"/>
      <c r="YL178" s="11"/>
      <c r="YM178" s="11"/>
      <c r="YN178" s="11"/>
      <c r="YO178" s="11"/>
      <c r="YP178" s="11"/>
      <c r="YQ178" s="11"/>
      <c r="YR178" s="11"/>
      <c r="YS178" s="11"/>
      <c r="YT178" s="11"/>
      <c r="YU178" s="11"/>
      <c r="YV178" s="11"/>
      <c r="YW178" s="11"/>
      <c r="YX178" s="11"/>
      <c r="YY178" s="11"/>
      <c r="YZ178" s="11"/>
      <c r="ZA178" s="11"/>
      <c r="ZB178" s="11"/>
      <c r="ZC178" s="11"/>
      <c r="ZD178" s="11"/>
      <c r="ZE178" s="11"/>
      <c r="ZF178" s="11"/>
      <c r="ZG178" s="11"/>
      <c r="ZH178" s="11"/>
      <c r="ZI178" s="11"/>
      <c r="ZJ178" s="11"/>
      <c r="ZK178" s="11"/>
      <c r="ZL178" s="11"/>
      <c r="ZM178" s="11"/>
      <c r="ZN178" s="11"/>
      <c r="ZO178" s="11"/>
      <c r="ZP178" s="11"/>
      <c r="ZQ178" s="11"/>
      <c r="ZR178" s="11"/>
      <c r="ZS178" s="11"/>
      <c r="ZT178" s="11"/>
      <c r="ZU178" s="11"/>
      <c r="ZV178" s="11"/>
      <c r="ZW178" s="11"/>
      <c r="ZX178" s="11"/>
      <c r="ZY178" s="11"/>
      <c r="ZZ178" s="11"/>
      <c r="AAA178" s="11"/>
      <c r="AAB178" s="11"/>
      <c r="AAC178" s="11"/>
      <c r="AAD178" s="11"/>
      <c r="AAE178" s="11"/>
      <c r="AAF178" s="11"/>
      <c r="AAG178" s="11"/>
      <c r="AAH178" s="11"/>
      <c r="AAI178" s="11"/>
      <c r="AAJ178" s="11"/>
      <c r="AAK178" s="11"/>
      <c r="AAL178" s="11"/>
      <c r="AAM178" s="11"/>
      <c r="AAN178" s="11"/>
      <c r="AAO178" s="11"/>
      <c r="AAP178" s="11"/>
      <c r="AAQ178" s="11"/>
      <c r="AAR178" s="11"/>
      <c r="AAS178" s="11"/>
      <c r="AAT178" s="11"/>
      <c r="AAU178" s="11"/>
      <c r="AAV178" s="11"/>
      <c r="AAW178" s="11"/>
      <c r="AAX178" s="11"/>
      <c r="AAY178" s="11"/>
      <c r="AAZ178" s="11"/>
      <c r="ABA178" s="11"/>
      <c r="ABB178" s="11"/>
      <c r="ABC178" s="11"/>
      <c r="ABD178" s="11"/>
      <c r="ABE178" s="11"/>
      <c r="ABF178" s="11"/>
      <c r="ABG178" s="11"/>
      <c r="ABH178" s="11"/>
      <c r="ABI178" s="11"/>
      <c r="ABJ178" s="11"/>
      <c r="ABK178" s="11"/>
      <c r="ABL178" s="11"/>
      <c r="ABM178" s="11"/>
      <c r="ABN178" s="11"/>
      <c r="ABO178" s="11"/>
      <c r="ABP178" s="11"/>
      <c r="ABQ178" s="11"/>
      <c r="ABR178" s="11"/>
      <c r="ABS178" s="11"/>
      <c r="ABT178" s="11"/>
      <c r="ABU178" s="11"/>
      <c r="ABV178" s="11"/>
      <c r="ABW178" s="11"/>
      <c r="ABX178" s="11"/>
      <c r="ABY178" s="11"/>
      <c r="ABZ178" s="11"/>
      <c r="ACA178" s="11"/>
      <c r="ACB178" s="11"/>
      <c r="ACC178" s="11"/>
      <c r="ACD178" s="11"/>
      <c r="ACE178" s="11"/>
      <c r="ACF178" s="11"/>
      <c r="ACG178" s="11"/>
      <c r="ACH178" s="11"/>
      <c r="ACI178" s="11"/>
      <c r="ACJ178" s="11"/>
      <c r="ACK178" s="11"/>
      <c r="ACL178" s="11"/>
      <c r="ACM178" s="11"/>
      <c r="ACN178" s="11"/>
      <c r="ACO178" s="11"/>
      <c r="ACP178" s="11"/>
      <c r="ACQ178" s="11"/>
      <c r="ACR178" s="11"/>
      <c r="ACS178" s="11"/>
      <c r="ACT178" s="11"/>
      <c r="ACU178" s="11"/>
      <c r="ACV178" s="11"/>
      <c r="ACW178" s="11"/>
      <c r="ACX178" s="11"/>
      <c r="ACY178" s="11"/>
      <c r="ACZ178" s="11"/>
      <c r="ADA178" s="11"/>
      <c r="ADB178" s="11"/>
      <c r="ADC178" s="11"/>
      <c r="ADD178" s="11"/>
      <c r="ADE178" s="11"/>
      <c r="ADF178" s="11"/>
      <c r="ADG178" s="11"/>
      <c r="ADH178" s="11"/>
      <c r="ADI178" s="11"/>
      <c r="ADJ178" s="11"/>
      <c r="ADK178" s="11"/>
      <c r="ADL178" s="11"/>
      <c r="ADM178" s="11"/>
      <c r="ADN178" s="11"/>
      <c r="ADO178" s="11"/>
      <c r="ADP178" s="11"/>
      <c r="ADQ178" s="11"/>
      <c r="ADR178" s="11"/>
      <c r="ADS178" s="11"/>
      <c r="ADT178" s="11"/>
      <c r="ADU178" s="11"/>
      <c r="ADV178" s="11"/>
      <c r="ADW178" s="11"/>
      <c r="ADX178" s="11"/>
      <c r="ADY178" s="11"/>
      <c r="ADZ178" s="11"/>
      <c r="AEA178" s="11"/>
      <c r="AEB178" s="11"/>
      <c r="AEC178" s="11"/>
      <c r="AED178" s="11"/>
      <c r="AEE178" s="11"/>
      <c r="AEF178" s="11"/>
      <c r="AEG178" s="11"/>
      <c r="AEH178" s="11"/>
      <c r="AEI178" s="11"/>
      <c r="AEJ178" s="11"/>
      <c r="AEK178" s="11"/>
      <c r="AEL178" s="11"/>
      <c r="AEM178" s="11"/>
      <c r="AEN178" s="11"/>
      <c r="AEO178" s="11"/>
      <c r="AEP178" s="11"/>
      <c r="AEQ178" s="11"/>
      <c r="AER178" s="11"/>
      <c r="AES178" s="11"/>
      <c r="AET178" s="11"/>
      <c r="AEU178" s="11"/>
      <c r="AEV178" s="11"/>
      <c r="AEW178" s="11"/>
      <c r="AEX178" s="11"/>
      <c r="AEY178" s="11"/>
      <c r="AEZ178" s="11"/>
      <c r="AFA178" s="11"/>
      <c r="AFB178" s="11"/>
      <c r="AFC178" s="11"/>
      <c r="AFD178" s="11"/>
      <c r="AFE178" s="11"/>
      <c r="AFF178" s="11"/>
      <c r="AFG178" s="11"/>
      <c r="AFH178" s="11"/>
      <c r="AFI178" s="11"/>
    </row>
    <row r="179" spans="2:84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1"/>
      <c r="LV179" s="11"/>
      <c r="LW179" s="11"/>
      <c r="LX179" s="11"/>
      <c r="LY179" s="11"/>
      <c r="LZ179" s="11"/>
      <c r="MA179" s="11"/>
      <c r="MB179" s="11"/>
      <c r="MC179" s="11"/>
      <c r="MD179" s="11"/>
      <c r="ME179" s="11"/>
      <c r="MF179" s="11"/>
      <c r="MG179" s="11"/>
      <c r="MH179" s="11"/>
      <c r="MI179" s="11"/>
      <c r="MJ179" s="11"/>
      <c r="MK179" s="11"/>
      <c r="ML179" s="11"/>
      <c r="MM179" s="11"/>
      <c r="MN179" s="11"/>
      <c r="MO179" s="11"/>
      <c r="MP179" s="11"/>
      <c r="MQ179" s="11"/>
      <c r="MR179" s="11"/>
      <c r="MS179" s="11"/>
      <c r="MT179" s="11"/>
      <c r="MU179" s="11"/>
      <c r="MV179" s="11"/>
      <c r="MW179" s="11"/>
      <c r="MX179" s="11"/>
      <c r="MY179" s="11"/>
      <c r="MZ179" s="11"/>
      <c r="NA179" s="11"/>
      <c r="NB179" s="11"/>
      <c r="NC179" s="11"/>
      <c r="ND179" s="11"/>
      <c r="NE179" s="11"/>
      <c r="NF179" s="11"/>
      <c r="NG179" s="11"/>
      <c r="NH179" s="11"/>
      <c r="NI179" s="11"/>
      <c r="NJ179" s="11"/>
      <c r="NK179" s="11"/>
      <c r="NL179" s="11"/>
      <c r="NM179" s="11"/>
      <c r="NN179" s="11"/>
      <c r="NO179" s="11"/>
      <c r="NP179" s="11"/>
      <c r="NQ179" s="11"/>
      <c r="NR179" s="11"/>
      <c r="NS179" s="11"/>
      <c r="NT179" s="11"/>
      <c r="NU179" s="11"/>
      <c r="NV179" s="11"/>
      <c r="NW179" s="11"/>
      <c r="NX179" s="11"/>
      <c r="NY179" s="11"/>
      <c r="NZ179" s="11"/>
      <c r="OA179" s="11"/>
      <c r="OB179" s="11"/>
      <c r="OC179" s="11"/>
      <c r="OD179" s="11"/>
      <c r="OE179" s="11"/>
      <c r="OF179" s="11"/>
      <c r="OG179" s="11"/>
      <c r="OH179" s="11"/>
      <c r="OI179" s="11"/>
      <c r="OJ179" s="11"/>
      <c r="OK179" s="11"/>
      <c r="OL179" s="11"/>
      <c r="OM179" s="11"/>
      <c r="ON179" s="11"/>
      <c r="OO179" s="11"/>
      <c r="OP179" s="11"/>
      <c r="OQ179" s="11"/>
      <c r="OR179" s="11"/>
      <c r="OS179" s="11"/>
      <c r="OT179" s="11"/>
      <c r="OU179" s="11"/>
      <c r="OV179" s="11"/>
      <c r="OW179" s="11"/>
      <c r="OX179" s="11"/>
      <c r="OY179" s="11"/>
      <c r="OZ179" s="11"/>
      <c r="PA179" s="11"/>
      <c r="PB179" s="11"/>
      <c r="PC179" s="11"/>
      <c r="PD179" s="11"/>
      <c r="PE179" s="11"/>
      <c r="PF179" s="11"/>
      <c r="PG179" s="11"/>
      <c r="PH179" s="11"/>
      <c r="PI179" s="11"/>
      <c r="PJ179" s="11"/>
      <c r="PK179" s="11"/>
      <c r="PL179" s="11"/>
      <c r="PM179" s="11"/>
      <c r="PN179" s="11"/>
      <c r="PO179" s="11"/>
      <c r="PP179" s="11"/>
      <c r="PQ179" s="11"/>
      <c r="PR179" s="11"/>
      <c r="PS179" s="11"/>
      <c r="PT179" s="11"/>
      <c r="PU179" s="11"/>
      <c r="PV179" s="11"/>
      <c r="PW179" s="11"/>
      <c r="PX179" s="11"/>
      <c r="PY179" s="11"/>
      <c r="PZ179" s="11"/>
      <c r="QA179" s="11"/>
      <c r="QB179" s="11"/>
      <c r="QC179" s="11"/>
      <c r="QD179" s="11"/>
      <c r="QE179" s="11"/>
      <c r="QF179" s="11"/>
      <c r="QG179" s="11"/>
      <c r="QH179" s="11"/>
      <c r="QI179" s="11"/>
      <c r="QJ179" s="11"/>
      <c r="QK179" s="11"/>
      <c r="QL179" s="11"/>
      <c r="QM179" s="11"/>
      <c r="QN179" s="11"/>
      <c r="QO179" s="11"/>
      <c r="QP179" s="11"/>
      <c r="QQ179" s="11"/>
      <c r="QR179" s="11"/>
      <c r="QS179" s="11"/>
      <c r="QT179" s="11"/>
      <c r="QU179" s="11"/>
      <c r="QV179" s="11"/>
      <c r="QW179" s="11"/>
      <c r="QX179" s="11"/>
      <c r="QY179" s="11"/>
      <c r="QZ179" s="11"/>
      <c r="RA179" s="11"/>
      <c r="RB179" s="11"/>
      <c r="RC179" s="11"/>
      <c r="RD179" s="11"/>
      <c r="RE179" s="11"/>
      <c r="RF179" s="11"/>
      <c r="RG179" s="11"/>
      <c r="RH179" s="11"/>
      <c r="RI179" s="11"/>
      <c r="RJ179" s="11"/>
      <c r="RK179" s="11"/>
      <c r="RL179" s="11"/>
      <c r="RM179" s="11"/>
      <c r="RN179" s="11"/>
      <c r="RO179" s="11"/>
      <c r="RP179" s="11"/>
      <c r="RQ179" s="11"/>
      <c r="RR179" s="11"/>
      <c r="RS179" s="11"/>
      <c r="RT179" s="11"/>
      <c r="RU179" s="11"/>
      <c r="RV179" s="11"/>
      <c r="RW179" s="11"/>
      <c r="RX179" s="11"/>
      <c r="RY179" s="11"/>
      <c r="RZ179" s="11"/>
      <c r="SA179" s="11"/>
      <c r="SB179" s="11"/>
      <c r="SC179" s="11"/>
      <c r="SD179" s="11"/>
      <c r="SE179" s="11"/>
      <c r="SF179" s="11"/>
      <c r="SG179" s="11"/>
      <c r="SH179" s="11"/>
      <c r="SI179" s="11"/>
      <c r="SJ179" s="11"/>
      <c r="SK179" s="11"/>
      <c r="SL179" s="11"/>
      <c r="SM179" s="11"/>
      <c r="SN179" s="11"/>
      <c r="SO179" s="11"/>
      <c r="SP179" s="11"/>
      <c r="SQ179" s="11"/>
      <c r="SR179" s="11"/>
      <c r="SS179" s="11"/>
      <c r="ST179" s="11"/>
      <c r="SU179" s="11"/>
      <c r="SV179" s="11"/>
      <c r="SW179" s="11"/>
      <c r="SX179" s="11"/>
      <c r="SY179" s="11"/>
      <c r="SZ179" s="11"/>
      <c r="TA179" s="11"/>
      <c r="TB179" s="11"/>
      <c r="TC179" s="11"/>
      <c r="TD179" s="11"/>
      <c r="TE179" s="11"/>
      <c r="TF179" s="11"/>
      <c r="TG179" s="11"/>
      <c r="TH179" s="11"/>
      <c r="TI179" s="11"/>
      <c r="TJ179" s="11"/>
      <c r="TK179" s="11"/>
      <c r="TL179" s="11"/>
      <c r="TM179" s="11"/>
      <c r="TN179" s="11"/>
      <c r="TO179" s="11"/>
      <c r="TP179" s="11"/>
      <c r="TQ179" s="11"/>
      <c r="TR179" s="11"/>
      <c r="TS179" s="11"/>
      <c r="TT179" s="11"/>
      <c r="TU179" s="11"/>
      <c r="TV179" s="11"/>
      <c r="TW179" s="11"/>
      <c r="TX179" s="11"/>
      <c r="TY179" s="11"/>
      <c r="TZ179" s="11"/>
      <c r="UA179" s="11"/>
      <c r="UB179" s="11"/>
      <c r="UC179" s="11"/>
      <c r="UD179" s="11"/>
      <c r="UE179" s="11"/>
      <c r="UF179" s="11"/>
      <c r="UG179" s="11"/>
      <c r="UH179" s="11"/>
      <c r="UI179" s="11"/>
      <c r="UJ179" s="11"/>
      <c r="UK179" s="11"/>
      <c r="UL179" s="11"/>
      <c r="UM179" s="11"/>
      <c r="UN179" s="11"/>
      <c r="UO179" s="11"/>
      <c r="UP179" s="11"/>
      <c r="UQ179" s="11"/>
      <c r="UR179" s="11"/>
      <c r="US179" s="11"/>
      <c r="UT179" s="11"/>
      <c r="UU179" s="11"/>
      <c r="UV179" s="11"/>
      <c r="UW179" s="11"/>
      <c r="UX179" s="11"/>
      <c r="UY179" s="11"/>
      <c r="UZ179" s="11"/>
      <c r="VA179" s="11"/>
      <c r="VB179" s="11"/>
      <c r="VC179" s="11"/>
      <c r="VD179" s="11"/>
      <c r="VE179" s="11"/>
      <c r="VF179" s="11"/>
      <c r="VG179" s="11"/>
      <c r="VH179" s="11"/>
      <c r="VI179" s="11"/>
      <c r="VJ179" s="11"/>
      <c r="VK179" s="11"/>
      <c r="VL179" s="11"/>
      <c r="VM179" s="11"/>
      <c r="VN179" s="11"/>
      <c r="VO179" s="11"/>
      <c r="VP179" s="11"/>
      <c r="VQ179" s="11"/>
      <c r="VR179" s="11"/>
      <c r="VS179" s="11"/>
      <c r="VT179" s="11"/>
      <c r="VU179" s="11"/>
      <c r="VV179" s="11"/>
      <c r="VW179" s="11"/>
      <c r="VX179" s="11"/>
      <c r="VY179" s="11"/>
      <c r="VZ179" s="11"/>
      <c r="WA179" s="11"/>
      <c r="WB179" s="11"/>
      <c r="WC179" s="11"/>
      <c r="WD179" s="11"/>
      <c r="WE179" s="11"/>
      <c r="WF179" s="11"/>
      <c r="WG179" s="11"/>
      <c r="WH179" s="11"/>
      <c r="WI179" s="11"/>
      <c r="WJ179" s="11"/>
      <c r="WK179" s="11"/>
      <c r="WL179" s="11"/>
      <c r="WM179" s="11"/>
      <c r="WN179" s="11"/>
      <c r="WO179" s="11"/>
      <c r="WP179" s="11"/>
      <c r="WQ179" s="11"/>
      <c r="WR179" s="11"/>
      <c r="WS179" s="11"/>
      <c r="WT179" s="11"/>
      <c r="WU179" s="11"/>
      <c r="WV179" s="11"/>
      <c r="WW179" s="11"/>
      <c r="WX179" s="11"/>
      <c r="WY179" s="11"/>
      <c r="WZ179" s="11"/>
      <c r="XA179" s="11"/>
      <c r="XB179" s="11"/>
      <c r="XC179" s="11"/>
      <c r="XD179" s="11"/>
      <c r="XE179" s="11"/>
      <c r="XF179" s="11"/>
      <c r="XG179" s="11"/>
      <c r="XH179" s="11"/>
      <c r="XI179" s="11"/>
      <c r="XJ179" s="11"/>
      <c r="XK179" s="11"/>
      <c r="XL179" s="11"/>
      <c r="XM179" s="11"/>
      <c r="XN179" s="11"/>
      <c r="XO179" s="11"/>
      <c r="XP179" s="11"/>
      <c r="XQ179" s="11"/>
      <c r="XR179" s="11"/>
      <c r="XS179" s="11"/>
      <c r="XT179" s="11"/>
      <c r="XU179" s="11"/>
      <c r="XV179" s="11"/>
      <c r="XW179" s="11"/>
      <c r="XX179" s="11"/>
      <c r="XY179" s="11"/>
      <c r="XZ179" s="11"/>
      <c r="YA179" s="11"/>
      <c r="YB179" s="11"/>
      <c r="YC179" s="11"/>
      <c r="YD179" s="11"/>
      <c r="YE179" s="11"/>
      <c r="YF179" s="11"/>
      <c r="YG179" s="11"/>
      <c r="YH179" s="11"/>
      <c r="YI179" s="11"/>
      <c r="YJ179" s="11"/>
      <c r="YK179" s="11"/>
      <c r="YL179" s="11"/>
      <c r="YM179" s="11"/>
      <c r="YN179" s="11"/>
      <c r="YO179" s="11"/>
      <c r="YP179" s="11"/>
      <c r="YQ179" s="11"/>
      <c r="YR179" s="11"/>
      <c r="YS179" s="11"/>
      <c r="YT179" s="11"/>
      <c r="YU179" s="11"/>
      <c r="YV179" s="11"/>
      <c r="YW179" s="11"/>
      <c r="YX179" s="11"/>
      <c r="YY179" s="11"/>
      <c r="YZ179" s="11"/>
      <c r="ZA179" s="11"/>
      <c r="ZB179" s="11"/>
      <c r="ZC179" s="11"/>
      <c r="ZD179" s="11"/>
      <c r="ZE179" s="11"/>
      <c r="ZF179" s="11"/>
      <c r="ZG179" s="11"/>
      <c r="ZH179" s="11"/>
      <c r="ZI179" s="11"/>
      <c r="ZJ179" s="11"/>
      <c r="ZK179" s="11"/>
      <c r="ZL179" s="11"/>
      <c r="ZM179" s="11"/>
      <c r="ZN179" s="11"/>
      <c r="ZO179" s="11"/>
      <c r="ZP179" s="11"/>
      <c r="ZQ179" s="11"/>
      <c r="ZR179" s="11"/>
      <c r="ZS179" s="11"/>
      <c r="ZT179" s="11"/>
      <c r="ZU179" s="11"/>
      <c r="ZV179" s="11"/>
      <c r="ZW179" s="11"/>
      <c r="ZX179" s="11"/>
      <c r="ZY179" s="11"/>
      <c r="ZZ179" s="11"/>
      <c r="AAA179" s="11"/>
      <c r="AAB179" s="11"/>
      <c r="AAC179" s="11"/>
      <c r="AAD179" s="11"/>
      <c r="AAE179" s="11"/>
      <c r="AAF179" s="11"/>
      <c r="AAG179" s="11"/>
      <c r="AAH179" s="11"/>
      <c r="AAI179" s="11"/>
      <c r="AAJ179" s="11"/>
      <c r="AAK179" s="11"/>
      <c r="AAL179" s="11"/>
      <c r="AAM179" s="11"/>
      <c r="AAN179" s="11"/>
      <c r="AAO179" s="11"/>
      <c r="AAP179" s="11"/>
      <c r="AAQ179" s="11"/>
      <c r="AAR179" s="11"/>
      <c r="AAS179" s="11"/>
      <c r="AAT179" s="11"/>
      <c r="AAU179" s="11"/>
      <c r="AAV179" s="11"/>
      <c r="AAW179" s="11"/>
      <c r="AAX179" s="11"/>
      <c r="AAY179" s="11"/>
      <c r="AAZ179" s="11"/>
      <c r="ABA179" s="11"/>
      <c r="ABB179" s="11"/>
      <c r="ABC179" s="11"/>
      <c r="ABD179" s="11"/>
      <c r="ABE179" s="11"/>
      <c r="ABF179" s="11"/>
      <c r="ABG179" s="11"/>
      <c r="ABH179" s="11"/>
      <c r="ABI179" s="11"/>
      <c r="ABJ179" s="11"/>
      <c r="ABK179" s="11"/>
      <c r="ABL179" s="11"/>
      <c r="ABM179" s="11"/>
      <c r="ABN179" s="11"/>
      <c r="ABO179" s="11"/>
      <c r="ABP179" s="11"/>
      <c r="ABQ179" s="11"/>
      <c r="ABR179" s="11"/>
      <c r="ABS179" s="11"/>
      <c r="ABT179" s="11"/>
      <c r="ABU179" s="11"/>
      <c r="ABV179" s="11"/>
      <c r="ABW179" s="11"/>
      <c r="ABX179" s="11"/>
      <c r="ABY179" s="11"/>
      <c r="ABZ179" s="11"/>
      <c r="ACA179" s="11"/>
      <c r="ACB179" s="11"/>
      <c r="ACC179" s="11"/>
      <c r="ACD179" s="11"/>
      <c r="ACE179" s="11"/>
      <c r="ACF179" s="11"/>
      <c r="ACG179" s="11"/>
      <c r="ACH179" s="11"/>
      <c r="ACI179" s="11"/>
      <c r="ACJ179" s="11"/>
      <c r="ACK179" s="11"/>
      <c r="ACL179" s="11"/>
      <c r="ACM179" s="11"/>
      <c r="ACN179" s="11"/>
      <c r="ACO179" s="11"/>
      <c r="ACP179" s="11"/>
      <c r="ACQ179" s="11"/>
      <c r="ACR179" s="11"/>
      <c r="ACS179" s="11"/>
      <c r="ACT179" s="11"/>
      <c r="ACU179" s="11"/>
      <c r="ACV179" s="11"/>
      <c r="ACW179" s="11"/>
      <c r="ACX179" s="11"/>
      <c r="ACY179" s="11"/>
      <c r="ACZ179" s="11"/>
      <c r="ADA179" s="11"/>
      <c r="ADB179" s="11"/>
      <c r="ADC179" s="11"/>
      <c r="ADD179" s="11"/>
      <c r="ADE179" s="11"/>
      <c r="ADF179" s="11"/>
      <c r="ADG179" s="11"/>
      <c r="ADH179" s="11"/>
      <c r="ADI179" s="11"/>
      <c r="ADJ179" s="11"/>
      <c r="ADK179" s="11"/>
      <c r="ADL179" s="11"/>
      <c r="ADM179" s="11"/>
      <c r="ADN179" s="11"/>
      <c r="ADO179" s="11"/>
      <c r="ADP179" s="11"/>
      <c r="ADQ179" s="11"/>
      <c r="ADR179" s="11"/>
      <c r="ADS179" s="11"/>
      <c r="ADT179" s="11"/>
      <c r="ADU179" s="11"/>
      <c r="ADV179" s="11"/>
      <c r="ADW179" s="11"/>
      <c r="ADX179" s="11"/>
      <c r="ADY179" s="11"/>
      <c r="ADZ179" s="11"/>
      <c r="AEA179" s="11"/>
      <c r="AEB179" s="11"/>
      <c r="AEC179" s="11"/>
      <c r="AED179" s="11"/>
      <c r="AEE179" s="11"/>
      <c r="AEF179" s="11"/>
      <c r="AEG179" s="11"/>
      <c r="AEH179" s="11"/>
      <c r="AEI179" s="11"/>
      <c r="AEJ179" s="11"/>
      <c r="AEK179" s="11"/>
      <c r="AEL179" s="11"/>
      <c r="AEM179" s="11"/>
      <c r="AEN179" s="11"/>
      <c r="AEO179" s="11"/>
      <c r="AEP179" s="11"/>
      <c r="AEQ179" s="11"/>
      <c r="AER179" s="11"/>
      <c r="AES179" s="11"/>
      <c r="AET179" s="11"/>
      <c r="AEU179" s="11"/>
      <c r="AEV179" s="11"/>
      <c r="AEW179" s="11"/>
      <c r="AEX179" s="11"/>
      <c r="AEY179" s="11"/>
      <c r="AEZ179" s="11"/>
      <c r="AFA179" s="11"/>
      <c r="AFB179" s="11"/>
      <c r="AFC179" s="11"/>
      <c r="AFD179" s="11"/>
      <c r="AFE179" s="11"/>
      <c r="AFF179" s="11"/>
      <c r="AFG179" s="11"/>
      <c r="AFH179" s="11"/>
      <c r="AFI179" s="11"/>
    </row>
    <row r="180" spans="2:84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1"/>
      <c r="LV180" s="11"/>
      <c r="LW180" s="11"/>
      <c r="LX180" s="11"/>
      <c r="LY180" s="11"/>
      <c r="LZ180" s="11"/>
      <c r="MA180" s="11"/>
      <c r="MB180" s="11"/>
      <c r="MC180" s="11"/>
      <c r="MD180" s="11"/>
      <c r="ME180" s="11"/>
      <c r="MF180" s="11"/>
      <c r="MG180" s="11"/>
      <c r="MH180" s="11"/>
      <c r="MI180" s="11"/>
      <c r="MJ180" s="11"/>
      <c r="MK180" s="11"/>
      <c r="ML180" s="11"/>
      <c r="MM180" s="11"/>
      <c r="MN180" s="11"/>
      <c r="MO180" s="11"/>
      <c r="MP180" s="11"/>
      <c r="MQ180" s="11"/>
      <c r="MR180" s="11"/>
      <c r="MS180" s="11"/>
      <c r="MT180" s="11"/>
      <c r="MU180" s="11"/>
      <c r="MV180" s="11"/>
      <c r="MW180" s="11"/>
      <c r="MX180" s="11"/>
      <c r="MY180" s="11"/>
      <c r="MZ180" s="11"/>
      <c r="NA180" s="11"/>
      <c r="NB180" s="11"/>
      <c r="NC180" s="11"/>
      <c r="ND180" s="11"/>
      <c r="NE180" s="11"/>
      <c r="NF180" s="11"/>
      <c r="NG180" s="11"/>
      <c r="NH180" s="11"/>
      <c r="NI180" s="11"/>
      <c r="NJ180" s="11"/>
      <c r="NK180" s="11"/>
      <c r="NL180" s="11"/>
      <c r="NM180" s="11"/>
      <c r="NN180" s="11"/>
      <c r="NO180" s="11"/>
      <c r="NP180" s="11"/>
      <c r="NQ180" s="11"/>
      <c r="NR180" s="11"/>
      <c r="NS180" s="11"/>
      <c r="NT180" s="11"/>
      <c r="NU180" s="11"/>
      <c r="NV180" s="11"/>
      <c r="NW180" s="11"/>
      <c r="NX180" s="11"/>
      <c r="NY180" s="11"/>
      <c r="NZ180" s="11"/>
      <c r="OA180" s="11"/>
      <c r="OB180" s="11"/>
      <c r="OC180" s="11"/>
      <c r="OD180" s="11"/>
      <c r="OE180" s="11"/>
      <c r="OF180" s="11"/>
      <c r="OG180" s="11"/>
      <c r="OH180" s="11"/>
      <c r="OI180" s="11"/>
      <c r="OJ180" s="11"/>
      <c r="OK180" s="11"/>
      <c r="OL180" s="11"/>
      <c r="OM180" s="11"/>
      <c r="ON180" s="11"/>
      <c r="OO180" s="11"/>
      <c r="OP180" s="11"/>
      <c r="OQ180" s="11"/>
      <c r="OR180" s="11"/>
      <c r="OS180" s="11"/>
      <c r="OT180" s="11"/>
      <c r="OU180" s="11"/>
      <c r="OV180" s="11"/>
      <c r="OW180" s="11"/>
      <c r="OX180" s="11"/>
      <c r="OY180" s="11"/>
      <c r="OZ180" s="11"/>
      <c r="PA180" s="11"/>
      <c r="PB180" s="11"/>
      <c r="PC180" s="11"/>
      <c r="PD180" s="11"/>
      <c r="PE180" s="11"/>
      <c r="PF180" s="11"/>
      <c r="PG180" s="11"/>
      <c r="PH180" s="11"/>
      <c r="PI180" s="11"/>
      <c r="PJ180" s="11"/>
      <c r="PK180" s="11"/>
      <c r="PL180" s="11"/>
      <c r="PM180" s="11"/>
      <c r="PN180" s="11"/>
      <c r="PO180" s="11"/>
      <c r="PP180" s="11"/>
      <c r="PQ180" s="11"/>
      <c r="PR180" s="11"/>
      <c r="PS180" s="11"/>
      <c r="PT180" s="11"/>
      <c r="PU180" s="11"/>
      <c r="PV180" s="11"/>
      <c r="PW180" s="11"/>
      <c r="PX180" s="11"/>
      <c r="PY180" s="11"/>
      <c r="PZ180" s="11"/>
      <c r="QA180" s="11"/>
      <c r="QB180" s="11"/>
      <c r="QC180" s="11"/>
      <c r="QD180" s="11"/>
      <c r="QE180" s="11"/>
      <c r="QF180" s="11"/>
      <c r="QG180" s="11"/>
      <c r="QH180" s="11"/>
      <c r="QI180" s="11"/>
      <c r="QJ180" s="11"/>
      <c r="QK180" s="11"/>
      <c r="QL180" s="11"/>
      <c r="QM180" s="11"/>
      <c r="QN180" s="11"/>
      <c r="QO180" s="11"/>
      <c r="QP180" s="11"/>
      <c r="QQ180" s="11"/>
      <c r="QR180" s="11"/>
      <c r="QS180" s="11"/>
      <c r="QT180" s="11"/>
      <c r="QU180" s="11"/>
      <c r="QV180" s="11"/>
      <c r="QW180" s="11"/>
      <c r="QX180" s="11"/>
      <c r="QY180" s="11"/>
      <c r="QZ180" s="11"/>
      <c r="RA180" s="11"/>
      <c r="RB180" s="11"/>
      <c r="RC180" s="11"/>
      <c r="RD180" s="11"/>
      <c r="RE180" s="11"/>
      <c r="RF180" s="11"/>
      <c r="RG180" s="11"/>
      <c r="RH180" s="11"/>
      <c r="RI180" s="11"/>
      <c r="RJ180" s="11"/>
      <c r="RK180" s="11"/>
      <c r="RL180" s="11"/>
      <c r="RM180" s="11"/>
      <c r="RN180" s="11"/>
      <c r="RO180" s="11"/>
      <c r="RP180" s="11"/>
      <c r="RQ180" s="11"/>
      <c r="RR180" s="11"/>
      <c r="RS180" s="11"/>
      <c r="RT180" s="11"/>
      <c r="RU180" s="11"/>
      <c r="RV180" s="11"/>
      <c r="RW180" s="11"/>
      <c r="RX180" s="11"/>
      <c r="RY180" s="11"/>
      <c r="RZ180" s="11"/>
      <c r="SA180" s="11"/>
      <c r="SB180" s="11"/>
      <c r="SC180" s="11"/>
      <c r="SD180" s="11"/>
      <c r="SE180" s="11"/>
      <c r="SF180" s="11"/>
      <c r="SG180" s="11"/>
      <c r="SH180" s="11"/>
      <c r="SI180" s="11"/>
      <c r="SJ180" s="11"/>
      <c r="SK180" s="11"/>
      <c r="SL180" s="11"/>
      <c r="SM180" s="11"/>
      <c r="SN180" s="11"/>
      <c r="SO180" s="11"/>
      <c r="SP180" s="11"/>
      <c r="SQ180" s="11"/>
      <c r="SR180" s="11"/>
      <c r="SS180" s="11"/>
      <c r="ST180" s="11"/>
      <c r="SU180" s="11"/>
      <c r="SV180" s="11"/>
      <c r="SW180" s="11"/>
      <c r="SX180" s="11"/>
      <c r="SY180" s="11"/>
      <c r="SZ180" s="11"/>
      <c r="TA180" s="11"/>
      <c r="TB180" s="11"/>
      <c r="TC180" s="11"/>
      <c r="TD180" s="11"/>
      <c r="TE180" s="11"/>
      <c r="TF180" s="11"/>
      <c r="TG180" s="11"/>
      <c r="TH180" s="11"/>
      <c r="TI180" s="11"/>
      <c r="TJ180" s="11"/>
      <c r="TK180" s="11"/>
      <c r="TL180" s="11"/>
      <c r="TM180" s="11"/>
      <c r="TN180" s="11"/>
      <c r="TO180" s="11"/>
      <c r="TP180" s="11"/>
      <c r="TQ180" s="11"/>
      <c r="TR180" s="11"/>
      <c r="TS180" s="11"/>
      <c r="TT180" s="11"/>
      <c r="TU180" s="11"/>
      <c r="TV180" s="11"/>
      <c r="TW180" s="11"/>
      <c r="TX180" s="11"/>
      <c r="TY180" s="11"/>
      <c r="TZ180" s="11"/>
      <c r="UA180" s="11"/>
      <c r="UB180" s="11"/>
      <c r="UC180" s="11"/>
      <c r="UD180" s="11"/>
      <c r="UE180" s="11"/>
      <c r="UF180" s="11"/>
      <c r="UG180" s="11"/>
      <c r="UH180" s="11"/>
      <c r="UI180" s="11"/>
      <c r="UJ180" s="11"/>
      <c r="UK180" s="11"/>
      <c r="UL180" s="11"/>
      <c r="UM180" s="11"/>
      <c r="UN180" s="11"/>
      <c r="UO180" s="11"/>
      <c r="UP180" s="11"/>
      <c r="UQ180" s="11"/>
      <c r="UR180" s="11"/>
      <c r="US180" s="11"/>
      <c r="UT180" s="11"/>
      <c r="UU180" s="11"/>
      <c r="UV180" s="11"/>
      <c r="UW180" s="11"/>
      <c r="UX180" s="11"/>
      <c r="UY180" s="11"/>
      <c r="UZ180" s="11"/>
      <c r="VA180" s="11"/>
      <c r="VB180" s="11"/>
      <c r="VC180" s="11"/>
      <c r="VD180" s="11"/>
      <c r="VE180" s="11"/>
      <c r="VF180" s="11"/>
      <c r="VG180" s="11"/>
      <c r="VH180" s="11"/>
      <c r="VI180" s="11"/>
      <c r="VJ180" s="11"/>
      <c r="VK180" s="11"/>
      <c r="VL180" s="11"/>
      <c r="VM180" s="11"/>
      <c r="VN180" s="11"/>
      <c r="VO180" s="11"/>
      <c r="VP180" s="11"/>
      <c r="VQ180" s="11"/>
      <c r="VR180" s="11"/>
      <c r="VS180" s="11"/>
      <c r="VT180" s="11"/>
      <c r="VU180" s="11"/>
      <c r="VV180" s="11"/>
      <c r="VW180" s="11"/>
      <c r="VX180" s="11"/>
      <c r="VY180" s="11"/>
      <c r="VZ180" s="11"/>
      <c r="WA180" s="11"/>
      <c r="WB180" s="11"/>
      <c r="WC180" s="11"/>
      <c r="WD180" s="11"/>
      <c r="WE180" s="11"/>
      <c r="WF180" s="11"/>
      <c r="WG180" s="11"/>
      <c r="WH180" s="11"/>
      <c r="WI180" s="11"/>
      <c r="WJ180" s="11"/>
      <c r="WK180" s="11"/>
      <c r="WL180" s="11"/>
      <c r="WM180" s="11"/>
      <c r="WN180" s="11"/>
      <c r="WO180" s="11"/>
      <c r="WP180" s="11"/>
      <c r="WQ180" s="11"/>
      <c r="WR180" s="11"/>
      <c r="WS180" s="11"/>
      <c r="WT180" s="11"/>
      <c r="WU180" s="11"/>
      <c r="WV180" s="11"/>
      <c r="WW180" s="11"/>
      <c r="WX180" s="11"/>
      <c r="WY180" s="11"/>
      <c r="WZ180" s="11"/>
      <c r="XA180" s="11"/>
      <c r="XB180" s="11"/>
      <c r="XC180" s="11"/>
      <c r="XD180" s="11"/>
      <c r="XE180" s="11"/>
      <c r="XF180" s="11"/>
      <c r="XG180" s="11"/>
      <c r="XH180" s="11"/>
      <c r="XI180" s="11"/>
      <c r="XJ180" s="11"/>
      <c r="XK180" s="11"/>
      <c r="XL180" s="11"/>
      <c r="XM180" s="11"/>
      <c r="XN180" s="11"/>
      <c r="XO180" s="11"/>
      <c r="XP180" s="11"/>
      <c r="XQ180" s="11"/>
      <c r="XR180" s="11"/>
      <c r="XS180" s="11"/>
      <c r="XT180" s="11"/>
      <c r="XU180" s="11"/>
      <c r="XV180" s="11"/>
      <c r="XW180" s="11"/>
      <c r="XX180" s="11"/>
      <c r="XY180" s="11"/>
      <c r="XZ180" s="11"/>
      <c r="YA180" s="11"/>
      <c r="YB180" s="11"/>
      <c r="YC180" s="11"/>
      <c r="YD180" s="11"/>
      <c r="YE180" s="11"/>
      <c r="YF180" s="11"/>
      <c r="YG180" s="11"/>
      <c r="YH180" s="11"/>
      <c r="YI180" s="11"/>
      <c r="YJ180" s="11"/>
      <c r="YK180" s="11"/>
      <c r="YL180" s="11"/>
      <c r="YM180" s="11"/>
      <c r="YN180" s="11"/>
      <c r="YO180" s="11"/>
      <c r="YP180" s="11"/>
      <c r="YQ180" s="11"/>
      <c r="YR180" s="11"/>
      <c r="YS180" s="11"/>
      <c r="YT180" s="11"/>
      <c r="YU180" s="11"/>
      <c r="YV180" s="11"/>
      <c r="YW180" s="11"/>
      <c r="YX180" s="11"/>
      <c r="YY180" s="11"/>
      <c r="YZ180" s="11"/>
      <c r="ZA180" s="11"/>
      <c r="ZB180" s="11"/>
      <c r="ZC180" s="11"/>
      <c r="ZD180" s="11"/>
      <c r="ZE180" s="11"/>
      <c r="ZF180" s="11"/>
      <c r="ZG180" s="11"/>
      <c r="ZH180" s="11"/>
      <c r="ZI180" s="11"/>
      <c r="ZJ180" s="11"/>
      <c r="ZK180" s="11"/>
      <c r="ZL180" s="11"/>
      <c r="ZM180" s="11"/>
      <c r="ZN180" s="11"/>
      <c r="ZO180" s="11"/>
      <c r="ZP180" s="11"/>
      <c r="ZQ180" s="11"/>
      <c r="ZR180" s="11"/>
      <c r="ZS180" s="11"/>
      <c r="ZT180" s="11"/>
      <c r="ZU180" s="11"/>
      <c r="ZV180" s="11"/>
      <c r="ZW180" s="11"/>
      <c r="ZX180" s="11"/>
      <c r="ZY180" s="11"/>
      <c r="ZZ180" s="11"/>
      <c r="AAA180" s="11"/>
      <c r="AAB180" s="11"/>
      <c r="AAC180" s="11"/>
      <c r="AAD180" s="11"/>
      <c r="AAE180" s="11"/>
      <c r="AAF180" s="11"/>
      <c r="AAG180" s="11"/>
      <c r="AAH180" s="11"/>
      <c r="AAI180" s="11"/>
      <c r="AAJ180" s="11"/>
      <c r="AAK180" s="11"/>
      <c r="AAL180" s="11"/>
      <c r="AAM180" s="11"/>
      <c r="AAN180" s="11"/>
      <c r="AAO180" s="11"/>
      <c r="AAP180" s="11"/>
      <c r="AAQ180" s="11"/>
      <c r="AAR180" s="11"/>
      <c r="AAS180" s="11"/>
      <c r="AAT180" s="11"/>
      <c r="AAU180" s="11"/>
      <c r="AAV180" s="11"/>
      <c r="AAW180" s="11"/>
      <c r="AAX180" s="11"/>
      <c r="AAY180" s="11"/>
      <c r="AAZ180" s="11"/>
      <c r="ABA180" s="11"/>
      <c r="ABB180" s="11"/>
      <c r="ABC180" s="11"/>
      <c r="ABD180" s="11"/>
      <c r="ABE180" s="11"/>
      <c r="ABF180" s="11"/>
      <c r="ABG180" s="11"/>
      <c r="ABH180" s="11"/>
      <c r="ABI180" s="11"/>
      <c r="ABJ180" s="11"/>
      <c r="ABK180" s="11"/>
      <c r="ABL180" s="11"/>
      <c r="ABM180" s="11"/>
      <c r="ABN180" s="11"/>
      <c r="ABO180" s="11"/>
      <c r="ABP180" s="11"/>
      <c r="ABQ180" s="11"/>
      <c r="ABR180" s="11"/>
      <c r="ABS180" s="11"/>
      <c r="ABT180" s="11"/>
      <c r="ABU180" s="11"/>
      <c r="ABV180" s="11"/>
      <c r="ABW180" s="11"/>
      <c r="ABX180" s="11"/>
      <c r="ABY180" s="11"/>
      <c r="ABZ180" s="11"/>
      <c r="ACA180" s="11"/>
      <c r="ACB180" s="11"/>
      <c r="ACC180" s="11"/>
      <c r="ACD180" s="11"/>
      <c r="ACE180" s="11"/>
      <c r="ACF180" s="11"/>
      <c r="ACG180" s="11"/>
      <c r="ACH180" s="11"/>
      <c r="ACI180" s="11"/>
      <c r="ACJ180" s="11"/>
      <c r="ACK180" s="11"/>
      <c r="ACL180" s="11"/>
      <c r="ACM180" s="11"/>
      <c r="ACN180" s="11"/>
      <c r="ACO180" s="11"/>
      <c r="ACP180" s="11"/>
      <c r="ACQ180" s="11"/>
      <c r="ACR180" s="11"/>
      <c r="ACS180" s="11"/>
      <c r="ACT180" s="11"/>
      <c r="ACU180" s="11"/>
      <c r="ACV180" s="11"/>
      <c r="ACW180" s="11"/>
      <c r="ACX180" s="11"/>
      <c r="ACY180" s="11"/>
      <c r="ACZ180" s="11"/>
      <c r="ADA180" s="11"/>
      <c r="ADB180" s="11"/>
      <c r="ADC180" s="11"/>
      <c r="ADD180" s="11"/>
      <c r="ADE180" s="11"/>
      <c r="ADF180" s="11"/>
      <c r="ADG180" s="11"/>
      <c r="ADH180" s="11"/>
      <c r="ADI180" s="11"/>
      <c r="ADJ180" s="11"/>
      <c r="ADK180" s="11"/>
      <c r="ADL180" s="11"/>
      <c r="ADM180" s="11"/>
      <c r="ADN180" s="11"/>
      <c r="ADO180" s="11"/>
      <c r="ADP180" s="11"/>
      <c r="ADQ180" s="11"/>
      <c r="ADR180" s="11"/>
      <c r="ADS180" s="11"/>
      <c r="ADT180" s="11"/>
      <c r="ADU180" s="11"/>
      <c r="ADV180" s="11"/>
      <c r="ADW180" s="11"/>
      <c r="ADX180" s="11"/>
      <c r="ADY180" s="11"/>
      <c r="ADZ180" s="11"/>
      <c r="AEA180" s="11"/>
      <c r="AEB180" s="11"/>
      <c r="AEC180" s="11"/>
      <c r="AED180" s="11"/>
      <c r="AEE180" s="11"/>
      <c r="AEF180" s="11"/>
      <c r="AEG180" s="11"/>
      <c r="AEH180" s="11"/>
      <c r="AEI180" s="11"/>
      <c r="AEJ180" s="11"/>
      <c r="AEK180" s="11"/>
      <c r="AEL180" s="11"/>
      <c r="AEM180" s="11"/>
      <c r="AEN180" s="11"/>
      <c r="AEO180" s="11"/>
      <c r="AEP180" s="11"/>
      <c r="AEQ180" s="11"/>
      <c r="AER180" s="11"/>
      <c r="AES180" s="11"/>
      <c r="AET180" s="11"/>
      <c r="AEU180" s="11"/>
      <c r="AEV180" s="11"/>
      <c r="AEW180" s="11"/>
      <c r="AEX180" s="11"/>
      <c r="AEY180" s="11"/>
      <c r="AEZ180" s="11"/>
      <c r="AFA180" s="11"/>
      <c r="AFB180" s="11"/>
      <c r="AFC180" s="11"/>
      <c r="AFD180" s="11"/>
      <c r="AFE180" s="11"/>
      <c r="AFF180" s="11"/>
      <c r="AFG180" s="11"/>
      <c r="AFH180" s="11"/>
      <c r="AFI180" s="11"/>
    </row>
    <row r="181" spans="2:84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1"/>
      <c r="LV181" s="11"/>
      <c r="LW181" s="11"/>
      <c r="LX181" s="11"/>
      <c r="LY181" s="11"/>
      <c r="LZ181" s="11"/>
      <c r="MA181" s="11"/>
      <c r="MB181" s="11"/>
      <c r="MC181" s="11"/>
      <c r="MD181" s="11"/>
      <c r="ME181" s="11"/>
      <c r="MF181" s="11"/>
      <c r="MG181" s="11"/>
      <c r="MH181" s="11"/>
      <c r="MI181" s="11"/>
      <c r="MJ181" s="11"/>
      <c r="MK181" s="11"/>
      <c r="ML181" s="11"/>
      <c r="MM181" s="11"/>
      <c r="MN181" s="11"/>
      <c r="MO181" s="11"/>
      <c r="MP181" s="11"/>
      <c r="MQ181" s="11"/>
      <c r="MR181" s="11"/>
      <c r="MS181" s="11"/>
      <c r="MT181" s="11"/>
      <c r="MU181" s="11"/>
      <c r="MV181" s="11"/>
      <c r="MW181" s="11"/>
      <c r="MX181" s="11"/>
      <c r="MY181" s="11"/>
      <c r="MZ181" s="11"/>
      <c r="NA181" s="11"/>
      <c r="NB181" s="11"/>
      <c r="NC181" s="11"/>
      <c r="ND181" s="11"/>
      <c r="NE181" s="11"/>
      <c r="NF181" s="11"/>
      <c r="NG181" s="11"/>
      <c r="NH181" s="11"/>
      <c r="NI181" s="11"/>
      <c r="NJ181" s="11"/>
      <c r="NK181" s="11"/>
      <c r="NL181" s="11"/>
      <c r="NM181" s="11"/>
      <c r="NN181" s="11"/>
      <c r="NO181" s="11"/>
      <c r="NP181" s="11"/>
      <c r="NQ181" s="11"/>
      <c r="NR181" s="11"/>
      <c r="NS181" s="11"/>
      <c r="NT181" s="11"/>
      <c r="NU181" s="11"/>
      <c r="NV181" s="11"/>
      <c r="NW181" s="11"/>
      <c r="NX181" s="11"/>
      <c r="NY181" s="11"/>
      <c r="NZ181" s="11"/>
      <c r="OA181" s="11"/>
      <c r="OB181" s="11"/>
      <c r="OC181" s="11"/>
      <c r="OD181" s="11"/>
      <c r="OE181" s="11"/>
      <c r="OF181" s="11"/>
      <c r="OG181" s="11"/>
      <c r="OH181" s="11"/>
      <c r="OI181" s="11"/>
      <c r="OJ181" s="11"/>
      <c r="OK181" s="11"/>
      <c r="OL181" s="11"/>
      <c r="OM181" s="11"/>
      <c r="ON181" s="11"/>
      <c r="OO181" s="11"/>
      <c r="OP181" s="11"/>
      <c r="OQ181" s="11"/>
      <c r="OR181" s="11"/>
      <c r="OS181" s="11"/>
      <c r="OT181" s="11"/>
      <c r="OU181" s="11"/>
      <c r="OV181" s="11"/>
      <c r="OW181" s="11"/>
      <c r="OX181" s="11"/>
      <c r="OY181" s="11"/>
      <c r="OZ181" s="11"/>
      <c r="PA181" s="11"/>
      <c r="PB181" s="11"/>
      <c r="PC181" s="11"/>
      <c r="PD181" s="11"/>
      <c r="PE181" s="11"/>
      <c r="PF181" s="11"/>
      <c r="PG181" s="11"/>
      <c r="PH181" s="11"/>
      <c r="PI181" s="11"/>
      <c r="PJ181" s="11"/>
      <c r="PK181" s="11"/>
      <c r="PL181" s="11"/>
      <c r="PM181" s="11"/>
      <c r="PN181" s="11"/>
      <c r="PO181" s="11"/>
      <c r="PP181" s="11"/>
      <c r="PQ181" s="11"/>
      <c r="PR181" s="11"/>
      <c r="PS181" s="11"/>
      <c r="PT181" s="11"/>
      <c r="PU181" s="11"/>
      <c r="PV181" s="11"/>
      <c r="PW181" s="11"/>
      <c r="PX181" s="11"/>
      <c r="PY181" s="11"/>
      <c r="PZ181" s="11"/>
      <c r="QA181" s="11"/>
      <c r="QB181" s="11"/>
      <c r="QC181" s="11"/>
      <c r="QD181" s="11"/>
      <c r="QE181" s="11"/>
      <c r="QF181" s="11"/>
      <c r="QG181" s="11"/>
      <c r="QH181" s="11"/>
      <c r="QI181" s="11"/>
      <c r="QJ181" s="11"/>
      <c r="QK181" s="11"/>
      <c r="QL181" s="11"/>
      <c r="QM181" s="11"/>
      <c r="QN181" s="11"/>
      <c r="QO181" s="11"/>
      <c r="QP181" s="11"/>
      <c r="QQ181" s="11"/>
      <c r="QR181" s="11"/>
      <c r="QS181" s="11"/>
      <c r="QT181" s="11"/>
      <c r="QU181" s="11"/>
      <c r="QV181" s="11"/>
      <c r="QW181" s="11"/>
      <c r="QX181" s="11"/>
      <c r="QY181" s="11"/>
      <c r="QZ181" s="11"/>
      <c r="RA181" s="11"/>
      <c r="RB181" s="11"/>
      <c r="RC181" s="11"/>
      <c r="RD181" s="11"/>
      <c r="RE181" s="11"/>
      <c r="RF181" s="11"/>
      <c r="RG181" s="11"/>
      <c r="RH181" s="11"/>
      <c r="RI181" s="11"/>
      <c r="RJ181" s="11"/>
      <c r="RK181" s="11"/>
      <c r="RL181" s="11"/>
      <c r="RM181" s="11"/>
      <c r="RN181" s="11"/>
      <c r="RO181" s="11"/>
      <c r="RP181" s="11"/>
      <c r="RQ181" s="11"/>
      <c r="RR181" s="11"/>
      <c r="RS181" s="11"/>
      <c r="RT181" s="11"/>
      <c r="RU181" s="11"/>
      <c r="RV181" s="11"/>
      <c r="RW181" s="11"/>
      <c r="RX181" s="11"/>
      <c r="RY181" s="11"/>
      <c r="RZ181" s="11"/>
      <c r="SA181" s="11"/>
      <c r="SB181" s="11"/>
      <c r="SC181" s="11"/>
      <c r="SD181" s="11"/>
      <c r="SE181" s="11"/>
      <c r="SF181" s="11"/>
      <c r="SG181" s="11"/>
      <c r="SH181" s="11"/>
      <c r="SI181" s="11"/>
      <c r="SJ181" s="11"/>
      <c r="SK181" s="11"/>
      <c r="SL181" s="11"/>
      <c r="SM181" s="11"/>
      <c r="SN181" s="11"/>
      <c r="SO181" s="11"/>
      <c r="SP181" s="11"/>
      <c r="SQ181" s="11"/>
      <c r="SR181" s="11"/>
      <c r="SS181" s="11"/>
      <c r="ST181" s="11"/>
      <c r="SU181" s="11"/>
      <c r="SV181" s="11"/>
      <c r="SW181" s="11"/>
      <c r="SX181" s="11"/>
      <c r="SY181" s="11"/>
      <c r="SZ181" s="11"/>
      <c r="TA181" s="11"/>
      <c r="TB181" s="11"/>
      <c r="TC181" s="11"/>
      <c r="TD181" s="11"/>
      <c r="TE181" s="11"/>
      <c r="TF181" s="11"/>
      <c r="TG181" s="11"/>
      <c r="TH181" s="11"/>
      <c r="TI181" s="11"/>
      <c r="TJ181" s="11"/>
      <c r="TK181" s="11"/>
      <c r="TL181" s="11"/>
      <c r="TM181" s="11"/>
      <c r="TN181" s="11"/>
      <c r="TO181" s="11"/>
      <c r="TP181" s="11"/>
      <c r="TQ181" s="11"/>
      <c r="TR181" s="11"/>
      <c r="TS181" s="11"/>
      <c r="TT181" s="11"/>
      <c r="TU181" s="11"/>
      <c r="TV181" s="11"/>
      <c r="TW181" s="11"/>
      <c r="TX181" s="11"/>
      <c r="TY181" s="11"/>
      <c r="TZ181" s="11"/>
      <c r="UA181" s="11"/>
      <c r="UB181" s="11"/>
      <c r="UC181" s="11"/>
      <c r="UD181" s="11"/>
      <c r="UE181" s="11"/>
      <c r="UF181" s="11"/>
      <c r="UG181" s="11"/>
      <c r="UH181" s="11"/>
      <c r="UI181" s="11"/>
      <c r="UJ181" s="11"/>
      <c r="UK181" s="11"/>
      <c r="UL181" s="11"/>
      <c r="UM181" s="11"/>
      <c r="UN181" s="11"/>
      <c r="UO181" s="11"/>
      <c r="UP181" s="11"/>
      <c r="UQ181" s="11"/>
      <c r="UR181" s="11"/>
      <c r="US181" s="11"/>
      <c r="UT181" s="11"/>
      <c r="UU181" s="11"/>
      <c r="UV181" s="11"/>
      <c r="UW181" s="11"/>
      <c r="UX181" s="11"/>
      <c r="UY181" s="11"/>
      <c r="UZ181" s="11"/>
      <c r="VA181" s="11"/>
      <c r="VB181" s="11"/>
      <c r="VC181" s="11"/>
      <c r="VD181" s="11"/>
      <c r="VE181" s="11"/>
      <c r="VF181" s="11"/>
      <c r="VG181" s="11"/>
      <c r="VH181" s="11"/>
      <c r="VI181" s="11"/>
      <c r="VJ181" s="11"/>
      <c r="VK181" s="11"/>
      <c r="VL181" s="11"/>
      <c r="VM181" s="11"/>
      <c r="VN181" s="11"/>
      <c r="VO181" s="11"/>
      <c r="VP181" s="11"/>
      <c r="VQ181" s="11"/>
      <c r="VR181" s="11"/>
      <c r="VS181" s="11"/>
      <c r="VT181" s="11"/>
      <c r="VU181" s="11"/>
      <c r="VV181" s="11"/>
      <c r="VW181" s="11"/>
      <c r="VX181" s="11"/>
      <c r="VY181" s="11"/>
      <c r="VZ181" s="11"/>
      <c r="WA181" s="11"/>
      <c r="WB181" s="11"/>
      <c r="WC181" s="11"/>
      <c r="WD181" s="11"/>
      <c r="WE181" s="11"/>
      <c r="WF181" s="11"/>
      <c r="WG181" s="11"/>
      <c r="WH181" s="11"/>
      <c r="WI181" s="11"/>
      <c r="WJ181" s="11"/>
      <c r="WK181" s="11"/>
      <c r="WL181" s="11"/>
      <c r="WM181" s="11"/>
      <c r="WN181" s="11"/>
      <c r="WO181" s="11"/>
      <c r="WP181" s="11"/>
      <c r="WQ181" s="11"/>
      <c r="WR181" s="11"/>
      <c r="WS181" s="11"/>
      <c r="WT181" s="11"/>
      <c r="WU181" s="11"/>
      <c r="WV181" s="11"/>
      <c r="WW181" s="11"/>
      <c r="WX181" s="11"/>
      <c r="WY181" s="11"/>
      <c r="WZ181" s="11"/>
      <c r="XA181" s="11"/>
      <c r="XB181" s="11"/>
      <c r="XC181" s="11"/>
      <c r="XD181" s="11"/>
      <c r="XE181" s="11"/>
      <c r="XF181" s="11"/>
      <c r="XG181" s="11"/>
      <c r="XH181" s="11"/>
      <c r="XI181" s="11"/>
      <c r="XJ181" s="11"/>
      <c r="XK181" s="11"/>
      <c r="XL181" s="11"/>
      <c r="XM181" s="11"/>
      <c r="XN181" s="11"/>
      <c r="XO181" s="11"/>
      <c r="XP181" s="11"/>
      <c r="XQ181" s="11"/>
      <c r="XR181" s="11"/>
      <c r="XS181" s="11"/>
      <c r="XT181" s="11"/>
      <c r="XU181" s="11"/>
      <c r="XV181" s="11"/>
      <c r="XW181" s="11"/>
      <c r="XX181" s="11"/>
      <c r="XY181" s="11"/>
      <c r="XZ181" s="11"/>
      <c r="YA181" s="11"/>
      <c r="YB181" s="11"/>
      <c r="YC181" s="11"/>
      <c r="YD181" s="11"/>
      <c r="YE181" s="11"/>
      <c r="YF181" s="11"/>
      <c r="YG181" s="11"/>
      <c r="YH181" s="11"/>
      <c r="YI181" s="11"/>
      <c r="YJ181" s="11"/>
      <c r="YK181" s="11"/>
      <c r="YL181" s="11"/>
      <c r="YM181" s="11"/>
      <c r="YN181" s="11"/>
      <c r="YO181" s="11"/>
      <c r="YP181" s="11"/>
      <c r="YQ181" s="11"/>
      <c r="YR181" s="11"/>
      <c r="YS181" s="11"/>
      <c r="YT181" s="11"/>
      <c r="YU181" s="11"/>
      <c r="YV181" s="11"/>
      <c r="YW181" s="11"/>
      <c r="YX181" s="11"/>
      <c r="YY181" s="11"/>
      <c r="YZ181" s="11"/>
      <c r="ZA181" s="11"/>
      <c r="ZB181" s="11"/>
      <c r="ZC181" s="11"/>
      <c r="ZD181" s="11"/>
      <c r="ZE181" s="11"/>
      <c r="ZF181" s="11"/>
      <c r="ZG181" s="11"/>
      <c r="ZH181" s="11"/>
      <c r="ZI181" s="11"/>
      <c r="ZJ181" s="11"/>
      <c r="ZK181" s="11"/>
      <c r="ZL181" s="11"/>
      <c r="ZM181" s="11"/>
      <c r="ZN181" s="11"/>
      <c r="ZO181" s="11"/>
      <c r="ZP181" s="11"/>
      <c r="ZQ181" s="11"/>
      <c r="ZR181" s="11"/>
      <c r="ZS181" s="11"/>
      <c r="ZT181" s="11"/>
      <c r="ZU181" s="11"/>
      <c r="ZV181" s="11"/>
      <c r="ZW181" s="11"/>
      <c r="ZX181" s="11"/>
      <c r="ZY181" s="11"/>
      <c r="ZZ181" s="11"/>
      <c r="AAA181" s="11"/>
      <c r="AAB181" s="11"/>
      <c r="AAC181" s="11"/>
      <c r="AAD181" s="11"/>
      <c r="AAE181" s="11"/>
      <c r="AAF181" s="11"/>
      <c r="AAG181" s="11"/>
      <c r="AAH181" s="11"/>
      <c r="AAI181" s="11"/>
      <c r="AAJ181" s="11"/>
      <c r="AAK181" s="11"/>
      <c r="AAL181" s="11"/>
      <c r="AAM181" s="11"/>
      <c r="AAN181" s="11"/>
      <c r="AAO181" s="11"/>
      <c r="AAP181" s="11"/>
      <c r="AAQ181" s="11"/>
      <c r="AAR181" s="11"/>
      <c r="AAS181" s="11"/>
      <c r="AAT181" s="11"/>
      <c r="AAU181" s="11"/>
      <c r="AAV181" s="11"/>
      <c r="AAW181" s="11"/>
      <c r="AAX181" s="11"/>
      <c r="AAY181" s="11"/>
      <c r="AAZ181" s="11"/>
      <c r="ABA181" s="11"/>
      <c r="ABB181" s="11"/>
      <c r="ABC181" s="11"/>
      <c r="ABD181" s="11"/>
      <c r="ABE181" s="11"/>
      <c r="ABF181" s="11"/>
      <c r="ABG181" s="11"/>
      <c r="ABH181" s="11"/>
      <c r="ABI181" s="11"/>
      <c r="ABJ181" s="11"/>
      <c r="ABK181" s="11"/>
      <c r="ABL181" s="11"/>
      <c r="ABM181" s="11"/>
      <c r="ABN181" s="11"/>
      <c r="ABO181" s="11"/>
      <c r="ABP181" s="11"/>
      <c r="ABQ181" s="11"/>
      <c r="ABR181" s="11"/>
      <c r="ABS181" s="11"/>
      <c r="ABT181" s="11"/>
      <c r="ABU181" s="11"/>
      <c r="ABV181" s="11"/>
      <c r="ABW181" s="11"/>
      <c r="ABX181" s="11"/>
      <c r="ABY181" s="11"/>
      <c r="ABZ181" s="11"/>
      <c r="ACA181" s="11"/>
      <c r="ACB181" s="11"/>
      <c r="ACC181" s="11"/>
      <c r="ACD181" s="11"/>
      <c r="ACE181" s="11"/>
      <c r="ACF181" s="11"/>
      <c r="ACG181" s="11"/>
      <c r="ACH181" s="11"/>
      <c r="ACI181" s="11"/>
      <c r="ACJ181" s="11"/>
      <c r="ACK181" s="11"/>
      <c r="ACL181" s="11"/>
      <c r="ACM181" s="11"/>
      <c r="ACN181" s="11"/>
      <c r="ACO181" s="11"/>
      <c r="ACP181" s="11"/>
      <c r="ACQ181" s="11"/>
      <c r="ACR181" s="11"/>
      <c r="ACS181" s="11"/>
      <c r="ACT181" s="11"/>
      <c r="ACU181" s="11"/>
      <c r="ACV181" s="11"/>
      <c r="ACW181" s="11"/>
      <c r="ACX181" s="11"/>
      <c r="ACY181" s="11"/>
      <c r="ACZ181" s="11"/>
      <c r="ADA181" s="11"/>
      <c r="ADB181" s="11"/>
      <c r="ADC181" s="11"/>
      <c r="ADD181" s="11"/>
      <c r="ADE181" s="11"/>
      <c r="ADF181" s="11"/>
      <c r="ADG181" s="11"/>
      <c r="ADH181" s="11"/>
      <c r="ADI181" s="11"/>
      <c r="ADJ181" s="11"/>
      <c r="ADK181" s="11"/>
      <c r="ADL181" s="11"/>
      <c r="ADM181" s="11"/>
      <c r="ADN181" s="11"/>
      <c r="ADO181" s="11"/>
      <c r="ADP181" s="11"/>
      <c r="ADQ181" s="11"/>
      <c r="ADR181" s="11"/>
      <c r="ADS181" s="11"/>
      <c r="ADT181" s="11"/>
      <c r="ADU181" s="11"/>
      <c r="ADV181" s="11"/>
      <c r="ADW181" s="11"/>
      <c r="ADX181" s="11"/>
      <c r="ADY181" s="11"/>
      <c r="ADZ181" s="11"/>
      <c r="AEA181" s="11"/>
      <c r="AEB181" s="11"/>
      <c r="AEC181" s="11"/>
      <c r="AED181" s="11"/>
      <c r="AEE181" s="11"/>
      <c r="AEF181" s="11"/>
      <c r="AEG181" s="11"/>
      <c r="AEH181" s="11"/>
      <c r="AEI181" s="11"/>
      <c r="AEJ181" s="11"/>
      <c r="AEK181" s="11"/>
      <c r="AEL181" s="11"/>
      <c r="AEM181" s="11"/>
      <c r="AEN181" s="11"/>
      <c r="AEO181" s="11"/>
      <c r="AEP181" s="11"/>
      <c r="AEQ181" s="11"/>
      <c r="AER181" s="11"/>
      <c r="AES181" s="11"/>
      <c r="AET181" s="11"/>
      <c r="AEU181" s="11"/>
      <c r="AEV181" s="11"/>
      <c r="AEW181" s="11"/>
      <c r="AEX181" s="11"/>
      <c r="AEY181" s="11"/>
      <c r="AEZ181" s="11"/>
      <c r="AFA181" s="11"/>
      <c r="AFB181" s="11"/>
      <c r="AFC181" s="11"/>
      <c r="AFD181" s="11"/>
      <c r="AFE181" s="11"/>
      <c r="AFF181" s="11"/>
      <c r="AFG181" s="11"/>
      <c r="AFH181" s="11"/>
      <c r="AFI181" s="11"/>
    </row>
    <row r="182" spans="2:84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1"/>
      <c r="LV182" s="11"/>
      <c r="LW182" s="11"/>
      <c r="LX182" s="11"/>
      <c r="LY182" s="11"/>
      <c r="LZ182" s="11"/>
      <c r="MA182" s="11"/>
      <c r="MB182" s="11"/>
      <c r="MC182" s="11"/>
      <c r="MD182" s="11"/>
      <c r="ME182" s="11"/>
      <c r="MF182" s="11"/>
      <c r="MG182" s="11"/>
      <c r="MH182" s="11"/>
      <c r="MI182" s="11"/>
      <c r="MJ182" s="11"/>
      <c r="MK182" s="11"/>
      <c r="ML182" s="11"/>
      <c r="MM182" s="11"/>
      <c r="MN182" s="11"/>
      <c r="MO182" s="11"/>
      <c r="MP182" s="11"/>
      <c r="MQ182" s="11"/>
      <c r="MR182" s="11"/>
      <c r="MS182" s="11"/>
      <c r="MT182" s="11"/>
      <c r="MU182" s="11"/>
      <c r="MV182" s="11"/>
      <c r="MW182" s="11"/>
      <c r="MX182" s="11"/>
      <c r="MY182" s="11"/>
      <c r="MZ182" s="11"/>
      <c r="NA182" s="11"/>
      <c r="NB182" s="11"/>
      <c r="NC182" s="11"/>
      <c r="ND182" s="11"/>
      <c r="NE182" s="11"/>
      <c r="NF182" s="11"/>
      <c r="NG182" s="11"/>
      <c r="NH182" s="11"/>
      <c r="NI182" s="11"/>
      <c r="NJ182" s="11"/>
      <c r="NK182" s="11"/>
      <c r="NL182" s="11"/>
      <c r="NM182" s="11"/>
      <c r="NN182" s="11"/>
      <c r="NO182" s="11"/>
      <c r="NP182" s="11"/>
      <c r="NQ182" s="11"/>
      <c r="NR182" s="11"/>
      <c r="NS182" s="11"/>
      <c r="NT182" s="11"/>
      <c r="NU182" s="11"/>
      <c r="NV182" s="11"/>
      <c r="NW182" s="11"/>
      <c r="NX182" s="11"/>
      <c r="NY182" s="11"/>
      <c r="NZ182" s="11"/>
      <c r="OA182" s="11"/>
      <c r="OB182" s="11"/>
      <c r="OC182" s="11"/>
      <c r="OD182" s="11"/>
      <c r="OE182" s="11"/>
      <c r="OF182" s="11"/>
      <c r="OG182" s="11"/>
      <c r="OH182" s="11"/>
      <c r="OI182" s="11"/>
      <c r="OJ182" s="11"/>
      <c r="OK182" s="11"/>
      <c r="OL182" s="11"/>
      <c r="OM182" s="11"/>
      <c r="ON182" s="11"/>
      <c r="OO182" s="11"/>
      <c r="OP182" s="11"/>
      <c r="OQ182" s="11"/>
      <c r="OR182" s="11"/>
      <c r="OS182" s="11"/>
      <c r="OT182" s="11"/>
      <c r="OU182" s="11"/>
      <c r="OV182" s="11"/>
      <c r="OW182" s="11"/>
      <c r="OX182" s="11"/>
      <c r="OY182" s="11"/>
      <c r="OZ182" s="11"/>
      <c r="PA182" s="11"/>
      <c r="PB182" s="11"/>
      <c r="PC182" s="11"/>
      <c r="PD182" s="11"/>
      <c r="PE182" s="11"/>
      <c r="PF182" s="11"/>
      <c r="PG182" s="11"/>
      <c r="PH182" s="11"/>
      <c r="PI182" s="11"/>
      <c r="PJ182" s="11"/>
      <c r="PK182" s="11"/>
      <c r="PL182" s="11"/>
      <c r="PM182" s="11"/>
      <c r="PN182" s="11"/>
      <c r="PO182" s="11"/>
      <c r="PP182" s="11"/>
      <c r="PQ182" s="11"/>
      <c r="PR182" s="11"/>
      <c r="PS182" s="11"/>
      <c r="PT182" s="11"/>
      <c r="PU182" s="11"/>
      <c r="PV182" s="11"/>
      <c r="PW182" s="11"/>
      <c r="PX182" s="11"/>
      <c r="PY182" s="11"/>
      <c r="PZ182" s="11"/>
      <c r="QA182" s="11"/>
      <c r="QB182" s="11"/>
      <c r="QC182" s="11"/>
      <c r="QD182" s="11"/>
      <c r="QE182" s="11"/>
      <c r="QF182" s="11"/>
      <c r="QG182" s="11"/>
      <c r="QH182" s="11"/>
      <c r="QI182" s="11"/>
      <c r="QJ182" s="11"/>
      <c r="QK182" s="11"/>
      <c r="QL182" s="11"/>
      <c r="QM182" s="11"/>
      <c r="QN182" s="11"/>
      <c r="QO182" s="11"/>
      <c r="QP182" s="11"/>
      <c r="QQ182" s="11"/>
      <c r="QR182" s="11"/>
      <c r="QS182" s="11"/>
      <c r="QT182" s="11"/>
      <c r="QU182" s="11"/>
      <c r="QV182" s="11"/>
      <c r="QW182" s="11"/>
      <c r="QX182" s="11"/>
      <c r="QY182" s="11"/>
      <c r="QZ182" s="11"/>
      <c r="RA182" s="11"/>
      <c r="RB182" s="11"/>
      <c r="RC182" s="11"/>
      <c r="RD182" s="11"/>
      <c r="RE182" s="11"/>
      <c r="RF182" s="11"/>
      <c r="RG182" s="11"/>
      <c r="RH182" s="11"/>
      <c r="RI182" s="11"/>
      <c r="RJ182" s="11"/>
      <c r="RK182" s="11"/>
      <c r="RL182" s="11"/>
      <c r="RM182" s="11"/>
      <c r="RN182" s="11"/>
      <c r="RO182" s="11"/>
      <c r="RP182" s="11"/>
      <c r="RQ182" s="11"/>
      <c r="RR182" s="11"/>
      <c r="RS182" s="11"/>
      <c r="RT182" s="11"/>
      <c r="RU182" s="11"/>
      <c r="RV182" s="11"/>
      <c r="RW182" s="11"/>
      <c r="RX182" s="11"/>
      <c r="RY182" s="11"/>
      <c r="RZ182" s="11"/>
      <c r="SA182" s="11"/>
      <c r="SB182" s="11"/>
      <c r="SC182" s="11"/>
      <c r="SD182" s="11"/>
      <c r="SE182" s="11"/>
      <c r="SF182" s="11"/>
      <c r="SG182" s="11"/>
      <c r="SH182" s="11"/>
      <c r="SI182" s="11"/>
      <c r="SJ182" s="11"/>
      <c r="SK182" s="11"/>
      <c r="SL182" s="11"/>
      <c r="SM182" s="11"/>
      <c r="SN182" s="11"/>
      <c r="SO182" s="11"/>
      <c r="SP182" s="11"/>
      <c r="SQ182" s="11"/>
      <c r="SR182" s="11"/>
      <c r="SS182" s="11"/>
      <c r="ST182" s="11"/>
      <c r="SU182" s="11"/>
      <c r="SV182" s="11"/>
      <c r="SW182" s="11"/>
      <c r="SX182" s="11"/>
      <c r="SY182" s="11"/>
      <c r="SZ182" s="11"/>
      <c r="TA182" s="11"/>
      <c r="TB182" s="11"/>
      <c r="TC182" s="11"/>
      <c r="TD182" s="11"/>
      <c r="TE182" s="11"/>
      <c r="TF182" s="11"/>
      <c r="TG182" s="11"/>
      <c r="TH182" s="11"/>
      <c r="TI182" s="11"/>
      <c r="TJ182" s="11"/>
      <c r="TK182" s="11"/>
      <c r="TL182" s="11"/>
      <c r="TM182" s="11"/>
      <c r="TN182" s="11"/>
      <c r="TO182" s="11"/>
      <c r="TP182" s="11"/>
      <c r="TQ182" s="11"/>
      <c r="TR182" s="11"/>
      <c r="TS182" s="11"/>
      <c r="TT182" s="11"/>
      <c r="TU182" s="11"/>
      <c r="TV182" s="11"/>
      <c r="TW182" s="11"/>
      <c r="TX182" s="11"/>
      <c r="TY182" s="11"/>
      <c r="TZ182" s="11"/>
      <c r="UA182" s="11"/>
      <c r="UB182" s="11"/>
      <c r="UC182" s="11"/>
      <c r="UD182" s="11"/>
      <c r="UE182" s="11"/>
      <c r="UF182" s="11"/>
      <c r="UG182" s="11"/>
      <c r="UH182" s="11"/>
      <c r="UI182" s="11"/>
      <c r="UJ182" s="11"/>
      <c r="UK182" s="11"/>
      <c r="UL182" s="11"/>
      <c r="UM182" s="11"/>
      <c r="UN182" s="11"/>
      <c r="UO182" s="11"/>
      <c r="UP182" s="11"/>
      <c r="UQ182" s="11"/>
      <c r="UR182" s="11"/>
      <c r="US182" s="11"/>
      <c r="UT182" s="11"/>
      <c r="UU182" s="11"/>
      <c r="UV182" s="11"/>
      <c r="UW182" s="11"/>
      <c r="UX182" s="11"/>
      <c r="UY182" s="11"/>
      <c r="UZ182" s="11"/>
      <c r="VA182" s="11"/>
      <c r="VB182" s="11"/>
      <c r="VC182" s="11"/>
      <c r="VD182" s="11"/>
      <c r="VE182" s="11"/>
      <c r="VF182" s="11"/>
      <c r="VG182" s="11"/>
      <c r="VH182" s="11"/>
      <c r="VI182" s="11"/>
      <c r="VJ182" s="11"/>
      <c r="VK182" s="11"/>
      <c r="VL182" s="11"/>
      <c r="VM182" s="11"/>
      <c r="VN182" s="11"/>
      <c r="VO182" s="11"/>
      <c r="VP182" s="11"/>
      <c r="VQ182" s="11"/>
      <c r="VR182" s="11"/>
      <c r="VS182" s="11"/>
      <c r="VT182" s="11"/>
      <c r="VU182" s="11"/>
      <c r="VV182" s="11"/>
      <c r="VW182" s="11"/>
      <c r="VX182" s="11"/>
      <c r="VY182" s="11"/>
      <c r="VZ182" s="11"/>
      <c r="WA182" s="11"/>
      <c r="WB182" s="11"/>
      <c r="WC182" s="11"/>
      <c r="WD182" s="11"/>
      <c r="WE182" s="11"/>
      <c r="WF182" s="11"/>
      <c r="WG182" s="11"/>
      <c r="WH182" s="11"/>
      <c r="WI182" s="11"/>
      <c r="WJ182" s="11"/>
      <c r="WK182" s="11"/>
      <c r="WL182" s="11"/>
      <c r="WM182" s="11"/>
      <c r="WN182" s="11"/>
      <c r="WO182" s="11"/>
      <c r="WP182" s="11"/>
      <c r="WQ182" s="11"/>
      <c r="WR182" s="11"/>
      <c r="WS182" s="11"/>
      <c r="WT182" s="11"/>
      <c r="WU182" s="11"/>
      <c r="WV182" s="11"/>
      <c r="WW182" s="11"/>
      <c r="WX182" s="11"/>
      <c r="WY182" s="11"/>
      <c r="WZ182" s="11"/>
      <c r="XA182" s="11"/>
      <c r="XB182" s="11"/>
      <c r="XC182" s="11"/>
      <c r="XD182" s="11"/>
      <c r="XE182" s="11"/>
      <c r="XF182" s="11"/>
      <c r="XG182" s="11"/>
      <c r="XH182" s="11"/>
      <c r="XI182" s="11"/>
      <c r="XJ182" s="11"/>
      <c r="XK182" s="11"/>
      <c r="XL182" s="11"/>
      <c r="XM182" s="11"/>
      <c r="XN182" s="11"/>
      <c r="XO182" s="11"/>
      <c r="XP182" s="11"/>
      <c r="XQ182" s="11"/>
      <c r="XR182" s="11"/>
      <c r="XS182" s="11"/>
      <c r="XT182" s="11"/>
      <c r="XU182" s="11"/>
      <c r="XV182" s="11"/>
      <c r="XW182" s="11"/>
      <c r="XX182" s="11"/>
      <c r="XY182" s="11"/>
      <c r="XZ182" s="11"/>
      <c r="YA182" s="11"/>
      <c r="YB182" s="11"/>
      <c r="YC182" s="11"/>
      <c r="YD182" s="11"/>
      <c r="YE182" s="11"/>
      <c r="YF182" s="11"/>
      <c r="YG182" s="11"/>
      <c r="YH182" s="11"/>
      <c r="YI182" s="11"/>
      <c r="YJ182" s="11"/>
      <c r="YK182" s="11"/>
      <c r="YL182" s="11"/>
      <c r="YM182" s="11"/>
      <c r="YN182" s="11"/>
      <c r="YO182" s="11"/>
      <c r="YP182" s="11"/>
      <c r="YQ182" s="11"/>
      <c r="YR182" s="11"/>
      <c r="YS182" s="11"/>
      <c r="YT182" s="11"/>
      <c r="YU182" s="11"/>
      <c r="YV182" s="11"/>
      <c r="YW182" s="11"/>
      <c r="YX182" s="11"/>
      <c r="YY182" s="11"/>
      <c r="YZ182" s="11"/>
      <c r="ZA182" s="11"/>
      <c r="ZB182" s="11"/>
      <c r="ZC182" s="11"/>
      <c r="ZD182" s="11"/>
      <c r="ZE182" s="11"/>
      <c r="ZF182" s="11"/>
      <c r="ZG182" s="11"/>
      <c r="ZH182" s="11"/>
      <c r="ZI182" s="11"/>
      <c r="ZJ182" s="11"/>
      <c r="ZK182" s="11"/>
      <c r="ZL182" s="11"/>
      <c r="ZM182" s="11"/>
      <c r="ZN182" s="11"/>
      <c r="ZO182" s="11"/>
      <c r="ZP182" s="11"/>
      <c r="ZQ182" s="11"/>
      <c r="ZR182" s="11"/>
      <c r="ZS182" s="11"/>
      <c r="ZT182" s="11"/>
      <c r="ZU182" s="11"/>
      <c r="ZV182" s="11"/>
      <c r="ZW182" s="11"/>
      <c r="ZX182" s="11"/>
      <c r="ZY182" s="11"/>
      <c r="ZZ182" s="11"/>
      <c r="AAA182" s="11"/>
      <c r="AAB182" s="11"/>
      <c r="AAC182" s="11"/>
      <c r="AAD182" s="11"/>
      <c r="AAE182" s="11"/>
      <c r="AAF182" s="11"/>
      <c r="AAG182" s="11"/>
      <c r="AAH182" s="11"/>
      <c r="AAI182" s="11"/>
      <c r="AAJ182" s="11"/>
      <c r="AAK182" s="11"/>
      <c r="AAL182" s="11"/>
      <c r="AAM182" s="11"/>
      <c r="AAN182" s="11"/>
      <c r="AAO182" s="11"/>
      <c r="AAP182" s="11"/>
      <c r="AAQ182" s="11"/>
      <c r="AAR182" s="11"/>
      <c r="AAS182" s="11"/>
      <c r="AAT182" s="11"/>
      <c r="AAU182" s="11"/>
      <c r="AAV182" s="11"/>
      <c r="AAW182" s="11"/>
      <c r="AAX182" s="11"/>
      <c r="AAY182" s="11"/>
      <c r="AAZ182" s="11"/>
      <c r="ABA182" s="11"/>
      <c r="ABB182" s="11"/>
      <c r="ABC182" s="11"/>
      <c r="ABD182" s="11"/>
      <c r="ABE182" s="11"/>
      <c r="ABF182" s="11"/>
      <c r="ABG182" s="11"/>
      <c r="ABH182" s="11"/>
      <c r="ABI182" s="11"/>
      <c r="ABJ182" s="11"/>
      <c r="ABK182" s="11"/>
      <c r="ABL182" s="11"/>
      <c r="ABM182" s="11"/>
      <c r="ABN182" s="11"/>
      <c r="ABO182" s="11"/>
      <c r="ABP182" s="11"/>
      <c r="ABQ182" s="11"/>
      <c r="ABR182" s="11"/>
      <c r="ABS182" s="11"/>
      <c r="ABT182" s="11"/>
      <c r="ABU182" s="11"/>
      <c r="ABV182" s="11"/>
      <c r="ABW182" s="11"/>
      <c r="ABX182" s="11"/>
      <c r="ABY182" s="11"/>
      <c r="ABZ182" s="11"/>
      <c r="ACA182" s="11"/>
      <c r="ACB182" s="11"/>
      <c r="ACC182" s="11"/>
      <c r="ACD182" s="11"/>
      <c r="ACE182" s="11"/>
      <c r="ACF182" s="11"/>
      <c r="ACG182" s="11"/>
      <c r="ACH182" s="11"/>
      <c r="ACI182" s="11"/>
      <c r="ACJ182" s="11"/>
      <c r="ACK182" s="11"/>
      <c r="ACL182" s="11"/>
      <c r="ACM182" s="11"/>
      <c r="ACN182" s="11"/>
      <c r="ACO182" s="11"/>
      <c r="ACP182" s="11"/>
      <c r="ACQ182" s="11"/>
      <c r="ACR182" s="11"/>
      <c r="ACS182" s="11"/>
      <c r="ACT182" s="11"/>
      <c r="ACU182" s="11"/>
      <c r="ACV182" s="11"/>
      <c r="ACW182" s="11"/>
      <c r="ACX182" s="11"/>
      <c r="ACY182" s="11"/>
      <c r="ACZ182" s="11"/>
      <c r="ADA182" s="11"/>
      <c r="ADB182" s="11"/>
      <c r="ADC182" s="11"/>
      <c r="ADD182" s="11"/>
      <c r="ADE182" s="11"/>
      <c r="ADF182" s="11"/>
      <c r="ADG182" s="11"/>
      <c r="ADH182" s="11"/>
      <c r="ADI182" s="11"/>
      <c r="ADJ182" s="11"/>
      <c r="ADK182" s="11"/>
      <c r="ADL182" s="11"/>
      <c r="ADM182" s="11"/>
      <c r="ADN182" s="11"/>
      <c r="ADO182" s="11"/>
      <c r="ADP182" s="11"/>
      <c r="ADQ182" s="11"/>
      <c r="ADR182" s="11"/>
      <c r="ADS182" s="11"/>
      <c r="ADT182" s="11"/>
      <c r="ADU182" s="11"/>
      <c r="ADV182" s="11"/>
      <c r="ADW182" s="11"/>
      <c r="ADX182" s="11"/>
      <c r="ADY182" s="11"/>
      <c r="ADZ182" s="11"/>
      <c r="AEA182" s="11"/>
      <c r="AEB182" s="11"/>
      <c r="AEC182" s="11"/>
      <c r="AED182" s="11"/>
      <c r="AEE182" s="11"/>
      <c r="AEF182" s="11"/>
      <c r="AEG182" s="11"/>
      <c r="AEH182" s="11"/>
      <c r="AEI182" s="11"/>
      <c r="AEJ182" s="11"/>
      <c r="AEK182" s="11"/>
      <c r="AEL182" s="11"/>
      <c r="AEM182" s="11"/>
      <c r="AEN182" s="11"/>
      <c r="AEO182" s="11"/>
      <c r="AEP182" s="11"/>
      <c r="AEQ182" s="11"/>
      <c r="AER182" s="11"/>
      <c r="AES182" s="11"/>
      <c r="AET182" s="11"/>
      <c r="AEU182" s="11"/>
      <c r="AEV182" s="11"/>
      <c r="AEW182" s="11"/>
      <c r="AEX182" s="11"/>
      <c r="AEY182" s="11"/>
      <c r="AEZ182" s="11"/>
      <c r="AFA182" s="11"/>
      <c r="AFB182" s="11"/>
      <c r="AFC182" s="11"/>
      <c r="AFD182" s="11"/>
      <c r="AFE182" s="11"/>
      <c r="AFF182" s="11"/>
      <c r="AFG182" s="11"/>
      <c r="AFH182" s="11"/>
      <c r="AFI182" s="11"/>
    </row>
    <row r="183" spans="2:84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1"/>
      <c r="LV183" s="11"/>
      <c r="LW183" s="11"/>
      <c r="LX183" s="11"/>
      <c r="LY183" s="11"/>
      <c r="LZ183" s="11"/>
      <c r="MA183" s="11"/>
      <c r="MB183" s="11"/>
      <c r="MC183" s="11"/>
      <c r="MD183" s="11"/>
      <c r="ME183" s="11"/>
      <c r="MF183" s="11"/>
      <c r="MG183" s="11"/>
      <c r="MH183" s="11"/>
      <c r="MI183" s="11"/>
      <c r="MJ183" s="11"/>
      <c r="MK183" s="11"/>
      <c r="ML183" s="11"/>
      <c r="MM183" s="11"/>
      <c r="MN183" s="11"/>
      <c r="MO183" s="11"/>
      <c r="MP183" s="11"/>
      <c r="MQ183" s="11"/>
      <c r="MR183" s="11"/>
      <c r="MS183" s="11"/>
      <c r="MT183" s="11"/>
      <c r="MU183" s="11"/>
      <c r="MV183" s="11"/>
      <c r="MW183" s="11"/>
      <c r="MX183" s="11"/>
      <c r="MY183" s="11"/>
      <c r="MZ183" s="11"/>
      <c r="NA183" s="11"/>
      <c r="NB183" s="11"/>
      <c r="NC183" s="11"/>
      <c r="ND183" s="11"/>
      <c r="NE183" s="11"/>
      <c r="NF183" s="11"/>
      <c r="NG183" s="11"/>
      <c r="NH183" s="11"/>
      <c r="NI183" s="11"/>
      <c r="NJ183" s="11"/>
      <c r="NK183" s="11"/>
      <c r="NL183" s="11"/>
      <c r="NM183" s="11"/>
      <c r="NN183" s="11"/>
      <c r="NO183" s="11"/>
      <c r="NP183" s="11"/>
      <c r="NQ183" s="11"/>
      <c r="NR183" s="11"/>
      <c r="NS183" s="11"/>
      <c r="NT183" s="11"/>
      <c r="NU183" s="11"/>
      <c r="NV183" s="11"/>
      <c r="NW183" s="11"/>
      <c r="NX183" s="11"/>
      <c r="NY183" s="11"/>
      <c r="NZ183" s="11"/>
      <c r="OA183" s="11"/>
      <c r="OB183" s="11"/>
      <c r="OC183" s="11"/>
      <c r="OD183" s="11"/>
      <c r="OE183" s="11"/>
      <c r="OF183" s="11"/>
      <c r="OG183" s="11"/>
      <c r="OH183" s="11"/>
      <c r="OI183" s="11"/>
      <c r="OJ183" s="11"/>
      <c r="OK183" s="11"/>
      <c r="OL183" s="11"/>
      <c r="OM183" s="11"/>
      <c r="ON183" s="11"/>
      <c r="OO183" s="11"/>
      <c r="OP183" s="11"/>
      <c r="OQ183" s="11"/>
      <c r="OR183" s="11"/>
      <c r="OS183" s="11"/>
      <c r="OT183" s="11"/>
      <c r="OU183" s="11"/>
      <c r="OV183" s="11"/>
      <c r="OW183" s="11"/>
      <c r="OX183" s="11"/>
      <c r="OY183" s="11"/>
      <c r="OZ183" s="11"/>
      <c r="PA183" s="11"/>
      <c r="PB183" s="11"/>
      <c r="PC183" s="11"/>
      <c r="PD183" s="11"/>
      <c r="PE183" s="11"/>
      <c r="PF183" s="11"/>
      <c r="PG183" s="11"/>
      <c r="PH183" s="11"/>
      <c r="PI183" s="11"/>
      <c r="PJ183" s="11"/>
      <c r="PK183" s="11"/>
      <c r="PL183" s="11"/>
      <c r="PM183" s="11"/>
      <c r="PN183" s="11"/>
      <c r="PO183" s="11"/>
      <c r="PP183" s="11"/>
      <c r="PQ183" s="11"/>
      <c r="PR183" s="11"/>
      <c r="PS183" s="11"/>
      <c r="PT183" s="11"/>
      <c r="PU183" s="11"/>
      <c r="PV183" s="11"/>
      <c r="PW183" s="11"/>
      <c r="PX183" s="11"/>
      <c r="PY183" s="11"/>
      <c r="PZ183" s="11"/>
      <c r="QA183" s="11"/>
      <c r="QB183" s="11"/>
      <c r="QC183" s="11"/>
      <c r="QD183" s="11"/>
      <c r="QE183" s="11"/>
      <c r="QF183" s="11"/>
      <c r="QG183" s="11"/>
      <c r="QH183" s="11"/>
      <c r="QI183" s="11"/>
      <c r="QJ183" s="11"/>
      <c r="QK183" s="11"/>
      <c r="QL183" s="11"/>
      <c r="QM183" s="11"/>
      <c r="QN183" s="11"/>
      <c r="QO183" s="11"/>
      <c r="QP183" s="11"/>
      <c r="QQ183" s="11"/>
      <c r="QR183" s="11"/>
      <c r="QS183" s="11"/>
      <c r="QT183" s="11"/>
      <c r="QU183" s="11"/>
      <c r="QV183" s="11"/>
      <c r="QW183" s="11"/>
      <c r="QX183" s="11"/>
      <c r="QY183" s="11"/>
      <c r="QZ183" s="11"/>
      <c r="RA183" s="11"/>
      <c r="RB183" s="11"/>
      <c r="RC183" s="11"/>
      <c r="RD183" s="11"/>
      <c r="RE183" s="11"/>
      <c r="RF183" s="11"/>
      <c r="RG183" s="11"/>
      <c r="RH183" s="11"/>
      <c r="RI183" s="11"/>
      <c r="RJ183" s="11"/>
      <c r="RK183" s="11"/>
      <c r="RL183" s="11"/>
      <c r="RM183" s="11"/>
      <c r="RN183" s="11"/>
      <c r="RO183" s="11"/>
      <c r="RP183" s="11"/>
      <c r="RQ183" s="11"/>
      <c r="RR183" s="11"/>
      <c r="RS183" s="11"/>
      <c r="RT183" s="11"/>
      <c r="RU183" s="11"/>
      <c r="RV183" s="11"/>
      <c r="RW183" s="11"/>
      <c r="RX183" s="11"/>
      <c r="RY183" s="11"/>
      <c r="RZ183" s="11"/>
      <c r="SA183" s="11"/>
      <c r="SB183" s="11"/>
      <c r="SC183" s="11"/>
      <c r="SD183" s="11"/>
      <c r="SE183" s="11"/>
      <c r="SF183" s="11"/>
      <c r="SG183" s="11"/>
      <c r="SH183" s="11"/>
      <c r="SI183" s="11"/>
      <c r="SJ183" s="11"/>
      <c r="SK183" s="11"/>
      <c r="SL183" s="11"/>
      <c r="SM183" s="11"/>
      <c r="SN183" s="11"/>
      <c r="SO183" s="11"/>
      <c r="SP183" s="11"/>
      <c r="SQ183" s="11"/>
      <c r="SR183" s="11"/>
      <c r="SS183" s="11"/>
      <c r="ST183" s="11"/>
      <c r="SU183" s="11"/>
      <c r="SV183" s="11"/>
      <c r="SW183" s="11"/>
      <c r="SX183" s="11"/>
      <c r="SY183" s="11"/>
      <c r="SZ183" s="11"/>
      <c r="TA183" s="11"/>
      <c r="TB183" s="11"/>
      <c r="TC183" s="11"/>
      <c r="TD183" s="11"/>
      <c r="TE183" s="11"/>
      <c r="TF183" s="11"/>
      <c r="TG183" s="11"/>
      <c r="TH183" s="11"/>
      <c r="TI183" s="11"/>
      <c r="TJ183" s="11"/>
      <c r="TK183" s="11"/>
      <c r="TL183" s="11"/>
      <c r="TM183" s="11"/>
      <c r="TN183" s="11"/>
      <c r="TO183" s="11"/>
      <c r="TP183" s="11"/>
      <c r="TQ183" s="11"/>
      <c r="TR183" s="11"/>
      <c r="TS183" s="11"/>
      <c r="TT183" s="11"/>
      <c r="TU183" s="11"/>
      <c r="TV183" s="11"/>
      <c r="TW183" s="11"/>
      <c r="TX183" s="11"/>
      <c r="TY183" s="11"/>
      <c r="TZ183" s="11"/>
      <c r="UA183" s="11"/>
      <c r="UB183" s="11"/>
      <c r="UC183" s="11"/>
      <c r="UD183" s="11"/>
      <c r="UE183" s="11"/>
      <c r="UF183" s="11"/>
      <c r="UG183" s="11"/>
      <c r="UH183" s="11"/>
      <c r="UI183" s="11"/>
      <c r="UJ183" s="11"/>
      <c r="UK183" s="11"/>
      <c r="UL183" s="11"/>
      <c r="UM183" s="11"/>
      <c r="UN183" s="11"/>
      <c r="UO183" s="11"/>
      <c r="UP183" s="11"/>
      <c r="UQ183" s="11"/>
      <c r="UR183" s="11"/>
      <c r="US183" s="11"/>
      <c r="UT183" s="11"/>
      <c r="UU183" s="11"/>
      <c r="UV183" s="11"/>
      <c r="UW183" s="11"/>
      <c r="UX183" s="11"/>
      <c r="UY183" s="11"/>
      <c r="UZ183" s="11"/>
      <c r="VA183" s="11"/>
      <c r="VB183" s="11"/>
      <c r="VC183" s="11"/>
      <c r="VD183" s="11"/>
      <c r="VE183" s="11"/>
      <c r="VF183" s="11"/>
      <c r="VG183" s="11"/>
      <c r="VH183" s="11"/>
      <c r="VI183" s="11"/>
      <c r="VJ183" s="11"/>
      <c r="VK183" s="11"/>
      <c r="VL183" s="11"/>
      <c r="VM183" s="11"/>
      <c r="VN183" s="11"/>
      <c r="VO183" s="11"/>
      <c r="VP183" s="11"/>
      <c r="VQ183" s="11"/>
      <c r="VR183" s="11"/>
      <c r="VS183" s="11"/>
      <c r="VT183" s="11"/>
      <c r="VU183" s="11"/>
      <c r="VV183" s="11"/>
      <c r="VW183" s="11"/>
      <c r="VX183" s="11"/>
      <c r="VY183" s="11"/>
      <c r="VZ183" s="11"/>
      <c r="WA183" s="11"/>
      <c r="WB183" s="11"/>
      <c r="WC183" s="11"/>
      <c r="WD183" s="11"/>
      <c r="WE183" s="11"/>
      <c r="WF183" s="11"/>
      <c r="WG183" s="11"/>
      <c r="WH183" s="11"/>
      <c r="WI183" s="11"/>
      <c r="WJ183" s="11"/>
      <c r="WK183" s="11"/>
      <c r="WL183" s="11"/>
      <c r="WM183" s="11"/>
      <c r="WN183" s="11"/>
      <c r="WO183" s="11"/>
      <c r="WP183" s="11"/>
      <c r="WQ183" s="11"/>
      <c r="WR183" s="11"/>
      <c r="WS183" s="11"/>
      <c r="WT183" s="11"/>
      <c r="WU183" s="11"/>
      <c r="WV183" s="11"/>
      <c r="WW183" s="11"/>
      <c r="WX183" s="11"/>
      <c r="WY183" s="11"/>
      <c r="WZ183" s="11"/>
      <c r="XA183" s="11"/>
      <c r="XB183" s="11"/>
      <c r="XC183" s="11"/>
      <c r="XD183" s="11"/>
      <c r="XE183" s="11"/>
      <c r="XF183" s="11"/>
      <c r="XG183" s="11"/>
      <c r="XH183" s="11"/>
      <c r="XI183" s="11"/>
      <c r="XJ183" s="11"/>
      <c r="XK183" s="11"/>
      <c r="XL183" s="11"/>
      <c r="XM183" s="11"/>
      <c r="XN183" s="11"/>
      <c r="XO183" s="11"/>
      <c r="XP183" s="11"/>
      <c r="XQ183" s="11"/>
      <c r="XR183" s="11"/>
      <c r="XS183" s="11"/>
      <c r="XT183" s="11"/>
      <c r="XU183" s="11"/>
      <c r="XV183" s="11"/>
      <c r="XW183" s="11"/>
      <c r="XX183" s="11"/>
      <c r="XY183" s="11"/>
      <c r="XZ183" s="11"/>
      <c r="YA183" s="11"/>
      <c r="YB183" s="11"/>
      <c r="YC183" s="11"/>
      <c r="YD183" s="11"/>
      <c r="YE183" s="11"/>
      <c r="YF183" s="11"/>
      <c r="YG183" s="11"/>
      <c r="YH183" s="11"/>
      <c r="YI183" s="11"/>
      <c r="YJ183" s="11"/>
      <c r="YK183" s="11"/>
      <c r="YL183" s="11"/>
      <c r="YM183" s="11"/>
      <c r="YN183" s="11"/>
      <c r="YO183" s="11"/>
      <c r="YP183" s="11"/>
      <c r="YQ183" s="11"/>
      <c r="YR183" s="11"/>
      <c r="YS183" s="11"/>
      <c r="YT183" s="11"/>
      <c r="YU183" s="11"/>
      <c r="YV183" s="11"/>
      <c r="YW183" s="11"/>
      <c r="YX183" s="11"/>
      <c r="YY183" s="11"/>
      <c r="YZ183" s="11"/>
      <c r="ZA183" s="11"/>
      <c r="ZB183" s="11"/>
      <c r="ZC183" s="11"/>
      <c r="ZD183" s="11"/>
      <c r="ZE183" s="11"/>
      <c r="ZF183" s="11"/>
      <c r="ZG183" s="11"/>
      <c r="ZH183" s="11"/>
      <c r="ZI183" s="11"/>
      <c r="ZJ183" s="11"/>
      <c r="ZK183" s="11"/>
      <c r="ZL183" s="11"/>
      <c r="ZM183" s="11"/>
      <c r="ZN183" s="11"/>
      <c r="ZO183" s="11"/>
      <c r="ZP183" s="11"/>
      <c r="ZQ183" s="11"/>
      <c r="ZR183" s="11"/>
      <c r="ZS183" s="11"/>
      <c r="ZT183" s="11"/>
      <c r="ZU183" s="11"/>
      <c r="ZV183" s="11"/>
      <c r="ZW183" s="11"/>
      <c r="ZX183" s="11"/>
      <c r="ZY183" s="11"/>
      <c r="ZZ183" s="11"/>
      <c r="AAA183" s="11"/>
      <c r="AAB183" s="11"/>
      <c r="AAC183" s="11"/>
      <c r="AAD183" s="11"/>
      <c r="AAE183" s="11"/>
      <c r="AAF183" s="11"/>
      <c r="AAG183" s="11"/>
      <c r="AAH183" s="11"/>
      <c r="AAI183" s="11"/>
      <c r="AAJ183" s="11"/>
      <c r="AAK183" s="11"/>
      <c r="AAL183" s="11"/>
      <c r="AAM183" s="11"/>
      <c r="AAN183" s="11"/>
      <c r="AAO183" s="11"/>
      <c r="AAP183" s="11"/>
      <c r="AAQ183" s="11"/>
      <c r="AAR183" s="11"/>
      <c r="AAS183" s="11"/>
      <c r="AAT183" s="11"/>
      <c r="AAU183" s="11"/>
      <c r="AAV183" s="11"/>
      <c r="AAW183" s="11"/>
      <c r="AAX183" s="11"/>
      <c r="AAY183" s="11"/>
      <c r="AAZ183" s="11"/>
      <c r="ABA183" s="11"/>
      <c r="ABB183" s="11"/>
      <c r="ABC183" s="11"/>
      <c r="ABD183" s="11"/>
      <c r="ABE183" s="11"/>
      <c r="ABF183" s="11"/>
      <c r="ABG183" s="11"/>
      <c r="ABH183" s="11"/>
      <c r="ABI183" s="11"/>
      <c r="ABJ183" s="11"/>
      <c r="ABK183" s="11"/>
      <c r="ABL183" s="11"/>
      <c r="ABM183" s="11"/>
      <c r="ABN183" s="11"/>
      <c r="ABO183" s="11"/>
      <c r="ABP183" s="11"/>
      <c r="ABQ183" s="11"/>
      <c r="ABR183" s="11"/>
      <c r="ABS183" s="11"/>
      <c r="ABT183" s="11"/>
      <c r="ABU183" s="11"/>
      <c r="ABV183" s="11"/>
      <c r="ABW183" s="11"/>
      <c r="ABX183" s="11"/>
      <c r="ABY183" s="11"/>
      <c r="ABZ183" s="11"/>
      <c r="ACA183" s="11"/>
      <c r="ACB183" s="11"/>
      <c r="ACC183" s="11"/>
      <c r="ACD183" s="11"/>
      <c r="ACE183" s="11"/>
      <c r="ACF183" s="11"/>
      <c r="ACG183" s="11"/>
      <c r="ACH183" s="11"/>
      <c r="ACI183" s="11"/>
      <c r="ACJ183" s="11"/>
      <c r="ACK183" s="11"/>
      <c r="ACL183" s="11"/>
      <c r="ACM183" s="11"/>
      <c r="ACN183" s="11"/>
      <c r="ACO183" s="11"/>
      <c r="ACP183" s="11"/>
      <c r="ACQ183" s="11"/>
      <c r="ACR183" s="11"/>
      <c r="ACS183" s="11"/>
      <c r="ACT183" s="11"/>
      <c r="ACU183" s="11"/>
      <c r="ACV183" s="11"/>
      <c r="ACW183" s="11"/>
      <c r="ACX183" s="11"/>
      <c r="ACY183" s="11"/>
      <c r="ACZ183" s="11"/>
      <c r="ADA183" s="11"/>
      <c r="ADB183" s="11"/>
      <c r="ADC183" s="11"/>
      <c r="ADD183" s="11"/>
      <c r="ADE183" s="11"/>
      <c r="ADF183" s="11"/>
      <c r="ADG183" s="11"/>
      <c r="ADH183" s="11"/>
      <c r="ADI183" s="11"/>
      <c r="ADJ183" s="11"/>
      <c r="ADK183" s="11"/>
      <c r="ADL183" s="11"/>
      <c r="ADM183" s="11"/>
      <c r="ADN183" s="11"/>
      <c r="ADO183" s="11"/>
      <c r="ADP183" s="11"/>
      <c r="ADQ183" s="11"/>
      <c r="ADR183" s="11"/>
      <c r="ADS183" s="11"/>
      <c r="ADT183" s="11"/>
      <c r="ADU183" s="11"/>
      <c r="ADV183" s="11"/>
      <c r="ADW183" s="11"/>
      <c r="ADX183" s="11"/>
      <c r="ADY183" s="11"/>
      <c r="ADZ183" s="11"/>
      <c r="AEA183" s="11"/>
      <c r="AEB183" s="11"/>
      <c r="AEC183" s="11"/>
      <c r="AED183" s="11"/>
      <c r="AEE183" s="11"/>
      <c r="AEF183" s="11"/>
      <c r="AEG183" s="11"/>
      <c r="AEH183" s="11"/>
      <c r="AEI183" s="11"/>
      <c r="AEJ183" s="11"/>
      <c r="AEK183" s="11"/>
      <c r="AEL183" s="11"/>
      <c r="AEM183" s="11"/>
      <c r="AEN183" s="11"/>
      <c r="AEO183" s="11"/>
      <c r="AEP183" s="11"/>
      <c r="AEQ183" s="11"/>
      <c r="AER183" s="11"/>
      <c r="AES183" s="11"/>
      <c r="AET183" s="11"/>
      <c r="AEU183" s="11"/>
      <c r="AEV183" s="11"/>
      <c r="AEW183" s="11"/>
      <c r="AEX183" s="11"/>
      <c r="AEY183" s="11"/>
      <c r="AEZ183" s="11"/>
      <c r="AFA183" s="11"/>
      <c r="AFB183" s="11"/>
      <c r="AFC183" s="11"/>
      <c r="AFD183" s="11"/>
      <c r="AFE183" s="11"/>
      <c r="AFF183" s="11"/>
      <c r="AFG183" s="11"/>
      <c r="AFH183" s="11"/>
      <c r="AFI183" s="11"/>
    </row>
    <row r="184" spans="2:84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1"/>
      <c r="LV184" s="11"/>
      <c r="LW184" s="11"/>
      <c r="LX184" s="11"/>
      <c r="LY184" s="11"/>
      <c r="LZ184" s="11"/>
      <c r="MA184" s="11"/>
      <c r="MB184" s="11"/>
      <c r="MC184" s="11"/>
      <c r="MD184" s="11"/>
      <c r="ME184" s="11"/>
      <c r="MF184" s="11"/>
      <c r="MG184" s="11"/>
      <c r="MH184" s="11"/>
      <c r="MI184" s="11"/>
      <c r="MJ184" s="11"/>
      <c r="MK184" s="11"/>
      <c r="ML184" s="11"/>
      <c r="MM184" s="11"/>
      <c r="MN184" s="11"/>
      <c r="MO184" s="11"/>
      <c r="MP184" s="11"/>
      <c r="MQ184" s="11"/>
      <c r="MR184" s="11"/>
      <c r="MS184" s="11"/>
      <c r="MT184" s="11"/>
      <c r="MU184" s="11"/>
      <c r="MV184" s="11"/>
      <c r="MW184" s="11"/>
      <c r="MX184" s="11"/>
      <c r="MY184" s="11"/>
      <c r="MZ184" s="11"/>
      <c r="NA184" s="11"/>
      <c r="NB184" s="11"/>
      <c r="NC184" s="11"/>
      <c r="ND184" s="11"/>
      <c r="NE184" s="11"/>
      <c r="NF184" s="11"/>
      <c r="NG184" s="11"/>
      <c r="NH184" s="11"/>
      <c r="NI184" s="11"/>
      <c r="NJ184" s="11"/>
      <c r="NK184" s="11"/>
      <c r="NL184" s="11"/>
      <c r="NM184" s="11"/>
      <c r="NN184" s="11"/>
      <c r="NO184" s="11"/>
      <c r="NP184" s="11"/>
      <c r="NQ184" s="11"/>
      <c r="NR184" s="11"/>
      <c r="NS184" s="11"/>
      <c r="NT184" s="11"/>
      <c r="NU184" s="11"/>
      <c r="NV184" s="11"/>
      <c r="NW184" s="11"/>
      <c r="NX184" s="11"/>
      <c r="NY184" s="11"/>
      <c r="NZ184" s="11"/>
      <c r="OA184" s="11"/>
      <c r="OB184" s="11"/>
      <c r="OC184" s="11"/>
      <c r="OD184" s="11"/>
      <c r="OE184" s="11"/>
      <c r="OF184" s="11"/>
      <c r="OG184" s="11"/>
      <c r="OH184" s="11"/>
      <c r="OI184" s="11"/>
      <c r="OJ184" s="11"/>
      <c r="OK184" s="11"/>
      <c r="OL184" s="11"/>
      <c r="OM184" s="11"/>
      <c r="ON184" s="11"/>
      <c r="OO184" s="11"/>
      <c r="OP184" s="11"/>
      <c r="OQ184" s="11"/>
      <c r="OR184" s="11"/>
      <c r="OS184" s="11"/>
      <c r="OT184" s="11"/>
      <c r="OU184" s="11"/>
      <c r="OV184" s="11"/>
      <c r="OW184" s="11"/>
      <c r="OX184" s="11"/>
      <c r="OY184" s="11"/>
      <c r="OZ184" s="11"/>
      <c r="PA184" s="11"/>
      <c r="PB184" s="11"/>
      <c r="PC184" s="11"/>
      <c r="PD184" s="11"/>
      <c r="PE184" s="11"/>
      <c r="PF184" s="11"/>
      <c r="PG184" s="11"/>
      <c r="PH184" s="11"/>
      <c r="PI184" s="11"/>
      <c r="PJ184" s="11"/>
      <c r="PK184" s="11"/>
      <c r="PL184" s="11"/>
      <c r="PM184" s="11"/>
      <c r="PN184" s="11"/>
      <c r="PO184" s="11"/>
      <c r="PP184" s="11"/>
      <c r="PQ184" s="11"/>
      <c r="PR184" s="11"/>
      <c r="PS184" s="11"/>
      <c r="PT184" s="11"/>
      <c r="PU184" s="11"/>
      <c r="PV184" s="11"/>
      <c r="PW184" s="11"/>
      <c r="PX184" s="11"/>
      <c r="PY184" s="11"/>
      <c r="PZ184" s="11"/>
      <c r="QA184" s="11"/>
      <c r="QB184" s="11"/>
      <c r="QC184" s="11"/>
      <c r="QD184" s="11"/>
      <c r="QE184" s="11"/>
      <c r="QF184" s="11"/>
      <c r="QG184" s="11"/>
      <c r="QH184" s="11"/>
      <c r="QI184" s="11"/>
      <c r="QJ184" s="11"/>
      <c r="QK184" s="11"/>
      <c r="QL184" s="11"/>
      <c r="QM184" s="11"/>
      <c r="QN184" s="11"/>
      <c r="QO184" s="11"/>
      <c r="QP184" s="11"/>
      <c r="QQ184" s="11"/>
      <c r="QR184" s="11"/>
      <c r="QS184" s="11"/>
      <c r="QT184" s="11"/>
      <c r="QU184" s="11"/>
      <c r="QV184" s="11"/>
      <c r="QW184" s="11"/>
      <c r="QX184" s="11"/>
      <c r="QY184" s="11"/>
      <c r="QZ184" s="11"/>
      <c r="RA184" s="11"/>
      <c r="RB184" s="11"/>
      <c r="RC184" s="11"/>
      <c r="RD184" s="11"/>
      <c r="RE184" s="11"/>
      <c r="RF184" s="11"/>
      <c r="RG184" s="11"/>
      <c r="RH184" s="11"/>
      <c r="RI184" s="11"/>
      <c r="RJ184" s="11"/>
      <c r="RK184" s="11"/>
      <c r="RL184" s="11"/>
      <c r="RM184" s="11"/>
      <c r="RN184" s="11"/>
      <c r="RO184" s="11"/>
      <c r="RP184" s="11"/>
      <c r="RQ184" s="11"/>
      <c r="RR184" s="11"/>
      <c r="RS184" s="11"/>
      <c r="RT184" s="11"/>
      <c r="RU184" s="11"/>
      <c r="RV184" s="11"/>
      <c r="RW184" s="11"/>
      <c r="RX184" s="11"/>
      <c r="RY184" s="11"/>
      <c r="RZ184" s="11"/>
      <c r="SA184" s="11"/>
      <c r="SB184" s="11"/>
      <c r="SC184" s="11"/>
      <c r="SD184" s="11"/>
      <c r="SE184" s="11"/>
      <c r="SF184" s="11"/>
      <c r="SG184" s="11"/>
      <c r="SH184" s="11"/>
      <c r="SI184" s="11"/>
      <c r="SJ184" s="11"/>
      <c r="SK184" s="11"/>
      <c r="SL184" s="11"/>
      <c r="SM184" s="11"/>
      <c r="SN184" s="11"/>
      <c r="SO184" s="11"/>
      <c r="SP184" s="11"/>
      <c r="SQ184" s="11"/>
      <c r="SR184" s="11"/>
      <c r="SS184" s="11"/>
      <c r="ST184" s="11"/>
      <c r="SU184" s="11"/>
      <c r="SV184" s="11"/>
      <c r="SW184" s="11"/>
      <c r="SX184" s="11"/>
      <c r="SY184" s="11"/>
      <c r="SZ184" s="11"/>
      <c r="TA184" s="11"/>
      <c r="TB184" s="11"/>
      <c r="TC184" s="11"/>
      <c r="TD184" s="11"/>
      <c r="TE184" s="11"/>
      <c r="TF184" s="11"/>
      <c r="TG184" s="11"/>
      <c r="TH184" s="11"/>
      <c r="TI184" s="11"/>
      <c r="TJ184" s="11"/>
      <c r="TK184" s="11"/>
      <c r="TL184" s="11"/>
      <c r="TM184" s="11"/>
      <c r="TN184" s="11"/>
      <c r="TO184" s="11"/>
      <c r="TP184" s="11"/>
      <c r="TQ184" s="11"/>
      <c r="TR184" s="11"/>
      <c r="TS184" s="11"/>
      <c r="TT184" s="11"/>
      <c r="TU184" s="11"/>
      <c r="TV184" s="11"/>
      <c r="TW184" s="11"/>
      <c r="TX184" s="11"/>
      <c r="TY184" s="11"/>
      <c r="TZ184" s="11"/>
      <c r="UA184" s="11"/>
      <c r="UB184" s="11"/>
      <c r="UC184" s="11"/>
      <c r="UD184" s="11"/>
      <c r="UE184" s="11"/>
      <c r="UF184" s="11"/>
      <c r="UG184" s="11"/>
      <c r="UH184" s="11"/>
      <c r="UI184" s="11"/>
      <c r="UJ184" s="11"/>
      <c r="UK184" s="11"/>
      <c r="UL184" s="11"/>
      <c r="UM184" s="11"/>
      <c r="UN184" s="11"/>
      <c r="UO184" s="11"/>
      <c r="UP184" s="11"/>
      <c r="UQ184" s="11"/>
      <c r="UR184" s="11"/>
      <c r="US184" s="11"/>
      <c r="UT184" s="11"/>
      <c r="UU184" s="11"/>
      <c r="UV184" s="11"/>
      <c r="UW184" s="11"/>
      <c r="UX184" s="11"/>
      <c r="UY184" s="11"/>
      <c r="UZ184" s="11"/>
      <c r="VA184" s="11"/>
      <c r="VB184" s="11"/>
      <c r="VC184" s="11"/>
      <c r="VD184" s="11"/>
      <c r="VE184" s="11"/>
      <c r="VF184" s="11"/>
      <c r="VG184" s="11"/>
      <c r="VH184" s="11"/>
      <c r="VI184" s="11"/>
      <c r="VJ184" s="11"/>
      <c r="VK184" s="11"/>
      <c r="VL184" s="11"/>
      <c r="VM184" s="11"/>
      <c r="VN184" s="11"/>
      <c r="VO184" s="11"/>
      <c r="VP184" s="11"/>
      <c r="VQ184" s="11"/>
      <c r="VR184" s="11"/>
      <c r="VS184" s="11"/>
      <c r="VT184" s="11"/>
      <c r="VU184" s="11"/>
      <c r="VV184" s="11"/>
      <c r="VW184" s="11"/>
      <c r="VX184" s="11"/>
      <c r="VY184" s="11"/>
      <c r="VZ184" s="11"/>
      <c r="WA184" s="11"/>
      <c r="WB184" s="11"/>
      <c r="WC184" s="11"/>
      <c r="WD184" s="11"/>
      <c r="WE184" s="11"/>
      <c r="WF184" s="11"/>
      <c r="WG184" s="11"/>
      <c r="WH184" s="11"/>
      <c r="WI184" s="11"/>
      <c r="WJ184" s="11"/>
      <c r="WK184" s="11"/>
      <c r="WL184" s="11"/>
      <c r="WM184" s="11"/>
      <c r="WN184" s="11"/>
      <c r="WO184" s="11"/>
      <c r="WP184" s="11"/>
      <c r="WQ184" s="11"/>
      <c r="WR184" s="11"/>
      <c r="WS184" s="11"/>
      <c r="WT184" s="11"/>
      <c r="WU184" s="11"/>
      <c r="WV184" s="11"/>
      <c r="WW184" s="11"/>
      <c r="WX184" s="11"/>
      <c r="WY184" s="11"/>
      <c r="WZ184" s="11"/>
      <c r="XA184" s="11"/>
      <c r="XB184" s="11"/>
      <c r="XC184" s="11"/>
      <c r="XD184" s="11"/>
      <c r="XE184" s="11"/>
      <c r="XF184" s="11"/>
      <c r="XG184" s="11"/>
      <c r="XH184" s="11"/>
      <c r="XI184" s="11"/>
      <c r="XJ184" s="11"/>
      <c r="XK184" s="11"/>
      <c r="XL184" s="11"/>
      <c r="XM184" s="11"/>
      <c r="XN184" s="11"/>
      <c r="XO184" s="11"/>
      <c r="XP184" s="11"/>
      <c r="XQ184" s="11"/>
      <c r="XR184" s="11"/>
      <c r="XS184" s="11"/>
      <c r="XT184" s="11"/>
      <c r="XU184" s="11"/>
      <c r="XV184" s="11"/>
      <c r="XW184" s="11"/>
      <c r="XX184" s="11"/>
      <c r="XY184" s="11"/>
      <c r="XZ184" s="11"/>
      <c r="YA184" s="11"/>
      <c r="YB184" s="11"/>
      <c r="YC184" s="11"/>
      <c r="YD184" s="11"/>
      <c r="YE184" s="11"/>
      <c r="YF184" s="11"/>
      <c r="YG184" s="11"/>
      <c r="YH184" s="11"/>
      <c r="YI184" s="11"/>
      <c r="YJ184" s="11"/>
      <c r="YK184" s="11"/>
      <c r="YL184" s="11"/>
      <c r="YM184" s="11"/>
      <c r="YN184" s="11"/>
      <c r="YO184" s="11"/>
      <c r="YP184" s="11"/>
      <c r="YQ184" s="11"/>
      <c r="YR184" s="11"/>
      <c r="YS184" s="11"/>
      <c r="YT184" s="11"/>
      <c r="YU184" s="11"/>
      <c r="YV184" s="11"/>
      <c r="YW184" s="11"/>
      <c r="YX184" s="11"/>
      <c r="YY184" s="11"/>
      <c r="YZ184" s="11"/>
      <c r="ZA184" s="11"/>
      <c r="ZB184" s="11"/>
      <c r="ZC184" s="11"/>
      <c r="ZD184" s="11"/>
      <c r="ZE184" s="11"/>
      <c r="ZF184" s="11"/>
      <c r="ZG184" s="11"/>
      <c r="ZH184" s="11"/>
      <c r="ZI184" s="11"/>
      <c r="ZJ184" s="11"/>
      <c r="ZK184" s="11"/>
      <c r="ZL184" s="11"/>
      <c r="ZM184" s="11"/>
      <c r="ZN184" s="11"/>
      <c r="ZO184" s="11"/>
      <c r="ZP184" s="11"/>
      <c r="ZQ184" s="11"/>
      <c r="ZR184" s="11"/>
      <c r="ZS184" s="11"/>
      <c r="ZT184" s="11"/>
      <c r="ZU184" s="11"/>
      <c r="ZV184" s="11"/>
      <c r="ZW184" s="11"/>
      <c r="ZX184" s="11"/>
      <c r="ZY184" s="11"/>
      <c r="ZZ184" s="11"/>
      <c r="AAA184" s="11"/>
      <c r="AAB184" s="11"/>
      <c r="AAC184" s="11"/>
      <c r="AAD184" s="11"/>
      <c r="AAE184" s="11"/>
      <c r="AAF184" s="11"/>
      <c r="AAG184" s="11"/>
      <c r="AAH184" s="11"/>
      <c r="AAI184" s="11"/>
      <c r="AAJ184" s="11"/>
      <c r="AAK184" s="11"/>
      <c r="AAL184" s="11"/>
      <c r="AAM184" s="11"/>
      <c r="AAN184" s="11"/>
      <c r="AAO184" s="11"/>
      <c r="AAP184" s="11"/>
      <c r="AAQ184" s="11"/>
      <c r="AAR184" s="11"/>
      <c r="AAS184" s="11"/>
      <c r="AAT184" s="11"/>
      <c r="AAU184" s="11"/>
      <c r="AAV184" s="11"/>
      <c r="AAW184" s="11"/>
      <c r="AAX184" s="11"/>
      <c r="AAY184" s="11"/>
      <c r="AAZ184" s="11"/>
      <c r="ABA184" s="11"/>
      <c r="ABB184" s="11"/>
      <c r="ABC184" s="11"/>
      <c r="ABD184" s="11"/>
      <c r="ABE184" s="11"/>
      <c r="ABF184" s="11"/>
      <c r="ABG184" s="11"/>
      <c r="ABH184" s="11"/>
      <c r="ABI184" s="11"/>
      <c r="ABJ184" s="11"/>
      <c r="ABK184" s="11"/>
      <c r="ABL184" s="11"/>
      <c r="ABM184" s="11"/>
      <c r="ABN184" s="11"/>
      <c r="ABO184" s="11"/>
      <c r="ABP184" s="11"/>
      <c r="ABQ184" s="11"/>
      <c r="ABR184" s="11"/>
      <c r="ABS184" s="11"/>
      <c r="ABT184" s="11"/>
      <c r="ABU184" s="11"/>
      <c r="ABV184" s="11"/>
      <c r="ABW184" s="11"/>
      <c r="ABX184" s="11"/>
      <c r="ABY184" s="11"/>
      <c r="ABZ184" s="11"/>
      <c r="ACA184" s="11"/>
      <c r="ACB184" s="11"/>
      <c r="ACC184" s="11"/>
      <c r="ACD184" s="11"/>
      <c r="ACE184" s="11"/>
      <c r="ACF184" s="11"/>
      <c r="ACG184" s="11"/>
      <c r="ACH184" s="11"/>
      <c r="ACI184" s="11"/>
      <c r="ACJ184" s="11"/>
      <c r="ACK184" s="11"/>
      <c r="ACL184" s="11"/>
      <c r="ACM184" s="11"/>
      <c r="ACN184" s="11"/>
      <c r="ACO184" s="11"/>
      <c r="ACP184" s="11"/>
      <c r="ACQ184" s="11"/>
      <c r="ACR184" s="11"/>
      <c r="ACS184" s="11"/>
      <c r="ACT184" s="11"/>
      <c r="ACU184" s="11"/>
      <c r="ACV184" s="11"/>
      <c r="ACW184" s="11"/>
      <c r="ACX184" s="11"/>
      <c r="ACY184" s="11"/>
      <c r="ACZ184" s="11"/>
      <c r="ADA184" s="11"/>
      <c r="ADB184" s="11"/>
      <c r="ADC184" s="11"/>
      <c r="ADD184" s="11"/>
      <c r="ADE184" s="11"/>
      <c r="ADF184" s="11"/>
      <c r="ADG184" s="11"/>
      <c r="ADH184" s="11"/>
      <c r="ADI184" s="11"/>
      <c r="ADJ184" s="11"/>
      <c r="ADK184" s="11"/>
      <c r="ADL184" s="11"/>
      <c r="ADM184" s="11"/>
      <c r="ADN184" s="11"/>
      <c r="ADO184" s="11"/>
      <c r="ADP184" s="11"/>
      <c r="ADQ184" s="11"/>
      <c r="ADR184" s="11"/>
      <c r="ADS184" s="11"/>
      <c r="ADT184" s="11"/>
      <c r="ADU184" s="11"/>
      <c r="ADV184" s="11"/>
      <c r="ADW184" s="11"/>
      <c r="ADX184" s="11"/>
      <c r="ADY184" s="11"/>
      <c r="ADZ184" s="11"/>
      <c r="AEA184" s="11"/>
      <c r="AEB184" s="11"/>
      <c r="AEC184" s="11"/>
      <c r="AED184" s="11"/>
      <c r="AEE184" s="11"/>
      <c r="AEF184" s="11"/>
      <c r="AEG184" s="11"/>
      <c r="AEH184" s="11"/>
      <c r="AEI184" s="11"/>
      <c r="AEJ184" s="11"/>
      <c r="AEK184" s="11"/>
      <c r="AEL184" s="11"/>
      <c r="AEM184" s="11"/>
      <c r="AEN184" s="11"/>
      <c r="AEO184" s="11"/>
      <c r="AEP184" s="11"/>
      <c r="AEQ184" s="11"/>
      <c r="AER184" s="11"/>
      <c r="AES184" s="11"/>
      <c r="AET184" s="11"/>
      <c r="AEU184" s="11"/>
      <c r="AEV184" s="11"/>
      <c r="AEW184" s="11"/>
      <c r="AEX184" s="11"/>
      <c r="AEY184" s="11"/>
      <c r="AEZ184" s="11"/>
      <c r="AFA184" s="11"/>
      <c r="AFB184" s="11"/>
      <c r="AFC184" s="11"/>
      <c r="AFD184" s="11"/>
      <c r="AFE184" s="11"/>
      <c r="AFF184" s="11"/>
      <c r="AFG184" s="11"/>
      <c r="AFH184" s="11"/>
      <c r="AFI184" s="11"/>
    </row>
    <row r="185" spans="2:84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1"/>
      <c r="LV185" s="11"/>
      <c r="LW185" s="11"/>
      <c r="LX185" s="11"/>
      <c r="LY185" s="11"/>
      <c r="LZ185" s="11"/>
      <c r="MA185" s="11"/>
      <c r="MB185" s="11"/>
      <c r="MC185" s="11"/>
      <c r="MD185" s="11"/>
      <c r="ME185" s="11"/>
      <c r="MF185" s="11"/>
      <c r="MG185" s="11"/>
      <c r="MH185" s="11"/>
      <c r="MI185" s="11"/>
      <c r="MJ185" s="11"/>
      <c r="MK185" s="11"/>
      <c r="ML185" s="11"/>
      <c r="MM185" s="11"/>
      <c r="MN185" s="11"/>
      <c r="MO185" s="11"/>
      <c r="MP185" s="11"/>
      <c r="MQ185" s="11"/>
      <c r="MR185" s="11"/>
      <c r="MS185" s="11"/>
      <c r="MT185" s="11"/>
      <c r="MU185" s="11"/>
      <c r="MV185" s="11"/>
      <c r="MW185" s="11"/>
      <c r="MX185" s="11"/>
      <c r="MY185" s="11"/>
      <c r="MZ185" s="11"/>
      <c r="NA185" s="11"/>
      <c r="NB185" s="11"/>
      <c r="NC185" s="11"/>
      <c r="ND185" s="11"/>
      <c r="NE185" s="11"/>
      <c r="NF185" s="11"/>
      <c r="NG185" s="11"/>
      <c r="NH185" s="11"/>
      <c r="NI185" s="11"/>
      <c r="NJ185" s="11"/>
      <c r="NK185" s="11"/>
      <c r="NL185" s="11"/>
      <c r="NM185" s="11"/>
      <c r="NN185" s="11"/>
      <c r="NO185" s="11"/>
      <c r="NP185" s="11"/>
      <c r="NQ185" s="11"/>
      <c r="NR185" s="11"/>
      <c r="NS185" s="11"/>
      <c r="NT185" s="11"/>
      <c r="NU185" s="11"/>
      <c r="NV185" s="11"/>
      <c r="NW185" s="11"/>
      <c r="NX185" s="11"/>
      <c r="NY185" s="11"/>
      <c r="NZ185" s="11"/>
      <c r="OA185" s="11"/>
      <c r="OB185" s="11"/>
      <c r="OC185" s="11"/>
      <c r="OD185" s="11"/>
      <c r="OE185" s="11"/>
      <c r="OF185" s="11"/>
      <c r="OG185" s="11"/>
      <c r="OH185" s="11"/>
      <c r="OI185" s="11"/>
      <c r="OJ185" s="11"/>
      <c r="OK185" s="11"/>
      <c r="OL185" s="11"/>
      <c r="OM185" s="11"/>
      <c r="ON185" s="11"/>
      <c r="OO185" s="11"/>
      <c r="OP185" s="11"/>
      <c r="OQ185" s="11"/>
      <c r="OR185" s="11"/>
      <c r="OS185" s="11"/>
      <c r="OT185" s="11"/>
      <c r="OU185" s="11"/>
      <c r="OV185" s="11"/>
      <c r="OW185" s="11"/>
      <c r="OX185" s="11"/>
      <c r="OY185" s="11"/>
      <c r="OZ185" s="11"/>
      <c r="PA185" s="11"/>
      <c r="PB185" s="11"/>
      <c r="PC185" s="11"/>
      <c r="PD185" s="11"/>
      <c r="PE185" s="11"/>
      <c r="PF185" s="11"/>
      <c r="PG185" s="11"/>
      <c r="PH185" s="11"/>
      <c r="PI185" s="11"/>
      <c r="PJ185" s="11"/>
      <c r="PK185" s="11"/>
      <c r="PL185" s="11"/>
      <c r="PM185" s="11"/>
      <c r="PN185" s="11"/>
      <c r="PO185" s="11"/>
      <c r="PP185" s="11"/>
      <c r="PQ185" s="11"/>
      <c r="PR185" s="11"/>
      <c r="PS185" s="11"/>
      <c r="PT185" s="11"/>
      <c r="PU185" s="11"/>
      <c r="PV185" s="11"/>
      <c r="PW185" s="11"/>
      <c r="PX185" s="11"/>
      <c r="PY185" s="11"/>
      <c r="PZ185" s="11"/>
      <c r="QA185" s="11"/>
      <c r="QB185" s="11"/>
      <c r="QC185" s="11"/>
      <c r="QD185" s="11"/>
      <c r="QE185" s="11"/>
      <c r="QF185" s="11"/>
      <c r="QG185" s="11"/>
      <c r="QH185" s="11"/>
      <c r="QI185" s="11"/>
      <c r="QJ185" s="11"/>
      <c r="QK185" s="11"/>
      <c r="QL185" s="11"/>
      <c r="QM185" s="11"/>
      <c r="QN185" s="11"/>
      <c r="QO185" s="11"/>
      <c r="QP185" s="11"/>
      <c r="QQ185" s="11"/>
      <c r="QR185" s="11"/>
      <c r="QS185" s="11"/>
      <c r="QT185" s="11"/>
      <c r="QU185" s="11"/>
      <c r="QV185" s="11"/>
      <c r="QW185" s="11"/>
      <c r="QX185" s="11"/>
      <c r="QY185" s="11"/>
      <c r="QZ185" s="11"/>
      <c r="RA185" s="11"/>
      <c r="RB185" s="11"/>
      <c r="RC185" s="11"/>
      <c r="RD185" s="11"/>
      <c r="RE185" s="11"/>
      <c r="RF185" s="11"/>
      <c r="RG185" s="11"/>
      <c r="RH185" s="11"/>
      <c r="RI185" s="11"/>
      <c r="RJ185" s="11"/>
      <c r="RK185" s="11"/>
      <c r="RL185" s="11"/>
      <c r="RM185" s="11"/>
      <c r="RN185" s="11"/>
      <c r="RO185" s="11"/>
      <c r="RP185" s="11"/>
      <c r="RQ185" s="11"/>
      <c r="RR185" s="11"/>
      <c r="RS185" s="11"/>
      <c r="RT185" s="11"/>
      <c r="RU185" s="11"/>
      <c r="RV185" s="11"/>
      <c r="RW185" s="11"/>
      <c r="RX185" s="11"/>
      <c r="RY185" s="11"/>
      <c r="RZ185" s="11"/>
      <c r="SA185" s="11"/>
      <c r="SB185" s="11"/>
      <c r="SC185" s="11"/>
      <c r="SD185" s="11"/>
      <c r="SE185" s="11"/>
      <c r="SF185" s="11"/>
      <c r="SG185" s="11"/>
      <c r="SH185" s="11"/>
      <c r="SI185" s="11"/>
      <c r="SJ185" s="11"/>
      <c r="SK185" s="11"/>
      <c r="SL185" s="11"/>
      <c r="SM185" s="11"/>
      <c r="SN185" s="11"/>
      <c r="SO185" s="11"/>
      <c r="SP185" s="11"/>
      <c r="SQ185" s="11"/>
      <c r="SR185" s="11"/>
      <c r="SS185" s="11"/>
      <c r="ST185" s="11"/>
      <c r="SU185" s="11"/>
      <c r="SV185" s="11"/>
      <c r="SW185" s="11"/>
      <c r="SX185" s="11"/>
      <c r="SY185" s="11"/>
      <c r="SZ185" s="11"/>
      <c r="TA185" s="11"/>
      <c r="TB185" s="11"/>
      <c r="TC185" s="11"/>
      <c r="TD185" s="11"/>
      <c r="TE185" s="11"/>
      <c r="TF185" s="11"/>
      <c r="TG185" s="11"/>
      <c r="TH185" s="11"/>
      <c r="TI185" s="11"/>
      <c r="TJ185" s="11"/>
      <c r="TK185" s="11"/>
      <c r="TL185" s="11"/>
      <c r="TM185" s="11"/>
      <c r="TN185" s="11"/>
      <c r="TO185" s="11"/>
      <c r="TP185" s="11"/>
      <c r="TQ185" s="11"/>
      <c r="TR185" s="11"/>
      <c r="TS185" s="11"/>
      <c r="TT185" s="11"/>
      <c r="TU185" s="11"/>
      <c r="TV185" s="11"/>
      <c r="TW185" s="11"/>
      <c r="TX185" s="11"/>
      <c r="TY185" s="11"/>
      <c r="TZ185" s="11"/>
      <c r="UA185" s="11"/>
      <c r="UB185" s="11"/>
      <c r="UC185" s="11"/>
      <c r="UD185" s="11"/>
      <c r="UE185" s="11"/>
      <c r="UF185" s="11"/>
      <c r="UG185" s="11"/>
      <c r="UH185" s="11"/>
      <c r="UI185" s="11"/>
      <c r="UJ185" s="11"/>
      <c r="UK185" s="11"/>
      <c r="UL185" s="11"/>
      <c r="UM185" s="11"/>
      <c r="UN185" s="11"/>
      <c r="UO185" s="11"/>
      <c r="UP185" s="11"/>
      <c r="UQ185" s="11"/>
      <c r="UR185" s="11"/>
      <c r="US185" s="11"/>
      <c r="UT185" s="11"/>
      <c r="UU185" s="11"/>
      <c r="UV185" s="11"/>
      <c r="UW185" s="11"/>
      <c r="UX185" s="11"/>
      <c r="UY185" s="11"/>
      <c r="UZ185" s="11"/>
      <c r="VA185" s="11"/>
      <c r="VB185" s="11"/>
      <c r="VC185" s="11"/>
      <c r="VD185" s="11"/>
      <c r="VE185" s="11"/>
      <c r="VF185" s="11"/>
      <c r="VG185" s="11"/>
      <c r="VH185" s="11"/>
      <c r="VI185" s="11"/>
      <c r="VJ185" s="11"/>
      <c r="VK185" s="11"/>
      <c r="VL185" s="11"/>
      <c r="VM185" s="11"/>
      <c r="VN185" s="11"/>
      <c r="VO185" s="11"/>
      <c r="VP185" s="11"/>
      <c r="VQ185" s="11"/>
      <c r="VR185" s="11"/>
      <c r="VS185" s="11"/>
      <c r="VT185" s="11"/>
      <c r="VU185" s="11"/>
      <c r="VV185" s="11"/>
      <c r="VW185" s="11"/>
      <c r="VX185" s="11"/>
      <c r="VY185" s="11"/>
      <c r="VZ185" s="11"/>
      <c r="WA185" s="11"/>
      <c r="WB185" s="11"/>
      <c r="WC185" s="11"/>
      <c r="WD185" s="11"/>
      <c r="WE185" s="11"/>
      <c r="WF185" s="11"/>
      <c r="WG185" s="11"/>
      <c r="WH185" s="11"/>
      <c r="WI185" s="11"/>
      <c r="WJ185" s="11"/>
      <c r="WK185" s="11"/>
      <c r="WL185" s="11"/>
      <c r="WM185" s="11"/>
      <c r="WN185" s="11"/>
      <c r="WO185" s="11"/>
      <c r="WP185" s="11"/>
      <c r="WQ185" s="11"/>
      <c r="WR185" s="11"/>
      <c r="WS185" s="11"/>
      <c r="WT185" s="11"/>
      <c r="WU185" s="11"/>
      <c r="WV185" s="11"/>
      <c r="WW185" s="11"/>
      <c r="WX185" s="11"/>
      <c r="WY185" s="11"/>
      <c r="WZ185" s="11"/>
      <c r="XA185" s="11"/>
      <c r="XB185" s="11"/>
      <c r="XC185" s="11"/>
      <c r="XD185" s="11"/>
      <c r="XE185" s="11"/>
      <c r="XF185" s="11"/>
      <c r="XG185" s="11"/>
      <c r="XH185" s="11"/>
      <c r="XI185" s="11"/>
      <c r="XJ185" s="11"/>
      <c r="XK185" s="11"/>
      <c r="XL185" s="11"/>
      <c r="XM185" s="11"/>
      <c r="XN185" s="11"/>
      <c r="XO185" s="11"/>
      <c r="XP185" s="11"/>
      <c r="XQ185" s="11"/>
      <c r="XR185" s="11"/>
      <c r="XS185" s="11"/>
      <c r="XT185" s="11"/>
      <c r="XU185" s="11"/>
      <c r="XV185" s="11"/>
      <c r="XW185" s="11"/>
      <c r="XX185" s="11"/>
      <c r="XY185" s="11"/>
      <c r="XZ185" s="11"/>
      <c r="YA185" s="11"/>
      <c r="YB185" s="11"/>
      <c r="YC185" s="11"/>
      <c r="YD185" s="11"/>
      <c r="YE185" s="11"/>
      <c r="YF185" s="11"/>
      <c r="YG185" s="11"/>
      <c r="YH185" s="11"/>
      <c r="YI185" s="11"/>
      <c r="YJ185" s="11"/>
      <c r="YK185" s="11"/>
      <c r="YL185" s="11"/>
      <c r="YM185" s="11"/>
      <c r="YN185" s="11"/>
      <c r="YO185" s="11"/>
      <c r="YP185" s="11"/>
      <c r="YQ185" s="11"/>
      <c r="YR185" s="11"/>
      <c r="YS185" s="11"/>
      <c r="YT185" s="11"/>
      <c r="YU185" s="11"/>
      <c r="YV185" s="11"/>
      <c r="YW185" s="11"/>
      <c r="YX185" s="11"/>
      <c r="YY185" s="11"/>
      <c r="YZ185" s="11"/>
      <c r="ZA185" s="11"/>
      <c r="ZB185" s="11"/>
      <c r="ZC185" s="11"/>
      <c r="ZD185" s="11"/>
      <c r="ZE185" s="11"/>
      <c r="ZF185" s="11"/>
      <c r="ZG185" s="11"/>
      <c r="ZH185" s="11"/>
      <c r="ZI185" s="11"/>
      <c r="ZJ185" s="11"/>
      <c r="ZK185" s="11"/>
      <c r="ZL185" s="11"/>
      <c r="ZM185" s="11"/>
      <c r="ZN185" s="11"/>
      <c r="ZO185" s="11"/>
      <c r="ZP185" s="11"/>
      <c r="ZQ185" s="11"/>
      <c r="ZR185" s="11"/>
      <c r="ZS185" s="11"/>
      <c r="ZT185" s="11"/>
      <c r="ZU185" s="11"/>
      <c r="ZV185" s="11"/>
      <c r="ZW185" s="11"/>
      <c r="ZX185" s="11"/>
      <c r="ZY185" s="11"/>
      <c r="ZZ185" s="11"/>
      <c r="AAA185" s="11"/>
      <c r="AAB185" s="11"/>
      <c r="AAC185" s="11"/>
      <c r="AAD185" s="11"/>
      <c r="AAE185" s="11"/>
      <c r="AAF185" s="11"/>
      <c r="AAG185" s="11"/>
      <c r="AAH185" s="11"/>
      <c r="AAI185" s="11"/>
      <c r="AAJ185" s="11"/>
      <c r="AAK185" s="11"/>
      <c r="AAL185" s="11"/>
      <c r="AAM185" s="11"/>
      <c r="AAN185" s="11"/>
      <c r="AAO185" s="11"/>
      <c r="AAP185" s="11"/>
      <c r="AAQ185" s="11"/>
      <c r="AAR185" s="11"/>
      <c r="AAS185" s="11"/>
      <c r="AAT185" s="11"/>
      <c r="AAU185" s="11"/>
      <c r="AAV185" s="11"/>
      <c r="AAW185" s="11"/>
      <c r="AAX185" s="11"/>
      <c r="AAY185" s="11"/>
      <c r="AAZ185" s="11"/>
      <c r="ABA185" s="11"/>
      <c r="ABB185" s="11"/>
      <c r="ABC185" s="11"/>
      <c r="ABD185" s="11"/>
      <c r="ABE185" s="11"/>
      <c r="ABF185" s="11"/>
      <c r="ABG185" s="11"/>
      <c r="ABH185" s="11"/>
      <c r="ABI185" s="11"/>
      <c r="ABJ185" s="11"/>
      <c r="ABK185" s="11"/>
      <c r="ABL185" s="11"/>
      <c r="ABM185" s="11"/>
      <c r="ABN185" s="11"/>
      <c r="ABO185" s="11"/>
      <c r="ABP185" s="11"/>
      <c r="ABQ185" s="11"/>
      <c r="ABR185" s="11"/>
      <c r="ABS185" s="11"/>
      <c r="ABT185" s="11"/>
      <c r="ABU185" s="11"/>
      <c r="ABV185" s="11"/>
      <c r="ABW185" s="11"/>
      <c r="ABX185" s="11"/>
      <c r="ABY185" s="11"/>
      <c r="ABZ185" s="11"/>
      <c r="ACA185" s="11"/>
      <c r="ACB185" s="11"/>
      <c r="ACC185" s="11"/>
      <c r="ACD185" s="11"/>
      <c r="ACE185" s="11"/>
      <c r="ACF185" s="11"/>
      <c r="ACG185" s="11"/>
      <c r="ACH185" s="11"/>
      <c r="ACI185" s="11"/>
      <c r="ACJ185" s="11"/>
      <c r="ACK185" s="11"/>
      <c r="ACL185" s="11"/>
      <c r="ACM185" s="11"/>
      <c r="ACN185" s="11"/>
      <c r="ACO185" s="11"/>
      <c r="ACP185" s="11"/>
      <c r="ACQ185" s="11"/>
      <c r="ACR185" s="11"/>
      <c r="ACS185" s="11"/>
      <c r="ACT185" s="11"/>
      <c r="ACU185" s="11"/>
      <c r="ACV185" s="11"/>
      <c r="ACW185" s="11"/>
      <c r="ACX185" s="11"/>
      <c r="ACY185" s="11"/>
      <c r="ACZ185" s="11"/>
      <c r="ADA185" s="11"/>
      <c r="ADB185" s="11"/>
      <c r="ADC185" s="11"/>
      <c r="ADD185" s="11"/>
      <c r="ADE185" s="11"/>
      <c r="ADF185" s="11"/>
      <c r="ADG185" s="11"/>
      <c r="ADH185" s="11"/>
      <c r="ADI185" s="11"/>
      <c r="ADJ185" s="11"/>
      <c r="ADK185" s="11"/>
      <c r="ADL185" s="11"/>
      <c r="ADM185" s="11"/>
      <c r="ADN185" s="11"/>
      <c r="ADO185" s="11"/>
      <c r="ADP185" s="11"/>
      <c r="ADQ185" s="11"/>
      <c r="ADR185" s="11"/>
      <c r="ADS185" s="11"/>
      <c r="ADT185" s="11"/>
      <c r="ADU185" s="11"/>
      <c r="ADV185" s="11"/>
      <c r="ADW185" s="11"/>
      <c r="ADX185" s="11"/>
      <c r="ADY185" s="11"/>
      <c r="ADZ185" s="11"/>
      <c r="AEA185" s="11"/>
      <c r="AEB185" s="11"/>
      <c r="AEC185" s="11"/>
      <c r="AED185" s="11"/>
      <c r="AEE185" s="11"/>
      <c r="AEF185" s="11"/>
      <c r="AEG185" s="11"/>
      <c r="AEH185" s="11"/>
      <c r="AEI185" s="11"/>
      <c r="AEJ185" s="11"/>
      <c r="AEK185" s="11"/>
      <c r="AEL185" s="11"/>
      <c r="AEM185" s="11"/>
      <c r="AEN185" s="11"/>
      <c r="AEO185" s="11"/>
      <c r="AEP185" s="11"/>
      <c r="AEQ185" s="11"/>
      <c r="AER185" s="11"/>
      <c r="AES185" s="11"/>
      <c r="AET185" s="11"/>
      <c r="AEU185" s="11"/>
      <c r="AEV185" s="11"/>
      <c r="AEW185" s="11"/>
      <c r="AEX185" s="11"/>
      <c r="AEY185" s="11"/>
      <c r="AEZ185" s="11"/>
      <c r="AFA185" s="11"/>
      <c r="AFB185" s="11"/>
      <c r="AFC185" s="11"/>
      <c r="AFD185" s="11"/>
      <c r="AFE185" s="11"/>
      <c r="AFF185" s="11"/>
      <c r="AFG185" s="11"/>
      <c r="AFH185" s="11"/>
      <c r="AFI185" s="11"/>
    </row>
    <row r="186" spans="2:84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1"/>
      <c r="LV186" s="11"/>
      <c r="LW186" s="11"/>
      <c r="LX186" s="11"/>
      <c r="LY186" s="11"/>
      <c r="LZ186" s="11"/>
      <c r="MA186" s="11"/>
      <c r="MB186" s="11"/>
      <c r="MC186" s="11"/>
      <c r="MD186" s="11"/>
      <c r="ME186" s="11"/>
      <c r="MF186" s="11"/>
      <c r="MG186" s="11"/>
      <c r="MH186" s="11"/>
      <c r="MI186" s="11"/>
      <c r="MJ186" s="11"/>
      <c r="MK186" s="11"/>
      <c r="ML186" s="11"/>
      <c r="MM186" s="11"/>
      <c r="MN186" s="11"/>
      <c r="MO186" s="11"/>
      <c r="MP186" s="11"/>
      <c r="MQ186" s="11"/>
      <c r="MR186" s="11"/>
      <c r="MS186" s="11"/>
      <c r="MT186" s="11"/>
      <c r="MU186" s="11"/>
      <c r="MV186" s="11"/>
      <c r="MW186" s="11"/>
      <c r="MX186" s="11"/>
      <c r="MY186" s="11"/>
      <c r="MZ186" s="11"/>
      <c r="NA186" s="11"/>
      <c r="NB186" s="11"/>
      <c r="NC186" s="11"/>
      <c r="ND186" s="11"/>
      <c r="NE186" s="11"/>
      <c r="NF186" s="11"/>
      <c r="NG186" s="11"/>
      <c r="NH186" s="11"/>
      <c r="NI186" s="11"/>
      <c r="NJ186" s="11"/>
      <c r="NK186" s="11"/>
      <c r="NL186" s="11"/>
      <c r="NM186" s="11"/>
      <c r="NN186" s="11"/>
      <c r="NO186" s="11"/>
      <c r="NP186" s="11"/>
      <c r="NQ186" s="11"/>
      <c r="NR186" s="11"/>
      <c r="NS186" s="11"/>
      <c r="NT186" s="11"/>
      <c r="NU186" s="11"/>
      <c r="NV186" s="11"/>
      <c r="NW186" s="11"/>
      <c r="NX186" s="11"/>
      <c r="NY186" s="11"/>
      <c r="NZ186" s="11"/>
      <c r="OA186" s="11"/>
      <c r="OB186" s="11"/>
      <c r="OC186" s="11"/>
      <c r="OD186" s="11"/>
      <c r="OE186" s="11"/>
      <c r="OF186" s="11"/>
      <c r="OG186" s="11"/>
      <c r="OH186" s="11"/>
      <c r="OI186" s="11"/>
      <c r="OJ186" s="11"/>
      <c r="OK186" s="11"/>
      <c r="OL186" s="11"/>
      <c r="OM186" s="11"/>
      <c r="ON186" s="11"/>
      <c r="OO186" s="11"/>
      <c r="OP186" s="11"/>
      <c r="OQ186" s="11"/>
      <c r="OR186" s="11"/>
      <c r="OS186" s="11"/>
      <c r="OT186" s="11"/>
      <c r="OU186" s="11"/>
      <c r="OV186" s="11"/>
      <c r="OW186" s="11"/>
      <c r="OX186" s="11"/>
      <c r="OY186" s="11"/>
      <c r="OZ186" s="11"/>
      <c r="PA186" s="11"/>
      <c r="PB186" s="11"/>
      <c r="PC186" s="11"/>
      <c r="PD186" s="11"/>
      <c r="PE186" s="11"/>
      <c r="PF186" s="11"/>
      <c r="PG186" s="11"/>
      <c r="PH186" s="11"/>
      <c r="PI186" s="11"/>
      <c r="PJ186" s="11"/>
      <c r="PK186" s="11"/>
      <c r="PL186" s="11"/>
      <c r="PM186" s="11"/>
      <c r="PN186" s="11"/>
      <c r="PO186" s="11"/>
      <c r="PP186" s="11"/>
      <c r="PQ186" s="11"/>
      <c r="PR186" s="11"/>
      <c r="PS186" s="11"/>
      <c r="PT186" s="11"/>
      <c r="PU186" s="11"/>
      <c r="PV186" s="11"/>
      <c r="PW186" s="11"/>
      <c r="PX186" s="11"/>
      <c r="PY186" s="11"/>
      <c r="PZ186" s="11"/>
      <c r="QA186" s="11"/>
      <c r="QB186" s="11"/>
      <c r="QC186" s="11"/>
      <c r="QD186" s="11"/>
      <c r="QE186" s="11"/>
      <c r="QF186" s="11"/>
      <c r="QG186" s="11"/>
      <c r="QH186" s="11"/>
      <c r="QI186" s="11"/>
      <c r="QJ186" s="11"/>
      <c r="QK186" s="11"/>
      <c r="QL186" s="11"/>
      <c r="QM186" s="11"/>
      <c r="QN186" s="11"/>
      <c r="QO186" s="11"/>
      <c r="QP186" s="11"/>
      <c r="QQ186" s="11"/>
      <c r="QR186" s="11"/>
      <c r="QS186" s="11"/>
      <c r="QT186" s="11"/>
      <c r="QU186" s="11"/>
      <c r="QV186" s="11"/>
      <c r="QW186" s="11"/>
      <c r="QX186" s="11"/>
      <c r="QY186" s="11"/>
      <c r="QZ186" s="11"/>
      <c r="RA186" s="11"/>
      <c r="RB186" s="11"/>
      <c r="RC186" s="11"/>
      <c r="RD186" s="11"/>
      <c r="RE186" s="11"/>
      <c r="RF186" s="11"/>
      <c r="RG186" s="11"/>
      <c r="RH186" s="11"/>
      <c r="RI186" s="11"/>
      <c r="RJ186" s="11"/>
      <c r="RK186" s="11"/>
      <c r="RL186" s="11"/>
      <c r="RM186" s="11"/>
      <c r="RN186" s="11"/>
      <c r="RO186" s="11"/>
      <c r="RP186" s="11"/>
      <c r="RQ186" s="11"/>
      <c r="RR186" s="11"/>
      <c r="RS186" s="11"/>
      <c r="RT186" s="11"/>
      <c r="RU186" s="11"/>
      <c r="RV186" s="11"/>
      <c r="RW186" s="11"/>
      <c r="RX186" s="11"/>
      <c r="RY186" s="11"/>
      <c r="RZ186" s="11"/>
      <c r="SA186" s="11"/>
      <c r="SB186" s="11"/>
      <c r="SC186" s="11"/>
      <c r="SD186" s="11"/>
      <c r="SE186" s="11"/>
      <c r="SF186" s="11"/>
      <c r="SG186" s="11"/>
      <c r="SH186" s="11"/>
      <c r="SI186" s="11"/>
      <c r="SJ186" s="11"/>
      <c r="SK186" s="11"/>
      <c r="SL186" s="11"/>
      <c r="SM186" s="11"/>
      <c r="SN186" s="11"/>
      <c r="SO186" s="11"/>
      <c r="SP186" s="11"/>
      <c r="SQ186" s="11"/>
      <c r="SR186" s="11"/>
      <c r="SS186" s="11"/>
      <c r="ST186" s="11"/>
      <c r="SU186" s="11"/>
      <c r="SV186" s="11"/>
      <c r="SW186" s="11"/>
      <c r="SX186" s="11"/>
      <c r="SY186" s="11"/>
      <c r="SZ186" s="11"/>
      <c r="TA186" s="11"/>
      <c r="TB186" s="11"/>
      <c r="TC186" s="11"/>
      <c r="TD186" s="11"/>
      <c r="TE186" s="11"/>
      <c r="TF186" s="11"/>
      <c r="TG186" s="11"/>
      <c r="TH186" s="11"/>
      <c r="TI186" s="11"/>
      <c r="TJ186" s="11"/>
      <c r="TK186" s="11"/>
      <c r="TL186" s="11"/>
      <c r="TM186" s="11"/>
      <c r="TN186" s="11"/>
      <c r="TO186" s="11"/>
      <c r="TP186" s="11"/>
      <c r="TQ186" s="11"/>
      <c r="TR186" s="11"/>
      <c r="TS186" s="11"/>
      <c r="TT186" s="11"/>
      <c r="TU186" s="11"/>
      <c r="TV186" s="11"/>
      <c r="TW186" s="11"/>
      <c r="TX186" s="11"/>
      <c r="TY186" s="11"/>
      <c r="TZ186" s="11"/>
      <c r="UA186" s="11"/>
      <c r="UB186" s="11"/>
      <c r="UC186" s="11"/>
      <c r="UD186" s="11"/>
      <c r="UE186" s="11"/>
      <c r="UF186" s="11"/>
      <c r="UG186" s="11"/>
      <c r="UH186" s="11"/>
      <c r="UI186" s="11"/>
      <c r="UJ186" s="11"/>
      <c r="UK186" s="11"/>
      <c r="UL186" s="11"/>
      <c r="UM186" s="11"/>
      <c r="UN186" s="11"/>
      <c r="UO186" s="11"/>
      <c r="UP186" s="11"/>
      <c r="UQ186" s="11"/>
      <c r="UR186" s="11"/>
      <c r="US186" s="11"/>
      <c r="UT186" s="11"/>
      <c r="UU186" s="11"/>
      <c r="UV186" s="11"/>
      <c r="UW186" s="11"/>
      <c r="UX186" s="11"/>
      <c r="UY186" s="11"/>
      <c r="UZ186" s="11"/>
      <c r="VA186" s="11"/>
      <c r="VB186" s="11"/>
      <c r="VC186" s="11"/>
      <c r="VD186" s="11"/>
      <c r="VE186" s="11"/>
      <c r="VF186" s="11"/>
      <c r="VG186" s="11"/>
      <c r="VH186" s="11"/>
      <c r="VI186" s="11"/>
      <c r="VJ186" s="11"/>
      <c r="VK186" s="11"/>
      <c r="VL186" s="11"/>
      <c r="VM186" s="11"/>
      <c r="VN186" s="11"/>
      <c r="VO186" s="11"/>
      <c r="VP186" s="11"/>
      <c r="VQ186" s="11"/>
      <c r="VR186" s="11"/>
      <c r="VS186" s="11"/>
      <c r="VT186" s="11"/>
      <c r="VU186" s="11"/>
      <c r="VV186" s="11"/>
      <c r="VW186" s="11"/>
      <c r="VX186" s="11"/>
      <c r="VY186" s="11"/>
      <c r="VZ186" s="11"/>
      <c r="WA186" s="11"/>
      <c r="WB186" s="11"/>
      <c r="WC186" s="11"/>
      <c r="WD186" s="11"/>
      <c r="WE186" s="11"/>
      <c r="WF186" s="11"/>
      <c r="WG186" s="11"/>
      <c r="WH186" s="11"/>
      <c r="WI186" s="11"/>
      <c r="WJ186" s="11"/>
      <c r="WK186" s="11"/>
      <c r="WL186" s="11"/>
      <c r="WM186" s="11"/>
      <c r="WN186" s="11"/>
      <c r="WO186" s="11"/>
      <c r="WP186" s="11"/>
      <c r="WQ186" s="11"/>
      <c r="WR186" s="11"/>
      <c r="WS186" s="11"/>
      <c r="WT186" s="11"/>
      <c r="WU186" s="11"/>
      <c r="WV186" s="11"/>
      <c r="WW186" s="11"/>
      <c r="WX186" s="11"/>
      <c r="WY186" s="11"/>
      <c r="WZ186" s="11"/>
      <c r="XA186" s="11"/>
      <c r="XB186" s="11"/>
      <c r="XC186" s="11"/>
      <c r="XD186" s="11"/>
      <c r="XE186" s="11"/>
      <c r="XF186" s="11"/>
      <c r="XG186" s="11"/>
      <c r="XH186" s="11"/>
      <c r="XI186" s="11"/>
      <c r="XJ186" s="11"/>
      <c r="XK186" s="11"/>
      <c r="XL186" s="11"/>
      <c r="XM186" s="11"/>
      <c r="XN186" s="11"/>
      <c r="XO186" s="11"/>
      <c r="XP186" s="11"/>
      <c r="XQ186" s="11"/>
      <c r="XR186" s="11"/>
      <c r="XS186" s="11"/>
      <c r="XT186" s="11"/>
      <c r="XU186" s="11"/>
      <c r="XV186" s="11"/>
      <c r="XW186" s="11"/>
      <c r="XX186" s="11"/>
      <c r="XY186" s="11"/>
      <c r="XZ186" s="11"/>
      <c r="YA186" s="11"/>
      <c r="YB186" s="11"/>
      <c r="YC186" s="11"/>
      <c r="YD186" s="11"/>
      <c r="YE186" s="11"/>
      <c r="YF186" s="11"/>
      <c r="YG186" s="11"/>
      <c r="YH186" s="11"/>
      <c r="YI186" s="11"/>
      <c r="YJ186" s="11"/>
      <c r="YK186" s="11"/>
      <c r="YL186" s="11"/>
      <c r="YM186" s="11"/>
      <c r="YN186" s="11"/>
      <c r="YO186" s="11"/>
      <c r="YP186" s="11"/>
      <c r="YQ186" s="11"/>
      <c r="YR186" s="11"/>
      <c r="YS186" s="11"/>
      <c r="YT186" s="11"/>
      <c r="YU186" s="11"/>
      <c r="YV186" s="11"/>
      <c r="YW186" s="11"/>
      <c r="YX186" s="11"/>
      <c r="YY186" s="11"/>
      <c r="YZ186" s="11"/>
      <c r="ZA186" s="11"/>
      <c r="ZB186" s="11"/>
      <c r="ZC186" s="11"/>
      <c r="ZD186" s="11"/>
      <c r="ZE186" s="11"/>
      <c r="ZF186" s="11"/>
      <c r="ZG186" s="11"/>
      <c r="ZH186" s="11"/>
      <c r="ZI186" s="11"/>
      <c r="ZJ186" s="11"/>
      <c r="ZK186" s="11"/>
      <c r="ZL186" s="11"/>
      <c r="ZM186" s="11"/>
      <c r="ZN186" s="11"/>
      <c r="ZO186" s="11"/>
      <c r="ZP186" s="11"/>
      <c r="ZQ186" s="11"/>
      <c r="ZR186" s="11"/>
      <c r="ZS186" s="11"/>
      <c r="ZT186" s="11"/>
      <c r="ZU186" s="11"/>
      <c r="ZV186" s="11"/>
      <c r="ZW186" s="11"/>
      <c r="ZX186" s="11"/>
      <c r="ZY186" s="11"/>
      <c r="ZZ186" s="11"/>
      <c r="AAA186" s="11"/>
      <c r="AAB186" s="11"/>
      <c r="AAC186" s="11"/>
      <c r="AAD186" s="11"/>
      <c r="AAE186" s="11"/>
      <c r="AAF186" s="11"/>
      <c r="AAG186" s="11"/>
      <c r="AAH186" s="11"/>
      <c r="AAI186" s="11"/>
      <c r="AAJ186" s="11"/>
      <c r="AAK186" s="11"/>
      <c r="AAL186" s="11"/>
      <c r="AAM186" s="11"/>
      <c r="AAN186" s="11"/>
      <c r="AAO186" s="11"/>
      <c r="AAP186" s="11"/>
      <c r="AAQ186" s="11"/>
      <c r="AAR186" s="11"/>
      <c r="AAS186" s="11"/>
      <c r="AAT186" s="11"/>
      <c r="AAU186" s="11"/>
      <c r="AAV186" s="11"/>
      <c r="AAW186" s="11"/>
      <c r="AAX186" s="11"/>
      <c r="AAY186" s="11"/>
      <c r="AAZ186" s="11"/>
      <c r="ABA186" s="11"/>
      <c r="ABB186" s="11"/>
      <c r="ABC186" s="11"/>
      <c r="ABD186" s="11"/>
      <c r="ABE186" s="11"/>
      <c r="ABF186" s="11"/>
      <c r="ABG186" s="11"/>
      <c r="ABH186" s="11"/>
      <c r="ABI186" s="11"/>
      <c r="ABJ186" s="11"/>
      <c r="ABK186" s="11"/>
      <c r="ABL186" s="11"/>
      <c r="ABM186" s="11"/>
      <c r="ABN186" s="11"/>
      <c r="ABO186" s="11"/>
      <c r="ABP186" s="11"/>
      <c r="ABQ186" s="11"/>
      <c r="ABR186" s="11"/>
      <c r="ABS186" s="11"/>
      <c r="ABT186" s="11"/>
      <c r="ABU186" s="11"/>
      <c r="ABV186" s="11"/>
      <c r="ABW186" s="11"/>
      <c r="ABX186" s="11"/>
      <c r="ABY186" s="11"/>
      <c r="ABZ186" s="11"/>
      <c r="ACA186" s="11"/>
      <c r="ACB186" s="11"/>
      <c r="ACC186" s="11"/>
      <c r="ACD186" s="11"/>
      <c r="ACE186" s="11"/>
      <c r="ACF186" s="11"/>
      <c r="ACG186" s="11"/>
      <c r="ACH186" s="11"/>
      <c r="ACI186" s="11"/>
      <c r="ACJ186" s="11"/>
      <c r="ACK186" s="11"/>
      <c r="ACL186" s="11"/>
      <c r="ACM186" s="11"/>
      <c r="ACN186" s="11"/>
      <c r="ACO186" s="11"/>
      <c r="ACP186" s="11"/>
      <c r="ACQ186" s="11"/>
      <c r="ACR186" s="11"/>
      <c r="ACS186" s="11"/>
      <c r="ACT186" s="11"/>
      <c r="ACU186" s="11"/>
      <c r="ACV186" s="11"/>
      <c r="ACW186" s="11"/>
      <c r="ACX186" s="11"/>
      <c r="ACY186" s="11"/>
      <c r="ACZ186" s="11"/>
      <c r="ADA186" s="11"/>
      <c r="ADB186" s="11"/>
      <c r="ADC186" s="11"/>
      <c r="ADD186" s="11"/>
      <c r="ADE186" s="11"/>
      <c r="ADF186" s="11"/>
      <c r="ADG186" s="11"/>
      <c r="ADH186" s="11"/>
      <c r="ADI186" s="11"/>
      <c r="ADJ186" s="11"/>
      <c r="ADK186" s="11"/>
      <c r="ADL186" s="11"/>
      <c r="ADM186" s="11"/>
      <c r="ADN186" s="11"/>
      <c r="ADO186" s="11"/>
      <c r="ADP186" s="11"/>
      <c r="ADQ186" s="11"/>
      <c r="ADR186" s="11"/>
      <c r="ADS186" s="11"/>
      <c r="ADT186" s="11"/>
      <c r="ADU186" s="11"/>
      <c r="ADV186" s="11"/>
      <c r="ADW186" s="11"/>
      <c r="ADX186" s="11"/>
      <c r="ADY186" s="11"/>
      <c r="ADZ186" s="11"/>
      <c r="AEA186" s="11"/>
      <c r="AEB186" s="11"/>
      <c r="AEC186" s="11"/>
      <c r="AED186" s="11"/>
      <c r="AEE186" s="11"/>
      <c r="AEF186" s="11"/>
      <c r="AEG186" s="11"/>
      <c r="AEH186" s="11"/>
      <c r="AEI186" s="11"/>
      <c r="AEJ186" s="11"/>
      <c r="AEK186" s="11"/>
      <c r="AEL186" s="11"/>
      <c r="AEM186" s="11"/>
      <c r="AEN186" s="11"/>
      <c r="AEO186" s="11"/>
      <c r="AEP186" s="11"/>
      <c r="AEQ186" s="11"/>
      <c r="AER186" s="11"/>
      <c r="AES186" s="11"/>
      <c r="AET186" s="11"/>
      <c r="AEU186" s="11"/>
      <c r="AEV186" s="11"/>
      <c r="AEW186" s="11"/>
      <c r="AEX186" s="11"/>
      <c r="AEY186" s="11"/>
      <c r="AEZ186" s="11"/>
      <c r="AFA186" s="11"/>
      <c r="AFB186" s="11"/>
      <c r="AFC186" s="11"/>
      <c r="AFD186" s="11"/>
      <c r="AFE186" s="11"/>
      <c r="AFF186" s="11"/>
      <c r="AFG186" s="11"/>
      <c r="AFH186" s="11"/>
      <c r="AFI186" s="11"/>
    </row>
    <row r="187" spans="2:84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1"/>
      <c r="LV187" s="11"/>
      <c r="LW187" s="11"/>
      <c r="LX187" s="11"/>
      <c r="LY187" s="11"/>
      <c r="LZ187" s="11"/>
      <c r="MA187" s="11"/>
      <c r="MB187" s="11"/>
      <c r="MC187" s="11"/>
      <c r="MD187" s="11"/>
      <c r="ME187" s="11"/>
      <c r="MF187" s="11"/>
      <c r="MG187" s="11"/>
      <c r="MH187" s="11"/>
      <c r="MI187" s="11"/>
      <c r="MJ187" s="11"/>
      <c r="MK187" s="11"/>
      <c r="ML187" s="11"/>
      <c r="MM187" s="11"/>
      <c r="MN187" s="11"/>
      <c r="MO187" s="11"/>
      <c r="MP187" s="11"/>
      <c r="MQ187" s="11"/>
      <c r="MR187" s="11"/>
      <c r="MS187" s="11"/>
      <c r="MT187" s="11"/>
      <c r="MU187" s="11"/>
      <c r="MV187" s="11"/>
      <c r="MW187" s="11"/>
      <c r="MX187" s="11"/>
      <c r="MY187" s="11"/>
      <c r="MZ187" s="11"/>
      <c r="NA187" s="11"/>
      <c r="NB187" s="11"/>
      <c r="NC187" s="11"/>
      <c r="ND187" s="11"/>
      <c r="NE187" s="11"/>
      <c r="NF187" s="11"/>
      <c r="NG187" s="11"/>
      <c r="NH187" s="11"/>
      <c r="NI187" s="11"/>
      <c r="NJ187" s="11"/>
      <c r="NK187" s="11"/>
      <c r="NL187" s="11"/>
      <c r="NM187" s="11"/>
      <c r="NN187" s="11"/>
      <c r="NO187" s="11"/>
      <c r="NP187" s="11"/>
      <c r="NQ187" s="11"/>
      <c r="NR187" s="11"/>
      <c r="NS187" s="11"/>
      <c r="NT187" s="11"/>
      <c r="NU187" s="11"/>
      <c r="NV187" s="11"/>
      <c r="NW187" s="11"/>
      <c r="NX187" s="11"/>
      <c r="NY187" s="11"/>
      <c r="NZ187" s="11"/>
      <c r="OA187" s="11"/>
      <c r="OB187" s="11"/>
      <c r="OC187" s="11"/>
      <c r="OD187" s="11"/>
      <c r="OE187" s="11"/>
      <c r="OF187" s="11"/>
      <c r="OG187" s="11"/>
      <c r="OH187" s="11"/>
      <c r="OI187" s="11"/>
      <c r="OJ187" s="11"/>
      <c r="OK187" s="11"/>
      <c r="OL187" s="11"/>
      <c r="OM187" s="11"/>
      <c r="ON187" s="11"/>
      <c r="OO187" s="11"/>
      <c r="OP187" s="11"/>
      <c r="OQ187" s="11"/>
      <c r="OR187" s="11"/>
      <c r="OS187" s="11"/>
      <c r="OT187" s="11"/>
      <c r="OU187" s="11"/>
      <c r="OV187" s="11"/>
      <c r="OW187" s="11"/>
      <c r="OX187" s="11"/>
      <c r="OY187" s="11"/>
      <c r="OZ187" s="11"/>
      <c r="PA187" s="11"/>
      <c r="PB187" s="11"/>
      <c r="PC187" s="11"/>
      <c r="PD187" s="11"/>
      <c r="PE187" s="11"/>
      <c r="PF187" s="11"/>
      <c r="PG187" s="11"/>
      <c r="PH187" s="11"/>
      <c r="PI187" s="11"/>
      <c r="PJ187" s="11"/>
      <c r="PK187" s="11"/>
      <c r="PL187" s="11"/>
      <c r="PM187" s="11"/>
      <c r="PN187" s="11"/>
      <c r="PO187" s="11"/>
      <c r="PP187" s="11"/>
      <c r="PQ187" s="11"/>
      <c r="PR187" s="11"/>
      <c r="PS187" s="11"/>
      <c r="PT187" s="11"/>
      <c r="PU187" s="11"/>
      <c r="PV187" s="11"/>
      <c r="PW187" s="11"/>
      <c r="PX187" s="11"/>
      <c r="PY187" s="11"/>
      <c r="PZ187" s="11"/>
      <c r="QA187" s="11"/>
      <c r="QB187" s="11"/>
      <c r="QC187" s="11"/>
      <c r="QD187" s="11"/>
      <c r="QE187" s="11"/>
      <c r="QF187" s="11"/>
      <c r="QG187" s="11"/>
      <c r="QH187" s="11"/>
      <c r="QI187" s="11"/>
      <c r="QJ187" s="11"/>
      <c r="QK187" s="11"/>
      <c r="QL187" s="11"/>
      <c r="QM187" s="11"/>
      <c r="QN187" s="11"/>
      <c r="QO187" s="11"/>
      <c r="QP187" s="11"/>
      <c r="QQ187" s="11"/>
      <c r="QR187" s="11"/>
      <c r="QS187" s="11"/>
      <c r="QT187" s="11"/>
      <c r="QU187" s="11"/>
      <c r="QV187" s="11"/>
      <c r="QW187" s="11"/>
      <c r="QX187" s="11"/>
      <c r="QY187" s="11"/>
      <c r="QZ187" s="11"/>
      <c r="RA187" s="11"/>
      <c r="RB187" s="11"/>
      <c r="RC187" s="11"/>
      <c r="RD187" s="11"/>
      <c r="RE187" s="11"/>
      <c r="RF187" s="11"/>
      <c r="RG187" s="11"/>
      <c r="RH187" s="11"/>
      <c r="RI187" s="11"/>
      <c r="RJ187" s="11"/>
      <c r="RK187" s="11"/>
      <c r="RL187" s="11"/>
      <c r="RM187" s="11"/>
      <c r="RN187" s="11"/>
      <c r="RO187" s="11"/>
      <c r="RP187" s="11"/>
      <c r="RQ187" s="11"/>
      <c r="RR187" s="11"/>
      <c r="RS187" s="11"/>
      <c r="RT187" s="11"/>
      <c r="RU187" s="11"/>
      <c r="RV187" s="11"/>
      <c r="RW187" s="11"/>
      <c r="RX187" s="11"/>
      <c r="RY187" s="11"/>
      <c r="RZ187" s="11"/>
      <c r="SA187" s="11"/>
      <c r="SB187" s="11"/>
      <c r="SC187" s="11"/>
      <c r="SD187" s="11"/>
      <c r="SE187" s="11"/>
      <c r="SF187" s="11"/>
      <c r="SG187" s="11"/>
      <c r="SH187" s="11"/>
      <c r="SI187" s="11"/>
      <c r="SJ187" s="11"/>
      <c r="SK187" s="11"/>
      <c r="SL187" s="11"/>
      <c r="SM187" s="11"/>
      <c r="SN187" s="11"/>
      <c r="SO187" s="11"/>
      <c r="SP187" s="11"/>
      <c r="SQ187" s="11"/>
      <c r="SR187" s="11"/>
      <c r="SS187" s="11"/>
      <c r="ST187" s="11"/>
      <c r="SU187" s="11"/>
      <c r="SV187" s="11"/>
      <c r="SW187" s="11"/>
      <c r="SX187" s="11"/>
      <c r="SY187" s="11"/>
      <c r="SZ187" s="11"/>
      <c r="TA187" s="11"/>
      <c r="TB187" s="11"/>
      <c r="TC187" s="11"/>
      <c r="TD187" s="11"/>
      <c r="TE187" s="11"/>
      <c r="TF187" s="11"/>
      <c r="TG187" s="11"/>
      <c r="TH187" s="11"/>
      <c r="TI187" s="11"/>
      <c r="TJ187" s="11"/>
      <c r="TK187" s="11"/>
      <c r="TL187" s="11"/>
      <c r="TM187" s="11"/>
      <c r="TN187" s="11"/>
      <c r="TO187" s="11"/>
      <c r="TP187" s="11"/>
      <c r="TQ187" s="11"/>
      <c r="TR187" s="11"/>
      <c r="TS187" s="11"/>
      <c r="TT187" s="11"/>
      <c r="TU187" s="11"/>
      <c r="TV187" s="11"/>
      <c r="TW187" s="11"/>
      <c r="TX187" s="11"/>
      <c r="TY187" s="11"/>
      <c r="TZ187" s="11"/>
      <c r="UA187" s="11"/>
      <c r="UB187" s="11"/>
      <c r="UC187" s="11"/>
      <c r="UD187" s="11"/>
      <c r="UE187" s="11"/>
      <c r="UF187" s="11"/>
      <c r="UG187" s="11"/>
      <c r="UH187" s="11"/>
      <c r="UI187" s="11"/>
      <c r="UJ187" s="11"/>
      <c r="UK187" s="11"/>
      <c r="UL187" s="11"/>
      <c r="UM187" s="11"/>
      <c r="UN187" s="11"/>
      <c r="UO187" s="11"/>
      <c r="UP187" s="11"/>
      <c r="UQ187" s="11"/>
      <c r="UR187" s="11"/>
      <c r="US187" s="11"/>
      <c r="UT187" s="11"/>
      <c r="UU187" s="11"/>
      <c r="UV187" s="11"/>
      <c r="UW187" s="11"/>
      <c r="UX187" s="11"/>
      <c r="UY187" s="11"/>
      <c r="UZ187" s="11"/>
      <c r="VA187" s="11"/>
      <c r="VB187" s="11"/>
      <c r="VC187" s="11"/>
      <c r="VD187" s="11"/>
      <c r="VE187" s="11"/>
      <c r="VF187" s="11"/>
      <c r="VG187" s="11"/>
      <c r="VH187" s="11"/>
      <c r="VI187" s="11"/>
      <c r="VJ187" s="11"/>
      <c r="VK187" s="11"/>
      <c r="VL187" s="11"/>
      <c r="VM187" s="11"/>
      <c r="VN187" s="11"/>
      <c r="VO187" s="11"/>
      <c r="VP187" s="11"/>
      <c r="VQ187" s="11"/>
      <c r="VR187" s="11"/>
      <c r="VS187" s="11"/>
      <c r="VT187" s="11"/>
      <c r="VU187" s="11"/>
      <c r="VV187" s="11"/>
      <c r="VW187" s="11"/>
      <c r="VX187" s="11"/>
      <c r="VY187" s="11"/>
      <c r="VZ187" s="11"/>
      <c r="WA187" s="11"/>
      <c r="WB187" s="11"/>
      <c r="WC187" s="11"/>
      <c r="WD187" s="11"/>
      <c r="WE187" s="11"/>
      <c r="WF187" s="11"/>
      <c r="WG187" s="11"/>
      <c r="WH187" s="11"/>
      <c r="WI187" s="11"/>
      <c r="WJ187" s="11"/>
      <c r="WK187" s="11"/>
      <c r="WL187" s="11"/>
      <c r="WM187" s="11"/>
      <c r="WN187" s="11"/>
      <c r="WO187" s="11"/>
      <c r="WP187" s="11"/>
      <c r="WQ187" s="11"/>
      <c r="WR187" s="11"/>
      <c r="WS187" s="11"/>
      <c r="WT187" s="11"/>
      <c r="WU187" s="11"/>
      <c r="WV187" s="11"/>
      <c r="WW187" s="11"/>
      <c r="WX187" s="11"/>
      <c r="WY187" s="11"/>
      <c r="WZ187" s="11"/>
      <c r="XA187" s="11"/>
      <c r="XB187" s="11"/>
      <c r="XC187" s="11"/>
      <c r="XD187" s="11"/>
      <c r="XE187" s="11"/>
      <c r="XF187" s="11"/>
      <c r="XG187" s="11"/>
      <c r="XH187" s="11"/>
      <c r="XI187" s="11"/>
      <c r="XJ187" s="11"/>
      <c r="XK187" s="11"/>
      <c r="XL187" s="11"/>
      <c r="XM187" s="11"/>
      <c r="XN187" s="11"/>
      <c r="XO187" s="11"/>
      <c r="XP187" s="11"/>
      <c r="XQ187" s="11"/>
      <c r="XR187" s="11"/>
      <c r="XS187" s="11"/>
      <c r="XT187" s="11"/>
      <c r="XU187" s="11"/>
      <c r="XV187" s="11"/>
      <c r="XW187" s="11"/>
      <c r="XX187" s="11"/>
      <c r="XY187" s="11"/>
      <c r="XZ187" s="11"/>
      <c r="YA187" s="11"/>
      <c r="YB187" s="11"/>
      <c r="YC187" s="11"/>
      <c r="YD187" s="11"/>
      <c r="YE187" s="11"/>
      <c r="YF187" s="11"/>
      <c r="YG187" s="11"/>
      <c r="YH187" s="11"/>
      <c r="YI187" s="11"/>
      <c r="YJ187" s="11"/>
      <c r="YK187" s="11"/>
      <c r="YL187" s="11"/>
      <c r="YM187" s="11"/>
      <c r="YN187" s="11"/>
      <c r="YO187" s="11"/>
      <c r="YP187" s="11"/>
      <c r="YQ187" s="11"/>
      <c r="YR187" s="11"/>
      <c r="YS187" s="11"/>
      <c r="YT187" s="11"/>
      <c r="YU187" s="11"/>
      <c r="YV187" s="11"/>
      <c r="YW187" s="11"/>
      <c r="YX187" s="11"/>
      <c r="YY187" s="11"/>
      <c r="YZ187" s="11"/>
      <c r="ZA187" s="11"/>
      <c r="ZB187" s="11"/>
      <c r="ZC187" s="11"/>
      <c r="ZD187" s="11"/>
      <c r="ZE187" s="11"/>
      <c r="ZF187" s="11"/>
      <c r="ZG187" s="11"/>
      <c r="ZH187" s="11"/>
      <c r="ZI187" s="11"/>
      <c r="ZJ187" s="11"/>
      <c r="ZK187" s="11"/>
      <c r="ZL187" s="11"/>
      <c r="ZM187" s="11"/>
      <c r="ZN187" s="11"/>
      <c r="ZO187" s="11"/>
      <c r="ZP187" s="11"/>
      <c r="ZQ187" s="11"/>
      <c r="ZR187" s="11"/>
      <c r="ZS187" s="11"/>
      <c r="ZT187" s="11"/>
      <c r="ZU187" s="11"/>
      <c r="ZV187" s="11"/>
      <c r="ZW187" s="11"/>
      <c r="ZX187" s="11"/>
      <c r="ZY187" s="11"/>
      <c r="ZZ187" s="11"/>
      <c r="AAA187" s="11"/>
      <c r="AAB187" s="11"/>
      <c r="AAC187" s="11"/>
      <c r="AAD187" s="11"/>
      <c r="AAE187" s="11"/>
      <c r="AAF187" s="11"/>
      <c r="AAG187" s="11"/>
      <c r="AAH187" s="11"/>
      <c r="AAI187" s="11"/>
      <c r="AAJ187" s="11"/>
      <c r="AAK187" s="11"/>
      <c r="AAL187" s="11"/>
      <c r="AAM187" s="11"/>
      <c r="AAN187" s="11"/>
      <c r="AAO187" s="11"/>
      <c r="AAP187" s="11"/>
      <c r="AAQ187" s="11"/>
      <c r="AAR187" s="11"/>
      <c r="AAS187" s="11"/>
      <c r="AAT187" s="11"/>
      <c r="AAU187" s="11"/>
      <c r="AAV187" s="11"/>
      <c r="AAW187" s="11"/>
      <c r="AAX187" s="11"/>
      <c r="AAY187" s="11"/>
      <c r="AAZ187" s="11"/>
      <c r="ABA187" s="11"/>
      <c r="ABB187" s="11"/>
      <c r="ABC187" s="11"/>
      <c r="ABD187" s="11"/>
      <c r="ABE187" s="11"/>
      <c r="ABF187" s="11"/>
      <c r="ABG187" s="11"/>
      <c r="ABH187" s="11"/>
      <c r="ABI187" s="11"/>
      <c r="ABJ187" s="11"/>
      <c r="ABK187" s="11"/>
      <c r="ABL187" s="11"/>
      <c r="ABM187" s="11"/>
      <c r="ABN187" s="11"/>
      <c r="ABO187" s="11"/>
      <c r="ABP187" s="11"/>
      <c r="ABQ187" s="11"/>
      <c r="ABR187" s="11"/>
      <c r="ABS187" s="11"/>
      <c r="ABT187" s="11"/>
      <c r="ABU187" s="11"/>
      <c r="ABV187" s="11"/>
      <c r="ABW187" s="11"/>
      <c r="ABX187" s="11"/>
      <c r="ABY187" s="11"/>
      <c r="ABZ187" s="11"/>
      <c r="ACA187" s="11"/>
      <c r="ACB187" s="11"/>
      <c r="ACC187" s="11"/>
      <c r="ACD187" s="11"/>
      <c r="ACE187" s="11"/>
      <c r="ACF187" s="11"/>
      <c r="ACG187" s="11"/>
      <c r="ACH187" s="11"/>
      <c r="ACI187" s="11"/>
      <c r="ACJ187" s="11"/>
      <c r="ACK187" s="11"/>
      <c r="ACL187" s="11"/>
      <c r="ACM187" s="11"/>
      <c r="ACN187" s="11"/>
      <c r="ACO187" s="11"/>
      <c r="ACP187" s="11"/>
      <c r="ACQ187" s="11"/>
      <c r="ACR187" s="11"/>
      <c r="ACS187" s="11"/>
      <c r="ACT187" s="11"/>
      <c r="ACU187" s="11"/>
      <c r="ACV187" s="11"/>
      <c r="ACW187" s="11"/>
      <c r="ACX187" s="11"/>
      <c r="ACY187" s="11"/>
      <c r="ACZ187" s="11"/>
      <c r="ADA187" s="11"/>
      <c r="ADB187" s="11"/>
      <c r="ADC187" s="11"/>
      <c r="ADD187" s="11"/>
      <c r="ADE187" s="11"/>
      <c r="ADF187" s="11"/>
      <c r="ADG187" s="11"/>
      <c r="ADH187" s="11"/>
      <c r="ADI187" s="11"/>
      <c r="ADJ187" s="11"/>
      <c r="ADK187" s="11"/>
      <c r="ADL187" s="11"/>
      <c r="ADM187" s="11"/>
      <c r="ADN187" s="11"/>
      <c r="ADO187" s="11"/>
      <c r="ADP187" s="11"/>
      <c r="ADQ187" s="11"/>
      <c r="ADR187" s="11"/>
      <c r="ADS187" s="11"/>
      <c r="ADT187" s="11"/>
      <c r="ADU187" s="11"/>
      <c r="ADV187" s="11"/>
      <c r="ADW187" s="11"/>
      <c r="ADX187" s="11"/>
      <c r="ADY187" s="11"/>
      <c r="ADZ187" s="11"/>
      <c r="AEA187" s="11"/>
      <c r="AEB187" s="11"/>
      <c r="AEC187" s="11"/>
      <c r="AED187" s="11"/>
      <c r="AEE187" s="11"/>
      <c r="AEF187" s="11"/>
      <c r="AEG187" s="11"/>
      <c r="AEH187" s="11"/>
      <c r="AEI187" s="11"/>
      <c r="AEJ187" s="11"/>
      <c r="AEK187" s="11"/>
      <c r="AEL187" s="11"/>
      <c r="AEM187" s="11"/>
      <c r="AEN187" s="11"/>
      <c r="AEO187" s="11"/>
      <c r="AEP187" s="11"/>
      <c r="AEQ187" s="11"/>
      <c r="AER187" s="11"/>
      <c r="AES187" s="11"/>
      <c r="AET187" s="11"/>
      <c r="AEU187" s="11"/>
      <c r="AEV187" s="11"/>
      <c r="AEW187" s="11"/>
      <c r="AEX187" s="11"/>
      <c r="AEY187" s="11"/>
      <c r="AEZ187" s="11"/>
      <c r="AFA187" s="11"/>
      <c r="AFB187" s="11"/>
      <c r="AFC187" s="11"/>
      <c r="AFD187" s="11"/>
      <c r="AFE187" s="11"/>
      <c r="AFF187" s="11"/>
      <c r="AFG187" s="11"/>
      <c r="AFH187" s="11"/>
      <c r="AFI187" s="11"/>
    </row>
    <row r="188" spans="2:84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1"/>
      <c r="LV188" s="11"/>
      <c r="LW188" s="11"/>
      <c r="LX188" s="11"/>
      <c r="LY188" s="11"/>
      <c r="LZ188" s="11"/>
      <c r="MA188" s="11"/>
      <c r="MB188" s="11"/>
      <c r="MC188" s="11"/>
      <c r="MD188" s="11"/>
      <c r="ME188" s="11"/>
      <c r="MF188" s="11"/>
      <c r="MG188" s="11"/>
      <c r="MH188" s="11"/>
      <c r="MI188" s="11"/>
      <c r="MJ188" s="11"/>
      <c r="MK188" s="11"/>
      <c r="ML188" s="11"/>
      <c r="MM188" s="11"/>
      <c r="MN188" s="11"/>
      <c r="MO188" s="11"/>
      <c r="MP188" s="11"/>
      <c r="MQ188" s="11"/>
      <c r="MR188" s="11"/>
      <c r="MS188" s="11"/>
      <c r="MT188" s="11"/>
      <c r="MU188" s="11"/>
      <c r="MV188" s="11"/>
      <c r="MW188" s="11"/>
      <c r="MX188" s="11"/>
      <c r="MY188" s="11"/>
      <c r="MZ188" s="11"/>
      <c r="NA188" s="11"/>
      <c r="NB188" s="11"/>
      <c r="NC188" s="11"/>
      <c r="ND188" s="11"/>
      <c r="NE188" s="11"/>
      <c r="NF188" s="11"/>
      <c r="NG188" s="11"/>
      <c r="NH188" s="11"/>
      <c r="NI188" s="11"/>
      <c r="NJ188" s="11"/>
      <c r="NK188" s="11"/>
      <c r="NL188" s="11"/>
      <c r="NM188" s="11"/>
      <c r="NN188" s="11"/>
      <c r="NO188" s="11"/>
      <c r="NP188" s="11"/>
      <c r="NQ188" s="11"/>
      <c r="NR188" s="11"/>
      <c r="NS188" s="11"/>
      <c r="NT188" s="11"/>
      <c r="NU188" s="11"/>
      <c r="NV188" s="11"/>
      <c r="NW188" s="11"/>
      <c r="NX188" s="11"/>
      <c r="NY188" s="11"/>
      <c r="NZ188" s="11"/>
      <c r="OA188" s="11"/>
      <c r="OB188" s="11"/>
      <c r="OC188" s="11"/>
      <c r="OD188" s="11"/>
      <c r="OE188" s="11"/>
      <c r="OF188" s="11"/>
      <c r="OG188" s="11"/>
      <c r="OH188" s="11"/>
      <c r="OI188" s="11"/>
      <c r="OJ188" s="11"/>
      <c r="OK188" s="11"/>
      <c r="OL188" s="11"/>
      <c r="OM188" s="11"/>
      <c r="ON188" s="11"/>
      <c r="OO188" s="11"/>
      <c r="OP188" s="11"/>
      <c r="OQ188" s="11"/>
      <c r="OR188" s="11"/>
      <c r="OS188" s="11"/>
      <c r="OT188" s="11"/>
      <c r="OU188" s="11"/>
      <c r="OV188" s="11"/>
      <c r="OW188" s="11"/>
      <c r="OX188" s="11"/>
      <c r="OY188" s="11"/>
      <c r="OZ188" s="11"/>
      <c r="PA188" s="11"/>
      <c r="PB188" s="11"/>
      <c r="PC188" s="11"/>
      <c r="PD188" s="11"/>
      <c r="PE188" s="11"/>
      <c r="PF188" s="11"/>
      <c r="PG188" s="11"/>
      <c r="PH188" s="11"/>
      <c r="PI188" s="11"/>
      <c r="PJ188" s="11"/>
      <c r="PK188" s="11"/>
      <c r="PL188" s="11"/>
      <c r="PM188" s="11"/>
      <c r="PN188" s="11"/>
      <c r="PO188" s="11"/>
      <c r="PP188" s="11"/>
      <c r="PQ188" s="11"/>
      <c r="PR188" s="11"/>
      <c r="PS188" s="11"/>
      <c r="PT188" s="11"/>
      <c r="PU188" s="11"/>
      <c r="PV188" s="11"/>
      <c r="PW188" s="11"/>
      <c r="PX188" s="11"/>
      <c r="PY188" s="11"/>
      <c r="PZ188" s="11"/>
      <c r="QA188" s="11"/>
      <c r="QB188" s="11"/>
      <c r="QC188" s="11"/>
      <c r="QD188" s="11"/>
      <c r="QE188" s="11"/>
      <c r="QF188" s="11"/>
      <c r="QG188" s="11"/>
      <c r="QH188" s="11"/>
      <c r="QI188" s="11"/>
      <c r="QJ188" s="11"/>
      <c r="QK188" s="11"/>
      <c r="QL188" s="11"/>
      <c r="QM188" s="11"/>
      <c r="QN188" s="11"/>
      <c r="QO188" s="11"/>
      <c r="QP188" s="11"/>
      <c r="QQ188" s="11"/>
      <c r="QR188" s="11"/>
      <c r="QS188" s="11"/>
      <c r="QT188" s="11"/>
      <c r="QU188" s="11"/>
      <c r="QV188" s="11"/>
      <c r="QW188" s="11"/>
      <c r="QX188" s="11"/>
      <c r="QY188" s="11"/>
      <c r="QZ188" s="11"/>
      <c r="RA188" s="11"/>
      <c r="RB188" s="11"/>
      <c r="RC188" s="11"/>
      <c r="RD188" s="11"/>
      <c r="RE188" s="11"/>
      <c r="RF188" s="11"/>
      <c r="RG188" s="11"/>
      <c r="RH188" s="11"/>
      <c r="RI188" s="11"/>
      <c r="RJ188" s="11"/>
      <c r="RK188" s="11"/>
      <c r="RL188" s="11"/>
      <c r="RM188" s="11"/>
      <c r="RN188" s="11"/>
      <c r="RO188" s="11"/>
      <c r="RP188" s="11"/>
      <c r="RQ188" s="11"/>
      <c r="RR188" s="11"/>
      <c r="RS188" s="11"/>
      <c r="RT188" s="11"/>
      <c r="RU188" s="11"/>
      <c r="RV188" s="11"/>
      <c r="RW188" s="11"/>
      <c r="RX188" s="11"/>
      <c r="RY188" s="11"/>
      <c r="RZ188" s="11"/>
      <c r="SA188" s="11"/>
      <c r="SB188" s="11"/>
      <c r="SC188" s="11"/>
      <c r="SD188" s="11"/>
      <c r="SE188" s="11"/>
      <c r="SF188" s="11"/>
      <c r="SG188" s="11"/>
      <c r="SH188" s="11"/>
      <c r="SI188" s="11"/>
      <c r="SJ188" s="11"/>
      <c r="SK188" s="11"/>
      <c r="SL188" s="11"/>
      <c r="SM188" s="11"/>
      <c r="SN188" s="11"/>
      <c r="SO188" s="11"/>
      <c r="SP188" s="11"/>
      <c r="SQ188" s="11"/>
      <c r="SR188" s="11"/>
      <c r="SS188" s="11"/>
      <c r="ST188" s="11"/>
      <c r="SU188" s="11"/>
      <c r="SV188" s="11"/>
      <c r="SW188" s="11"/>
      <c r="SX188" s="11"/>
      <c r="SY188" s="11"/>
      <c r="SZ188" s="11"/>
      <c r="TA188" s="11"/>
      <c r="TB188" s="11"/>
      <c r="TC188" s="11"/>
      <c r="TD188" s="11"/>
      <c r="TE188" s="11"/>
      <c r="TF188" s="11"/>
      <c r="TG188" s="11"/>
      <c r="TH188" s="11"/>
      <c r="TI188" s="11"/>
      <c r="TJ188" s="11"/>
      <c r="TK188" s="11"/>
      <c r="TL188" s="11"/>
      <c r="TM188" s="11"/>
      <c r="TN188" s="11"/>
      <c r="TO188" s="11"/>
      <c r="TP188" s="11"/>
      <c r="TQ188" s="11"/>
      <c r="TR188" s="11"/>
      <c r="TS188" s="11"/>
      <c r="TT188" s="11"/>
      <c r="TU188" s="11"/>
      <c r="TV188" s="11"/>
      <c r="TW188" s="11"/>
      <c r="TX188" s="11"/>
      <c r="TY188" s="11"/>
      <c r="TZ188" s="11"/>
      <c r="UA188" s="11"/>
      <c r="UB188" s="11"/>
      <c r="UC188" s="11"/>
      <c r="UD188" s="11"/>
      <c r="UE188" s="11"/>
      <c r="UF188" s="11"/>
      <c r="UG188" s="11"/>
      <c r="UH188" s="11"/>
      <c r="UI188" s="11"/>
      <c r="UJ188" s="11"/>
      <c r="UK188" s="11"/>
      <c r="UL188" s="11"/>
      <c r="UM188" s="11"/>
      <c r="UN188" s="11"/>
      <c r="UO188" s="11"/>
      <c r="UP188" s="11"/>
      <c r="UQ188" s="11"/>
      <c r="UR188" s="11"/>
      <c r="US188" s="11"/>
      <c r="UT188" s="11"/>
      <c r="UU188" s="11"/>
      <c r="UV188" s="11"/>
      <c r="UW188" s="11"/>
      <c r="UX188" s="11"/>
      <c r="UY188" s="11"/>
      <c r="UZ188" s="11"/>
      <c r="VA188" s="11"/>
      <c r="VB188" s="11"/>
      <c r="VC188" s="11"/>
      <c r="VD188" s="11"/>
      <c r="VE188" s="11"/>
      <c r="VF188" s="11"/>
      <c r="VG188" s="11"/>
      <c r="VH188" s="11"/>
      <c r="VI188" s="11"/>
      <c r="VJ188" s="11"/>
      <c r="VK188" s="11"/>
      <c r="VL188" s="11"/>
      <c r="VM188" s="11"/>
      <c r="VN188" s="11"/>
      <c r="VO188" s="11"/>
      <c r="VP188" s="11"/>
      <c r="VQ188" s="11"/>
      <c r="VR188" s="11"/>
      <c r="VS188" s="11"/>
      <c r="VT188" s="11"/>
      <c r="VU188" s="11"/>
      <c r="VV188" s="11"/>
      <c r="VW188" s="11"/>
      <c r="VX188" s="11"/>
      <c r="VY188" s="11"/>
      <c r="VZ188" s="11"/>
      <c r="WA188" s="11"/>
      <c r="WB188" s="11"/>
      <c r="WC188" s="11"/>
      <c r="WD188" s="11"/>
      <c r="WE188" s="11"/>
      <c r="WF188" s="11"/>
      <c r="WG188" s="11"/>
      <c r="WH188" s="11"/>
      <c r="WI188" s="11"/>
      <c r="WJ188" s="11"/>
      <c r="WK188" s="11"/>
      <c r="WL188" s="11"/>
      <c r="WM188" s="11"/>
      <c r="WN188" s="11"/>
      <c r="WO188" s="11"/>
      <c r="WP188" s="11"/>
      <c r="WQ188" s="11"/>
      <c r="WR188" s="11"/>
      <c r="WS188" s="11"/>
      <c r="WT188" s="11"/>
      <c r="WU188" s="11"/>
      <c r="WV188" s="11"/>
      <c r="WW188" s="11"/>
      <c r="WX188" s="11"/>
      <c r="WY188" s="11"/>
      <c r="WZ188" s="11"/>
      <c r="XA188" s="11"/>
      <c r="XB188" s="11"/>
      <c r="XC188" s="11"/>
      <c r="XD188" s="11"/>
      <c r="XE188" s="11"/>
      <c r="XF188" s="11"/>
      <c r="XG188" s="11"/>
      <c r="XH188" s="11"/>
      <c r="XI188" s="11"/>
      <c r="XJ188" s="11"/>
      <c r="XK188" s="11"/>
      <c r="XL188" s="11"/>
      <c r="XM188" s="11"/>
      <c r="XN188" s="11"/>
      <c r="XO188" s="11"/>
      <c r="XP188" s="11"/>
      <c r="XQ188" s="11"/>
      <c r="XR188" s="11"/>
      <c r="XS188" s="11"/>
      <c r="XT188" s="11"/>
      <c r="XU188" s="11"/>
      <c r="XV188" s="11"/>
      <c r="XW188" s="11"/>
      <c r="XX188" s="11"/>
      <c r="XY188" s="11"/>
      <c r="XZ188" s="11"/>
      <c r="YA188" s="11"/>
      <c r="YB188" s="11"/>
      <c r="YC188" s="11"/>
      <c r="YD188" s="11"/>
      <c r="YE188" s="11"/>
      <c r="YF188" s="11"/>
      <c r="YG188" s="11"/>
      <c r="YH188" s="11"/>
      <c r="YI188" s="11"/>
      <c r="YJ188" s="11"/>
      <c r="YK188" s="11"/>
      <c r="YL188" s="11"/>
      <c r="YM188" s="11"/>
      <c r="YN188" s="11"/>
      <c r="YO188" s="11"/>
      <c r="YP188" s="11"/>
      <c r="YQ188" s="11"/>
      <c r="YR188" s="11"/>
      <c r="YS188" s="11"/>
      <c r="YT188" s="11"/>
      <c r="YU188" s="11"/>
      <c r="YV188" s="11"/>
      <c r="YW188" s="11"/>
      <c r="YX188" s="11"/>
      <c r="YY188" s="11"/>
      <c r="YZ188" s="11"/>
      <c r="ZA188" s="11"/>
      <c r="ZB188" s="11"/>
      <c r="ZC188" s="11"/>
      <c r="ZD188" s="11"/>
      <c r="ZE188" s="11"/>
      <c r="ZF188" s="11"/>
      <c r="ZG188" s="11"/>
      <c r="ZH188" s="11"/>
      <c r="ZI188" s="11"/>
      <c r="ZJ188" s="11"/>
      <c r="ZK188" s="11"/>
      <c r="ZL188" s="11"/>
      <c r="ZM188" s="11"/>
      <c r="ZN188" s="11"/>
      <c r="ZO188" s="11"/>
      <c r="ZP188" s="11"/>
      <c r="ZQ188" s="11"/>
      <c r="ZR188" s="11"/>
      <c r="ZS188" s="11"/>
      <c r="ZT188" s="11"/>
      <c r="ZU188" s="11"/>
      <c r="ZV188" s="11"/>
      <c r="ZW188" s="11"/>
      <c r="ZX188" s="11"/>
      <c r="ZY188" s="11"/>
      <c r="ZZ188" s="11"/>
      <c r="AAA188" s="11"/>
      <c r="AAB188" s="11"/>
      <c r="AAC188" s="11"/>
      <c r="AAD188" s="11"/>
      <c r="AAE188" s="11"/>
      <c r="AAF188" s="11"/>
      <c r="AAG188" s="11"/>
      <c r="AAH188" s="11"/>
      <c r="AAI188" s="11"/>
      <c r="AAJ188" s="11"/>
      <c r="AAK188" s="11"/>
      <c r="AAL188" s="11"/>
      <c r="AAM188" s="11"/>
      <c r="AAN188" s="11"/>
      <c r="AAO188" s="11"/>
      <c r="AAP188" s="11"/>
      <c r="AAQ188" s="11"/>
      <c r="AAR188" s="11"/>
      <c r="AAS188" s="11"/>
      <c r="AAT188" s="11"/>
      <c r="AAU188" s="11"/>
      <c r="AAV188" s="11"/>
      <c r="AAW188" s="11"/>
      <c r="AAX188" s="11"/>
      <c r="AAY188" s="11"/>
      <c r="AAZ188" s="11"/>
      <c r="ABA188" s="11"/>
      <c r="ABB188" s="11"/>
      <c r="ABC188" s="11"/>
      <c r="ABD188" s="11"/>
      <c r="ABE188" s="11"/>
      <c r="ABF188" s="11"/>
      <c r="ABG188" s="11"/>
      <c r="ABH188" s="11"/>
      <c r="ABI188" s="11"/>
      <c r="ABJ188" s="11"/>
      <c r="ABK188" s="11"/>
      <c r="ABL188" s="11"/>
      <c r="ABM188" s="11"/>
      <c r="ABN188" s="11"/>
      <c r="ABO188" s="11"/>
      <c r="ABP188" s="11"/>
      <c r="ABQ188" s="11"/>
      <c r="ABR188" s="11"/>
      <c r="ABS188" s="11"/>
      <c r="ABT188" s="11"/>
      <c r="ABU188" s="11"/>
      <c r="ABV188" s="11"/>
      <c r="ABW188" s="11"/>
      <c r="ABX188" s="11"/>
      <c r="ABY188" s="11"/>
      <c r="ABZ188" s="11"/>
      <c r="ACA188" s="11"/>
      <c r="ACB188" s="11"/>
      <c r="ACC188" s="11"/>
      <c r="ACD188" s="11"/>
      <c r="ACE188" s="11"/>
      <c r="ACF188" s="11"/>
      <c r="ACG188" s="11"/>
      <c r="ACH188" s="11"/>
      <c r="ACI188" s="11"/>
      <c r="ACJ188" s="11"/>
      <c r="ACK188" s="11"/>
      <c r="ACL188" s="11"/>
      <c r="ACM188" s="11"/>
      <c r="ACN188" s="11"/>
      <c r="ACO188" s="11"/>
      <c r="ACP188" s="11"/>
      <c r="ACQ188" s="11"/>
      <c r="ACR188" s="11"/>
      <c r="ACS188" s="11"/>
      <c r="ACT188" s="11"/>
      <c r="ACU188" s="11"/>
      <c r="ACV188" s="11"/>
      <c r="ACW188" s="11"/>
      <c r="ACX188" s="11"/>
      <c r="ACY188" s="11"/>
      <c r="ACZ188" s="11"/>
      <c r="ADA188" s="11"/>
      <c r="ADB188" s="11"/>
      <c r="ADC188" s="11"/>
      <c r="ADD188" s="11"/>
      <c r="ADE188" s="11"/>
      <c r="ADF188" s="11"/>
      <c r="ADG188" s="11"/>
      <c r="ADH188" s="11"/>
      <c r="ADI188" s="11"/>
      <c r="ADJ188" s="11"/>
      <c r="ADK188" s="11"/>
      <c r="ADL188" s="11"/>
      <c r="ADM188" s="11"/>
      <c r="ADN188" s="11"/>
      <c r="ADO188" s="11"/>
      <c r="ADP188" s="11"/>
      <c r="ADQ188" s="11"/>
      <c r="ADR188" s="11"/>
      <c r="ADS188" s="11"/>
      <c r="ADT188" s="11"/>
      <c r="ADU188" s="11"/>
      <c r="ADV188" s="11"/>
      <c r="ADW188" s="11"/>
      <c r="ADX188" s="11"/>
      <c r="ADY188" s="11"/>
      <c r="ADZ188" s="11"/>
      <c r="AEA188" s="11"/>
      <c r="AEB188" s="11"/>
      <c r="AEC188" s="11"/>
      <c r="AED188" s="11"/>
      <c r="AEE188" s="11"/>
      <c r="AEF188" s="11"/>
      <c r="AEG188" s="11"/>
      <c r="AEH188" s="11"/>
      <c r="AEI188" s="11"/>
      <c r="AEJ188" s="11"/>
      <c r="AEK188" s="11"/>
      <c r="AEL188" s="11"/>
      <c r="AEM188" s="11"/>
      <c r="AEN188" s="11"/>
      <c r="AEO188" s="11"/>
      <c r="AEP188" s="11"/>
      <c r="AEQ188" s="11"/>
      <c r="AER188" s="11"/>
      <c r="AES188" s="11"/>
      <c r="AET188" s="11"/>
      <c r="AEU188" s="11"/>
      <c r="AEV188" s="11"/>
      <c r="AEW188" s="11"/>
      <c r="AEX188" s="11"/>
      <c r="AEY188" s="11"/>
      <c r="AEZ188" s="11"/>
      <c r="AFA188" s="11"/>
      <c r="AFB188" s="11"/>
      <c r="AFC188" s="11"/>
      <c r="AFD188" s="11"/>
      <c r="AFE188" s="11"/>
      <c r="AFF188" s="11"/>
      <c r="AFG188" s="11"/>
      <c r="AFH188" s="11"/>
      <c r="AFI188" s="11"/>
    </row>
    <row r="189" spans="2:84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1"/>
      <c r="LV189" s="11"/>
      <c r="LW189" s="11"/>
      <c r="LX189" s="11"/>
      <c r="LY189" s="11"/>
      <c r="LZ189" s="11"/>
      <c r="MA189" s="11"/>
      <c r="MB189" s="11"/>
      <c r="MC189" s="11"/>
      <c r="MD189" s="11"/>
      <c r="ME189" s="11"/>
      <c r="MF189" s="11"/>
      <c r="MG189" s="11"/>
      <c r="MH189" s="11"/>
      <c r="MI189" s="11"/>
      <c r="MJ189" s="11"/>
      <c r="MK189" s="11"/>
      <c r="ML189" s="11"/>
      <c r="MM189" s="11"/>
      <c r="MN189" s="11"/>
      <c r="MO189" s="11"/>
      <c r="MP189" s="11"/>
      <c r="MQ189" s="11"/>
      <c r="MR189" s="11"/>
      <c r="MS189" s="11"/>
      <c r="MT189" s="11"/>
      <c r="MU189" s="11"/>
      <c r="MV189" s="11"/>
      <c r="MW189" s="11"/>
      <c r="MX189" s="11"/>
      <c r="MY189" s="11"/>
      <c r="MZ189" s="11"/>
      <c r="NA189" s="11"/>
      <c r="NB189" s="11"/>
      <c r="NC189" s="11"/>
      <c r="ND189" s="11"/>
      <c r="NE189" s="11"/>
      <c r="NF189" s="11"/>
      <c r="NG189" s="11"/>
      <c r="NH189" s="11"/>
      <c r="NI189" s="11"/>
      <c r="NJ189" s="11"/>
      <c r="NK189" s="11"/>
      <c r="NL189" s="11"/>
      <c r="NM189" s="11"/>
      <c r="NN189" s="11"/>
      <c r="NO189" s="11"/>
      <c r="NP189" s="11"/>
      <c r="NQ189" s="11"/>
      <c r="NR189" s="11"/>
      <c r="NS189" s="11"/>
      <c r="NT189" s="11"/>
      <c r="NU189" s="11"/>
      <c r="NV189" s="11"/>
      <c r="NW189" s="11"/>
      <c r="NX189" s="11"/>
      <c r="NY189" s="11"/>
      <c r="NZ189" s="11"/>
      <c r="OA189" s="11"/>
      <c r="OB189" s="11"/>
      <c r="OC189" s="11"/>
      <c r="OD189" s="11"/>
      <c r="OE189" s="11"/>
      <c r="OF189" s="11"/>
      <c r="OG189" s="11"/>
      <c r="OH189" s="11"/>
      <c r="OI189" s="11"/>
      <c r="OJ189" s="11"/>
      <c r="OK189" s="11"/>
      <c r="OL189" s="11"/>
      <c r="OM189" s="11"/>
      <c r="ON189" s="11"/>
      <c r="OO189" s="11"/>
      <c r="OP189" s="11"/>
      <c r="OQ189" s="11"/>
      <c r="OR189" s="11"/>
      <c r="OS189" s="11"/>
      <c r="OT189" s="11"/>
      <c r="OU189" s="11"/>
      <c r="OV189" s="11"/>
      <c r="OW189" s="11"/>
      <c r="OX189" s="11"/>
      <c r="OY189" s="11"/>
      <c r="OZ189" s="11"/>
      <c r="PA189" s="11"/>
      <c r="PB189" s="11"/>
      <c r="PC189" s="11"/>
      <c r="PD189" s="11"/>
      <c r="PE189" s="11"/>
      <c r="PF189" s="11"/>
      <c r="PG189" s="11"/>
      <c r="PH189" s="11"/>
      <c r="PI189" s="11"/>
      <c r="PJ189" s="11"/>
      <c r="PK189" s="11"/>
      <c r="PL189" s="11"/>
      <c r="PM189" s="11"/>
      <c r="PN189" s="11"/>
      <c r="PO189" s="11"/>
      <c r="PP189" s="11"/>
      <c r="PQ189" s="11"/>
      <c r="PR189" s="11"/>
      <c r="PS189" s="11"/>
      <c r="PT189" s="11"/>
      <c r="PU189" s="11"/>
      <c r="PV189" s="11"/>
      <c r="PW189" s="11"/>
      <c r="PX189" s="11"/>
      <c r="PY189" s="11"/>
      <c r="PZ189" s="11"/>
      <c r="QA189" s="11"/>
      <c r="QB189" s="11"/>
      <c r="QC189" s="11"/>
      <c r="QD189" s="11"/>
      <c r="QE189" s="11"/>
      <c r="QF189" s="11"/>
      <c r="QG189" s="11"/>
      <c r="QH189" s="11"/>
      <c r="QI189" s="11"/>
      <c r="QJ189" s="11"/>
      <c r="QK189" s="11"/>
      <c r="QL189" s="11"/>
      <c r="QM189" s="11"/>
      <c r="QN189" s="11"/>
      <c r="QO189" s="11"/>
      <c r="QP189" s="11"/>
      <c r="QQ189" s="11"/>
      <c r="QR189" s="11"/>
      <c r="QS189" s="11"/>
      <c r="QT189" s="11"/>
      <c r="QU189" s="11"/>
      <c r="QV189" s="11"/>
      <c r="QW189" s="11"/>
      <c r="QX189" s="11"/>
      <c r="QY189" s="11"/>
      <c r="QZ189" s="11"/>
      <c r="RA189" s="11"/>
      <c r="RB189" s="11"/>
      <c r="RC189" s="11"/>
      <c r="RD189" s="11"/>
      <c r="RE189" s="11"/>
      <c r="RF189" s="11"/>
      <c r="RG189" s="11"/>
      <c r="RH189" s="11"/>
      <c r="RI189" s="11"/>
      <c r="RJ189" s="11"/>
      <c r="RK189" s="11"/>
      <c r="RL189" s="11"/>
      <c r="RM189" s="11"/>
      <c r="RN189" s="11"/>
      <c r="RO189" s="11"/>
      <c r="RP189" s="11"/>
      <c r="RQ189" s="11"/>
      <c r="RR189" s="11"/>
      <c r="RS189" s="11"/>
      <c r="RT189" s="11"/>
      <c r="RU189" s="11"/>
      <c r="RV189" s="11"/>
      <c r="RW189" s="11"/>
      <c r="RX189" s="11"/>
      <c r="RY189" s="11"/>
      <c r="RZ189" s="11"/>
      <c r="SA189" s="11"/>
      <c r="SB189" s="11"/>
      <c r="SC189" s="11"/>
      <c r="SD189" s="11"/>
      <c r="SE189" s="11"/>
      <c r="SF189" s="11"/>
      <c r="SG189" s="11"/>
      <c r="SH189" s="11"/>
      <c r="SI189" s="11"/>
      <c r="SJ189" s="11"/>
      <c r="SK189" s="11"/>
      <c r="SL189" s="11"/>
      <c r="SM189" s="11"/>
      <c r="SN189" s="11"/>
      <c r="SO189" s="11"/>
      <c r="SP189" s="11"/>
      <c r="SQ189" s="11"/>
      <c r="SR189" s="11"/>
      <c r="SS189" s="11"/>
      <c r="ST189" s="11"/>
      <c r="SU189" s="11"/>
      <c r="SV189" s="11"/>
      <c r="SW189" s="11"/>
      <c r="SX189" s="11"/>
      <c r="SY189" s="11"/>
      <c r="SZ189" s="11"/>
      <c r="TA189" s="11"/>
      <c r="TB189" s="11"/>
      <c r="TC189" s="11"/>
      <c r="TD189" s="11"/>
      <c r="TE189" s="11"/>
      <c r="TF189" s="11"/>
      <c r="TG189" s="11"/>
      <c r="TH189" s="11"/>
      <c r="TI189" s="11"/>
      <c r="TJ189" s="11"/>
      <c r="TK189" s="11"/>
      <c r="TL189" s="11"/>
      <c r="TM189" s="11"/>
      <c r="TN189" s="11"/>
      <c r="TO189" s="11"/>
      <c r="TP189" s="11"/>
      <c r="TQ189" s="11"/>
      <c r="TR189" s="11"/>
      <c r="TS189" s="11"/>
      <c r="TT189" s="11"/>
      <c r="TU189" s="11"/>
      <c r="TV189" s="11"/>
      <c r="TW189" s="11"/>
      <c r="TX189" s="11"/>
      <c r="TY189" s="11"/>
      <c r="TZ189" s="11"/>
      <c r="UA189" s="11"/>
      <c r="UB189" s="11"/>
      <c r="UC189" s="11"/>
      <c r="UD189" s="11"/>
      <c r="UE189" s="11"/>
      <c r="UF189" s="11"/>
      <c r="UG189" s="11"/>
      <c r="UH189" s="11"/>
      <c r="UI189" s="11"/>
      <c r="UJ189" s="11"/>
      <c r="UK189" s="11"/>
      <c r="UL189" s="11"/>
      <c r="UM189" s="11"/>
      <c r="UN189" s="11"/>
      <c r="UO189" s="11"/>
      <c r="UP189" s="11"/>
      <c r="UQ189" s="11"/>
      <c r="UR189" s="11"/>
      <c r="US189" s="11"/>
      <c r="UT189" s="11"/>
      <c r="UU189" s="11"/>
      <c r="UV189" s="11"/>
      <c r="UW189" s="11"/>
      <c r="UX189" s="11"/>
      <c r="UY189" s="11"/>
      <c r="UZ189" s="11"/>
      <c r="VA189" s="11"/>
      <c r="VB189" s="11"/>
      <c r="VC189" s="11"/>
      <c r="VD189" s="11"/>
      <c r="VE189" s="11"/>
      <c r="VF189" s="11"/>
      <c r="VG189" s="11"/>
      <c r="VH189" s="11"/>
      <c r="VI189" s="11"/>
      <c r="VJ189" s="11"/>
      <c r="VK189" s="11"/>
      <c r="VL189" s="11"/>
      <c r="VM189" s="11"/>
      <c r="VN189" s="11"/>
      <c r="VO189" s="11"/>
      <c r="VP189" s="11"/>
      <c r="VQ189" s="11"/>
      <c r="VR189" s="11"/>
      <c r="VS189" s="11"/>
      <c r="VT189" s="11"/>
      <c r="VU189" s="11"/>
      <c r="VV189" s="11"/>
      <c r="VW189" s="11"/>
      <c r="VX189" s="11"/>
      <c r="VY189" s="11"/>
      <c r="VZ189" s="11"/>
      <c r="WA189" s="11"/>
      <c r="WB189" s="11"/>
      <c r="WC189" s="11"/>
      <c r="WD189" s="11"/>
      <c r="WE189" s="11"/>
      <c r="WF189" s="11"/>
      <c r="WG189" s="11"/>
      <c r="WH189" s="11"/>
      <c r="WI189" s="11"/>
      <c r="WJ189" s="11"/>
      <c r="WK189" s="11"/>
      <c r="WL189" s="11"/>
      <c r="WM189" s="11"/>
      <c r="WN189" s="11"/>
      <c r="WO189" s="11"/>
      <c r="WP189" s="11"/>
      <c r="WQ189" s="11"/>
      <c r="WR189" s="11"/>
      <c r="WS189" s="11"/>
      <c r="WT189" s="11"/>
      <c r="WU189" s="11"/>
      <c r="WV189" s="11"/>
      <c r="WW189" s="11"/>
      <c r="WX189" s="11"/>
      <c r="WY189" s="11"/>
      <c r="WZ189" s="11"/>
      <c r="XA189" s="11"/>
      <c r="XB189" s="11"/>
      <c r="XC189" s="11"/>
      <c r="XD189" s="11"/>
      <c r="XE189" s="11"/>
      <c r="XF189" s="11"/>
      <c r="XG189" s="11"/>
      <c r="XH189" s="11"/>
      <c r="XI189" s="11"/>
      <c r="XJ189" s="11"/>
      <c r="XK189" s="11"/>
      <c r="XL189" s="11"/>
      <c r="XM189" s="11"/>
      <c r="XN189" s="11"/>
      <c r="XO189" s="11"/>
      <c r="XP189" s="11"/>
      <c r="XQ189" s="11"/>
      <c r="XR189" s="11"/>
      <c r="XS189" s="11"/>
      <c r="XT189" s="11"/>
      <c r="XU189" s="11"/>
      <c r="XV189" s="11"/>
      <c r="XW189" s="11"/>
      <c r="XX189" s="11"/>
      <c r="XY189" s="11"/>
      <c r="XZ189" s="11"/>
      <c r="YA189" s="11"/>
      <c r="YB189" s="11"/>
      <c r="YC189" s="11"/>
      <c r="YD189" s="11"/>
      <c r="YE189" s="11"/>
      <c r="YF189" s="11"/>
      <c r="YG189" s="11"/>
      <c r="YH189" s="11"/>
      <c r="YI189" s="11"/>
      <c r="YJ189" s="11"/>
      <c r="YK189" s="11"/>
      <c r="YL189" s="11"/>
      <c r="YM189" s="11"/>
      <c r="YN189" s="11"/>
      <c r="YO189" s="11"/>
      <c r="YP189" s="11"/>
      <c r="YQ189" s="11"/>
      <c r="YR189" s="11"/>
      <c r="YS189" s="11"/>
      <c r="YT189" s="11"/>
      <c r="YU189" s="11"/>
      <c r="YV189" s="11"/>
      <c r="YW189" s="11"/>
      <c r="YX189" s="11"/>
      <c r="YY189" s="11"/>
      <c r="YZ189" s="11"/>
      <c r="ZA189" s="11"/>
      <c r="ZB189" s="11"/>
      <c r="ZC189" s="11"/>
      <c r="ZD189" s="11"/>
      <c r="ZE189" s="11"/>
      <c r="ZF189" s="11"/>
      <c r="ZG189" s="11"/>
      <c r="ZH189" s="11"/>
      <c r="ZI189" s="11"/>
      <c r="ZJ189" s="11"/>
      <c r="ZK189" s="11"/>
      <c r="ZL189" s="11"/>
      <c r="ZM189" s="11"/>
      <c r="ZN189" s="11"/>
      <c r="ZO189" s="11"/>
      <c r="ZP189" s="11"/>
      <c r="ZQ189" s="11"/>
      <c r="ZR189" s="11"/>
      <c r="ZS189" s="11"/>
      <c r="ZT189" s="11"/>
      <c r="ZU189" s="11"/>
      <c r="ZV189" s="11"/>
      <c r="ZW189" s="11"/>
      <c r="ZX189" s="11"/>
      <c r="ZY189" s="11"/>
      <c r="ZZ189" s="11"/>
      <c r="AAA189" s="11"/>
      <c r="AAB189" s="11"/>
      <c r="AAC189" s="11"/>
      <c r="AAD189" s="11"/>
      <c r="AAE189" s="11"/>
      <c r="AAF189" s="11"/>
      <c r="AAG189" s="11"/>
      <c r="AAH189" s="11"/>
      <c r="AAI189" s="11"/>
      <c r="AAJ189" s="11"/>
      <c r="AAK189" s="11"/>
      <c r="AAL189" s="11"/>
      <c r="AAM189" s="11"/>
      <c r="AAN189" s="11"/>
      <c r="AAO189" s="11"/>
      <c r="AAP189" s="11"/>
      <c r="AAQ189" s="11"/>
      <c r="AAR189" s="11"/>
      <c r="AAS189" s="11"/>
      <c r="AAT189" s="11"/>
      <c r="AAU189" s="11"/>
      <c r="AAV189" s="11"/>
      <c r="AAW189" s="11"/>
      <c r="AAX189" s="11"/>
      <c r="AAY189" s="11"/>
      <c r="AAZ189" s="11"/>
      <c r="ABA189" s="11"/>
      <c r="ABB189" s="11"/>
      <c r="ABC189" s="11"/>
      <c r="ABD189" s="11"/>
      <c r="ABE189" s="11"/>
      <c r="ABF189" s="11"/>
      <c r="ABG189" s="11"/>
      <c r="ABH189" s="11"/>
      <c r="ABI189" s="11"/>
      <c r="ABJ189" s="11"/>
      <c r="ABK189" s="11"/>
      <c r="ABL189" s="11"/>
      <c r="ABM189" s="11"/>
      <c r="ABN189" s="11"/>
      <c r="ABO189" s="11"/>
      <c r="ABP189" s="11"/>
      <c r="ABQ189" s="11"/>
      <c r="ABR189" s="11"/>
      <c r="ABS189" s="11"/>
      <c r="ABT189" s="11"/>
      <c r="ABU189" s="11"/>
      <c r="ABV189" s="11"/>
      <c r="ABW189" s="11"/>
      <c r="ABX189" s="11"/>
      <c r="ABY189" s="11"/>
      <c r="ABZ189" s="11"/>
      <c r="ACA189" s="11"/>
      <c r="ACB189" s="11"/>
      <c r="ACC189" s="11"/>
      <c r="ACD189" s="11"/>
      <c r="ACE189" s="11"/>
      <c r="ACF189" s="11"/>
      <c r="ACG189" s="11"/>
      <c r="ACH189" s="11"/>
      <c r="ACI189" s="11"/>
      <c r="ACJ189" s="11"/>
      <c r="ACK189" s="11"/>
      <c r="ACL189" s="11"/>
      <c r="ACM189" s="11"/>
      <c r="ACN189" s="11"/>
      <c r="ACO189" s="11"/>
      <c r="ACP189" s="11"/>
      <c r="ACQ189" s="11"/>
      <c r="ACR189" s="11"/>
      <c r="ACS189" s="11"/>
      <c r="ACT189" s="11"/>
      <c r="ACU189" s="11"/>
      <c r="ACV189" s="11"/>
      <c r="ACW189" s="11"/>
      <c r="ACX189" s="11"/>
      <c r="ACY189" s="11"/>
      <c r="ACZ189" s="11"/>
      <c r="ADA189" s="11"/>
      <c r="ADB189" s="11"/>
      <c r="ADC189" s="11"/>
      <c r="ADD189" s="11"/>
      <c r="ADE189" s="11"/>
      <c r="ADF189" s="11"/>
      <c r="ADG189" s="11"/>
      <c r="ADH189" s="11"/>
      <c r="ADI189" s="11"/>
      <c r="ADJ189" s="11"/>
      <c r="ADK189" s="11"/>
      <c r="ADL189" s="11"/>
      <c r="ADM189" s="11"/>
      <c r="ADN189" s="11"/>
      <c r="ADO189" s="11"/>
      <c r="ADP189" s="11"/>
      <c r="ADQ189" s="11"/>
      <c r="ADR189" s="11"/>
      <c r="ADS189" s="11"/>
      <c r="ADT189" s="11"/>
      <c r="ADU189" s="11"/>
      <c r="ADV189" s="11"/>
      <c r="ADW189" s="11"/>
      <c r="ADX189" s="11"/>
      <c r="ADY189" s="11"/>
      <c r="ADZ189" s="11"/>
      <c r="AEA189" s="11"/>
      <c r="AEB189" s="11"/>
      <c r="AEC189" s="11"/>
      <c r="AED189" s="11"/>
      <c r="AEE189" s="11"/>
      <c r="AEF189" s="11"/>
      <c r="AEG189" s="11"/>
      <c r="AEH189" s="11"/>
      <c r="AEI189" s="11"/>
      <c r="AEJ189" s="11"/>
      <c r="AEK189" s="11"/>
      <c r="AEL189" s="11"/>
      <c r="AEM189" s="11"/>
      <c r="AEN189" s="11"/>
      <c r="AEO189" s="11"/>
      <c r="AEP189" s="11"/>
      <c r="AEQ189" s="11"/>
      <c r="AER189" s="11"/>
      <c r="AES189" s="11"/>
      <c r="AET189" s="11"/>
      <c r="AEU189" s="11"/>
      <c r="AEV189" s="11"/>
      <c r="AEW189" s="11"/>
      <c r="AEX189" s="11"/>
      <c r="AEY189" s="11"/>
      <c r="AEZ189" s="11"/>
      <c r="AFA189" s="11"/>
      <c r="AFB189" s="11"/>
      <c r="AFC189" s="11"/>
      <c r="AFD189" s="11"/>
      <c r="AFE189" s="11"/>
      <c r="AFF189" s="11"/>
      <c r="AFG189" s="11"/>
      <c r="AFH189" s="11"/>
      <c r="AFI189" s="11"/>
    </row>
    <row r="190" spans="2:84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1"/>
      <c r="LV190" s="11"/>
      <c r="LW190" s="11"/>
      <c r="LX190" s="11"/>
      <c r="LY190" s="11"/>
      <c r="LZ190" s="11"/>
      <c r="MA190" s="11"/>
      <c r="MB190" s="11"/>
      <c r="MC190" s="11"/>
      <c r="MD190" s="11"/>
      <c r="ME190" s="11"/>
      <c r="MF190" s="11"/>
      <c r="MG190" s="11"/>
      <c r="MH190" s="11"/>
      <c r="MI190" s="11"/>
      <c r="MJ190" s="11"/>
      <c r="MK190" s="11"/>
      <c r="ML190" s="11"/>
      <c r="MM190" s="11"/>
      <c r="MN190" s="11"/>
      <c r="MO190" s="11"/>
      <c r="MP190" s="11"/>
      <c r="MQ190" s="11"/>
      <c r="MR190" s="11"/>
      <c r="MS190" s="11"/>
      <c r="MT190" s="11"/>
      <c r="MU190" s="11"/>
      <c r="MV190" s="11"/>
      <c r="MW190" s="11"/>
      <c r="MX190" s="11"/>
      <c r="MY190" s="11"/>
      <c r="MZ190" s="11"/>
      <c r="NA190" s="11"/>
      <c r="NB190" s="11"/>
      <c r="NC190" s="11"/>
      <c r="ND190" s="11"/>
      <c r="NE190" s="11"/>
      <c r="NF190" s="11"/>
      <c r="NG190" s="11"/>
      <c r="NH190" s="11"/>
      <c r="NI190" s="11"/>
      <c r="NJ190" s="11"/>
      <c r="NK190" s="11"/>
      <c r="NL190" s="11"/>
      <c r="NM190" s="11"/>
      <c r="NN190" s="11"/>
      <c r="NO190" s="11"/>
      <c r="NP190" s="11"/>
      <c r="NQ190" s="11"/>
      <c r="NR190" s="11"/>
      <c r="NS190" s="11"/>
      <c r="NT190" s="11"/>
      <c r="NU190" s="11"/>
      <c r="NV190" s="11"/>
      <c r="NW190" s="11"/>
      <c r="NX190" s="11"/>
      <c r="NY190" s="11"/>
      <c r="NZ190" s="11"/>
      <c r="OA190" s="11"/>
      <c r="OB190" s="11"/>
      <c r="OC190" s="11"/>
      <c r="OD190" s="11"/>
      <c r="OE190" s="11"/>
      <c r="OF190" s="11"/>
      <c r="OG190" s="11"/>
      <c r="OH190" s="11"/>
      <c r="OI190" s="11"/>
      <c r="OJ190" s="11"/>
      <c r="OK190" s="11"/>
      <c r="OL190" s="11"/>
      <c r="OM190" s="11"/>
      <c r="ON190" s="11"/>
      <c r="OO190" s="11"/>
      <c r="OP190" s="11"/>
      <c r="OQ190" s="11"/>
      <c r="OR190" s="11"/>
      <c r="OS190" s="11"/>
      <c r="OT190" s="11"/>
      <c r="OU190" s="11"/>
      <c r="OV190" s="11"/>
      <c r="OW190" s="11"/>
      <c r="OX190" s="11"/>
      <c r="OY190" s="11"/>
      <c r="OZ190" s="11"/>
      <c r="PA190" s="11"/>
      <c r="PB190" s="11"/>
      <c r="PC190" s="11"/>
      <c r="PD190" s="11"/>
      <c r="PE190" s="11"/>
      <c r="PF190" s="11"/>
      <c r="PG190" s="11"/>
      <c r="PH190" s="11"/>
      <c r="PI190" s="11"/>
      <c r="PJ190" s="11"/>
      <c r="PK190" s="11"/>
      <c r="PL190" s="11"/>
      <c r="PM190" s="11"/>
      <c r="PN190" s="11"/>
      <c r="PO190" s="11"/>
      <c r="PP190" s="11"/>
      <c r="PQ190" s="11"/>
      <c r="PR190" s="11"/>
      <c r="PS190" s="11"/>
      <c r="PT190" s="11"/>
      <c r="PU190" s="11"/>
      <c r="PV190" s="11"/>
      <c r="PW190" s="11"/>
      <c r="PX190" s="11"/>
      <c r="PY190" s="11"/>
      <c r="PZ190" s="11"/>
      <c r="QA190" s="11"/>
      <c r="QB190" s="11"/>
      <c r="QC190" s="11"/>
      <c r="QD190" s="11"/>
      <c r="QE190" s="11"/>
      <c r="QF190" s="11"/>
      <c r="QG190" s="11"/>
      <c r="QH190" s="11"/>
      <c r="QI190" s="11"/>
      <c r="QJ190" s="11"/>
      <c r="QK190" s="11"/>
      <c r="QL190" s="11"/>
      <c r="QM190" s="11"/>
      <c r="QN190" s="11"/>
      <c r="QO190" s="11"/>
      <c r="QP190" s="11"/>
      <c r="QQ190" s="11"/>
      <c r="QR190" s="11"/>
      <c r="QS190" s="11"/>
      <c r="QT190" s="11"/>
      <c r="QU190" s="11"/>
      <c r="QV190" s="11"/>
      <c r="QW190" s="11"/>
      <c r="QX190" s="11"/>
      <c r="QY190" s="11"/>
      <c r="QZ190" s="11"/>
      <c r="RA190" s="11"/>
      <c r="RB190" s="11"/>
      <c r="RC190" s="11"/>
      <c r="RD190" s="11"/>
      <c r="RE190" s="11"/>
      <c r="RF190" s="11"/>
      <c r="RG190" s="11"/>
      <c r="RH190" s="11"/>
      <c r="RI190" s="11"/>
      <c r="RJ190" s="11"/>
      <c r="RK190" s="11"/>
      <c r="RL190" s="11"/>
      <c r="RM190" s="11"/>
      <c r="RN190" s="11"/>
      <c r="RO190" s="11"/>
      <c r="RP190" s="11"/>
      <c r="RQ190" s="11"/>
      <c r="RR190" s="11"/>
      <c r="RS190" s="11"/>
      <c r="RT190" s="11"/>
      <c r="RU190" s="11"/>
      <c r="RV190" s="11"/>
      <c r="RW190" s="11"/>
      <c r="RX190" s="11"/>
      <c r="RY190" s="11"/>
      <c r="RZ190" s="11"/>
      <c r="SA190" s="11"/>
      <c r="SB190" s="11"/>
      <c r="SC190" s="11"/>
      <c r="SD190" s="11"/>
      <c r="SE190" s="11"/>
      <c r="SF190" s="11"/>
      <c r="SG190" s="11"/>
      <c r="SH190" s="11"/>
      <c r="SI190" s="11"/>
      <c r="SJ190" s="11"/>
      <c r="SK190" s="11"/>
      <c r="SL190" s="11"/>
      <c r="SM190" s="11"/>
      <c r="SN190" s="11"/>
      <c r="SO190" s="11"/>
      <c r="SP190" s="11"/>
      <c r="SQ190" s="11"/>
      <c r="SR190" s="11"/>
      <c r="SS190" s="11"/>
      <c r="ST190" s="11"/>
      <c r="SU190" s="11"/>
      <c r="SV190" s="11"/>
      <c r="SW190" s="11"/>
      <c r="SX190" s="11"/>
      <c r="SY190" s="11"/>
      <c r="SZ190" s="11"/>
      <c r="TA190" s="11"/>
      <c r="TB190" s="11"/>
      <c r="TC190" s="11"/>
      <c r="TD190" s="11"/>
      <c r="TE190" s="11"/>
      <c r="TF190" s="11"/>
      <c r="TG190" s="11"/>
      <c r="TH190" s="11"/>
      <c r="TI190" s="11"/>
      <c r="TJ190" s="11"/>
      <c r="TK190" s="11"/>
      <c r="TL190" s="11"/>
      <c r="TM190" s="11"/>
      <c r="TN190" s="11"/>
      <c r="TO190" s="11"/>
      <c r="TP190" s="11"/>
      <c r="TQ190" s="11"/>
      <c r="TR190" s="11"/>
      <c r="TS190" s="11"/>
      <c r="TT190" s="11"/>
      <c r="TU190" s="11"/>
      <c r="TV190" s="11"/>
      <c r="TW190" s="11"/>
      <c r="TX190" s="11"/>
      <c r="TY190" s="11"/>
      <c r="TZ190" s="11"/>
      <c r="UA190" s="11"/>
      <c r="UB190" s="11"/>
      <c r="UC190" s="11"/>
      <c r="UD190" s="11"/>
      <c r="UE190" s="11"/>
      <c r="UF190" s="11"/>
      <c r="UG190" s="11"/>
      <c r="UH190" s="11"/>
      <c r="UI190" s="11"/>
      <c r="UJ190" s="11"/>
      <c r="UK190" s="11"/>
      <c r="UL190" s="11"/>
      <c r="UM190" s="11"/>
      <c r="UN190" s="11"/>
      <c r="UO190" s="11"/>
      <c r="UP190" s="11"/>
      <c r="UQ190" s="11"/>
      <c r="UR190" s="11"/>
      <c r="US190" s="11"/>
      <c r="UT190" s="11"/>
      <c r="UU190" s="11"/>
      <c r="UV190" s="11"/>
      <c r="UW190" s="11"/>
      <c r="UX190" s="11"/>
      <c r="UY190" s="11"/>
      <c r="UZ190" s="11"/>
      <c r="VA190" s="11"/>
      <c r="VB190" s="11"/>
      <c r="VC190" s="11"/>
      <c r="VD190" s="11"/>
      <c r="VE190" s="11"/>
      <c r="VF190" s="11"/>
      <c r="VG190" s="11"/>
      <c r="VH190" s="11"/>
      <c r="VI190" s="11"/>
      <c r="VJ190" s="11"/>
      <c r="VK190" s="11"/>
      <c r="VL190" s="11"/>
      <c r="VM190" s="11"/>
      <c r="VN190" s="11"/>
      <c r="VO190" s="11"/>
      <c r="VP190" s="11"/>
      <c r="VQ190" s="11"/>
      <c r="VR190" s="11"/>
      <c r="VS190" s="11"/>
      <c r="VT190" s="11"/>
      <c r="VU190" s="11"/>
      <c r="VV190" s="11"/>
      <c r="VW190" s="11"/>
      <c r="VX190" s="11"/>
      <c r="VY190" s="11"/>
      <c r="VZ190" s="11"/>
      <c r="WA190" s="11"/>
      <c r="WB190" s="11"/>
      <c r="WC190" s="11"/>
      <c r="WD190" s="11"/>
      <c r="WE190" s="11"/>
      <c r="WF190" s="11"/>
      <c r="WG190" s="11"/>
      <c r="WH190" s="11"/>
      <c r="WI190" s="11"/>
      <c r="WJ190" s="11"/>
      <c r="WK190" s="11"/>
      <c r="WL190" s="11"/>
      <c r="WM190" s="11"/>
      <c r="WN190" s="11"/>
      <c r="WO190" s="11"/>
      <c r="WP190" s="11"/>
      <c r="WQ190" s="11"/>
      <c r="WR190" s="11"/>
      <c r="WS190" s="11"/>
      <c r="WT190" s="11"/>
      <c r="WU190" s="11"/>
      <c r="WV190" s="11"/>
      <c r="WW190" s="11"/>
      <c r="WX190" s="11"/>
      <c r="WY190" s="11"/>
      <c r="WZ190" s="11"/>
      <c r="XA190" s="11"/>
      <c r="XB190" s="11"/>
      <c r="XC190" s="11"/>
      <c r="XD190" s="11"/>
      <c r="XE190" s="11"/>
      <c r="XF190" s="11"/>
      <c r="XG190" s="11"/>
      <c r="XH190" s="11"/>
      <c r="XI190" s="11"/>
      <c r="XJ190" s="11"/>
      <c r="XK190" s="11"/>
      <c r="XL190" s="11"/>
      <c r="XM190" s="11"/>
      <c r="XN190" s="11"/>
      <c r="XO190" s="11"/>
      <c r="XP190" s="11"/>
      <c r="XQ190" s="11"/>
      <c r="XR190" s="11"/>
      <c r="XS190" s="11"/>
      <c r="XT190" s="11"/>
      <c r="XU190" s="11"/>
      <c r="XV190" s="11"/>
      <c r="XW190" s="11"/>
      <c r="XX190" s="11"/>
      <c r="XY190" s="11"/>
      <c r="XZ190" s="11"/>
      <c r="YA190" s="11"/>
      <c r="YB190" s="11"/>
      <c r="YC190" s="11"/>
      <c r="YD190" s="11"/>
      <c r="YE190" s="11"/>
      <c r="YF190" s="11"/>
      <c r="YG190" s="11"/>
      <c r="YH190" s="11"/>
      <c r="YI190" s="11"/>
      <c r="YJ190" s="11"/>
      <c r="YK190" s="11"/>
      <c r="YL190" s="11"/>
      <c r="YM190" s="11"/>
      <c r="YN190" s="11"/>
      <c r="YO190" s="11"/>
      <c r="YP190" s="11"/>
      <c r="YQ190" s="11"/>
      <c r="YR190" s="11"/>
      <c r="YS190" s="11"/>
      <c r="YT190" s="11"/>
      <c r="YU190" s="11"/>
      <c r="YV190" s="11"/>
      <c r="YW190" s="11"/>
      <c r="YX190" s="11"/>
      <c r="YY190" s="11"/>
      <c r="YZ190" s="11"/>
      <c r="ZA190" s="11"/>
      <c r="ZB190" s="11"/>
      <c r="ZC190" s="11"/>
      <c r="ZD190" s="11"/>
      <c r="ZE190" s="11"/>
      <c r="ZF190" s="11"/>
      <c r="ZG190" s="11"/>
      <c r="ZH190" s="11"/>
      <c r="ZI190" s="11"/>
      <c r="ZJ190" s="11"/>
      <c r="ZK190" s="11"/>
      <c r="ZL190" s="11"/>
      <c r="ZM190" s="11"/>
      <c r="ZN190" s="11"/>
      <c r="ZO190" s="11"/>
      <c r="ZP190" s="11"/>
      <c r="ZQ190" s="11"/>
      <c r="ZR190" s="11"/>
      <c r="ZS190" s="11"/>
      <c r="ZT190" s="11"/>
      <c r="ZU190" s="11"/>
      <c r="ZV190" s="11"/>
      <c r="ZW190" s="11"/>
      <c r="ZX190" s="11"/>
      <c r="ZY190" s="11"/>
      <c r="ZZ190" s="11"/>
      <c r="AAA190" s="11"/>
      <c r="AAB190" s="11"/>
      <c r="AAC190" s="11"/>
      <c r="AAD190" s="11"/>
      <c r="AAE190" s="11"/>
      <c r="AAF190" s="11"/>
      <c r="AAG190" s="11"/>
      <c r="AAH190" s="11"/>
      <c r="AAI190" s="11"/>
      <c r="AAJ190" s="11"/>
      <c r="AAK190" s="11"/>
      <c r="AAL190" s="11"/>
      <c r="AAM190" s="11"/>
      <c r="AAN190" s="11"/>
      <c r="AAO190" s="11"/>
      <c r="AAP190" s="11"/>
      <c r="AAQ190" s="11"/>
      <c r="AAR190" s="11"/>
      <c r="AAS190" s="11"/>
      <c r="AAT190" s="11"/>
      <c r="AAU190" s="11"/>
      <c r="AAV190" s="11"/>
      <c r="AAW190" s="11"/>
      <c r="AAX190" s="11"/>
      <c r="AAY190" s="11"/>
      <c r="AAZ190" s="11"/>
      <c r="ABA190" s="11"/>
      <c r="ABB190" s="11"/>
      <c r="ABC190" s="11"/>
      <c r="ABD190" s="11"/>
      <c r="ABE190" s="11"/>
      <c r="ABF190" s="11"/>
      <c r="ABG190" s="11"/>
      <c r="ABH190" s="11"/>
      <c r="ABI190" s="11"/>
      <c r="ABJ190" s="11"/>
      <c r="ABK190" s="11"/>
      <c r="ABL190" s="11"/>
      <c r="ABM190" s="11"/>
      <c r="ABN190" s="11"/>
      <c r="ABO190" s="11"/>
      <c r="ABP190" s="11"/>
      <c r="ABQ190" s="11"/>
      <c r="ABR190" s="11"/>
      <c r="ABS190" s="11"/>
      <c r="ABT190" s="11"/>
      <c r="ABU190" s="11"/>
      <c r="ABV190" s="11"/>
      <c r="ABW190" s="11"/>
      <c r="ABX190" s="11"/>
      <c r="ABY190" s="11"/>
      <c r="ABZ190" s="11"/>
      <c r="ACA190" s="11"/>
      <c r="ACB190" s="11"/>
      <c r="ACC190" s="11"/>
      <c r="ACD190" s="11"/>
      <c r="ACE190" s="11"/>
      <c r="ACF190" s="11"/>
      <c r="ACG190" s="11"/>
      <c r="ACH190" s="11"/>
      <c r="ACI190" s="11"/>
      <c r="ACJ190" s="11"/>
      <c r="ACK190" s="11"/>
      <c r="ACL190" s="11"/>
      <c r="ACM190" s="11"/>
      <c r="ACN190" s="11"/>
      <c r="ACO190" s="11"/>
      <c r="ACP190" s="11"/>
      <c r="ACQ190" s="11"/>
      <c r="ACR190" s="11"/>
      <c r="ACS190" s="11"/>
      <c r="ACT190" s="11"/>
      <c r="ACU190" s="11"/>
      <c r="ACV190" s="11"/>
      <c r="ACW190" s="11"/>
      <c r="ACX190" s="11"/>
      <c r="ACY190" s="11"/>
      <c r="ACZ190" s="11"/>
      <c r="ADA190" s="11"/>
      <c r="ADB190" s="11"/>
      <c r="ADC190" s="11"/>
      <c r="ADD190" s="11"/>
      <c r="ADE190" s="11"/>
      <c r="ADF190" s="11"/>
      <c r="ADG190" s="11"/>
      <c r="ADH190" s="11"/>
      <c r="ADI190" s="11"/>
      <c r="ADJ190" s="11"/>
      <c r="ADK190" s="11"/>
      <c r="ADL190" s="11"/>
      <c r="ADM190" s="11"/>
      <c r="ADN190" s="11"/>
      <c r="ADO190" s="11"/>
      <c r="ADP190" s="11"/>
      <c r="ADQ190" s="11"/>
      <c r="ADR190" s="11"/>
      <c r="ADS190" s="11"/>
      <c r="ADT190" s="11"/>
      <c r="ADU190" s="11"/>
      <c r="ADV190" s="11"/>
      <c r="ADW190" s="11"/>
      <c r="ADX190" s="11"/>
      <c r="ADY190" s="11"/>
      <c r="ADZ190" s="11"/>
      <c r="AEA190" s="11"/>
      <c r="AEB190" s="11"/>
      <c r="AEC190" s="11"/>
      <c r="AED190" s="11"/>
      <c r="AEE190" s="11"/>
      <c r="AEF190" s="11"/>
      <c r="AEG190" s="11"/>
      <c r="AEH190" s="11"/>
      <c r="AEI190" s="11"/>
      <c r="AEJ190" s="11"/>
      <c r="AEK190" s="11"/>
      <c r="AEL190" s="11"/>
      <c r="AEM190" s="11"/>
      <c r="AEN190" s="11"/>
      <c r="AEO190" s="11"/>
      <c r="AEP190" s="11"/>
      <c r="AEQ190" s="11"/>
      <c r="AER190" s="11"/>
      <c r="AES190" s="11"/>
      <c r="AET190" s="11"/>
      <c r="AEU190" s="11"/>
      <c r="AEV190" s="11"/>
      <c r="AEW190" s="11"/>
      <c r="AEX190" s="11"/>
      <c r="AEY190" s="11"/>
      <c r="AEZ190" s="11"/>
      <c r="AFA190" s="11"/>
      <c r="AFB190" s="11"/>
      <c r="AFC190" s="11"/>
      <c r="AFD190" s="11"/>
      <c r="AFE190" s="11"/>
      <c r="AFF190" s="11"/>
      <c r="AFG190" s="11"/>
      <c r="AFH190" s="11"/>
      <c r="AFI190" s="11"/>
    </row>
    <row r="191" spans="2:84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1"/>
      <c r="LV191" s="11"/>
      <c r="LW191" s="11"/>
      <c r="LX191" s="11"/>
      <c r="LY191" s="11"/>
      <c r="LZ191" s="11"/>
      <c r="MA191" s="11"/>
      <c r="MB191" s="11"/>
      <c r="MC191" s="11"/>
      <c r="MD191" s="11"/>
      <c r="ME191" s="11"/>
      <c r="MF191" s="11"/>
      <c r="MG191" s="11"/>
      <c r="MH191" s="11"/>
      <c r="MI191" s="11"/>
      <c r="MJ191" s="11"/>
      <c r="MK191" s="11"/>
      <c r="ML191" s="11"/>
      <c r="MM191" s="11"/>
      <c r="MN191" s="11"/>
      <c r="MO191" s="11"/>
      <c r="MP191" s="11"/>
      <c r="MQ191" s="11"/>
      <c r="MR191" s="11"/>
      <c r="MS191" s="11"/>
      <c r="MT191" s="11"/>
      <c r="MU191" s="11"/>
      <c r="MV191" s="11"/>
      <c r="MW191" s="11"/>
      <c r="MX191" s="11"/>
      <c r="MY191" s="11"/>
      <c r="MZ191" s="11"/>
      <c r="NA191" s="11"/>
      <c r="NB191" s="11"/>
      <c r="NC191" s="11"/>
      <c r="ND191" s="11"/>
      <c r="NE191" s="11"/>
      <c r="NF191" s="11"/>
      <c r="NG191" s="11"/>
      <c r="NH191" s="11"/>
      <c r="NI191" s="11"/>
      <c r="NJ191" s="11"/>
      <c r="NK191" s="11"/>
      <c r="NL191" s="11"/>
      <c r="NM191" s="11"/>
      <c r="NN191" s="11"/>
      <c r="NO191" s="11"/>
      <c r="NP191" s="11"/>
      <c r="NQ191" s="11"/>
      <c r="NR191" s="11"/>
      <c r="NS191" s="11"/>
      <c r="NT191" s="11"/>
      <c r="NU191" s="11"/>
      <c r="NV191" s="11"/>
      <c r="NW191" s="11"/>
      <c r="NX191" s="11"/>
      <c r="NY191" s="11"/>
      <c r="NZ191" s="11"/>
      <c r="OA191" s="11"/>
      <c r="OB191" s="11"/>
      <c r="OC191" s="11"/>
      <c r="OD191" s="11"/>
      <c r="OE191" s="11"/>
      <c r="OF191" s="11"/>
      <c r="OG191" s="11"/>
      <c r="OH191" s="11"/>
      <c r="OI191" s="11"/>
      <c r="OJ191" s="11"/>
      <c r="OK191" s="11"/>
      <c r="OL191" s="11"/>
      <c r="OM191" s="11"/>
      <c r="ON191" s="11"/>
      <c r="OO191" s="11"/>
      <c r="OP191" s="11"/>
      <c r="OQ191" s="11"/>
      <c r="OR191" s="11"/>
      <c r="OS191" s="11"/>
      <c r="OT191" s="11"/>
      <c r="OU191" s="11"/>
      <c r="OV191" s="11"/>
      <c r="OW191" s="11"/>
      <c r="OX191" s="11"/>
      <c r="OY191" s="11"/>
      <c r="OZ191" s="11"/>
      <c r="PA191" s="11"/>
      <c r="PB191" s="11"/>
      <c r="PC191" s="11"/>
      <c r="PD191" s="11"/>
      <c r="PE191" s="11"/>
      <c r="PF191" s="11"/>
      <c r="PG191" s="11"/>
      <c r="PH191" s="11"/>
      <c r="PI191" s="11"/>
      <c r="PJ191" s="11"/>
      <c r="PK191" s="11"/>
      <c r="PL191" s="11"/>
      <c r="PM191" s="11"/>
      <c r="PN191" s="11"/>
      <c r="PO191" s="11"/>
      <c r="PP191" s="11"/>
      <c r="PQ191" s="11"/>
      <c r="PR191" s="11"/>
      <c r="PS191" s="11"/>
      <c r="PT191" s="11"/>
      <c r="PU191" s="11"/>
      <c r="PV191" s="11"/>
      <c r="PW191" s="11"/>
      <c r="PX191" s="11"/>
      <c r="PY191" s="11"/>
      <c r="PZ191" s="11"/>
      <c r="QA191" s="11"/>
      <c r="QB191" s="11"/>
      <c r="QC191" s="11"/>
      <c r="QD191" s="11"/>
      <c r="QE191" s="11"/>
      <c r="QF191" s="11"/>
      <c r="QG191" s="11"/>
      <c r="QH191" s="11"/>
      <c r="QI191" s="11"/>
      <c r="QJ191" s="11"/>
      <c r="QK191" s="11"/>
      <c r="QL191" s="11"/>
      <c r="QM191" s="11"/>
      <c r="QN191" s="11"/>
      <c r="QO191" s="11"/>
      <c r="QP191" s="11"/>
      <c r="QQ191" s="11"/>
      <c r="QR191" s="11"/>
      <c r="QS191" s="11"/>
      <c r="QT191" s="11"/>
      <c r="QU191" s="11"/>
      <c r="QV191" s="11"/>
      <c r="QW191" s="11"/>
      <c r="QX191" s="11"/>
      <c r="QY191" s="11"/>
      <c r="QZ191" s="11"/>
      <c r="RA191" s="11"/>
      <c r="RB191" s="11"/>
      <c r="RC191" s="11"/>
      <c r="RD191" s="11"/>
      <c r="RE191" s="11"/>
      <c r="RF191" s="11"/>
      <c r="RG191" s="11"/>
      <c r="RH191" s="11"/>
      <c r="RI191" s="11"/>
      <c r="RJ191" s="11"/>
      <c r="RK191" s="11"/>
      <c r="RL191" s="11"/>
      <c r="RM191" s="11"/>
      <c r="RN191" s="11"/>
      <c r="RO191" s="11"/>
      <c r="RP191" s="11"/>
      <c r="RQ191" s="11"/>
      <c r="RR191" s="11"/>
      <c r="RS191" s="11"/>
      <c r="RT191" s="11"/>
      <c r="RU191" s="11"/>
      <c r="RV191" s="11"/>
      <c r="RW191" s="11"/>
      <c r="RX191" s="11"/>
      <c r="RY191" s="11"/>
      <c r="RZ191" s="11"/>
      <c r="SA191" s="11"/>
      <c r="SB191" s="11"/>
      <c r="SC191" s="11"/>
      <c r="SD191" s="11"/>
      <c r="SE191" s="11"/>
      <c r="SF191" s="11"/>
      <c r="SG191" s="11"/>
      <c r="SH191" s="11"/>
      <c r="SI191" s="11"/>
      <c r="SJ191" s="11"/>
      <c r="SK191" s="11"/>
      <c r="SL191" s="11"/>
      <c r="SM191" s="11"/>
      <c r="SN191" s="11"/>
      <c r="SO191" s="11"/>
      <c r="SP191" s="11"/>
      <c r="SQ191" s="11"/>
      <c r="SR191" s="11"/>
      <c r="SS191" s="11"/>
      <c r="ST191" s="11"/>
      <c r="SU191" s="11"/>
      <c r="SV191" s="11"/>
      <c r="SW191" s="11"/>
      <c r="SX191" s="11"/>
      <c r="SY191" s="11"/>
      <c r="SZ191" s="11"/>
      <c r="TA191" s="11"/>
      <c r="TB191" s="11"/>
      <c r="TC191" s="11"/>
      <c r="TD191" s="11"/>
      <c r="TE191" s="11"/>
      <c r="TF191" s="11"/>
      <c r="TG191" s="11"/>
      <c r="TH191" s="11"/>
      <c r="TI191" s="11"/>
      <c r="TJ191" s="11"/>
      <c r="TK191" s="11"/>
      <c r="TL191" s="11"/>
      <c r="TM191" s="11"/>
      <c r="TN191" s="11"/>
      <c r="TO191" s="11"/>
      <c r="TP191" s="11"/>
      <c r="TQ191" s="11"/>
      <c r="TR191" s="11"/>
      <c r="TS191" s="11"/>
      <c r="TT191" s="11"/>
      <c r="TU191" s="11"/>
      <c r="TV191" s="11"/>
      <c r="TW191" s="11"/>
      <c r="TX191" s="11"/>
      <c r="TY191" s="11"/>
      <c r="TZ191" s="11"/>
      <c r="UA191" s="11"/>
      <c r="UB191" s="11"/>
      <c r="UC191" s="11"/>
      <c r="UD191" s="11"/>
      <c r="UE191" s="11"/>
      <c r="UF191" s="11"/>
      <c r="UG191" s="11"/>
      <c r="UH191" s="11"/>
      <c r="UI191" s="11"/>
      <c r="UJ191" s="11"/>
      <c r="UK191" s="11"/>
      <c r="UL191" s="11"/>
      <c r="UM191" s="11"/>
      <c r="UN191" s="11"/>
      <c r="UO191" s="11"/>
      <c r="UP191" s="11"/>
      <c r="UQ191" s="11"/>
      <c r="UR191" s="11"/>
      <c r="US191" s="11"/>
      <c r="UT191" s="11"/>
      <c r="UU191" s="11"/>
      <c r="UV191" s="11"/>
      <c r="UW191" s="11"/>
      <c r="UX191" s="11"/>
      <c r="UY191" s="11"/>
      <c r="UZ191" s="11"/>
      <c r="VA191" s="11"/>
      <c r="VB191" s="11"/>
      <c r="VC191" s="11"/>
      <c r="VD191" s="11"/>
      <c r="VE191" s="11"/>
      <c r="VF191" s="11"/>
      <c r="VG191" s="11"/>
      <c r="VH191" s="11"/>
      <c r="VI191" s="11"/>
      <c r="VJ191" s="11"/>
      <c r="VK191" s="11"/>
      <c r="VL191" s="11"/>
      <c r="VM191" s="11"/>
      <c r="VN191" s="11"/>
      <c r="VO191" s="11"/>
      <c r="VP191" s="11"/>
      <c r="VQ191" s="11"/>
      <c r="VR191" s="11"/>
      <c r="VS191" s="11"/>
      <c r="VT191" s="11"/>
      <c r="VU191" s="11"/>
      <c r="VV191" s="11"/>
      <c r="VW191" s="11"/>
      <c r="VX191" s="11"/>
      <c r="VY191" s="11"/>
      <c r="VZ191" s="11"/>
      <c r="WA191" s="11"/>
      <c r="WB191" s="11"/>
      <c r="WC191" s="11"/>
      <c r="WD191" s="11"/>
      <c r="WE191" s="11"/>
      <c r="WF191" s="11"/>
      <c r="WG191" s="11"/>
      <c r="WH191" s="11"/>
      <c r="WI191" s="11"/>
      <c r="WJ191" s="11"/>
      <c r="WK191" s="11"/>
      <c r="WL191" s="11"/>
      <c r="WM191" s="11"/>
      <c r="WN191" s="11"/>
      <c r="WO191" s="11"/>
      <c r="WP191" s="11"/>
      <c r="WQ191" s="11"/>
      <c r="WR191" s="11"/>
      <c r="WS191" s="11"/>
      <c r="WT191" s="11"/>
      <c r="WU191" s="11"/>
      <c r="WV191" s="11"/>
      <c r="WW191" s="11"/>
      <c r="WX191" s="11"/>
      <c r="WY191" s="11"/>
      <c r="WZ191" s="11"/>
      <c r="XA191" s="11"/>
      <c r="XB191" s="11"/>
      <c r="XC191" s="11"/>
      <c r="XD191" s="11"/>
      <c r="XE191" s="11"/>
      <c r="XF191" s="11"/>
      <c r="XG191" s="11"/>
      <c r="XH191" s="11"/>
      <c r="XI191" s="11"/>
      <c r="XJ191" s="11"/>
      <c r="XK191" s="11"/>
      <c r="XL191" s="11"/>
      <c r="XM191" s="11"/>
      <c r="XN191" s="11"/>
      <c r="XO191" s="11"/>
      <c r="XP191" s="11"/>
      <c r="XQ191" s="11"/>
      <c r="XR191" s="11"/>
      <c r="XS191" s="11"/>
      <c r="XT191" s="11"/>
      <c r="XU191" s="11"/>
      <c r="XV191" s="11"/>
      <c r="XW191" s="11"/>
      <c r="XX191" s="11"/>
      <c r="XY191" s="11"/>
      <c r="XZ191" s="11"/>
      <c r="YA191" s="11"/>
      <c r="YB191" s="11"/>
      <c r="YC191" s="11"/>
      <c r="YD191" s="11"/>
      <c r="YE191" s="11"/>
      <c r="YF191" s="11"/>
      <c r="YG191" s="11"/>
      <c r="YH191" s="11"/>
      <c r="YI191" s="11"/>
      <c r="YJ191" s="11"/>
      <c r="YK191" s="11"/>
      <c r="YL191" s="11"/>
      <c r="YM191" s="11"/>
      <c r="YN191" s="11"/>
      <c r="YO191" s="11"/>
      <c r="YP191" s="11"/>
      <c r="YQ191" s="11"/>
      <c r="YR191" s="11"/>
      <c r="YS191" s="11"/>
      <c r="YT191" s="11"/>
      <c r="YU191" s="11"/>
      <c r="YV191" s="11"/>
      <c r="YW191" s="11"/>
      <c r="YX191" s="11"/>
      <c r="YY191" s="11"/>
      <c r="YZ191" s="11"/>
      <c r="ZA191" s="11"/>
      <c r="ZB191" s="11"/>
      <c r="ZC191" s="11"/>
      <c r="ZD191" s="11"/>
      <c r="ZE191" s="11"/>
      <c r="ZF191" s="11"/>
      <c r="ZG191" s="11"/>
      <c r="ZH191" s="11"/>
      <c r="ZI191" s="11"/>
      <c r="ZJ191" s="11"/>
      <c r="ZK191" s="11"/>
      <c r="ZL191" s="11"/>
      <c r="ZM191" s="11"/>
      <c r="ZN191" s="11"/>
      <c r="ZO191" s="11"/>
      <c r="ZP191" s="11"/>
      <c r="ZQ191" s="11"/>
      <c r="ZR191" s="11"/>
      <c r="ZS191" s="11"/>
      <c r="ZT191" s="11"/>
      <c r="ZU191" s="11"/>
      <c r="ZV191" s="11"/>
      <c r="ZW191" s="11"/>
      <c r="ZX191" s="11"/>
      <c r="ZY191" s="11"/>
      <c r="ZZ191" s="11"/>
      <c r="AAA191" s="11"/>
      <c r="AAB191" s="11"/>
      <c r="AAC191" s="11"/>
      <c r="AAD191" s="11"/>
      <c r="AAE191" s="11"/>
      <c r="AAF191" s="11"/>
      <c r="AAG191" s="11"/>
      <c r="AAH191" s="11"/>
      <c r="AAI191" s="11"/>
      <c r="AAJ191" s="11"/>
      <c r="AAK191" s="11"/>
      <c r="AAL191" s="11"/>
      <c r="AAM191" s="11"/>
      <c r="AAN191" s="11"/>
      <c r="AAO191" s="11"/>
      <c r="AAP191" s="11"/>
      <c r="AAQ191" s="11"/>
      <c r="AAR191" s="11"/>
      <c r="AAS191" s="11"/>
      <c r="AAT191" s="11"/>
      <c r="AAU191" s="11"/>
      <c r="AAV191" s="11"/>
      <c r="AAW191" s="11"/>
      <c r="AAX191" s="11"/>
      <c r="AAY191" s="11"/>
      <c r="AAZ191" s="11"/>
      <c r="ABA191" s="11"/>
      <c r="ABB191" s="11"/>
      <c r="ABC191" s="11"/>
      <c r="ABD191" s="11"/>
      <c r="ABE191" s="11"/>
      <c r="ABF191" s="11"/>
      <c r="ABG191" s="11"/>
      <c r="ABH191" s="11"/>
      <c r="ABI191" s="11"/>
      <c r="ABJ191" s="11"/>
      <c r="ABK191" s="11"/>
      <c r="ABL191" s="11"/>
      <c r="ABM191" s="11"/>
      <c r="ABN191" s="11"/>
      <c r="ABO191" s="11"/>
      <c r="ABP191" s="11"/>
      <c r="ABQ191" s="11"/>
      <c r="ABR191" s="11"/>
      <c r="ABS191" s="11"/>
      <c r="ABT191" s="11"/>
      <c r="ABU191" s="11"/>
      <c r="ABV191" s="11"/>
      <c r="ABW191" s="11"/>
      <c r="ABX191" s="11"/>
      <c r="ABY191" s="11"/>
      <c r="ABZ191" s="11"/>
      <c r="ACA191" s="11"/>
      <c r="ACB191" s="11"/>
      <c r="ACC191" s="11"/>
      <c r="ACD191" s="11"/>
      <c r="ACE191" s="11"/>
      <c r="ACF191" s="11"/>
      <c r="ACG191" s="11"/>
      <c r="ACH191" s="11"/>
      <c r="ACI191" s="11"/>
      <c r="ACJ191" s="11"/>
      <c r="ACK191" s="11"/>
      <c r="ACL191" s="11"/>
      <c r="ACM191" s="11"/>
      <c r="ACN191" s="11"/>
      <c r="ACO191" s="11"/>
      <c r="ACP191" s="11"/>
      <c r="ACQ191" s="11"/>
      <c r="ACR191" s="11"/>
      <c r="ACS191" s="11"/>
      <c r="ACT191" s="11"/>
      <c r="ACU191" s="11"/>
      <c r="ACV191" s="11"/>
      <c r="ACW191" s="11"/>
      <c r="ACX191" s="11"/>
      <c r="ACY191" s="11"/>
      <c r="ACZ191" s="11"/>
      <c r="ADA191" s="11"/>
      <c r="ADB191" s="11"/>
      <c r="ADC191" s="11"/>
      <c r="ADD191" s="11"/>
      <c r="ADE191" s="11"/>
      <c r="ADF191" s="11"/>
      <c r="ADG191" s="11"/>
      <c r="ADH191" s="11"/>
      <c r="ADI191" s="11"/>
      <c r="ADJ191" s="11"/>
      <c r="ADK191" s="11"/>
      <c r="ADL191" s="11"/>
      <c r="ADM191" s="11"/>
      <c r="ADN191" s="11"/>
      <c r="ADO191" s="11"/>
      <c r="ADP191" s="11"/>
      <c r="ADQ191" s="11"/>
      <c r="ADR191" s="11"/>
      <c r="ADS191" s="11"/>
      <c r="ADT191" s="11"/>
      <c r="ADU191" s="11"/>
      <c r="ADV191" s="11"/>
      <c r="ADW191" s="11"/>
      <c r="ADX191" s="11"/>
      <c r="ADY191" s="11"/>
      <c r="ADZ191" s="11"/>
      <c r="AEA191" s="11"/>
      <c r="AEB191" s="11"/>
      <c r="AEC191" s="11"/>
      <c r="AED191" s="11"/>
      <c r="AEE191" s="11"/>
      <c r="AEF191" s="11"/>
      <c r="AEG191" s="11"/>
      <c r="AEH191" s="11"/>
      <c r="AEI191" s="11"/>
      <c r="AEJ191" s="11"/>
      <c r="AEK191" s="11"/>
      <c r="AEL191" s="11"/>
      <c r="AEM191" s="11"/>
      <c r="AEN191" s="11"/>
      <c r="AEO191" s="11"/>
      <c r="AEP191" s="11"/>
      <c r="AEQ191" s="11"/>
      <c r="AER191" s="11"/>
      <c r="AES191" s="11"/>
      <c r="AET191" s="11"/>
      <c r="AEU191" s="11"/>
      <c r="AEV191" s="11"/>
      <c r="AEW191" s="11"/>
      <c r="AEX191" s="11"/>
      <c r="AEY191" s="11"/>
      <c r="AEZ191" s="11"/>
      <c r="AFA191" s="11"/>
      <c r="AFB191" s="11"/>
      <c r="AFC191" s="11"/>
      <c r="AFD191" s="11"/>
      <c r="AFE191" s="11"/>
      <c r="AFF191" s="11"/>
      <c r="AFG191" s="11"/>
      <c r="AFH191" s="11"/>
      <c r="AFI191" s="11"/>
    </row>
    <row r="192" spans="2:84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1"/>
      <c r="LV192" s="11"/>
      <c r="LW192" s="11"/>
      <c r="LX192" s="11"/>
      <c r="LY192" s="11"/>
      <c r="LZ192" s="11"/>
      <c r="MA192" s="11"/>
      <c r="MB192" s="11"/>
      <c r="MC192" s="11"/>
      <c r="MD192" s="11"/>
      <c r="ME192" s="11"/>
      <c r="MF192" s="11"/>
      <c r="MG192" s="11"/>
      <c r="MH192" s="11"/>
      <c r="MI192" s="11"/>
      <c r="MJ192" s="11"/>
      <c r="MK192" s="11"/>
      <c r="ML192" s="11"/>
      <c r="MM192" s="11"/>
      <c r="MN192" s="11"/>
      <c r="MO192" s="11"/>
      <c r="MP192" s="11"/>
      <c r="MQ192" s="11"/>
      <c r="MR192" s="11"/>
      <c r="MS192" s="11"/>
      <c r="MT192" s="11"/>
      <c r="MU192" s="11"/>
      <c r="MV192" s="11"/>
      <c r="MW192" s="11"/>
      <c r="MX192" s="11"/>
      <c r="MY192" s="11"/>
      <c r="MZ192" s="11"/>
      <c r="NA192" s="11"/>
      <c r="NB192" s="11"/>
      <c r="NC192" s="11"/>
      <c r="ND192" s="11"/>
      <c r="NE192" s="11"/>
      <c r="NF192" s="11"/>
      <c r="NG192" s="11"/>
      <c r="NH192" s="11"/>
      <c r="NI192" s="11"/>
      <c r="NJ192" s="11"/>
      <c r="NK192" s="11"/>
      <c r="NL192" s="11"/>
      <c r="NM192" s="11"/>
      <c r="NN192" s="11"/>
      <c r="NO192" s="11"/>
      <c r="NP192" s="11"/>
      <c r="NQ192" s="11"/>
      <c r="NR192" s="11"/>
      <c r="NS192" s="11"/>
      <c r="NT192" s="11"/>
      <c r="NU192" s="11"/>
      <c r="NV192" s="11"/>
      <c r="NW192" s="11"/>
      <c r="NX192" s="11"/>
      <c r="NY192" s="11"/>
      <c r="NZ192" s="11"/>
      <c r="OA192" s="11"/>
      <c r="OB192" s="11"/>
      <c r="OC192" s="11"/>
      <c r="OD192" s="11"/>
      <c r="OE192" s="11"/>
      <c r="OF192" s="11"/>
      <c r="OG192" s="11"/>
      <c r="OH192" s="11"/>
      <c r="OI192" s="11"/>
      <c r="OJ192" s="11"/>
      <c r="OK192" s="11"/>
      <c r="OL192" s="11"/>
      <c r="OM192" s="11"/>
      <c r="ON192" s="11"/>
      <c r="OO192" s="11"/>
      <c r="OP192" s="11"/>
      <c r="OQ192" s="11"/>
      <c r="OR192" s="11"/>
      <c r="OS192" s="11"/>
      <c r="OT192" s="11"/>
      <c r="OU192" s="11"/>
      <c r="OV192" s="11"/>
      <c r="OW192" s="11"/>
      <c r="OX192" s="11"/>
      <c r="OY192" s="11"/>
      <c r="OZ192" s="11"/>
      <c r="PA192" s="11"/>
      <c r="PB192" s="11"/>
      <c r="PC192" s="11"/>
      <c r="PD192" s="11"/>
      <c r="PE192" s="11"/>
      <c r="PF192" s="11"/>
      <c r="PG192" s="11"/>
      <c r="PH192" s="11"/>
      <c r="PI192" s="11"/>
      <c r="PJ192" s="11"/>
      <c r="PK192" s="11"/>
      <c r="PL192" s="11"/>
      <c r="PM192" s="11"/>
      <c r="PN192" s="11"/>
      <c r="PO192" s="11"/>
      <c r="PP192" s="11"/>
      <c r="PQ192" s="11"/>
      <c r="PR192" s="11"/>
      <c r="PS192" s="11"/>
      <c r="PT192" s="11"/>
      <c r="PU192" s="11"/>
      <c r="PV192" s="11"/>
      <c r="PW192" s="11"/>
      <c r="PX192" s="11"/>
      <c r="PY192" s="11"/>
      <c r="PZ192" s="11"/>
      <c r="QA192" s="11"/>
      <c r="QB192" s="11"/>
      <c r="QC192" s="11"/>
      <c r="QD192" s="11"/>
      <c r="QE192" s="11"/>
      <c r="QF192" s="11"/>
      <c r="QG192" s="11"/>
      <c r="QH192" s="11"/>
      <c r="QI192" s="11"/>
      <c r="QJ192" s="11"/>
      <c r="QK192" s="11"/>
      <c r="QL192" s="11"/>
      <c r="QM192" s="11"/>
      <c r="QN192" s="11"/>
      <c r="QO192" s="11"/>
      <c r="QP192" s="11"/>
      <c r="QQ192" s="11"/>
      <c r="QR192" s="11"/>
      <c r="QS192" s="11"/>
      <c r="QT192" s="11"/>
      <c r="QU192" s="11"/>
      <c r="QV192" s="11"/>
      <c r="QW192" s="11"/>
      <c r="QX192" s="11"/>
      <c r="QY192" s="11"/>
      <c r="QZ192" s="11"/>
      <c r="RA192" s="11"/>
      <c r="RB192" s="11"/>
      <c r="RC192" s="11"/>
      <c r="RD192" s="11"/>
      <c r="RE192" s="11"/>
      <c r="RF192" s="11"/>
      <c r="RG192" s="11"/>
      <c r="RH192" s="11"/>
      <c r="RI192" s="11"/>
      <c r="RJ192" s="11"/>
      <c r="RK192" s="11"/>
      <c r="RL192" s="11"/>
      <c r="RM192" s="11"/>
      <c r="RN192" s="11"/>
      <c r="RO192" s="11"/>
      <c r="RP192" s="11"/>
      <c r="RQ192" s="11"/>
      <c r="RR192" s="11"/>
      <c r="RS192" s="11"/>
      <c r="RT192" s="11"/>
      <c r="RU192" s="11"/>
      <c r="RV192" s="11"/>
      <c r="RW192" s="11"/>
      <c r="RX192" s="11"/>
      <c r="RY192" s="11"/>
      <c r="RZ192" s="11"/>
      <c r="SA192" s="11"/>
      <c r="SB192" s="11"/>
      <c r="SC192" s="11"/>
      <c r="SD192" s="11"/>
      <c r="SE192" s="11"/>
      <c r="SF192" s="11"/>
      <c r="SG192" s="11"/>
      <c r="SH192" s="11"/>
      <c r="SI192" s="11"/>
      <c r="SJ192" s="11"/>
      <c r="SK192" s="11"/>
      <c r="SL192" s="11"/>
      <c r="SM192" s="11"/>
      <c r="SN192" s="11"/>
      <c r="SO192" s="11"/>
      <c r="SP192" s="11"/>
      <c r="SQ192" s="11"/>
      <c r="SR192" s="11"/>
      <c r="SS192" s="11"/>
      <c r="ST192" s="11"/>
      <c r="SU192" s="11"/>
      <c r="SV192" s="11"/>
      <c r="SW192" s="11"/>
      <c r="SX192" s="11"/>
      <c r="SY192" s="11"/>
      <c r="SZ192" s="11"/>
      <c r="TA192" s="11"/>
      <c r="TB192" s="11"/>
      <c r="TC192" s="11"/>
      <c r="TD192" s="11"/>
      <c r="TE192" s="11"/>
      <c r="TF192" s="11"/>
      <c r="TG192" s="11"/>
      <c r="TH192" s="11"/>
      <c r="TI192" s="11"/>
      <c r="TJ192" s="11"/>
      <c r="TK192" s="11"/>
      <c r="TL192" s="11"/>
      <c r="TM192" s="11"/>
      <c r="TN192" s="11"/>
      <c r="TO192" s="11"/>
      <c r="TP192" s="11"/>
      <c r="TQ192" s="11"/>
      <c r="TR192" s="11"/>
      <c r="TS192" s="11"/>
      <c r="TT192" s="11"/>
      <c r="TU192" s="11"/>
      <c r="TV192" s="11"/>
      <c r="TW192" s="11"/>
      <c r="TX192" s="11"/>
      <c r="TY192" s="11"/>
      <c r="TZ192" s="11"/>
      <c r="UA192" s="11"/>
      <c r="UB192" s="11"/>
      <c r="UC192" s="11"/>
      <c r="UD192" s="11"/>
      <c r="UE192" s="11"/>
      <c r="UF192" s="11"/>
      <c r="UG192" s="11"/>
      <c r="UH192" s="11"/>
      <c r="UI192" s="11"/>
      <c r="UJ192" s="11"/>
      <c r="UK192" s="11"/>
      <c r="UL192" s="11"/>
      <c r="UM192" s="11"/>
      <c r="UN192" s="11"/>
      <c r="UO192" s="11"/>
      <c r="UP192" s="11"/>
      <c r="UQ192" s="11"/>
      <c r="UR192" s="11"/>
      <c r="US192" s="11"/>
      <c r="UT192" s="11"/>
      <c r="UU192" s="11"/>
      <c r="UV192" s="11"/>
      <c r="UW192" s="11"/>
      <c r="UX192" s="11"/>
      <c r="UY192" s="11"/>
      <c r="UZ192" s="11"/>
      <c r="VA192" s="11"/>
      <c r="VB192" s="11"/>
      <c r="VC192" s="11"/>
      <c r="VD192" s="11"/>
      <c r="VE192" s="11"/>
      <c r="VF192" s="11"/>
      <c r="VG192" s="11"/>
      <c r="VH192" s="11"/>
      <c r="VI192" s="11"/>
      <c r="VJ192" s="11"/>
      <c r="VK192" s="11"/>
      <c r="VL192" s="11"/>
      <c r="VM192" s="11"/>
      <c r="VN192" s="11"/>
      <c r="VO192" s="11"/>
      <c r="VP192" s="11"/>
      <c r="VQ192" s="11"/>
      <c r="VR192" s="11"/>
      <c r="VS192" s="11"/>
      <c r="VT192" s="11"/>
      <c r="VU192" s="11"/>
      <c r="VV192" s="11"/>
      <c r="VW192" s="11"/>
      <c r="VX192" s="11"/>
      <c r="VY192" s="11"/>
      <c r="VZ192" s="11"/>
      <c r="WA192" s="11"/>
      <c r="WB192" s="11"/>
      <c r="WC192" s="11"/>
      <c r="WD192" s="11"/>
      <c r="WE192" s="11"/>
      <c r="WF192" s="11"/>
      <c r="WG192" s="11"/>
      <c r="WH192" s="11"/>
      <c r="WI192" s="11"/>
      <c r="WJ192" s="11"/>
      <c r="WK192" s="11"/>
      <c r="WL192" s="11"/>
      <c r="WM192" s="11"/>
      <c r="WN192" s="11"/>
      <c r="WO192" s="11"/>
      <c r="WP192" s="11"/>
      <c r="WQ192" s="11"/>
      <c r="WR192" s="11"/>
      <c r="WS192" s="11"/>
      <c r="WT192" s="11"/>
      <c r="WU192" s="11"/>
      <c r="WV192" s="11"/>
      <c r="WW192" s="11"/>
      <c r="WX192" s="11"/>
      <c r="WY192" s="11"/>
      <c r="WZ192" s="11"/>
      <c r="XA192" s="11"/>
      <c r="XB192" s="11"/>
      <c r="XC192" s="11"/>
      <c r="XD192" s="11"/>
      <c r="XE192" s="11"/>
      <c r="XF192" s="11"/>
      <c r="XG192" s="11"/>
      <c r="XH192" s="11"/>
      <c r="XI192" s="11"/>
      <c r="XJ192" s="11"/>
      <c r="XK192" s="11"/>
      <c r="XL192" s="11"/>
      <c r="XM192" s="11"/>
      <c r="XN192" s="11"/>
      <c r="XO192" s="11"/>
      <c r="XP192" s="11"/>
      <c r="XQ192" s="11"/>
      <c r="XR192" s="11"/>
      <c r="XS192" s="11"/>
      <c r="XT192" s="11"/>
      <c r="XU192" s="11"/>
      <c r="XV192" s="11"/>
      <c r="XW192" s="11"/>
      <c r="XX192" s="11"/>
      <c r="XY192" s="11"/>
      <c r="XZ192" s="11"/>
      <c r="YA192" s="11"/>
      <c r="YB192" s="11"/>
      <c r="YC192" s="11"/>
      <c r="YD192" s="11"/>
      <c r="YE192" s="11"/>
      <c r="YF192" s="11"/>
      <c r="YG192" s="11"/>
      <c r="YH192" s="11"/>
      <c r="YI192" s="11"/>
      <c r="YJ192" s="11"/>
      <c r="YK192" s="11"/>
      <c r="YL192" s="11"/>
      <c r="YM192" s="11"/>
      <c r="YN192" s="11"/>
      <c r="YO192" s="11"/>
      <c r="YP192" s="11"/>
      <c r="YQ192" s="11"/>
      <c r="YR192" s="11"/>
      <c r="YS192" s="11"/>
      <c r="YT192" s="11"/>
      <c r="YU192" s="11"/>
      <c r="YV192" s="11"/>
      <c r="YW192" s="11"/>
      <c r="YX192" s="11"/>
      <c r="YY192" s="11"/>
      <c r="YZ192" s="11"/>
      <c r="ZA192" s="11"/>
      <c r="ZB192" s="11"/>
      <c r="ZC192" s="11"/>
      <c r="ZD192" s="11"/>
      <c r="ZE192" s="11"/>
      <c r="ZF192" s="11"/>
      <c r="ZG192" s="11"/>
      <c r="ZH192" s="11"/>
      <c r="ZI192" s="11"/>
      <c r="ZJ192" s="11"/>
      <c r="ZK192" s="11"/>
      <c r="ZL192" s="11"/>
      <c r="ZM192" s="11"/>
      <c r="ZN192" s="11"/>
      <c r="ZO192" s="11"/>
      <c r="ZP192" s="11"/>
      <c r="ZQ192" s="11"/>
      <c r="ZR192" s="11"/>
      <c r="ZS192" s="11"/>
      <c r="ZT192" s="11"/>
      <c r="ZU192" s="11"/>
      <c r="ZV192" s="11"/>
      <c r="ZW192" s="11"/>
      <c r="ZX192" s="11"/>
      <c r="ZY192" s="11"/>
      <c r="ZZ192" s="11"/>
      <c r="AAA192" s="11"/>
      <c r="AAB192" s="11"/>
      <c r="AAC192" s="11"/>
      <c r="AAD192" s="11"/>
      <c r="AAE192" s="11"/>
      <c r="AAF192" s="11"/>
      <c r="AAG192" s="11"/>
      <c r="AAH192" s="11"/>
      <c r="AAI192" s="11"/>
      <c r="AAJ192" s="11"/>
      <c r="AAK192" s="11"/>
      <c r="AAL192" s="11"/>
      <c r="AAM192" s="11"/>
      <c r="AAN192" s="11"/>
      <c r="AAO192" s="11"/>
      <c r="AAP192" s="11"/>
      <c r="AAQ192" s="11"/>
      <c r="AAR192" s="11"/>
      <c r="AAS192" s="11"/>
      <c r="AAT192" s="11"/>
      <c r="AAU192" s="11"/>
      <c r="AAV192" s="11"/>
      <c r="AAW192" s="11"/>
      <c r="AAX192" s="11"/>
      <c r="AAY192" s="11"/>
      <c r="AAZ192" s="11"/>
      <c r="ABA192" s="11"/>
      <c r="ABB192" s="11"/>
      <c r="ABC192" s="11"/>
      <c r="ABD192" s="11"/>
      <c r="ABE192" s="11"/>
      <c r="ABF192" s="11"/>
      <c r="ABG192" s="11"/>
      <c r="ABH192" s="11"/>
      <c r="ABI192" s="11"/>
      <c r="ABJ192" s="11"/>
      <c r="ABK192" s="11"/>
      <c r="ABL192" s="11"/>
      <c r="ABM192" s="11"/>
      <c r="ABN192" s="11"/>
      <c r="ABO192" s="11"/>
      <c r="ABP192" s="11"/>
      <c r="ABQ192" s="11"/>
      <c r="ABR192" s="11"/>
      <c r="ABS192" s="11"/>
      <c r="ABT192" s="11"/>
      <c r="ABU192" s="11"/>
      <c r="ABV192" s="11"/>
      <c r="ABW192" s="11"/>
      <c r="ABX192" s="11"/>
      <c r="ABY192" s="11"/>
      <c r="ABZ192" s="11"/>
      <c r="ACA192" s="11"/>
      <c r="ACB192" s="11"/>
      <c r="ACC192" s="11"/>
      <c r="ACD192" s="11"/>
      <c r="ACE192" s="11"/>
      <c r="ACF192" s="11"/>
      <c r="ACG192" s="11"/>
      <c r="ACH192" s="11"/>
      <c r="ACI192" s="11"/>
      <c r="ACJ192" s="11"/>
      <c r="ACK192" s="11"/>
      <c r="ACL192" s="11"/>
      <c r="ACM192" s="11"/>
      <c r="ACN192" s="11"/>
      <c r="ACO192" s="11"/>
      <c r="ACP192" s="11"/>
      <c r="ACQ192" s="11"/>
      <c r="ACR192" s="11"/>
      <c r="ACS192" s="11"/>
      <c r="ACT192" s="11"/>
      <c r="ACU192" s="11"/>
      <c r="ACV192" s="11"/>
      <c r="ACW192" s="11"/>
      <c r="ACX192" s="11"/>
      <c r="ACY192" s="11"/>
      <c r="ACZ192" s="11"/>
      <c r="ADA192" s="11"/>
      <c r="ADB192" s="11"/>
      <c r="ADC192" s="11"/>
      <c r="ADD192" s="11"/>
      <c r="ADE192" s="11"/>
      <c r="ADF192" s="11"/>
      <c r="ADG192" s="11"/>
      <c r="ADH192" s="11"/>
      <c r="ADI192" s="11"/>
      <c r="ADJ192" s="11"/>
      <c r="ADK192" s="11"/>
      <c r="ADL192" s="11"/>
      <c r="ADM192" s="11"/>
      <c r="ADN192" s="11"/>
      <c r="ADO192" s="11"/>
      <c r="ADP192" s="11"/>
      <c r="ADQ192" s="11"/>
      <c r="ADR192" s="11"/>
      <c r="ADS192" s="11"/>
      <c r="ADT192" s="11"/>
      <c r="ADU192" s="11"/>
      <c r="ADV192" s="11"/>
      <c r="ADW192" s="11"/>
      <c r="ADX192" s="11"/>
      <c r="ADY192" s="11"/>
      <c r="ADZ192" s="11"/>
      <c r="AEA192" s="11"/>
      <c r="AEB192" s="11"/>
      <c r="AEC192" s="11"/>
      <c r="AED192" s="11"/>
      <c r="AEE192" s="11"/>
      <c r="AEF192" s="11"/>
      <c r="AEG192" s="11"/>
      <c r="AEH192" s="11"/>
      <c r="AEI192" s="11"/>
      <c r="AEJ192" s="11"/>
      <c r="AEK192" s="11"/>
      <c r="AEL192" s="11"/>
      <c r="AEM192" s="11"/>
      <c r="AEN192" s="11"/>
      <c r="AEO192" s="11"/>
      <c r="AEP192" s="11"/>
      <c r="AEQ192" s="11"/>
      <c r="AER192" s="11"/>
      <c r="AES192" s="11"/>
      <c r="AET192" s="11"/>
      <c r="AEU192" s="11"/>
      <c r="AEV192" s="11"/>
      <c r="AEW192" s="11"/>
      <c r="AEX192" s="11"/>
      <c r="AEY192" s="11"/>
      <c r="AEZ192" s="11"/>
      <c r="AFA192" s="11"/>
      <c r="AFB192" s="11"/>
      <c r="AFC192" s="11"/>
      <c r="AFD192" s="11"/>
      <c r="AFE192" s="11"/>
      <c r="AFF192" s="11"/>
      <c r="AFG192" s="11"/>
      <c r="AFH192" s="11"/>
      <c r="AFI192" s="11"/>
    </row>
    <row r="193" spans="2:84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1"/>
      <c r="LV193" s="11"/>
      <c r="LW193" s="11"/>
      <c r="LX193" s="11"/>
      <c r="LY193" s="11"/>
      <c r="LZ193" s="11"/>
      <c r="MA193" s="11"/>
      <c r="MB193" s="11"/>
      <c r="MC193" s="11"/>
      <c r="MD193" s="11"/>
      <c r="ME193" s="11"/>
      <c r="MF193" s="11"/>
      <c r="MG193" s="11"/>
      <c r="MH193" s="11"/>
      <c r="MI193" s="11"/>
      <c r="MJ193" s="11"/>
      <c r="MK193" s="11"/>
      <c r="ML193" s="11"/>
      <c r="MM193" s="11"/>
      <c r="MN193" s="11"/>
      <c r="MO193" s="11"/>
      <c r="MP193" s="11"/>
      <c r="MQ193" s="11"/>
      <c r="MR193" s="11"/>
      <c r="MS193" s="11"/>
      <c r="MT193" s="11"/>
      <c r="MU193" s="11"/>
      <c r="MV193" s="11"/>
      <c r="MW193" s="11"/>
      <c r="MX193" s="11"/>
      <c r="MY193" s="11"/>
      <c r="MZ193" s="11"/>
      <c r="NA193" s="11"/>
      <c r="NB193" s="11"/>
      <c r="NC193" s="11"/>
      <c r="ND193" s="11"/>
      <c r="NE193" s="11"/>
      <c r="NF193" s="11"/>
      <c r="NG193" s="11"/>
      <c r="NH193" s="11"/>
      <c r="NI193" s="11"/>
      <c r="NJ193" s="11"/>
      <c r="NK193" s="11"/>
      <c r="NL193" s="11"/>
      <c r="NM193" s="11"/>
      <c r="NN193" s="11"/>
      <c r="NO193" s="11"/>
      <c r="NP193" s="11"/>
      <c r="NQ193" s="11"/>
      <c r="NR193" s="11"/>
      <c r="NS193" s="11"/>
      <c r="NT193" s="11"/>
      <c r="NU193" s="11"/>
      <c r="NV193" s="11"/>
      <c r="NW193" s="11"/>
      <c r="NX193" s="11"/>
      <c r="NY193" s="11"/>
      <c r="NZ193" s="11"/>
      <c r="OA193" s="11"/>
      <c r="OB193" s="11"/>
      <c r="OC193" s="11"/>
      <c r="OD193" s="11"/>
      <c r="OE193" s="11"/>
      <c r="OF193" s="11"/>
      <c r="OG193" s="11"/>
      <c r="OH193" s="11"/>
      <c r="OI193" s="11"/>
      <c r="OJ193" s="11"/>
      <c r="OK193" s="11"/>
      <c r="OL193" s="11"/>
      <c r="OM193" s="11"/>
      <c r="ON193" s="11"/>
      <c r="OO193" s="11"/>
      <c r="OP193" s="11"/>
      <c r="OQ193" s="11"/>
      <c r="OR193" s="11"/>
      <c r="OS193" s="11"/>
      <c r="OT193" s="11"/>
      <c r="OU193" s="11"/>
      <c r="OV193" s="11"/>
      <c r="OW193" s="11"/>
      <c r="OX193" s="11"/>
      <c r="OY193" s="11"/>
      <c r="OZ193" s="11"/>
      <c r="PA193" s="11"/>
      <c r="PB193" s="11"/>
      <c r="PC193" s="11"/>
      <c r="PD193" s="11"/>
      <c r="PE193" s="11"/>
      <c r="PF193" s="11"/>
      <c r="PG193" s="11"/>
      <c r="PH193" s="11"/>
      <c r="PI193" s="11"/>
      <c r="PJ193" s="11"/>
      <c r="PK193" s="11"/>
      <c r="PL193" s="11"/>
      <c r="PM193" s="11"/>
      <c r="PN193" s="11"/>
      <c r="PO193" s="11"/>
      <c r="PP193" s="11"/>
      <c r="PQ193" s="11"/>
      <c r="PR193" s="11"/>
      <c r="PS193" s="11"/>
      <c r="PT193" s="11"/>
      <c r="PU193" s="11"/>
      <c r="PV193" s="11"/>
      <c r="PW193" s="11"/>
      <c r="PX193" s="11"/>
      <c r="PY193" s="11"/>
      <c r="PZ193" s="11"/>
      <c r="QA193" s="11"/>
      <c r="QB193" s="11"/>
      <c r="QC193" s="11"/>
      <c r="QD193" s="11"/>
      <c r="QE193" s="11"/>
      <c r="QF193" s="11"/>
      <c r="QG193" s="11"/>
      <c r="QH193" s="11"/>
      <c r="QI193" s="11"/>
      <c r="QJ193" s="11"/>
      <c r="QK193" s="11"/>
      <c r="QL193" s="11"/>
      <c r="QM193" s="11"/>
      <c r="QN193" s="11"/>
      <c r="QO193" s="11"/>
      <c r="QP193" s="11"/>
      <c r="QQ193" s="11"/>
      <c r="QR193" s="11"/>
      <c r="QS193" s="11"/>
      <c r="QT193" s="11"/>
      <c r="QU193" s="11"/>
      <c r="QV193" s="11"/>
      <c r="QW193" s="11"/>
      <c r="QX193" s="11"/>
      <c r="QY193" s="11"/>
      <c r="QZ193" s="11"/>
      <c r="RA193" s="11"/>
      <c r="RB193" s="11"/>
      <c r="RC193" s="11"/>
      <c r="RD193" s="11"/>
      <c r="RE193" s="11"/>
      <c r="RF193" s="11"/>
      <c r="RG193" s="11"/>
      <c r="RH193" s="11"/>
      <c r="RI193" s="11"/>
      <c r="RJ193" s="11"/>
      <c r="RK193" s="11"/>
      <c r="RL193" s="11"/>
      <c r="RM193" s="11"/>
      <c r="RN193" s="11"/>
      <c r="RO193" s="11"/>
      <c r="RP193" s="11"/>
      <c r="RQ193" s="11"/>
      <c r="RR193" s="11"/>
      <c r="RS193" s="11"/>
      <c r="RT193" s="11"/>
      <c r="RU193" s="11"/>
      <c r="RV193" s="11"/>
      <c r="RW193" s="11"/>
      <c r="RX193" s="11"/>
      <c r="RY193" s="11"/>
      <c r="RZ193" s="11"/>
      <c r="SA193" s="11"/>
      <c r="SB193" s="11"/>
      <c r="SC193" s="11"/>
      <c r="SD193" s="11"/>
      <c r="SE193" s="11"/>
      <c r="SF193" s="11"/>
      <c r="SG193" s="11"/>
      <c r="SH193" s="11"/>
      <c r="SI193" s="11"/>
      <c r="SJ193" s="11"/>
      <c r="SK193" s="11"/>
      <c r="SL193" s="11"/>
      <c r="SM193" s="11"/>
      <c r="SN193" s="11"/>
      <c r="SO193" s="11"/>
      <c r="SP193" s="11"/>
      <c r="SQ193" s="11"/>
      <c r="SR193" s="11"/>
      <c r="SS193" s="11"/>
      <c r="ST193" s="11"/>
      <c r="SU193" s="11"/>
      <c r="SV193" s="11"/>
      <c r="SW193" s="11"/>
      <c r="SX193" s="11"/>
      <c r="SY193" s="11"/>
      <c r="SZ193" s="11"/>
      <c r="TA193" s="11"/>
      <c r="TB193" s="11"/>
      <c r="TC193" s="11"/>
      <c r="TD193" s="11"/>
      <c r="TE193" s="11"/>
      <c r="TF193" s="11"/>
      <c r="TG193" s="11"/>
      <c r="TH193" s="11"/>
      <c r="TI193" s="11"/>
      <c r="TJ193" s="11"/>
      <c r="TK193" s="11"/>
      <c r="TL193" s="11"/>
      <c r="TM193" s="11"/>
      <c r="TN193" s="11"/>
      <c r="TO193" s="11"/>
      <c r="TP193" s="11"/>
      <c r="TQ193" s="11"/>
      <c r="TR193" s="11"/>
      <c r="TS193" s="11"/>
      <c r="TT193" s="11"/>
      <c r="TU193" s="11"/>
      <c r="TV193" s="11"/>
      <c r="TW193" s="11"/>
      <c r="TX193" s="11"/>
      <c r="TY193" s="11"/>
      <c r="TZ193" s="11"/>
      <c r="UA193" s="11"/>
      <c r="UB193" s="11"/>
      <c r="UC193" s="11"/>
      <c r="UD193" s="11"/>
      <c r="UE193" s="11"/>
      <c r="UF193" s="11"/>
      <c r="UG193" s="11"/>
      <c r="UH193" s="11"/>
      <c r="UI193" s="11"/>
      <c r="UJ193" s="11"/>
      <c r="UK193" s="11"/>
      <c r="UL193" s="11"/>
      <c r="UM193" s="11"/>
      <c r="UN193" s="11"/>
      <c r="UO193" s="11"/>
      <c r="UP193" s="11"/>
      <c r="UQ193" s="11"/>
      <c r="UR193" s="11"/>
      <c r="US193" s="11"/>
      <c r="UT193" s="11"/>
      <c r="UU193" s="11"/>
      <c r="UV193" s="11"/>
      <c r="UW193" s="11"/>
      <c r="UX193" s="11"/>
      <c r="UY193" s="11"/>
      <c r="UZ193" s="11"/>
      <c r="VA193" s="11"/>
      <c r="VB193" s="11"/>
      <c r="VC193" s="11"/>
      <c r="VD193" s="11"/>
      <c r="VE193" s="11"/>
      <c r="VF193" s="11"/>
      <c r="VG193" s="11"/>
      <c r="VH193" s="11"/>
      <c r="VI193" s="11"/>
      <c r="VJ193" s="11"/>
      <c r="VK193" s="11"/>
      <c r="VL193" s="11"/>
      <c r="VM193" s="11"/>
      <c r="VN193" s="11"/>
      <c r="VO193" s="11"/>
      <c r="VP193" s="11"/>
      <c r="VQ193" s="11"/>
      <c r="VR193" s="11"/>
      <c r="VS193" s="11"/>
      <c r="VT193" s="11"/>
      <c r="VU193" s="11"/>
      <c r="VV193" s="11"/>
      <c r="VW193" s="11"/>
      <c r="VX193" s="11"/>
      <c r="VY193" s="11"/>
      <c r="VZ193" s="11"/>
      <c r="WA193" s="11"/>
      <c r="WB193" s="11"/>
      <c r="WC193" s="11"/>
      <c r="WD193" s="11"/>
      <c r="WE193" s="11"/>
      <c r="WF193" s="11"/>
      <c r="WG193" s="11"/>
      <c r="WH193" s="11"/>
      <c r="WI193" s="11"/>
      <c r="WJ193" s="11"/>
      <c r="WK193" s="11"/>
      <c r="WL193" s="11"/>
      <c r="WM193" s="11"/>
      <c r="WN193" s="11"/>
      <c r="WO193" s="11"/>
      <c r="WP193" s="11"/>
      <c r="WQ193" s="11"/>
      <c r="WR193" s="11"/>
      <c r="WS193" s="11"/>
      <c r="WT193" s="11"/>
      <c r="WU193" s="11"/>
      <c r="WV193" s="11"/>
      <c r="WW193" s="11"/>
      <c r="WX193" s="11"/>
      <c r="WY193" s="11"/>
      <c r="WZ193" s="11"/>
      <c r="XA193" s="11"/>
      <c r="XB193" s="11"/>
      <c r="XC193" s="11"/>
      <c r="XD193" s="11"/>
      <c r="XE193" s="11"/>
      <c r="XF193" s="11"/>
      <c r="XG193" s="11"/>
      <c r="XH193" s="11"/>
      <c r="XI193" s="11"/>
      <c r="XJ193" s="11"/>
      <c r="XK193" s="11"/>
      <c r="XL193" s="11"/>
      <c r="XM193" s="11"/>
      <c r="XN193" s="11"/>
      <c r="XO193" s="11"/>
      <c r="XP193" s="11"/>
      <c r="XQ193" s="11"/>
      <c r="XR193" s="11"/>
      <c r="XS193" s="11"/>
      <c r="XT193" s="11"/>
      <c r="XU193" s="11"/>
      <c r="XV193" s="11"/>
      <c r="XW193" s="11"/>
      <c r="XX193" s="11"/>
      <c r="XY193" s="11"/>
      <c r="XZ193" s="11"/>
      <c r="YA193" s="11"/>
      <c r="YB193" s="11"/>
      <c r="YC193" s="11"/>
      <c r="YD193" s="11"/>
      <c r="YE193" s="11"/>
      <c r="YF193" s="11"/>
      <c r="YG193" s="11"/>
      <c r="YH193" s="11"/>
      <c r="YI193" s="11"/>
      <c r="YJ193" s="11"/>
      <c r="YK193" s="11"/>
      <c r="YL193" s="11"/>
      <c r="YM193" s="11"/>
      <c r="YN193" s="11"/>
      <c r="YO193" s="11"/>
      <c r="YP193" s="11"/>
      <c r="YQ193" s="11"/>
      <c r="YR193" s="11"/>
      <c r="YS193" s="11"/>
      <c r="YT193" s="11"/>
      <c r="YU193" s="11"/>
      <c r="YV193" s="11"/>
      <c r="YW193" s="11"/>
      <c r="YX193" s="11"/>
      <c r="YY193" s="11"/>
      <c r="YZ193" s="11"/>
      <c r="ZA193" s="11"/>
      <c r="ZB193" s="11"/>
      <c r="ZC193" s="11"/>
      <c r="ZD193" s="11"/>
      <c r="ZE193" s="11"/>
      <c r="ZF193" s="11"/>
      <c r="ZG193" s="11"/>
      <c r="ZH193" s="11"/>
      <c r="ZI193" s="11"/>
      <c r="ZJ193" s="11"/>
      <c r="ZK193" s="11"/>
      <c r="ZL193" s="11"/>
      <c r="ZM193" s="11"/>
      <c r="ZN193" s="11"/>
      <c r="ZO193" s="11"/>
      <c r="ZP193" s="11"/>
      <c r="ZQ193" s="11"/>
      <c r="ZR193" s="11"/>
      <c r="ZS193" s="11"/>
      <c r="ZT193" s="11"/>
      <c r="ZU193" s="11"/>
      <c r="ZV193" s="11"/>
      <c r="ZW193" s="11"/>
      <c r="ZX193" s="11"/>
      <c r="ZY193" s="11"/>
      <c r="ZZ193" s="11"/>
      <c r="AAA193" s="11"/>
      <c r="AAB193" s="11"/>
      <c r="AAC193" s="11"/>
      <c r="AAD193" s="11"/>
      <c r="AAE193" s="11"/>
      <c r="AAF193" s="11"/>
      <c r="AAG193" s="11"/>
      <c r="AAH193" s="11"/>
      <c r="AAI193" s="11"/>
      <c r="AAJ193" s="11"/>
      <c r="AAK193" s="11"/>
      <c r="AAL193" s="11"/>
      <c r="AAM193" s="11"/>
      <c r="AAN193" s="11"/>
      <c r="AAO193" s="11"/>
      <c r="AAP193" s="11"/>
      <c r="AAQ193" s="11"/>
      <c r="AAR193" s="11"/>
      <c r="AAS193" s="11"/>
      <c r="AAT193" s="11"/>
      <c r="AAU193" s="11"/>
      <c r="AAV193" s="11"/>
      <c r="AAW193" s="11"/>
      <c r="AAX193" s="11"/>
      <c r="AAY193" s="11"/>
      <c r="AAZ193" s="11"/>
      <c r="ABA193" s="11"/>
      <c r="ABB193" s="11"/>
      <c r="ABC193" s="11"/>
      <c r="ABD193" s="11"/>
      <c r="ABE193" s="11"/>
      <c r="ABF193" s="11"/>
      <c r="ABG193" s="11"/>
      <c r="ABH193" s="11"/>
      <c r="ABI193" s="11"/>
      <c r="ABJ193" s="11"/>
      <c r="ABK193" s="11"/>
      <c r="ABL193" s="11"/>
      <c r="ABM193" s="11"/>
      <c r="ABN193" s="11"/>
      <c r="ABO193" s="11"/>
      <c r="ABP193" s="11"/>
      <c r="ABQ193" s="11"/>
      <c r="ABR193" s="11"/>
      <c r="ABS193" s="11"/>
      <c r="ABT193" s="11"/>
      <c r="ABU193" s="11"/>
      <c r="ABV193" s="11"/>
      <c r="ABW193" s="11"/>
      <c r="ABX193" s="11"/>
      <c r="ABY193" s="11"/>
      <c r="ABZ193" s="11"/>
      <c r="ACA193" s="11"/>
      <c r="ACB193" s="11"/>
      <c r="ACC193" s="11"/>
      <c r="ACD193" s="11"/>
      <c r="ACE193" s="11"/>
      <c r="ACF193" s="11"/>
      <c r="ACG193" s="11"/>
      <c r="ACH193" s="11"/>
      <c r="ACI193" s="11"/>
      <c r="ACJ193" s="11"/>
      <c r="ACK193" s="11"/>
      <c r="ACL193" s="11"/>
      <c r="ACM193" s="11"/>
      <c r="ACN193" s="11"/>
      <c r="ACO193" s="11"/>
      <c r="ACP193" s="11"/>
      <c r="ACQ193" s="11"/>
      <c r="ACR193" s="11"/>
      <c r="ACS193" s="11"/>
      <c r="ACT193" s="11"/>
      <c r="ACU193" s="11"/>
      <c r="ACV193" s="11"/>
      <c r="ACW193" s="11"/>
      <c r="ACX193" s="11"/>
      <c r="ACY193" s="11"/>
      <c r="ACZ193" s="11"/>
      <c r="ADA193" s="11"/>
      <c r="ADB193" s="11"/>
      <c r="ADC193" s="11"/>
      <c r="ADD193" s="11"/>
      <c r="ADE193" s="11"/>
      <c r="ADF193" s="11"/>
      <c r="ADG193" s="11"/>
      <c r="ADH193" s="11"/>
      <c r="ADI193" s="11"/>
      <c r="ADJ193" s="11"/>
      <c r="ADK193" s="11"/>
      <c r="ADL193" s="11"/>
      <c r="ADM193" s="11"/>
      <c r="ADN193" s="11"/>
      <c r="ADO193" s="11"/>
      <c r="ADP193" s="11"/>
      <c r="ADQ193" s="11"/>
      <c r="ADR193" s="11"/>
      <c r="ADS193" s="11"/>
      <c r="ADT193" s="11"/>
      <c r="ADU193" s="11"/>
      <c r="ADV193" s="11"/>
      <c r="ADW193" s="11"/>
      <c r="ADX193" s="11"/>
      <c r="ADY193" s="11"/>
      <c r="ADZ193" s="11"/>
      <c r="AEA193" s="11"/>
      <c r="AEB193" s="11"/>
      <c r="AEC193" s="11"/>
      <c r="AED193" s="11"/>
      <c r="AEE193" s="11"/>
      <c r="AEF193" s="11"/>
      <c r="AEG193" s="11"/>
      <c r="AEH193" s="11"/>
      <c r="AEI193" s="11"/>
      <c r="AEJ193" s="11"/>
      <c r="AEK193" s="11"/>
      <c r="AEL193" s="11"/>
      <c r="AEM193" s="11"/>
      <c r="AEN193" s="11"/>
      <c r="AEO193" s="11"/>
      <c r="AEP193" s="11"/>
      <c r="AEQ193" s="11"/>
      <c r="AER193" s="11"/>
      <c r="AES193" s="11"/>
      <c r="AET193" s="11"/>
      <c r="AEU193" s="11"/>
      <c r="AEV193" s="11"/>
      <c r="AEW193" s="11"/>
      <c r="AEX193" s="11"/>
      <c r="AEY193" s="11"/>
      <c r="AEZ193" s="11"/>
      <c r="AFA193" s="11"/>
      <c r="AFB193" s="11"/>
      <c r="AFC193" s="11"/>
      <c r="AFD193" s="11"/>
      <c r="AFE193" s="11"/>
      <c r="AFF193" s="11"/>
      <c r="AFG193" s="11"/>
      <c r="AFH193" s="11"/>
      <c r="AFI193" s="11"/>
    </row>
    <row r="194" spans="2:84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1"/>
      <c r="LV194" s="11"/>
      <c r="LW194" s="11"/>
      <c r="LX194" s="11"/>
      <c r="LY194" s="11"/>
      <c r="LZ194" s="11"/>
      <c r="MA194" s="11"/>
      <c r="MB194" s="11"/>
      <c r="MC194" s="11"/>
      <c r="MD194" s="11"/>
      <c r="ME194" s="11"/>
      <c r="MF194" s="11"/>
      <c r="MG194" s="11"/>
      <c r="MH194" s="11"/>
      <c r="MI194" s="11"/>
      <c r="MJ194" s="11"/>
      <c r="MK194" s="11"/>
      <c r="ML194" s="11"/>
      <c r="MM194" s="11"/>
      <c r="MN194" s="11"/>
      <c r="MO194" s="11"/>
      <c r="MP194" s="11"/>
      <c r="MQ194" s="11"/>
      <c r="MR194" s="11"/>
      <c r="MS194" s="11"/>
      <c r="MT194" s="11"/>
      <c r="MU194" s="11"/>
      <c r="MV194" s="11"/>
      <c r="MW194" s="11"/>
      <c r="MX194" s="11"/>
      <c r="MY194" s="11"/>
      <c r="MZ194" s="11"/>
      <c r="NA194" s="11"/>
      <c r="NB194" s="11"/>
      <c r="NC194" s="11"/>
      <c r="ND194" s="11"/>
      <c r="NE194" s="11"/>
      <c r="NF194" s="11"/>
      <c r="NG194" s="11"/>
      <c r="NH194" s="11"/>
      <c r="NI194" s="11"/>
      <c r="NJ194" s="11"/>
      <c r="NK194" s="11"/>
      <c r="NL194" s="11"/>
      <c r="NM194" s="11"/>
      <c r="NN194" s="11"/>
      <c r="NO194" s="11"/>
      <c r="NP194" s="11"/>
      <c r="NQ194" s="11"/>
      <c r="NR194" s="11"/>
      <c r="NS194" s="11"/>
      <c r="NT194" s="11"/>
      <c r="NU194" s="11"/>
      <c r="NV194" s="11"/>
      <c r="NW194" s="11"/>
      <c r="NX194" s="11"/>
      <c r="NY194" s="11"/>
      <c r="NZ194" s="11"/>
      <c r="OA194" s="11"/>
      <c r="OB194" s="11"/>
      <c r="OC194" s="11"/>
      <c r="OD194" s="11"/>
      <c r="OE194" s="11"/>
      <c r="OF194" s="11"/>
      <c r="OG194" s="11"/>
      <c r="OH194" s="11"/>
      <c r="OI194" s="11"/>
      <c r="OJ194" s="11"/>
      <c r="OK194" s="11"/>
      <c r="OL194" s="11"/>
      <c r="OM194" s="11"/>
      <c r="ON194" s="11"/>
      <c r="OO194" s="11"/>
      <c r="OP194" s="11"/>
      <c r="OQ194" s="11"/>
      <c r="OR194" s="11"/>
      <c r="OS194" s="11"/>
      <c r="OT194" s="11"/>
      <c r="OU194" s="11"/>
      <c r="OV194" s="11"/>
      <c r="OW194" s="11"/>
      <c r="OX194" s="11"/>
      <c r="OY194" s="11"/>
      <c r="OZ194" s="11"/>
      <c r="PA194" s="11"/>
      <c r="PB194" s="11"/>
      <c r="PC194" s="11"/>
      <c r="PD194" s="11"/>
      <c r="PE194" s="11"/>
      <c r="PF194" s="11"/>
      <c r="PG194" s="11"/>
      <c r="PH194" s="11"/>
      <c r="PI194" s="11"/>
      <c r="PJ194" s="11"/>
      <c r="PK194" s="11"/>
      <c r="PL194" s="11"/>
      <c r="PM194" s="11"/>
      <c r="PN194" s="11"/>
      <c r="PO194" s="11"/>
      <c r="PP194" s="11"/>
      <c r="PQ194" s="11"/>
      <c r="PR194" s="11"/>
      <c r="PS194" s="11"/>
      <c r="PT194" s="11"/>
      <c r="PU194" s="11"/>
      <c r="PV194" s="11"/>
      <c r="PW194" s="11"/>
      <c r="PX194" s="11"/>
      <c r="PY194" s="11"/>
      <c r="PZ194" s="11"/>
      <c r="QA194" s="11"/>
      <c r="QB194" s="11"/>
      <c r="QC194" s="11"/>
      <c r="QD194" s="11"/>
      <c r="QE194" s="11"/>
      <c r="QF194" s="11"/>
      <c r="QG194" s="11"/>
      <c r="QH194" s="11"/>
      <c r="QI194" s="11"/>
      <c r="QJ194" s="11"/>
      <c r="QK194" s="11"/>
      <c r="QL194" s="11"/>
      <c r="QM194" s="11"/>
      <c r="QN194" s="11"/>
      <c r="QO194" s="11"/>
      <c r="QP194" s="11"/>
      <c r="QQ194" s="11"/>
      <c r="QR194" s="11"/>
      <c r="QS194" s="11"/>
      <c r="QT194" s="11"/>
      <c r="QU194" s="11"/>
      <c r="QV194" s="11"/>
      <c r="QW194" s="11"/>
      <c r="QX194" s="11"/>
      <c r="QY194" s="11"/>
      <c r="QZ194" s="11"/>
      <c r="RA194" s="11"/>
      <c r="RB194" s="11"/>
      <c r="RC194" s="11"/>
      <c r="RD194" s="11"/>
      <c r="RE194" s="11"/>
      <c r="RF194" s="11"/>
      <c r="RG194" s="11"/>
      <c r="RH194" s="11"/>
      <c r="RI194" s="11"/>
      <c r="RJ194" s="11"/>
      <c r="RK194" s="11"/>
      <c r="RL194" s="11"/>
      <c r="RM194" s="11"/>
      <c r="RN194" s="11"/>
      <c r="RO194" s="11"/>
      <c r="RP194" s="11"/>
      <c r="RQ194" s="11"/>
      <c r="RR194" s="11"/>
      <c r="RS194" s="11"/>
      <c r="RT194" s="11"/>
      <c r="RU194" s="11"/>
      <c r="RV194" s="11"/>
      <c r="RW194" s="11"/>
      <c r="RX194" s="11"/>
      <c r="RY194" s="11"/>
      <c r="RZ194" s="11"/>
      <c r="SA194" s="11"/>
      <c r="SB194" s="11"/>
      <c r="SC194" s="11"/>
      <c r="SD194" s="11"/>
      <c r="SE194" s="11"/>
      <c r="SF194" s="11"/>
      <c r="SG194" s="11"/>
      <c r="SH194" s="11"/>
      <c r="SI194" s="11"/>
      <c r="SJ194" s="11"/>
      <c r="SK194" s="11"/>
      <c r="SL194" s="11"/>
      <c r="SM194" s="11"/>
      <c r="SN194" s="11"/>
      <c r="SO194" s="11"/>
      <c r="SP194" s="11"/>
      <c r="SQ194" s="11"/>
      <c r="SR194" s="11"/>
      <c r="SS194" s="11"/>
      <c r="ST194" s="11"/>
      <c r="SU194" s="11"/>
      <c r="SV194" s="11"/>
      <c r="SW194" s="11"/>
      <c r="SX194" s="11"/>
      <c r="SY194" s="11"/>
      <c r="SZ194" s="11"/>
      <c r="TA194" s="11"/>
      <c r="TB194" s="11"/>
      <c r="TC194" s="11"/>
      <c r="TD194" s="11"/>
      <c r="TE194" s="11"/>
      <c r="TF194" s="11"/>
      <c r="TG194" s="11"/>
      <c r="TH194" s="11"/>
      <c r="TI194" s="11"/>
      <c r="TJ194" s="11"/>
      <c r="TK194" s="11"/>
      <c r="TL194" s="11"/>
      <c r="TM194" s="11"/>
      <c r="TN194" s="11"/>
      <c r="TO194" s="11"/>
      <c r="TP194" s="11"/>
      <c r="TQ194" s="11"/>
      <c r="TR194" s="11"/>
      <c r="TS194" s="11"/>
      <c r="TT194" s="11"/>
      <c r="TU194" s="11"/>
      <c r="TV194" s="11"/>
      <c r="TW194" s="11"/>
      <c r="TX194" s="11"/>
      <c r="TY194" s="11"/>
      <c r="TZ194" s="11"/>
      <c r="UA194" s="11"/>
      <c r="UB194" s="11"/>
      <c r="UC194" s="11"/>
      <c r="UD194" s="11"/>
      <c r="UE194" s="11"/>
      <c r="UF194" s="11"/>
      <c r="UG194" s="11"/>
      <c r="UH194" s="11"/>
      <c r="UI194" s="11"/>
      <c r="UJ194" s="11"/>
      <c r="UK194" s="11"/>
      <c r="UL194" s="11"/>
      <c r="UM194" s="11"/>
      <c r="UN194" s="11"/>
      <c r="UO194" s="11"/>
      <c r="UP194" s="11"/>
      <c r="UQ194" s="11"/>
      <c r="UR194" s="11"/>
      <c r="US194" s="11"/>
      <c r="UT194" s="11"/>
      <c r="UU194" s="11"/>
      <c r="UV194" s="11"/>
      <c r="UW194" s="11"/>
      <c r="UX194" s="11"/>
      <c r="UY194" s="11"/>
      <c r="UZ194" s="11"/>
      <c r="VA194" s="11"/>
      <c r="VB194" s="11"/>
      <c r="VC194" s="11"/>
      <c r="VD194" s="11"/>
      <c r="VE194" s="11"/>
      <c r="VF194" s="11"/>
      <c r="VG194" s="11"/>
      <c r="VH194" s="11"/>
      <c r="VI194" s="11"/>
      <c r="VJ194" s="11"/>
      <c r="VK194" s="11"/>
      <c r="VL194" s="11"/>
      <c r="VM194" s="11"/>
      <c r="VN194" s="11"/>
      <c r="VO194" s="11"/>
      <c r="VP194" s="11"/>
      <c r="VQ194" s="11"/>
      <c r="VR194" s="11"/>
      <c r="VS194" s="11"/>
      <c r="VT194" s="11"/>
      <c r="VU194" s="11"/>
      <c r="VV194" s="11"/>
      <c r="VW194" s="11"/>
      <c r="VX194" s="11"/>
      <c r="VY194" s="11"/>
      <c r="VZ194" s="11"/>
      <c r="WA194" s="11"/>
      <c r="WB194" s="11"/>
      <c r="WC194" s="11"/>
      <c r="WD194" s="11"/>
      <c r="WE194" s="11"/>
      <c r="WF194" s="11"/>
      <c r="WG194" s="11"/>
      <c r="WH194" s="11"/>
      <c r="WI194" s="11"/>
      <c r="WJ194" s="11"/>
      <c r="WK194" s="11"/>
      <c r="WL194" s="11"/>
      <c r="WM194" s="11"/>
      <c r="WN194" s="11"/>
      <c r="WO194" s="11"/>
      <c r="WP194" s="11"/>
      <c r="WQ194" s="11"/>
      <c r="WR194" s="11"/>
      <c r="WS194" s="11"/>
      <c r="WT194" s="11"/>
      <c r="WU194" s="11"/>
      <c r="WV194" s="11"/>
      <c r="WW194" s="11"/>
      <c r="WX194" s="11"/>
      <c r="WY194" s="11"/>
      <c r="WZ194" s="11"/>
      <c r="XA194" s="11"/>
      <c r="XB194" s="11"/>
      <c r="XC194" s="11"/>
      <c r="XD194" s="11"/>
      <c r="XE194" s="11"/>
      <c r="XF194" s="11"/>
      <c r="XG194" s="11"/>
      <c r="XH194" s="11"/>
      <c r="XI194" s="11"/>
      <c r="XJ194" s="11"/>
      <c r="XK194" s="11"/>
      <c r="XL194" s="11"/>
      <c r="XM194" s="11"/>
      <c r="XN194" s="11"/>
      <c r="XO194" s="11"/>
      <c r="XP194" s="11"/>
      <c r="XQ194" s="11"/>
      <c r="XR194" s="11"/>
      <c r="XS194" s="11"/>
      <c r="XT194" s="11"/>
      <c r="XU194" s="11"/>
      <c r="XV194" s="11"/>
      <c r="XW194" s="11"/>
      <c r="XX194" s="11"/>
      <c r="XY194" s="11"/>
      <c r="XZ194" s="11"/>
      <c r="YA194" s="11"/>
      <c r="YB194" s="11"/>
      <c r="YC194" s="11"/>
      <c r="YD194" s="11"/>
      <c r="YE194" s="11"/>
      <c r="YF194" s="11"/>
      <c r="YG194" s="11"/>
      <c r="YH194" s="11"/>
      <c r="YI194" s="11"/>
      <c r="YJ194" s="11"/>
      <c r="YK194" s="11"/>
      <c r="YL194" s="11"/>
      <c r="YM194" s="11"/>
      <c r="YN194" s="11"/>
      <c r="YO194" s="11"/>
      <c r="YP194" s="11"/>
      <c r="YQ194" s="11"/>
      <c r="YR194" s="11"/>
      <c r="YS194" s="11"/>
      <c r="YT194" s="11"/>
      <c r="YU194" s="11"/>
      <c r="YV194" s="11"/>
      <c r="YW194" s="11"/>
      <c r="YX194" s="11"/>
      <c r="YY194" s="11"/>
      <c r="YZ194" s="11"/>
      <c r="ZA194" s="11"/>
      <c r="ZB194" s="11"/>
      <c r="ZC194" s="11"/>
      <c r="ZD194" s="11"/>
      <c r="ZE194" s="11"/>
      <c r="ZF194" s="11"/>
      <c r="ZG194" s="11"/>
      <c r="ZH194" s="11"/>
      <c r="ZI194" s="11"/>
      <c r="ZJ194" s="11"/>
      <c r="ZK194" s="11"/>
      <c r="ZL194" s="11"/>
      <c r="ZM194" s="11"/>
      <c r="ZN194" s="11"/>
      <c r="ZO194" s="11"/>
      <c r="ZP194" s="11"/>
      <c r="ZQ194" s="11"/>
      <c r="ZR194" s="11"/>
      <c r="ZS194" s="11"/>
      <c r="ZT194" s="11"/>
      <c r="ZU194" s="11"/>
      <c r="ZV194" s="11"/>
      <c r="ZW194" s="11"/>
      <c r="ZX194" s="11"/>
      <c r="ZY194" s="11"/>
      <c r="ZZ194" s="11"/>
      <c r="AAA194" s="11"/>
      <c r="AAB194" s="11"/>
      <c r="AAC194" s="11"/>
      <c r="AAD194" s="11"/>
      <c r="AAE194" s="11"/>
      <c r="AAF194" s="11"/>
      <c r="AAG194" s="11"/>
      <c r="AAH194" s="11"/>
      <c r="AAI194" s="11"/>
      <c r="AAJ194" s="11"/>
      <c r="AAK194" s="11"/>
      <c r="AAL194" s="11"/>
      <c r="AAM194" s="11"/>
      <c r="AAN194" s="11"/>
      <c r="AAO194" s="11"/>
      <c r="AAP194" s="11"/>
      <c r="AAQ194" s="11"/>
      <c r="AAR194" s="11"/>
      <c r="AAS194" s="11"/>
      <c r="AAT194" s="11"/>
      <c r="AAU194" s="11"/>
      <c r="AAV194" s="11"/>
      <c r="AAW194" s="11"/>
      <c r="AAX194" s="11"/>
      <c r="AAY194" s="11"/>
      <c r="AAZ194" s="11"/>
      <c r="ABA194" s="11"/>
      <c r="ABB194" s="11"/>
      <c r="ABC194" s="11"/>
      <c r="ABD194" s="11"/>
      <c r="ABE194" s="11"/>
      <c r="ABF194" s="11"/>
      <c r="ABG194" s="11"/>
      <c r="ABH194" s="11"/>
      <c r="ABI194" s="11"/>
      <c r="ABJ194" s="11"/>
      <c r="ABK194" s="11"/>
      <c r="ABL194" s="11"/>
      <c r="ABM194" s="11"/>
      <c r="ABN194" s="11"/>
      <c r="ABO194" s="11"/>
      <c r="ABP194" s="11"/>
      <c r="ABQ194" s="11"/>
      <c r="ABR194" s="11"/>
      <c r="ABS194" s="11"/>
      <c r="ABT194" s="11"/>
      <c r="ABU194" s="11"/>
      <c r="ABV194" s="11"/>
      <c r="ABW194" s="11"/>
      <c r="ABX194" s="11"/>
      <c r="ABY194" s="11"/>
      <c r="ABZ194" s="11"/>
      <c r="ACA194" s="11"/>
      <c r="ACB194" s="11"/>
      <c r="ACC194" s="11"/>
      <c r="ACD194" s="11"/>
      <c r="ACE194" s="11"/>
      <c r="ACF194" s="11"/>
      <c r="ACG194" s="11"/>
      <c r="ACH194" s="11"/>
      <c r="ACI194" s="11"/>
      <c r="ACJ194" s="11"/>
      <c r="ACK194" s="11"/>
      <c r="ACL194" s="11"/>
      <c r="ACM194" s="11"/>
      <c r="ACN194" s="11"/>
      <c r="ACO194" s="11"/>
      <c r="ACP194" s="11"/>
      <c r="ACQ194" s="11"/>
      <c r="ACR194" s="11"/>
      <c r="ACS194" s="11"/>
      <c r="ACT194" s="11"/>
      <c r="ACU194" s="11"/>
      <c r="ACV194" s="11"/>
      <c r="ACW194" s="11"/>
      <c r="ACX194" s="11"/>
      <c r="ACY194" s="11"/>
      <c r="ACZ194" s="11"/>
      <c r="ADA194" s="11"/>
      <c r="ADB194" s="11"/>
      <c r="ADC194" s="11"/>
      <c r="ADD194" s="11"/>
      <c r="ADE194" s="11"/>
      <c r="ADF194" s="11"/>
      <c r="ADG194" s="11"/>
      <c r="ADH194" s="11"/>
      <c r="ADI194" s="11"/>
      <c r="ADJ194" s="11"/>
      <c r="ADK194" s="11"/>
      <c r="ADL194" s="11"/>
      <c r="ADM194" s="11"/>
      <c r="ADN194" s="11"/>
      <c r="ADO194" s="11"/>
      <c r="ADP194" s="11"/>
      <c r="ADQ194" s="11"/>
      <c r="ADR194" s="11"/>
      <c r="ADS194" s="11"/>
      <c r="ADT194" s="11"/>
      <c r="ADU194" s="11"/>
      <c r="ADV194" s="11"/>
      <c r="ADW194" s="11"/>
      <c r="ADX194" s="11"/>
      <c r="ADY194" s="11"/>
      <c r="ADZ194" s="11"/>
      <c r="AEA194" s="11"/>
      <c r="AEB194" s="11"/>
      <c r="AEC194" s="11"/>
      <c r="AED194" s="11"/>
      <c r="AEE194" s="11"/>
      <c r="AEF194" s="11"/>
      <c r="AEG194" s="11"/>
      <c r="AEH194" s="11"/>
      <c r="AEI194" s="11"/>
      <c r="AEJ194" s="11"/>
      <c r="AEK194" s="11"/>
      <c r="AEL194" s="11"/>
      <c r="AEM194" s="11"/>
      <c r="AEN194" s="11"/>
      <c r="AEO194" s="11"/>
      <c r="AEP194" s="11"/>
      <c r="AEQ194" s="11"/>
      <c r="AER194" s="11"/>
      <c r="AES194" s="11"/>
      <c r="AET194" s="11"/>
      <c r="AEU194" s="11"/>
      <c r="AEV194" s="11"/>
      <c r="AEW194" s="11"/>
      <c r="AEX194" s="11"/>
      <c r="AEY194" s="11"/>
      <c r="AEZ194" s="11"/>
      <c r="AFA194" s="11"/>
      <c r="AFB194" s="11"/>
      <c r="AFC194" s="11"/>
      <c r="AFD194" s="11"/>
      <c r="AFE194" s="11"/>
      <c r="AFF194" s="11"/>
      <c r="AFG194" s="11"/>
      <c r="AFH194" s="11"/>
      <c r="AFI194" s="11"/>
    </row>
  </sheetData>
  <sheetProtection algorithmName="SHA-512" hashValue="ZufJrdSp9styGwKL140AyXtvXcKEsSlzhwnUeKTWHbmITh7OlpcMWIoX3DC1fUvajOFRB2GbO2GHywNHZXVvAQ==" saltValue="iNmCEMZdNgDOOje4Ej3U/g==" spinCount="100000" sheet="1" objects="1" scenarios="1"/>
  <mergeCells count="15">
    <mergeCell ref="C121:D121"/>
    <mergeCell ref="C122:D122"/>
    <mergeCell ref="C123:D123"/>
    <mergeCell ref="C79:C88"/>
    <mergeCell ref="C89:C98"/>
    <mergeCell ref="C99:C108"/>
    <mergeCell ref="C118:D118"/>
    <mergeCell ref="C119:D119"/>
    <mergeCell ref="C120:D120"/>
    <mergeCell ref="C69:C78"/>
    <mergeCell ref="C12:C21"/>
    <mergeCell ref="C22:C31"/>
    <mergeCell ref="C32:C41"/>
    <mergeCell ref="C42:C51"/>
    <mergeCell ref="C52:C61"/>
  </mergeCells>
  <hyperlinks>
    <hyperlink ref="A21" location="Resultados!A1" display="Resultados agregados" xr:uid="{2FF0A38A-9834-4233-8EFB-29D864C01595}"/>
  </hyperlink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9E1B95C7BC04F4096D0E25E70D30BFD" ma:contentTypeVersion="18" ma:contentTypeDescription="Crear nuevo documento." ma:contentTypeScope="" ma:versionID="cee5d4066842d58888bb9f0a302238d7">
  <xsd:schema xmlns:xsd="http://www.w3.org/2001/XMLSchema" xmlns:xs="http://www.w3.org/2001/XMLSchema" xmlns:p="http://schemas.microsoft.com/office/2006/metadata/properties" xmlns:ns2="03bbc3db-7e13-4178-bcbc-f267994c9d24" xmlns:ns3="3b1b4994-1d04-4180-8824-dab3c78013db" targetNamespace="http://schemas.microsoft.com/office/2006/metadata/properties" ma:root="true" ma:fieldsID="44ba46315bf2c3ee6085e355bdd4d321" ns2:_="" ns3:_="">
    <xsd:import namespace="03bbc3db-7e13-4178-bcbc-f267994c9d24"/>
    <xsd:import namespace="3b1b4994-1d04-4180-8824-dab3c78013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bbc3db-7e13-4178-bcbc-f267994c9d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fed664e4-1461-489c-84c9-3b14bfc5a82a"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1b4994-1d04-4180-8824-dab3c78013db"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2ae6cc65-0e68-4691-bef4-a0cea739b030}" ma:internalName="TaxCatchAll" ma:showField="CatchAllData" ma:web="3b1b4994-1d04-4180-8824-dab3c78013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B032C5-9246-4D55-B053-680556BE9460}"/>
</file>

<file path=customXml/itemProps2.xml><?xml version="1.0" encoding="utf-8"?>
<ds:datastoreItem xmlns:ds="http://schemas.openxmlformats.org/officeDocument/2006/customXml" ds:itemID="{9380A9D7-1995-47E7-9974-C437045681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10</vt:i4>
      </vt:variant>
    </vt:vector>
  </HeadingPairs>
  <TitlesOfParts>
    <vt:vector size="32" baseType="lpstr">
      <vt:lpstr>Instrucciones</vt:lpstr>
      <vt:lpstr>M_Datos</vt:lpstr>
      <vt:lpstr>M_A0</vt:lpstr>
      <vt:lpstr>M_A1</vt:lpstr>
      <vt:lpstr>M_A2</vt:lpstr>
      <vt:lpstr>M_A3</vt:lpstr>
      <vt:lpstr>M_A4</vt:lpstr>
      <vt:lpstr>M_Cálculos</vt:lpstr>
      <vt:lpstr>M_Cálculos_ND</vt:lpstr>
      <vt:lpstr>M_Resultados</vt:lpstr>
      <vt:lpstr>M_Cálculos propios</vt:lpstr>
      <vt:lpstr>M_FactoresComplement</vt:lpstr>
      <vt:lpstr>M_Nuevos Desarrollos</vt:lpstr>
      <vt:lpstr>M_Lista</vt:lpstr>
      <vt:lpstr>M_Factores</vt:lpstr>
      <vt:lpstr>B_Alcance</vt:lpstr>
      <vt:lpstr>B_Checklist</vt:lpstr>
      <vt:lpstr>B_Cálculos</vt:lpstr>
      <vt:lpstr>B_Resultados</vt:lpstr>
      <vt:lpstr>Resultados_generales</vt:lpstr>
      <vt:lpstr>B_Desplegable</vt:lpstr>
      <vt:lpstr>Medidas_Propuestas</vt:lpstr>
      <vt:lpstr>Alicante</vt:lpstr>
      <vt:lpstr>Castellano</vt:lpstr>
      <vt:lpstr>Castellón</vt:lpstr>
      <vt:lpstr>General</vt:lpstr>
      <vt:lpstr>Herbáceos</vt:lpstr>
      <vt:lpstr>Idioma</vt:lpstr>
      <vt:lpstr>Leñosos</vt:lpstr>
      <vt:lpstr>Prados</vt:lpstr>
      <vt:lpstr>Valencia</vt:lpstr>
      <vt:lpstr>Valencià</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Elena Gomez Salazar</dc:creator>
  <cp:keywords/>
  <dc:description/>
  <cp:lastModifiedBy>Iciar Lejarraga Lavía</cp:lastModifiedBy>
  <cp:revision/>
  <dcterms:created xsi:type="dcterms:W3CDTF">2017-11-28T17:02:48Z</dcterms:created>
  <dcterms:modified xsi:type="dcterms:W3CDTF">2023-07-14T09:10:47Z</dcterms:modified>
  <cp:category/>
  <cp:contentStatus/>
</cp:coreProperties>
</file>